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carr\Desktop\"/>
    </mc:Choice>
  </mc:AlternateContent>
  <xr:revisionPtr revIDLastSave="0" documentId="13_ncr:1_{9366C788-719F-4055-8C1D-CE5D2EE34CD5}" xr6:coauthVersionLast="47" xr6:coauthVersionMax="47" xr10:uidLastSave="{00000000-0000-0000-0000-000000000000}"/>
  <bookViews>
    <workbookView xWindow="-110" yWindow="-110" windowWidth="19420" windowHeight="10420" tabRatio="777" activeTab="2"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Monthly'!$B$1:$AA$43</definedName>
    <definedName name="_xlnm.Print_Area" localSheetId="2">'Funds Spent - Monthly'!$B$1:$AA$37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2" l="1"/>
  <c r="AD31" i="4"/>
  <c r="AD34" i="2"/>
  <c r="AD23" i="4"/>
  <c r="AD27" i="2"/>
  <c r="AD22" i="2"/>
  <c r="AD17" i="2"/>
  <c r="AD16" i="4" l="1"/>
  <c r="AD9" i="2"/>
  <c r="AD9" i="4"/>
  <c r="AC23" i="4" l="1"/>
  <c r="AC16" i="4"/>
  <c r="AC9" i="4"/>
  <c r="AC34" i="2"/>
  <c r="AC27" i="2"/>
  <c r="AC22" i="2"/>
  <c r="AC17" i="2"/>
  <c r="AC9" i="2"/>
  <c r="AB23" i="4"/>
  <c r="AB16" i="4"/>
  <c r="AB9" i="4"/>
  <c r="AB34" i="2"/>
  <c r="AB27" i="2"/>
  <c r="AB22" i="2"/>
  <c r="AB17" i="2"/>
  <c r="AB9" i="2"/>
  <c r="AA23" i="4"/>
  <c r="AA16" i="4"/>
  <c r="AA9" i="4"/>
  <c r="AA34" i="2"/>
  <c r="AA27" i="2"/>
  <c r="AA22" i="2"/>
  <c r="AA17" i="2"/>
  <c r="AA9" i="2"/>
  <c r="Z23" i="4"/>
  <c r="Z16" i="4"/>
  <c r="Z9" i="4"/>
  <c r="Z34" i="2"/>
  <c r="Z27" i="2"/>
  <c r="Z22" i="2"/>
  <c r="Z17" i="2"/>
  <c r="Z9" i="2"/>
  <c r="Y23" i="4"/>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AC31" i="4" l="1"/>
  <c r="AC38" i="2"/>
  <c r="AB31" i="4"/>
  <c r="AB38" i="2"/>
  <c r="AA31" i="4"/>
  <c r="AA38" i="2"/>
  <c r="Z31" i="4"/>
  <c r="Z38" i="2"/>
  <c r="Y31" i="4"/>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<sst xmlns="http://schemas.openxmlformats.org/spreadsheetml/2006/main" count="141" uniqueCount="84">
  <si>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</si>
  <si>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</si>
  <si>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</si>
  <si>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</si>
  <si>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</si>
  <si>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</si>
  <si>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</si>
  <si>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</si>
  <si>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</si>
  <si>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</si>
  <si>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</si>
  <si>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</si>
  <si>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</si>
  <si>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</si>
  <si>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</si>
  <si>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</si>
  <si>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</si>
  <si>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</si>
  <si>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</si>
  <si>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</si>
  <si>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</si>
  <si>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</si>
  <si>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</si>
  <si>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</si>
  <si>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</si>
  <si>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</si>
  <si>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</si>
  <si>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</si>
  <si>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</si>
  <si>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</si>
  <si>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</si>
  <si>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</si>
  <si>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Interest Earned</t>
  </si>
  <si>
    <t>State and Local Fiscal Recovery Fund Total</t>
  </si>
  <si>
    <t>Federal Funding</t>
  </si>
  <si>
    <t>March 2022</t>
  </si>
  <si>
    <t>State Funding</t>
  </si>
  <si>
    <t>Emergency Rental Assistance Total</t>
  </si>
  <si>
    <t>Homeowners Assistance Fund Total</t>
  </si>
  <si>
    <t>Small Business Recovery Total</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</si>
  <si>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</si>
  <si>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</si>
  <si>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</si>
  <si>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</si>
  <si>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</si>
  <si>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</si>
  <si>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</si>
  <si>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</si>
  <si>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</si>
  <si>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</si>
  <si>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</si>
  <si>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</si>
  <si>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</si>
  <si>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</si>
  <si>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</si>
  <si>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</si>
  <si>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</si>
  <si>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</si>
  <si>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</si>
  <si>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</si>
  <si>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</si>
  <si>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</si>
  <si>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</si>
  <si>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</si>
  <si>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</si>
  <si>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</si>
  <si>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</si>
  <si>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</si>
  <si>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</si>
  <si>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</si>
  <si>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</si>
  <si>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</si>
  <si>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</si>
  <si>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</si>
  <si>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</si>
  <si>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</si>
  <si>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</si>
  <si>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August 2023</t>
  </si>
  <si>
    <t>September 2023</t>
  </si>
  <si>
    <t>October 2023</t>
  </si>
  <si>
    <t>November2023</t>
  </si>
  <si>
    <t>November 2023</t>
  </si>
  <si>
    <t>As of December 31, 2023</t>
  </si>
  <si>
    <t>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</si>
</sst>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18">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b/>
      <u/>
      <sz val="11"/>
      <color rgb="FF333333"/>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90">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7" xfId="0" applyFill="1" applyBorder="1" applyAlignment="1">
      <alignment vertical="center"/>
    </xf>
    <xf numFmtId="0" fontId="0" fillId="2" borderId="18" xfId="0" applyFill="1" applyBorder="1"/>
    <xf numFmtId="0" fontId="0" fillId="2" borderId="19" xfId="0" applyFill="1" applyBorder="1"/>
    <xf numFmtId="0" fontId="11" fillId="2" borderId="20" xfId="0" applyFont="1" applyFill="1" applyBorder="1" applyAlignment="1">
      <alignment vertical="center"/>
    </xf>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165" fontId="0" fillId="2" borderId="0" xfId="0" applyNumberFormat="1" applyFill="1"/>
    <xf numFmtId="0" fontId="17"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164" fontId="1" fillId="2" borderId="0" xfId="1" applyNumberFormat="1" applyFont="1" applyFill="1"/>
    <xf numFmtId="164" fontId="1" fillId="2" borderId="1" xfId="1" applyNumberFormat="1" applyFont="1" applyFill="1" applyBorder="1"/>
    <xf numFmtId="164" fontId="0" fillId="0" borderId="0" xfId="0" applyNumberFormat="1"/>
    <xf numFmtId="164" fontId="13" fillId="0" borderId="1" xfId="0" applyNumberFormat="1" applyFont="1" applyBorder="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6" fillId="2" borderId="20" xfId="0" applyFont="1" applyFill="1" applyBorder="1" applyAlignment="1">
      <alignment vertical="center"/>
    </xf>
    <xf numFmtId="0" fontId="16" fillId="2" borderId="0" xfId="0" applyFont="1" applyFill="1" applyAlignment="1">
      <alignment vertical="center"/>
    </xf>
    <xf numFmtId="0" fontId="16" fillId="2" borderId="21" xfId="0" applyFont="1" applyFill="1" applyBorder="1" applyAlignment="1">
      <alignment vertical="center"/>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opLeftCell="B1" zoomScale="80" zoomScaleNormal="80" workbookViewId="0">
      <selection activeCell="E3" sqref="E3"/>
    </sheetView>
  </sheetViews>
  <sheetFormatPr defaultColWidth="8.81640625" defaultRowHeight="14.5"/>
  <cols>
    <col min="1" max="1" width="4.54296875" style="10" customWidth="1"/>
    <col min="2" max="2" width="53.453125" style="10" bestFit="1" customWidth="1"/>
    <col min="3" max="3" width="17.54296875" style="10" bestFit="1" customWidth="1"/>
    <col min="4" max="4" width="19.54296875" style="10" customWidth="1"/>
    <col min="5" max="5" width="18.54296875" style="10" bestFit="1" customWidth="1"/>
    <col min="6" max="16384" width="8.81640625" style="10"/>
  </cols>
  <sheetData>
    <row r="1" spans="2:12">
      <c r="B1" s="62" t="s">
        <v>0</v>
      </c>
      <c r="C1" s="69" t="s">
        <v>82</v>
      </c>
      <c r="D1" s="69"/>
      <c r="E1" s="69"/>
    </row>
    <row r="2" spans="2:12" ht="39.5">
      <c r="C2" s="16" t="s">
        <v>44</v>
      </c>
      <c r="D2" s="16" t="s">
        <v>45</v>
      </c>
      <c r="E2" s="18" t="s">
        <v>16</v>
      </c>
      <c r="G2" s="41"/>
      <c r="H2" s="41"/>
      <c r="I2" s="41"/>
      <c r="J2" s="41"/>
      <c r="K2" s="41"/>
      <c r="L2" s="41"/>
    </row>
    <row r="3" spans="2:12">
      <c r="B3" s="11" t="s">
        <v>1</v>
      </c>
      <c r="C3" s="17" t="s">
        <v>18</v>
      </c>
      <c r="D3" s="12">
        <v>9544330306.1000004</v>
      </c>
      <c r="E3" s="12">
        <v>9572344754.1499996</v>
      </c>
      <c r="G3" s="41"/>
      <c r="H3" s="41"/>
      <c r="I3" s="41"/>
      <c r="J3" s="41"/>
      <c r="K3" s="41"/>
      <c r="L3" s="41"/>
    </row>
    <row r="4" spans="2:12">
      <c r="B4" s="11" t="s">
        <v>2</v>
      </c>
      <c r="C4" s="17" t="s">
        <v>9</v>
      </c>
      <c r="D4" s="12">
        <v>14331320794.549999</v>
      </c>
      <c r="E4" s="12">
        <v>7624180157.2799997</v>
      </c>
      <c r="G4" s="41"/>
      <c r="H4" s="41"/>
      <c r="I4" s="41"/>
      <c r="J4" s="41"/>
      <c r="K4" s="41"/>
      <c r="L4" s="41"/>
    </row>
    <row r="5" spans="2:12">
      <c r="B5" s="11" t="s">
        <v>4</v>
      </c>
      <c r="C5" s="17" t="s">
        <v>11</v>
      </c>
      <c r="D5" s="12">
        <v>2146776287.0699999</v>
      </c>
      <c r="E5" s="12">
        <v>2150185781.0599999</v>
      </c>
      <c r="G5" s="41"/>
      <c r="H5" s="41"/>
      <c r="I5" s="41"/>
      <c r="J5" s="41"/>
      <c r="K5" s="41"/>
      <c r="L5" s="41"/>
    </row>
    <row r="6" spans="2:12">
      <c r="B6" s="11" t="s">
        <v>5</v>
      </c>
      <c r="C6" s="17" t="s">
        <v>74</v>
      </c>
      <c r="D6" s="67">
        <v>4473684414.0299997</v>
      </c>
      <c r="E6" s="67">
        <v>4111912058.3700004</v>
      </c>
      <c r="G6" s="41"/>
      <c r="H6" s="41"/>
      <c r="I6" s="41"/>
      <c r="J6" s="41"/>
      <c r="K6" s="41"/>
      <c r="L6" s="41"/>
    </row>
    <row r="7" spans="2:12">
      <c r="B7" s="11" t="s">
        <v>6</v>
      </c>
      <c r="C7" s="17" t="s">
        <v>12</v>
      </c>
      <c r="D7" s="13">
        <v>545706455.11000001</v>
      </c>
      <c r="E7" s="13">
        <v>538396222.87</v>
      </c>
      <c r="G7" s="41"/>
      <c r="H7" s="41"/>
      <c r="I7" s="41"/>
      <c r="J7" s="41"/>
      <c r="K7" s="41"/>
      <c r="L7" s="41"/>
    </row>
    <row r="8" spans="2:12">
      <c r="B8" s="11" t="s">
        <v>8</v>
      </c>
      <c r="C8" s="17" t="s">
        <v>64</v>
      </c>
      <c r="D8" s="13">
        <v>1269792221</v>
      </c>
      <c r="E8" s="13">
        <v>1249736501.6799998</v>
      </c>
      <c r="G8" s="41"/>
      <c r="H8" s="41"/>
      <c r="I8" s="41"/>
      <c r="J8" s="41"/>
      <c r="K8" s="41"/>
      <c r="L8" s="41"/>
    </row>
    <row r="9" spans="2:12">
      <c r="B9" s="11" t="s">
        <v>46</v>
      </c>
      <c r="C9" s="17" t="s">
        <v>47</v>
      </c>
      <c r="D9" s="13">
        <f>'Funds Received - Monthly'!N29</f>
        <v>250000000</v>
      </c>
      <c r="E9" s="13">
        <v>249999998.84999999</v>
      </c>
      <c r="G9" s="41"/>
      <c r="H9" s="41"/>
      <c r="I9" s="41"/>
      <c r="J9" s="41"/>
      <c r="K9" s="41"/>
      <c r="L9" s="41"/>
    </row>
    <row r="10" spans="2:12">
      <c r="B10" s="11" t="s">
        <v>3</v>
      </c>
      <c r="C10" s="17" t="s">
        <v>10</v>
      </c>
      <c r="D10" s="12">
        <v>5142536007.0200005</v>
      </c>
      <c r="E10" s="12">
        <v>5142535984.75</v>
      </c>
      <c r="G10" s="41"/>
      <c r="H10" s="41"/>
      <c r="I10" s="41"/>
      <c r="J10" s="41"/>
      <c r="K10" s="41"/>
      <c r="L10" s="41"/>
    </row>
    <row r="11" spans="2:12">
      <c r="B11" s="11" t="s">
        <v>7</v>
      </c>
      <c r="C11" s="17" t="s">
        <v>17</v>
      </c>
      <c r="D11" s="13">
        <f>'Funds Received - Monthly'!N36</f>
        <v>2100000000</v>
      </c>
      <c r="E11" s="13">
        <v>2097184103.7099998</v>
      </c>
    </row>
    <row r="12" spans="2:12" ht="15" thickBot="1">
      <c r="D12" s="14">
        <f>SUM(D3:D11)</f>
        <v>39804146484.880005</v>
      </c>
      <c r="E12" s="14">
        <f>SUM(E3:E11)</f>
        <v>32736475562.719997</v>
      </c>
    </row>
    <row r="13" spans="2:12" ht="15.5" thickTop="1" thickBot="1">
      <c r="B13" s="11"/>
      <c r="D13" s="15"/>
    </row>
    <row r="14" spans="2:12" ht="18.5" thickTop="1" thickBot="1">
      <c r="B14" s="3" t="s">
        <v>13</v>
      </c>
      <c r="C14" s="1"/>
      <c r="D14" s="1"/>
      <c r="E14" s="2"/>
    </row>
    <row r="15" spans="2:12">
      <c r="B15" s="4" t="s">
        <v>14</v>
      </c>
      <c r="C15" s="5"/>
      <c r="D15" s="5"/>
      <c r="E15" s="6"/>
    </row>
    <row r="16" spans="2:12" ht="57.65" customHeight="1" thickBot="1">
      <c r="B16" s="70" t="s">
        <v>20</v>
      </c>
      <c r="C16" s="71"/>
      <c r="D16" s="71"/>
      <c r="E16" s="72"/>
    </row>
    <row r="17" spans="2:5">
      <c r="B17" s="4" t="s">
        <v>15</v>
      </c>
      <c r="C17" s="5"/>
      <c r="D17" s="5"/>
      <c r="E17" s="6"/>
    </row>
    <row r="18" spans="2:5" ht="118.5" customHeight="1" thickBot="1">
      <c r="B18" s="70" t="s">
        <v>57</v>
      </c>
      <c r="C18" s="71"/>
      <c r="D18" s="71"/>
      <c r="E18" s="72"/>
    </row>
    <row r="19" spans="2:5">
      <c r="B19" s="7" t="s">
        <v>16</v>
      </c>
      <c r="C19" s="8"/>
      <c r="D19" s="8"/>
      <c r="E19" s="9"/>
    </row>
    <row r="20" spans="2:5" ht="99" customHeight="1" thickBot="1">
      <c r="B20" s="73" t="s">
        <v>21</v>
      </c>
      <c r="C20" s="74"/>
      <c r="D20" s="74"/>
      <c r="E20" s="75"/>
    </row>
    <row r="21" spans="2:5" ht="1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AD43"/>
  <sheetViews>
    <sheetView zoomScale="80" zoomScaleNormal="80" workbookViewId="0">
      <pane xSplit="2" ySplit="2" topLeftCell="V11" activePane="bottomRight" state="frozen"/>
      <selection pane="topRight" activeCell="C1" sqref="C1"/>
      <selection pane="bottomLeft" activeCell="A3" sqref="A3"/>
      <selection pane="bottomRight" activeCell="AC32" sqref="AC32:AC33"/>
    </sheetView>
  </sheetViews>
  <sheetFormatPr defaultColWidth="8.81640625" defaultRowHeight="14.5"/>
  <cols>
    <col min="1" max="1" width="1.81640625" style="10" customWidth="1"/>
    <col min="2" max="2" width="55.453125" style="10" bestFit="1" customWidth="1"/>
    <col min="3" max="3" width="23" style="10" bestFit="1" customWidth="1"/>
    <col min="4" max="4" width="22.54296875" style="10" bestFit="1" customWidth="1"/>
    <col min="5" max="5" width="23.453125" style="10" bestFit="1" customWidth="1"/>
    <col min="6" max="6" width="22.54296875" style="32" bestFit="1" customWidth="1"/>
    <col min="7" max="10" width="23.453125" style="10" bestFit="1" customWidth="1"/>
    <col min="11" max="11" width="22.54296875" style="10" bestFit="1" customWidth="1"/>
    <col min="12" max="12" width="23.453125" style="10" bestFit="1" customWidth="1"/>
    <col min="13" max="13" width="23" style="10" bestFit="1" customWidth="1"/>
    <col min="14" max="22" width="23.453125" style="10" bestFit="1" customWidth="1"/>
    <col min="23" max="29" width="20.1796875" style="32" bestFit="1" customWidth="1"/>
    <col min="30" max="30" width="17.26953125" style="10" bestFit="1" customWidth="1"/>
    <col min="31" max="16384" width="8.81640625" style="10"/>
  </cols>
  <sheetData>
    <row r="1" spans="2:30">
      <c r="B1" s="62" t="s">
        <v>0</v>
      </c>
      <c r="C1" s="79" t="s">
        <v>31</v>
      </c>
      <c r="D1" s="79"/>
      <c r="E1" s="79"/>
      <c r="F1" s="79"/>
      <c r="G1" s="79"/>
      <c r="H1" s="79"/>
      <c r="I1" s="79"/>
      <c r="J1" s="79"/>
      <c r="K1" s="79"/>
      <c r="L1" s="79"/>
      <c r="M1" s="79"/>
      <c r="N1" s="79"/>
      <c r="O1" s="79"/>
      <c r="P1" s="79"/>
      <c r="Q1" s="79"/>
      <c r="R1" s="79"/>
      <c r="S1" s="79"/>
      <c r="T1" s="79"/>
      <c r="U1" s="79"/>
    </row>
    <row r="2" spans="2:30" ht="41.5" customHeight="1">
      <c r="C2" s="19" t="s">
        <v>30</v>
      </c>
      <c r="D2" s="19" t="s">
        <v>29</v>
      </c>
      <c r="E2" s="19" t="s">
        <v>28</v>
      </c>
      <c r="F2" s="19" t="s">
        <v>27</v>
      </c>
      <c r="G2" s="19" t="s">
        <v>26</v>
      </c>
      <c r="H2" s="19" t="s">
        <v>25</v>
      </c>
      <c r="I2" s="19" t="s">
        <v>35</v>
      </c>
      <c r="J2" s="19" t="s">
        <v>24</v>
      </c>
      <c r="K2" s="19" t="s">
        <v>23</v>
      </c>
      <c r="L2" s="19" t="s">
        <v>22</v>
      </c>
      <c r="M2" s="19" t="s">
        <v>51</v>
      </c>
      <c r="N2" s="19" t="s">
        <v>52</v>
      </c>
      <c r="O2" s="19" t="s">
        <v>65</v>
      </c>
      <c r="P2" s="19" t="s">
        <v>66</v>
      </c>
      <c r="Q2" s="19" t="s">
        <v>67</v>
      </c>
      <c r="R2" s="19" t="s">
        <v>68</v>
      </c>
      <c r="S2" s="19" t="s">
        <v>69</v>
      </c>
      <c r="T2" s="19" t="s">
        <v>70</v>
      </c>
      <c r="U2" s="19" t="s">
        <v>71</v>
      </c>
      <c r="V2" s="19" t="s">
        <v>72</v>
      </c>
      <c r="W2" s="64" t="s">
        <v>73</v>
      </c>
      <c r="X2" s="64" t="s">
        <v>75</v>
      </c>
      <c r="Y2" s="64" t="s">
        <v>76</v>
      </c>
      <c r="Z2" s="64" t="s">
        <v>77</v>
      </c>
      <c r="AA2" s="64" t="s">
        <v>78</v>
      </c>
      <c r="AB2" s="64" t="s">
        <v>79</v>
      </c>
      <c r="AC2" s="64" t="s">
        <v>80</v>
      </c>
      <c r="AD2" s="64" t="s">
        <v>83</v>
      </c>
    </row>
    <row r="3" spans="2:30" ht="15.65" customHeight="1">
      <c r="B3" s="20"/>
      <c r="C3" s="12"/>
      <c r="D3" s="12"/>
      <c r="E3" s="12"/>
      <c r="F3" s="12"/>
      <c r="G3" s="12"/>
      <c r="H3" s="12"/>
      <c r="I3" s="12"/>
      <c r="J3" s="12"/>
      <c r="K3" s="12"/>
      <c r="L3" s="12"/>
      <c r="M3" s="12"/>
      <c r="N3" s="12"/>
      <c r="O3" s="12"/>
      <c r="P3" s="12"/>
      <c r="Q3" s="12"/>
      <c r="R3" s="12"/>
      <c r="S3" s="12"/>
      <c r="T3" s="12"/>
      <c r="U3" s="12"/>
      <c r="V3" s="12"/>
      <c r="AD3" s="32"/>
    </row>
    <row r="4" spans="2:30" s="22" customFormat="1" ht="29">
      <c r="B4" s="38" t="s">
        <v>55</v>
      </c>
      <c r="C4" s="21">
        <v>924541007.49000001</v>
      </c>
      <c r="D4" s="21">
        <v>1024622380.349999</v>
      </c>
      <c r="E4" s="21">
        <v>1127424455.3</v>
      </c>
      <c r="F4" s="21">
        <v>1429863176.0699992</v>
      </c>
      <c r="G4" s="21">
        <v>1546927202.809999</v>
      </c>
      <c r="H4" s="21">
        <v>1646497289.4099989</v>
      </c>
      <c r="I4" s="21">
        <v>1996514007.8799992</v>
      </c>
      <c r="J4" s="21">
        <v>2202743359.6899991</v>
      </c>
      <c r="K4" s="21">
        <v>2325774734.5100002</v>
      </c>
      <c r="L4" s="21">
        <v>2487482564.3099999</v>
      </c>
      <c r="M4" s="21">
        <v>2577675277.5799999</v>
      </c>
      <c r="N4" s="21">
        <v>2710819896.7600002</v>
      </c>
      <c r="O4" s="21">
        <v>2796993893.8099999</v>
      </c>
      <c r="P4" s="21">
        <v>2900862046.79</v>
      </c>
      <c r="Q4" s="21">
        <v>3016329435.0699997</v>
      </c>
      <c r="R4" s="21">
        <v>3197843875.71</v>
      </c>
      <c r="S4" s="21">
        <v>5668824709.8099995</v>
      </c>
      <c r="T4" s="21">
        <v>5801243749.3299999</v>
      </c>
      <c r="U4" s="21">
        <v>6092199670.25</v>
      </c>
      <c r="V4" s="21">
        <v>6233071165.8500004</v>
      </c>
      <c r="W4" s="21">
        <v>6471953357.3400002</v>
      </c>
      <c r="X4" s="21">
        <v>6617367688.8999996</v>
      </c>
      <c r="Y4" s="21">
        <v>6728810095.6100006</v>
      </c>
      <c r="Z4" s="21">
        <v>6939927258.96</v>
      </c>
      <c r="AA4" s="21">
        <v>7040449099.0100002</v>
      </c>
      <c r="AB4" s="21">
        <v>7275789080.5699997</v>
      </c>
      <c r="AC4" s="21">
        <v>7936169117.0699997</v>
      </c>
      <c r="AD4" s="21">
        <v>9544330306.1000004</v>
      </c>
    </row>
    <row r="5" spans="2:30">
      <c r="B5" s="20"/>
      <c r="C5" s="12"/>
      <c r="D5" s="12"/>
      <c r="E5" s="12"/>
      <c r="F5" s="12"/>
      <c r="G5" s="12"/>
      <c r="H5" s="12"/>
      <c r="I5" s="12"/>
      <c r="J5" s="12"/>
      <c r="K5" s="12"/>
      <c r="L5" s="12"/>
      <c r="M5" s="12"/>
      <c r="N5" s="12"/>
      <c r="O5" s="12"/>
      <c r="P5" s="12"/>
      <c r="Q5" s="12"/>
      <c r="R5" s="12"/>
      <c r="S5" s="12"/>
      <c r="T5" s="12"/>
      <c r="U5" s="12"/>
      <c r="V5" s="12"/>
      <c r="AD5" s="32"/>
    </row>
    <row r="6" spans="2:30">
      <c r="B6" s="38" t="s">
        <v>2</v>
      </c>
      <c r="F6" s="10"/>
      <c r="AD6" s="32"/>
    </row>
    <row r="7" spans="2:30" ht="15" customHeight="1">
      <c r="B7" s="23" t="s">
        <v>34</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c r="W7" s="12">
        <v>13519161749.9</v>
      </c>
      <c r="X7" s="12">
        <v>13519161749.9</v>
      </c>
      <c r="Y7" s="12">
        <v>13519161749.9</v>
      </c>
      <c r="Z7" s="12">
        <v>13519161749.9</v>
      </c>
      <c r="AA7" s="12">
        <v>13519161749.9</v>
      </c>
      <c r="AB7" s="12">
        <v>13519161749.9</v>
      </c>
      <c r="AC7" s="12">
        <v>13519161749.9</v>
      </c>
      <c r="AD7" s="12">
        <v>13519161749.9</v>
      </c>
    </row>
    <row r="8" spans="2:30" ht="15" customHeight="1">
      <c r="B8" s="39" t="s">
        <v>32</v>
      </c>
      <c r="C8" s="24">
        <v>1839478.25</v>
      </c>
      <c r="D8" s="24">
        <f>C8+549783.09</f>
        <v>2389261.34</v>
      </c>
      <c r="E8" s="24">
        <f>D8+601342.69</f>
        <v>2990604.03</v>
      </c>
      <c r="F8" s="24">
        <f>E8+656217.3</f>
        <v>3646821.33</v>
      </c>
      <c r="G8" s="24">
        <f>F8+841718.27</f>
        <v>4488539.5999999996</v>
      </c>
      <c r="H8" s="24">
        <f>G8+1040972.87</f>
        <v>5529512.4699999997</v>
      </c>
      <c r="I8" s="24">
        <f>H8+1269091.94</f>
        <v>6798604.4100000001</v>
      </c>
      <c r="J8" s="24">
        <f>I8+2182041.36</f>
        <v>8980645.7699999996</v>
      </c>
      <c r="K8" s="24">
        <f>J8+4146747.51</f>
        <v>13127393.279999999</v>
      </c>
      <c r="L8" s="24">
        <f>K8+7912534.87</f>
        <v>21039928.149999999</v>
      </c>
      <c r="M8" s="24">
        <f>L8+10971046.6</f>
        <v>32010974.75</v>
      </c>
      <c r="N8" s="24">
        <f>M8+15459752.01</f>
        <v>47470726.759999998</v>
      </c>
      <c r="O8" s="24">
        <f>N8+19978304.4</f>
        <v>67449031.159999996</v>
      </c>
      <c r="P8" s="24">
        <f>O8+24655942.47</f>
        <v>92104973.629999995</v>
      </c>
      <c r="Q8" s="24">
        <v>123925694.16</v>
      </c>
      <c r="R8" s="24">
        <v>161010484.19999999</v>
      </c>
      <c r="S8" s="24">
        <v>204941325.91</v>
      </c>
      <c r="T8" s="24">
        <v>252695726.82999998</v>
      </c>
      <c r="U8" s="24">
        <v>297394025.63999999</v>
      </c>
      <c r="V8" s="24">
        <v>348848977.50999999</v>
      </c>
      <c r="W8" s="24">
        <v>401201403.61000001</v>
      </c>
      <c r="X8" s="24">
        <v>456664487.14999998</v>
      </c>
      <c r="Y8" s="24">
        <v>512039375.02999997</v>
      </c>
      <c r="Z8" s="24">
        <v>570745140.01999998</v>
      </c>
      <c r="AA8" s="24">
        <v>630701717.08000004</v>
      </c>
      <c r="AB8" s="24">
        <v>689873425.01999998</v>
      </c>
      <c r="AC8" s="24">
        <v>751790149.25999999</v>
      </c>
      <c r="AD8" s="24">
        <v>812159044.64999998</v>
      </c>
    </row>
    <row r="9" spans="2:30" s="22" customFormat="1">
      <c r="B9" s="38" t="s">
        <v>33</v>
      </c>
      <c r="C9" s="25">
        <f>SUM(C7:C8)</f>
        <v>13133945514.25</v>
      </c>
      <c r="D9" s="25">
        <f t="shared" ref="D9:N9" si="2">SUM(D7:D8)</f>
        <v>13134495297.34</v>
      </c>
      <c r="E9" s="25">
        <f t="shared" si="2"/>
        <v>13135096640.030001</v>
      </c>
      <c r="F9" s="25">
        <f t="shared" si="2"/>
        <v>13135752857.33</v>
      </c>
      <c r="G9" s="25">
        <f t="shared" si="2"/>
        <v>13136594575.6</v>
      </c>
      <c r="H9" s="25">
        <f t="shared" si="2"/>
        <v>13137635548.469999</v>
      </c>
      <c r="I9" s="25">
        <f t="shared" si="2"/>
        <v>13138904640.41</v>
      </c>
      <c r="J9" s="25">
        <f t="shared" si="2"/>
        <v>13141052315.220001</v>
      </c>
      <c r="K9" s="25">
        <f t="shared" si="2"/>
        <v>13145199062.730001</v>
      </c>
      <c r="L9" s="25">
        <f t="shared" si="2"/>
        <v>13540236044.6</v>
      </c>
      <c r="M9" s="25">
        <f t="shared" si="2"/>
        <v>13551207091.200001</v>
      </c>
      <c r="N9" s="25">
        <f t="shared" si="2"/>
        <v>13566666843.210001</v>
      </c>
      <c r="O9" s="25">
        <f t="shared" ref="O9:P9" si="3">SUM(O7:O8)</f>
        <v>13586645147.610001</v>
      </c>
      <c r="P9" s="25">
        <f t="shared" si="3"/>
        <v>13611301090.08</v>
      </c>
      <c r="Q9" s="25">
        <f t="shared" ref="Q9" si="4">SUM(Q7:Q8)</f>
        <v>13643121810.610001</v>
      </c>
      <c r="R9" s="25">
        <f t="shared" ref="R9:S9" si="5">SUM(R7:R8)</f>
        <v>13680206600.650002</v>
      </c>
      <c r="S9" s="25">
        <f t="shared" si="5"/>
        <v>13724137442.360001</v>
      </c>
      <c r="T9" s="25">
        <f t="shared" ref="T9:U9" si="6">SUM(T7:T8)</f>
        <v>13771891843.280001</v>
      </c>
      <c r="U9" s="25">
        <f t="shared" si="6"/>
        <v>13816590142.09</v>
      </c>
      <c r="V9" s="25">
        <f t="shared" ref="V9:W9" si="7">SUM(V7:V8)</f>
        <v>13868010727.41</v>
      </c>
      <c r="W9" s="25">
        <f t="shared" si="7"/>
        <v>13920363153.51</v>
      </c>
      <c r="X9" s="25">
        <f t="shared" ref="X9:Y9" si="8">SUM(X7:X8)</f>
        <v>13975826237.049999</v>
      </c>
      <c r="Y9" s="25">
        <f t="shared" si="8"/>
        <v>14031201124.93</v>
      </c>
      <c r="Z9" s="25">
        <f t="shared" ref="Z9:AA9" si="9">SUM(Z7:Z8)</f>
        <v>14089906889.92</v>
      </c>
      <c r="AA9" s="25">
        <f t="shared" si="9"/>
        <v>14149863466.98</v>
      </c>
      <c r="AB9" s="25">
        <f t="shared" ref="AB9:AD9" si="10">SUM(AB7:AB8)</f>
        <v>14209035174.92</v>
      </c>
      <c r="AC9" s="25">
        <f t="shared" si="10"/>
        <v>14270951899.16</v>
      </c>
      <c r="AD9" s="25">
        <f t="shared" si="10"/>
        <v>14331320794.549999</v>
      </c>
    </row>
    <row r="10" spans="2:30">
      <c r="B10" s="26"/>
      <c r="C10" s="12"/>
      <c r="D10" s="12"/>
      <c r="E10" s="12"/>
      <c r="F10" s="12"/>
      <c r="G10" s="12"/>
      <c r="H10" s="12"/>
      <c r="I10" s="12"/>
      <c r="J10" s="12"/>
      <c r="K10" s="12"/>
      <c r="L10" s="12"/>
      <c r="M10" s="12"/>
      <c r="N10" s="12"/>
      <c r="O10" s="12"/>
      <c r="P10" s="12"/>
      <c r="Q10" s="12"/>
      <c r="R10" s="12"/>
      <c r="S10" s="12"/>
      <c r="T10" s="12"/>
      <c r="U10" s="12"/>
      <c r="V10" s="12"/>
      <c r="AD10" s="32"/>
    </row>
    <row r="11" spans="2:30" s="22" customFormat="1">
      <c r="B11" s="38" t="s">
        <v>53</v>
      </c>
      <c r="C11" s="21">
        <v>340653890.87</v>
      </c>
      <c r="D11" s="21">
        <v>486159009.75000906</v>
      </c>
      <c r="E11" s="21">
        <v>624253638.71999991</v>
      </c>
      <c r="F11" s="21">
        <v>785792570.02000952</v>
      </c>
      <c r="G11" s="21">
        <v>925832835.51007116</v>
      </c>
      <c r="H11" s="21">
        <v>989170389.75007522</v>
      </c>
      <c r="I11" s="21">
        <v>1039575079.0801208</v>
      </c>
      <c r="J11" s="21">
        <v>1056551224.5301164</v>
      </c>
      <c r="K11" s="21">
        <v>1070255283.88</v>
      </c>
      <c r="L11" s="21">
        <v>1068953798.0299999</v>
      </c>
      <c r="M11" s="21">
        <v>1070224231.67</v>
      </c>
      <c r="N11" s="21">
        <v>1150345932.9799998</v>
      </c>
      <c r="O11" s="21">
        <v>1185210716.22</v>
      </c>
      <c r="P11" s="21">
        <v>1242330597.4499998</v>
      </c>
      <c r="Q11" s="21">
        <v>1276785125.72</v>
      </c>
      <c r="R11" s="21">
        <v>1323488962.1699998</v>
      </c>
      <c r="S11" s="21">
        <v>1346247712.46</v>
      </c>
      <c r="T11" s="21">
        <v>1370871660.0599999</v>
      </c>
      <c r="U11" s="21">
        <v>1386796563.0200002</v>
      </c>
      <c r="V11" s="21">
        <v>1395715249.4099998</v>
      </c>
      <c r="W11" s="21">
        <v>1409426918.29</v>
      </c>
      <c r="X11" s="21">
        <v>1415356186.0999999</v>
      </c>
      <c r="Y11" s="21">
        <v>1423677309.23</v>
      </c>
      <c r="Z11" s="21">
        <v>1570414288.6400001</v>
      </c>
      <c r="AA11" s="21">
        <v>1771650989.6399999</v>
      </c>
      <c r="AB11" s="21">
        <v>1876747091.45</v>
      </c>
      <c r="AC11" s="21">
        <v>1903108670.8099999</v>
      </c>
      <c r="AD11" s="21">
        <v>2146776287.0699999</v>
      </c>
    </row>
    <row r="12" spans="2:30">
      <c r="B12" s="26"/>
      <c r="C12" s="12"/>
      <c r="D12" s="12"/>
      <c r="E12" s="12"/>
      <c r="F12" s="12"/>
      <c r="G12" s="12"/>
      <c r="H12" s="12"/>
      <c r="I12" s="12"/>
      <c r="J12" s="12"/>
      <c r="K12" s="12"/>
      <c r="L12" s="12"/>
      <c r="M12" s="12"/>
      <c r="N12" s="12"/>
      <c r="O12" s="12"/>
      <c r="P12" s="12"/>
      <c r="Q12" s="12"/>
      <c r="R12" s="12"/>
      <c r="S12" s="12"/>
      <c r="T12" s="12"/>
      <c r="U12" s="12"/>
      <c r="V12" s="12"/>
      <c r="AD12" s="32"/>
    </row>
    <row r="13" spans="2:30">
      <c r="B13" s="38" t="s">
        <v>5</v>
      </c>
      <c r="C13" s="13"/>
      <c r="D13" s="13"/>
      <c r="E13" s="13"/>
      <c r="F13" s="13"/>
      <c r="G13" s="13"/>
      <c r="H13" s="13"/>
      <c r="I13" s="13"/>
      <c r="J13" s="13"/>
      <c r="K13" s="13"/>
      <c r="L13" s="13"/>
      <c r="M13" s="13"/>
      <c r="N13" s="13"/>
      <c r="O13" s="13"/>
      <c r="P13" s="13"/>
      <c r="Q13" s="13"/>
      <c r="R13" s="13"/>
      <c r="S13" s="13"/>
      <c r="T13" s="13"/>
      <c r="U13" s="13"/>
      <c r="V13" s="13"/>
      <c r="AD13" s="32"/>
    </row>
    <row r="14" spans="2:30">
      <c r="B14" s="23" t="s">
        <v>34</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c r="W14" s="12">
        <v>2890974803.0300002</v>
      </c>
      <c r="X14" s="12">
        <v>2890974803.0300002</v>
      </c>
      <c r="Y14" s="12">
        <v>2890974803.0299997</v>
      </c>
      <c r="Z14" s="12">
        <v>2890974803.0299997</v>
      </c>
      <c r="AA14" s="12">
        <v>2890974803.0299997</v>
      </c>
      <c r="AB14" s="12">
        <v>2890974803.0299997</v>
      </c>
      <c r="AC14" s="12">
        <v>2890974803.0299997</v>
      </c>
      <c r="AD14" s="12">
        <v>2890974803.0299997</v>
      </c>
    </row>
    <row r="15" spans="2:30">
      <c r="B15" s="23" t="s">
        <v>36</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c r="W15" s="12">
        <v>1566000000</v>
      </c>
      <c r="X15" s="12">
        <v>1566000000</v>
      </c>
      <c r="Y15" s="12">
        <v>1566000000</v>
      </c>
      <c r="Z15" s="12">
        <v>1566000000</v>
      </c>
      <c r="AA15" s="12">
        <v>1566000000</v>
      </c>
      <c r="AB15" s="12">
        <v>1566000000</v>
      </c>
      <c r="AC15" s="12">
        <v>1566000000</v>
      </c>
      <c r="AD15" s="12">
        <v>1566000000</v>
      </c>
    </row>
    <row r="16" spans="2:30">
      <c r="B16" s="39" t="s">
        <v>32</v>
      </c>
      <c r="C16" s="28">
        <v>486483.7</v>
      </c>
      <c r="D16" s="28">
        <f>C16+51974.21</f>
        <v>538457.91</v>
      </c>
      <c r="E16" s="28">
        <f>D16+42048.52</f>
        <v>580506.43000000005</v>
      </c>
      <c r="F16" s="28">
        <f>E16+66944.9</f>
        <v>647451.33000000007</v>
      </c>
      <c r="G16" s="28">
        <f>F16+74072.83</f>
        <v>721524.16</v>
      </c>
      <c r="H16" s="28">
        <f>G16+79065.6</f>
        <v>800589.76</v>
      </c>
      <c r="I16" s="28">
        <f>H16+79482.23</f>
        <v>880071.99</v>
      </c>
      <c r="J16" s="28">
        <f>I16+114391.08</f>
        <v>994463.07</v>
      </c>
      <c r="K16" s="28">
        <f>J16+198004.58</f>
        <v>1192467.6499999999</v>
      </c>
      <c r="L16" s="28">
        <f>K16+279720.82</f>
        <v>1472188.47</v>
      </c>
      <c r="M16" s="28">
        <f>L16+258920.16</f>
        <v>1731108.63</v>
      </c>
      <c r="N16" s="28">
        <f>M16+201108.54</f>
        <v>1932217.17</v>
      </c>
      <c r="O16" s="28">
        <f>N16+310639.62</f>
        <v>2242856.79</v>
      </c>
      <c r="P16" s="28">
        <v>2530066.91</v>
      </c>
      <c r="Q16" s="28">
        <v>2830178.09</v>
      </c>
      <c r="R16" s="28">
        <v>3326738.62</v>
      </c>
      <c r="S16" s="28">
        <v>4034533.51</v>
      </c>
      <c r="T16" s="28">
        <v>4796435.1100000003</v>
      </c>
      <c r="U16" s="28">
        <v>5517466.8600000003</v>
      </c>
      <c r="V16" s="28">
        <v>6576166.9500000002</v>
      </c>
      <c r="W16" s="24">
        <v>7747706.540000001</v>
      </c>
      <c r="X16" s="24">
        <v>9147660.2599999998</v>
      </c>
      <c r="Y16" s="24">
        <v>10347820.050000001</v>
      </c>
      <c r="Z16" s="24">
        <v>11633370.08</v>
      </c>
      <c r="AA16" s="24">
        <v>12923385.869999999</v>
      </c>
      <c r="AB16" s="24">
        <v>14175559.23</v>
      </c>
      <c r="AC16" s="24">
        <v>15470968.870000001</v>
      </c>
      <c r="AD16" s="24">
        <v>16709611</v>
      </c>
    </row>
    <row r="17" spans="2:30" s="22" customFormat="1">
      <c r="B17" s="38" t="s">
        <v>37</v>
      </c>
      <c r="C17" s="29">
        <f>SUM(C14:C16)</f>
        <v>2740155031.2599998</v>
      </c>
      <c r="D17" s="29">
        <f t="shared" ref="D17:G17" si="11">SUM(D14:D16)</f>
        <v>3475780114.9099998</v>
      </c>
      <c r="E17" s="29">
        <f t="shared" si="11"/>
        <v>3475822163.4299998</v>
      </c>
      <c r="F17" s="29">
        <f t="shared" si="11"/>
        <v>3475889108.3299999</v>
      </c>
      <c r="G17" s="29">
        <f t="shared" si="11"/>
        <v>3475963181.1599998</v>
      </c>
      <c r="H17" s="29">
        <f t="shared" ref="H17" si="12">SUM(H14:H16)</f>
        <v>3476042246.7600002</v>
      </c>
      <c r="I17" s="29">
        <f t="shared" ref="I17" si="13">SUM(I14:I16)</f>
        <v>3503340773.1699996</v>
      </c>
      <c r="J17" s="29">
        <f t="shared" ref="J17:K17" si="14">SUM(J14:J16)</f>
        <v>3747659813.9299998</v>
      </c>
      <c r="K17" s="29">
        <f t="shared" si="14"/>
        <v>3747857818.5099998</v>
      </c>
      <c r="L17" s="29">
        <f t="shared" ref="L17" si="15">SUM(L14:L16)</f>
        <v>3748137539.3299994</v>
      </c>
      <c r="M17" s="29">
        <f t="shared" ref="M17" si="16">SUM(M14:M16)</f>
        <v>3748396459.4899998</v>
      </c>
      <c r="N17" s="29">
        <f t="shared" ref="N17:O17" si="17">SUM(N14:N16)</f>
        <v>3847952445.4199996</v>
      </c>
      <c r="O17" s="29">
        <f t="shared" si="17"/>
        <v>3848263085.0399995</v>
      </c>
      <c r="P17" s="29">
        <f t="shared" ref="P17" si="18">SUM(P14:P16)</f>
        <v>3848550295.1599994</v>
      </c>
      <c r="Q17" s="29">
        <f t="shared" ref="Q17" si="19">SUM(Q14:Q16)</f>
        <v>3937557067.7900004</v>
      </c>
      <c r="R17" s="29">
        <f t="shared" ref="R17:S17" si="20">SUM(R14:R16)</f>
        <v>3938053628.3200002</v>
      </c>
      <c r="S17" s="29">
        <f t="shared" si="20"/>
        <v>3938761423.2100005</v>
      </c>
      <c r="T17" s="29">
        <f t="shared" ref="T17:U17" si="21">SUM(T14:T16)</f>
        <v>4002683158.8899999</v>
      </c>
      <c r="U17" s="29">
        <f t="shared" si="21"/>
        <v>4003404190.6400003</v>
      </c>
      <c r="V17" s="29">
        <f t="shared" ref="V17:W17" si="22">SUM(V14:V16)</f>
        <v>4072550969.98</v>
      </c>
      <c r="W17" s="29">
        <f t="shared" si="22"/>
        <v>4464722509.5700006</v>
      </c>
      <c r="X17" s="29">
        <f t="shared" ref="X17:Y17" si="23">SUM(X14:X16)</f>
        <v>4466122463.2900009</v>
      </c>
      <c r="Y17" s="29">
        <f t="shared" si="23"/>
        <v>4467322623.0799999</v>
      </c>
      <c r="Z17" s="29">
        <f t="shared" ref="Z17:AA17" si="24">SUM(Z14:Z16)</f>
        <v>4468608173.1099997</v>
      </c>
      <c r="AA17" s="29">
        <f t="shared" si="24"/>
        <v>4469898188.8999996</v>
      </c>
      <c r="AB17" s="29">
        <f t="shared" ref="AB17:AD17" si="25">SUM(AB14:AB16)</f>
        <v>4471150362.2599993</v>
      </c>
      <c r="AC17" s="29">
        <f t="shared" si="25"/>
        <v>4472445771.8999996</v>
      </c>
      <c r="AD17" s="29">
        <f t="shared" si="25"/>
        <v>4473684414.0299997</v>
      </c>
    </row>
    <row r="18" spans="2:30">
      <c r="B18" s="26"/>
      <c r="C18" s="12"/>
      <c r="D18" s="12"/>
      <c r="E18" s="12"/>
      <c r="F18" s="12"/>
      <c r="G18" s="12"/>
      <c r="H18" s="12"/>
      <c r="I18" s="12"/>
      <c r="J18" s="12"/>
      <c r="K18" s="12"/>
      <c r="L18" s="12"/>
      <c r="M18" s="12"/>
      <c r="N18" s="12"/>
      <c r="O18" s="12"/>
      <c r="P18" s="12"/>
      <c r="Q18" s="12"/>
      <c r="R18" s="12"/>
      <c r="S18" s="12"/>
      <c r="T18" s="12"/>
      <c r="U18" s="12"/>
      <c r="V18" s="12"/>
      <c r="AD18" s="32"/>
    </row>
    <row r="19" spans="2:30">
      <c r="B19" s="38" t="s">
        <v>6</v>
      </c>
      <c r="C19" s="13"/>
      <c r="D19" s="13"/>
      <c r="E19" s="13"/>
      <c r="F19" s="13"/>
      <c r="G19" s="13"/>
      <c r="H19" s="13"/>
      <c r="I19" s="13"/>
      <c r="J19" s="13"/>
      <c r="K19" s="13"/>
      <c r="L19" s="13"/>
      <c r="M19" s="13"/>
      <c r="N19" s="13"/>
      <c r="O19" s="13"/>
      <c r="P19" s="13"/>
      <c r="Q19" s="13"/>
      <c r="R19" s="13"/>
      <c r="S19" s="13"/>
      <c r="T19" s="13"/>
      <c r="U19" s="13"/>
      <c r="V19" s="13"/>
      <c r="AD19" s="32"/>
    </row>
    <row r="20" spans="2:30">
      <c r="B20" s="23" t="s">
        <v>34</v>
      </c>
      <c r="C20" s="12">
        <v>53945851.799999997</v>
      </c>
      <c r="D20" s="12">
        <v>53945851.799999997</v>
      </c>
      <c r="E20" s="61">
        <f>D20+485512666.2</f>
        <v>539458518</v>
      </c>
      <c r="F20" s="61">
        <v>539458518</v>
      </c>
      <c r="G20" s="61">
        <v>539458518</v>
      </c>
      <c r="H20" s="61">
        <v>539458518</v>
      </c>
      <c r="I20" s="61">
        <v>539458518</v>
      </c>
      <c r="J20" s="61">
        <v>539458518</v>
      </c>
      <c r="K20" s="61">
        <v>539458518</v>
      </c>
      <c r="L20" s="61">
        <v>539458518</v>
      </c>
      <c r="M20" s="61">
        <v>539458518</v>
      </c>
      <c r="N20" s="61">
        <v>539458518</v>
      </c>
      <c r="O20" s="61">
        <v>539458518</v>
      </c>
      <c r="P20" s="61">
        <v>539458518</v>
      </c>
      <c r="Q20" s="61">
        <v>539458518</v>
      </c>
      <c r="R20" s="61">
        <v>539458518</v>
      </c>
      <c r="S20" s="61">
        <v>539458518</v>
      </c>
      <c r="T20" s="61">
        <v>539458518</v>
      </c>
      <c r="U20" s="61">
        <v>539458518</v>
      </c>
      <c r="V20" s="61">
        <v>539458518</v>
      </c>
      <c r="W20" s="12">
        <v>539458518</v>
      </c>
      <c r="X20" s="12">
        <v>539458518</v>
      </c>
      <c r="Y20" s="12">
        <v>539458518</v>
      </c>
      <c r="Z20" s="12">
        <v>539458518</v>
      </c>
      <c r="AA20" s="12">
        <v>539458518</v>
      </c>
      <c r="AB20" s="12">
        <v>539458518</v>
      </c>
      <c r="AC20" s="12">
        <v>539458518</v>
      </c>
      <c r="AD20" s="12">
        <v>539458518</v>
      </c>
    </row>
    <row r="21" spans="2:30">
      <c r="B21" s="39" t="s">
        <v>32</v>
      </c>
      <c r="C21" s="24">
        <v>7671.22</v>
      </c>
      <c r="D21" s="24">
        <f>C21+817.46</f>
        <v>8488.68</v>
      </c>
      <c r="E21" s="24">
        <f>D21+186.53</f>
        <v>8675.2100000000009</v>
      </c>
      <c r="F21" s="24">
        <f>E21+7701.31</f>
        <v>16376.52</v>
      </c>
      <c r="G21" s="24">
        <f>F21+31754.95</f>
        <v>48131.47</v>
      </c>
      <c r="H21" s="24">
        <f>G21+38171.01</f>
        <v>86302.48000000001</v>
      </c>
      <c r="I21" s="24">
        <f>H21+46535.81</f>
        <v>132838.29</v>
      </c>
      <c r="J21" s="24">
        <f>I21+80008.2</f>
        <v>212846.49</v>
      </c>
      <c r="K21" s="24">
        <f>J21+151929.48</f>
        <v>364775.97</v>
      </c>
      <c r="L21" s="24">
        <f>K21+289705.43</f>
        <v>654481.39999999991</v>
      </c>
      <c r="M21" s="24">
        <f>L21+383322.91</f>
        <v>1037804.3099999998</v>
      </c>
      <c r="N21" s="24">
        <f>M21+433315</f>
        <v>1471119.3099999998</v>
      </c>
      <c r="O21" s="24">
        <f>N21+550436.26</f>
        <v>2021555.5699999998</v>
      </c>
      <c r="P21" s="24">
        <v>2574262.9700000002</v>
      </c>
      <c r="Q21" s="24">
        <v>3219930.05</v>
      </c>
      <c r="R21" s="24">
        <v>3847824.83</v>
      </c>
      <c r="S21" s="24">
        <v>4413579.0199999996</v>
      </c>
      <c r="T21" s="24">
        <v>4961144.6399999997</v>
      </c>
      <c r="U21" s="24">
        <v>5329279.83</v>
      </c>
      <c r="V21" s="24">
        <v>5561734.6699999999</v>
      </c>
      <c r="W21" s="24">
        <v>5797619.8600000003</v>
      </c>
      <c r="X21" s="24">
        <v>6046666.5599999996</v>
      </c>
      <c r="Y21" s="24">
        <v>6079183.8499999996</v>
      </c>
      <c r="Z21" s="24">
        <v>6113335.8099999996</v>
      </c>
      <c r="AA21" s="24">
        <v>6147666.2599999998</v>
      </c>
      <c r="AB21" s="24">
        <v>6180883.0499999998</v>
      </c>
      <c r="AC21" s="24">
        <v>6215018.9400000004</v>
      </c>
      <c r="AD21" s="24">
        <v>6247937.1100000003</v>
      </c>
    </row>
    <row r="22" spans="2:30" s="22" customFormat="1">
      <c r="B22" s="40" t="s">
        <v>38</v>
      </c>
      <c r="C22" s="29">
        <f>SUM(C20:C21)</f>
        <v>53953523.019999996</v>
      </c>
      <c r="D22" s="29">
        <f t="shared" ref="D22:N22" si="26">SUM(D20:D21)</f>
        <v>53954340.479999997</v>
      </c>
      <c r="E22" s="29">
        <f t="shared" si="26"/>
        <v>539467193.21000004</v>
      </c>
      <c r="F22" s="29">
        <f t="shared" si="26"/>
        <v>539474894.51999998</v>
      </c>
      <c r="G22" s="29">
        <f t="shared" si="26"/>
        <v>539506649.47000003</v>
      </c>
      <c r="H22" s="29">
        <f t="shared" si="26"/>
        <v>539544820.48000002</v>
      </c>
      <c r="I22" s="29">
        <f t="shared" si="26"/>
        <v>539591356.28999996</v>
      </c>
      <c r="J22" s="29">
        <f t="shared" si="26"/>
        <v>539671364.49000001</v>
      </c>
      <c r="K22" s="29">
        <f t="shared" si="26"/>
        <v>539823293.97000003</v>
      </c>
      <c r="L22" s="29">
        <f t="shared" si="26"/>
        <v>540112999.39999998</v>
      </c>
      <c r="M22" s="29">
        <f t="shared" si="26"/>
        <v>540496322.30999994</v>
      </c>
      <c r="N22" s="29">
        <f t="shared" si="26"/>
        <v>540929637.30999994</v>
      </c>
      <c r="O22" s="29">
        <f t="shared" ref="O22:P22" si="27">SUM(O20:O21)</f>
        <v>541480073.57000005</v>
      </c>
      <c r="P22" s="29">
        <f t="shared" si="27"/>
        <v>542032780.97000003</v>
      </c>
      <c r="Q22" s="29">
        <f t="shared" ref="Q22" si="28">SUM(Q20:Q21)</f>
        <v>542678448.04999995</v>
      </c>
      <c r="R22" s="29">
        <f t="shared" ref="R22:S22" si="29">SUM(R20:R21)</f>
        <v>543306342.83000004</v>
      </c>
      <c r="S22" s="29">
        <f t="shared" si="29"/>
        <v>543872097.01999998</v>
      </c>
      <c r="T22" s="29">
        <f t="shared" ref="T22:U22" si="30">SUM(T20:T21)</f>
        <v>544419662.63999999</v>
      </c>
      <c r="U22" s="29">
        <f t="shared" si="30"/>
        <v>544787797.83000004</v>
      </c>
      <c r="V22" s="29">
        <f t="shared" ref="V22:W22" si="31">SUM(V20:V21)</f>
        <v>545020252.66999996</v>
      </c>
      <c r="W22" s="29">
        <f t="shared" si="31"/>
        <v>545256137.86000001</v>
      </c>
      <c r="X22" s="29">
        <f t="shared" ref="X22:Y22" si="32">SUM(X20:X21)</f>
        <v>545505184.55999994</v>
      </c>
      <c r="Y22" s="29">
        <f t="shared" si="32"/>
        <v>545537701.85000002</v>
      </c>
      <c r="Z22" s="29">
        <f t="shared" ref="Z22:AA22" si="33">SUM(Z20:Z21)</f>
        <v>545571853.80999994</v>
      </c>
      <c r="AA22" s="29">
        <f t="shared" si="33"/>
        <v>545606184.25999999</v>
      </c>
      <c r="AB22" s="29">
        <f t="shared" ref="AB22:AD22" si="34">SUM(AB20:AB21)</f>
        <v>545639401.04999995</v>
      </c>
      <c r="AC22" s="29">
        <f t="shared" si="34"/>
        <v>545673536.94000006</v>
      </c>
      <c r="AD22" s="29">
        <f t="shared" si="34"/>
        <v>545706455.11000001</v>
      </c>
    </row>
    <row r="23" spans="2:30" s="22" customFormat="1">
      <c r="B23" s="20"/>
      <c r="C23" s="13"/>
      <c r="D23" s="13"/>
      <c r="E23" s="13"/>
      <c r="F23" s="13"/>
      <c r="G23" s="13"/>
      <c r="H23" s="13"/>
      <c r="I23" s="13"/>
      <c r="J23" s="13"/>
      <c r="K23" s="13"/>
      <c r="L23" s="13"/>
      <c r="M23" s="13"/>
      <c r="N23" s="13"/>
      <c r="O23" s="13"/>
      <c r="P23" s="13"/>
      <c r="Q23" s="13"/>
      <c r="R23" s="13"/>
      <c r="S23" s="13"/>
      <c r="T23" s="13"/>
      <c r="U23" s="13"/>
      <c r="V23" s="13"/>
      <c r="W23" s="63"/>
      <c r="X23" s="63"/>
      <c r="Y23" s="63"/>
      <c r="Z23" s="63"/>
      <c r="AA23" s="63"/>
      <c r="AB23" s="63"/>
      <c r="AC23" s="63"/>
      <c r="AD23" s="63"/>
    </row>
    <row r="24" spans="2:30">
      <c r="B24" s="38" t="s">
        <v>8</v>
      </c>
      <c r="F24" s="10"/>
      <c r="AD24" s="32"/>
    </row>
    <row r="25" spans="2:30">
      <c r="B25" s="23" t="s">
        <v>34</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2">
        <v>151191199</v>
      </c>
      <c r="X25" s="12">
        <v>151191199</v>
      </c>
      <c r="Y25" s="12">
        <v>151191199</v>
      </c>
      <c r="Z25" s="12">
        <v>151191199</v>
      </c>
      <c r="AA25" s="12">
        <v>151191199</v>
      </c>
      <c r="AB25" s="12">
        <v>151191199</v>
      </c>
      <c r="AC25" s="12">
        <v>154792221</v>
      </c>
      <c r="AD25" s="12">
        <v>154792221</v>
      </c>
    </row>
    <row r="26" spans="2:30">
      <c r="B26" s="39" t="s">
        <v>36</v>
      </c>
      <c r="C26" s="28">
        <f>800000000+25000000+40000000</f>
        <v>865000000</v>
      </c>
      <c r="D26" s="28">
        <f t="shared" ref="D26:I26" si="35">800000000+25000000+40000000</f>
        <v>865000000</v>
      </c>
      <c r="E26" s="28">
        <f t="shared" si="35"/>
        <v>865000000</v>
      </c>
      <c r="F26" s="28">
        <f t="shared" si="35"/>
        <v>865000000</v>
      </c>
      <c r="G26" s="28">
        <f t="shared" si="35"/>
        <v>865000000</v>
      </c>
      <c r="H26" s="28">
        <f t="shared" si="35"/>
        <v>865000000</v>
      </c>
      <c r="I26" s="28">
        <f t="shared" si="35"/>
        <v>865000000</v>
      </c>
      <c r="J26" s="28">
        <f>800000000+25000000+40000000+40000000+200000000+10000000</f>
        <v>1115000000</v>
      </c>
      <c r="K26" s="28">
        <f t="shared" ref="K26:V26" si="36">800000000+25000000+40000000+40000000+200000000+10000000</f>
        <v>1115000000</v>
      </c>
      <c r="L26" s="28">
        <f t="shared" si="36"/>
        <v>1115000000</v>
      </c>
      <c r="M26" s="28">
        <f t="shared" si="36"/>
        <v>1115000000</v>
      </c>
      <c r="N26" s="28">
        <f t="shared" si="36"/>
        <v>1115000000</v>
      </c>
      <c r="O26" s="28">
        <f t="shared" si="36"/>
        <v>1115000000</v>
      </c>
      <c r="P26" s="28">
        <f t="shared" si="36"/>
        <v>1115000000</v>
      </c>
      <c r="Q26" s="28">
        <f t="shared" si="36"/>
        <v>1115000000</v>
      </c>
      <c r="R26" s="28">
        <f t="shared" si="36"/>
        <v>1115000000</v>
      </c>
      <c r="S26" s="28">
        <f t="shared" si="36"/>
        <v>1115000000</v>
      </c>
      <c r="T26" s="28">
        <f t="shared" si="36"/>
        <v>1115000000</v>
      </c>
      <c r="U26" s="28">
        <f t="shared" si="36"/>
        <v>1115000000</v>
      </c>
      <c r="V26" s="28">
        <f t="shared" si="36"/>
        <v>1115000000</v>
      </c>
      <c r="W26" s="24">
        <v>1115000000</v>
      </c>
      <c r="X26" s="24">
        <v>1115000000</v>
      </c>
      <c r="Y26" s="24">
        <v>1115000000</v>
      </c>
      <c r="Z26" s="24">
        <v>1115000000</v>
      </c>
      <c r="AA26" s="24">
        <v>1115000000</v>
      </c>
      <c r="AB26" s="24">
        <v>1115000000</v>
      </c>
      <c r="AC26" s="24">
        <v>1115000000</v>
      </c>
      <c r="AD26" s="24">
        <v>1115000000</v>
      </c>
    </row>
    <row r="27" spans="2:30" s="22" customFormat="1">
      <c r="B27" s="40" t="s">
        <v>39</v>
      </c>
      <c r="C27" s="29">
        <f>SUM(C25:C26)</f>
        <v>865000000</v>
      </c>
      <c r="D27" s="29">
        <f t="shared" ref="D27:N27" si="37">SUM(D25:D26)</f>
        <v>865000000</v>
      </c>
      <c r="E27" s="29">
        <f t="shared" si="37"/>
        <v>865000000</v>
      </c>
      <c r="F27" s="29">
        <f t="shared" si="37"/>
        <v>865000000</v>
      </c>
      <c r="G27" s="29">
        <f t="shared" si="37"/>
        <v>865000000</v>
      </c>
      <c r="H27" s="29">
        <f t="shared" si="37"/>
        <v>865000000</v>
      </c>
      <c r="I27" s="29">
        <f t="shared" si="37"/>
        <v>865000000</v>
      </c>
      <c r="J27" s="29">
        <f t="shared" si="37"/>
        <v>1115000000</v>
      </c>
      <c r="K27" s="29">
        <f t="shared" si="37"/>
        <v>1115000000</v>
      </c>
      <c r="L27" s="29">
        <f t="shared" si="37"/>
        <v>1115000000</v>
      </c>
      <c r="M27" s="29">
        <f t="shared" si="37"/>
        <v>1115000000</v>
      </c>
      <c r="N27" s="29">
        <f t="shared" si="37"/>
        <v>1115000000</v>
      </c>
      <c r="O27" s="29">
        <f t="shared" ref="O27:P27" si="38">SUM(O25:O26)</f>
        <v>1115000000</v>
      </c>
      <c r="P27" s="29">
        <f t="shared" si="38"/>
        <v>1115000000</v>
      </c>
      <c r="Q27" s="29">
        <f t="shared" ref="Q27" si="39">SUM(Q25:Q26)</f>
        <v>1115000000</v>
      </c>
      <c r="R27" s="29">
        <f t="shared" ref="R27:S27" si="40">SUM(R25:R26)</f>
        <v>1115000000</v>
      </c>
      <c r="S27" s="29">
        <f t="shared" si="40"/>
        <v>1115000000</v>
      </c>
      <c r="T27" s="29">
        <f t="shared" ref="T27:U27" si="41">SUM(T25:T26)</f>
        <v>1115000000</v>
      </c>
      <c r="U27" s="29">
        <f t="shared" si="41"/>
        <v>1115000000</v>
      </c>
      <c r="V27" s="29">
        <f t="shared" ref="V27:W27" si="42">SUM(V25:V26)</f>
        <v>1115000000</v>
      </c>
      <c r="W27" s="29">
        <f t="shared" si="42"/>
        <v>1266191199</v>
      </c>
      <c r="X27" s="29">
        <f t="shared" ref="X27:Y27" si="43">SUM(X25:X26)</f>
        <v>1266191199</v>
      </c>
      <c r="Y27" s="29">
        <f t="shared" si="43"/>
        <v>1266191199</v>
      </c>
      <c r="Z27" s="29">
        <f t="shared" ref="Z27:AA27" si="44">SUM(Z25:Z26)</f>
        <v>1266191199</v>
      </c>
      <c r="AA27" s="29">
        <f t="shared" si="44"/>
        <v>1266191199</v>
      </c>
      <c r="AB27" s="29">
        <f t="shared" ref="AB27:AD27" si="45">SUM(AB25:AB26)</f>
        <v>1266191199</v>
      </c>
      <c r="AC27" s="29">
        <f t="shared" si="45"/>
        <v>1269792221</v>
      </c>
      <c r="AD27" s="29">
        <f t="shared" si="45"/>
        <v>1269792221</v>
      </c>
    </row>
    <row r="28" spans="2:30" s="22" customFormat="1">
      <c r="B28" s="20"/>
      <c r="C28" s="29"/>
      <c r="D28" s="29"/>
      <c r="E28" s="29"/>
      <c r="F28" s="29"/>
      <c r="G28" s="29"/>
      <c r="H28" s="29"/>
      <c r="I28" s="29"/>
      <c r="J28" s="29"/>
      <c r="K28" s="29"/>
      <c r="L28" s="29"/>
      <c r="M28" s="29"/>
      <c r="N28" s="29"/>
      <c r="O28" s="29"/>
      <c r="P28" s="29"/>
      <c r="Q28" s="29"/>
      <c r="R28" s="29"/>
      <c r="S28" s="29"/>
      <c r="T28" s="29"/>
      <c r="U28" s="29"/>
      <c r="V28" s="29"/>
      <c r="W28" s="63"/>
      <c r="X28" s="63"/>
      <c r="Y28" s="63"/>
      <c r="Z28" s="63"/>
      <c r="AA28" s="63"/>
      <c r="AB28" s="63"/>
      <c r="AC28" s="63"/>
      <c r="AD28" s="63"/>
    </row>
    <row r="29" spans="2:30" s="22" customFormat="1">
      <c r="B29" s="38" t="s">
        <v>54</v>
      </c>
      <c r="C29" s="30">
        <v>0</v>
      </c>
      <c r="D29" s="30">
        <v>0</v>
      </c>
      <c r="E29" s="30">
        <v>0</v>
      </c>
      <c r="F29" s="30">
        <v>0</v>
      </c>
      <c r="G29" s="30">
        <v>0</v>
      </c>
      <c r="H29" s="30">
        <v>0</v>
      </c>
      <c r="I29" s="30">
        <v>0</v>
      </c>
      <c r="J29" s="30">
        <v>250000000</v>
      </c>
      <c r="K29" s="30">
        <v>250000000</v>
      </c>
      <c r="L29" s="30">
        <v>250000000</v>
      </c>
      <c r="M29" s="30">
        <v>250000000</v>
      </c>
      <c r="N29" s="30">
        <v>250000000</v>
      </c>
      <c r="O29" s="30">
        <v>250000000</v>
      </c>
      <c r="P29" s="30">
        <v>250000000</v>
      </c>
      <c r="Q29" s="30">
        <v>250000000</v>
      </c>
      <c r="R29" s="30">
        <v>250000000</v>
      </c>
      <c r="S29" s="30">
        <v>250000000</v>
      </c>
      <c r="T29" s="30">
        <v>250000000</v>
      </c>
      <c r="U29" s="30">
        <v>250000000</v>
      </c>
      <c r="V29" s="30">
        <v>250000000</v>
      </c>
      <c r="W29" s="30">
        <v>250000000</v>
      </c>
      <c r="X29" s="30">
        <v>250000000</v>
      </c>
      <c r="Y29" s="30">
        <v>250000000</v>
      </c>
      <c r="Z29" s="30">
        <v>250000000</v>
      </c>
      <c r="AA29" s="30">
        <v>250000000</v>
      </c>
      <c r="AB29" s="30">
        <v>250000000</v>
      </c>
      <c r="AC29" s="30">
        <v>250000000</v>
      </c>
      <c r="AD29" s="30">
        <v>250000000</v>
      </c>
    </row>
    <row r="30" spans="2:30">
      <c r="B30" s="26"/>
      <c r="C30" s="12"/>
      <c r="D30" s="12"/>
      <c r="E30" s="12"/>
      <c r="F30" s="12"/>
      <c r="G30" s="12"/>
      <c r="H30" s="12"/>
      <c r="I30" s="12"/>
      <c r="J30" s="12"/>
      <c r="K30" s="12"/>
      <c r="L30" s="12"/>
      <c r="M30" s="12"/>
      <c r="N30" s="12"/>
      <c r="O30" s="12"/>
      <c r="P30" s="12"/>
      <c r="Q30" s="12"/>
      <c r="R30" s="12"/>
      <c r="S30" s="12"/>
      <c r="T30" s="12"/>
      <c r="U30" s="12"/>
      <c r="V30" s="12"/>
      <c r="AD30" s="32"/>
    </row>
    <row r="31" spans="2:30" s="22" customFormat="1">
      <c r="B31" s="38" t="s">
        <v>42</v>
      </c>
      <c r="W31" s="63"/>
      <c r="X31" s="63"/>
      <c r="Y31" s="63"/>
      <c r="Z31" s="63"/>
      <c r="AA31" s="63"/>
      <c r="AB31" s="63"/>
      <c r="AC31" s="63"/>
      <c r="AD31" s="63"/>
    </row>
    <row r="32" spans="2:30" s="22" customFormat="1">
      <c r="B32" s="23" t="s">
        <v>34</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c r="W32" s="65">
        <v>5135624853.1000004</v>
      </c>
      <c r="X32" s="65">
        <v>5135624853.1000004</v>
      </c>
      <c r="Y32" s="65">
        <v>5135624853.1000004</v>
      </c>
      <c r="Z32" s="65">
        <v>5135624853.1000004</v>
      </c>
      <c r="AA32" s="65">
        <v>5135624853.1000004</v>
      </c>
      <c r="AB32" s="65">
        <v>5135624853.1000004</v>
      </c>
      <c r="AC32" s="65">
        <v>5135624853.1000004</v>
      </c>
      <c r="AD32" s="65">
        <v>5135624853.1000004</v>
      </c>
    </row>
    <row r="33" spans="2:30" s="22" customFormat="1">
      <c r="B33" s="39" t="s">
        <v>32</v>
      </c>
      <c r="C33" s="24">
        <v>6633456.7199999997</v>
      </c>
      <c r="D33" s="24">
        <f>C33+52516.59</f>
        <v>6685973.3099999996</v>
      </c>
      <c r="E33" s="24">
        <f>D33+57442.02</f>
        <v>6743415.3299999991</v>
      </c>
      <c r="F33" s="24">
        <f>E33+62659.53</f>
        <v>6806074.8599999994</v>
      </c>
      <c r="G33" s="24">
        <f>F33+63814.39</f>
        <v>6869889.2499999991</v>
      </c>
      <c r="H33" s="24">
        <f>G33+9745.1</f>
        <v>6879634.3499999987</v>
      </c>
      <c r="I33" s="24">
        <f>H33+11881.97</f>
        <v>6891516.3199999984</v>
      </c>
      <c r="J33" s="24">
        <f>I33+19596.88</f>
        <v>6911113.1999999983</v>
      </c>
      <c r="K33" s="24">
        <f>J33+10.08</f>
        <v>6911123.2799999984</v>
      </c>
      <c r="L33" s="24">
        <f>K33+12.17</f>
        <v>6911135.4499999983</v>
      </c>
      <c r="M33" s="24">
        <f>L33+17.27</f>
        <v>6911152.7199999979</v>
      </c>
      <c r="N33" s="24">
        <f>M33+0</f>
        <v>6911152.7199999979</v>
      </c>
      <c r="O33" s="24">
        <f>N33+0</f>
        <v>6911152.7199999979</v>
      </c>
      <c r="P33" s="24">
        <v>6911152.79</v>
      </c>
      <c r="Q33" s="24">
        <v>6911152.79</v>
      </c>
      <c r="R33" s="24">
        <v>6911152.79</v>
      </c>
      <c r="S33" s="24">
        <v>6911152.79</v>
      </c>
      <c r="T33" s="24">
        <v>6911152.79</v>
      </c>
      <c r="U33" s="24">
        <v>6911153.0800000001</v>
      </c>
      <c r="V33" s="24">
        <v>6911153.0800000001</v>
      </c>
      <c r="W33" s="66">
        <v>6911153.0800000001</v>
      </c>
      <c r="X33" s="66">
        <v>6911153.0800000001</v>
      </c>
      <c r="Y33" s="66">
        <v>6911153.0800000001</v>
      </c>
      <c r="Z33" s="66">
        <v>6911153.0800000001</v>
      </c>
      <c r="AA33" s="66">
        <v>6911153.0800000001</v>
      </c>
      <c r="AB33" s="66">
        <v>6911153.0800000001</v>
      </c>
      <c r="AC33" s="66">
        <v>6911153.0800000001</v>
      </c>
      <c r="AD33" s="66">
        <v>6911153.9199999999</v>
      </c>
    </row>
    <row r="34" spans="2:30" s="22" customFormat="1">
      <c r="B34" s="38" t="s">
        <v>41</v>
      </c>
      <c r="C34" s="27">
        <f>SUM(C32:C33)</f>
        <v>5142258309.8200006</v>
      </c>
      <c r="D34" s="27">
        <f t="shared" ref="D34:N34" si="46">SUM(D32:D33)</f>
        <v>5142310826.4100008</v>
      </c>
      <c r="E34" s="27">
        <f t="shared" si="46"/>
        <v>5142368268.4300003</v>
      </c>
      <c r="F34" s="27">
        <f t="shared" si="46"/>
        <v>5142430927.96</v>
      </c>
      <c r="G34" s="27">
        <f t="shared" si="46"/>
        <v>5142494742.3500004</v>
      </c>
      <c r="H34" s="27">
        <f t="shared" si="46"/>
        <v>5142504487.4500008</v>
      </c>
      <c r="I34" s="27">
        <f t="shared" si="46"/>
        <v>5142516369.4200001</v>
      </c>
      <c r="J34" s="27">
        <f t="shared" si="46"/>
        <v>5142535966.3000002</v>
      </c>
      <c r="K34" s="27">
        <f t="shared" si="46"/>
        <v>5142535976.3800001</v>
      </c>
      <c r="L34" s="27">
        <f t="shared" si="46"/>
        <v>5142535988.5500002</v>
      </c>
      <c r="M34" s="27">
        <f t="shared" si="46"/>
        <v>5142536005.8200006</v>
      </c>
      <c r="N34" s="27">
        <f t="shared" si="46"/>
        <v>5142536005.8200006</v>
      </c>
      <c r="O34" s="27">
        <f t="shared" ref="O34:P34" si="47">SUM(O32:O33)</f>
        <v>5142536005.8200006</v>
      </c>
      <c r="P34" s="27">
        <f t="shared" si="47"/>
        <v>5142536005.8900003</v>
      </c>
      <c r="Q34" s="27">
        <f t="shared" ref="Q34" si="48">SUM(Q32:Q33)</f>
        <v>5142536005.8900003</v>
      </c>
      <c r="R34" s="27">
        <f t="shared" ref="R34:S34" si="49">SUM(R32:R33)</f>
        <v>5142536005.8900003</v>
      </c>
      <c r="S34" s="27">
        <f t="shared" si="49"/>
        <v>5142536005.8900003</v>
      </c>
      <c r="T34" s="27">
        <f t="shared" ref="T34:U34" si="50">SUM(T32:T33)</f>
        <v>5142536005.8900003</v>
      </c>
      <c r="U34" s="27">
        <f t="shared" si="50"/>
        <v>5142536006.1800003</v>
      </c>
      <c r="V34" s="27">
        <f t="shared" ref="V34:W34" si="51">SUM(V32:V33)</f>
        <v>5142536006.1800003</v>
      </c>
      <c r="W34" s="27">
        <f t="shared" si="51"/>
        <v>5142536006.1800003</v>
      </c>
      <c r="X34" s="27">
        <f t="shared" ref="X34:Y34" si="52">SUM(X32:X33)</f>
        <v>5142536006.1800003</v>
      </c>
      <c r="Y34" s="27">
        <f t="shared" si="52"/>
        <v>5142536006.1800003</v>
      </c>
      <c r="Z34" s="27">
        <f t="shared" ref="Z34:AA34" si="53">SUM(Z32:Z33)</f>
        <v>5142536006.1800003</v>
      </c>
      <c r="AA34" s="27">
        <f t="shared" si="53"/>
        <v>5142536006.1800003</v>
      </c>
      <c r="AB34" s="27">
        <f t="shared" ref="AB34:AD34" si="54">SUM(AB32:AB33)</f>
        <v>5142536006.1800003</v>
      </c>
      <c r="AC34" s="27">
        <f t="shared" si="54"/>
        <v>5142536006.1800003</v>
      </c>
      <c r="AD34" s="27">
        <f t="shared" si="54"/>
        <v>5142536007.0200005</v>
      </c>
    </row>
    <row r="35" spans="2:30">
      <c r="B35" s="20"/>
      <c r="C35" s="12"/>
      <c r="D35" s="12"/>
      <c r="E35" s="12"/>
      <c r="F35" s="12"/>
      <c r="G35" s="12"/>
      <c r="H35" s="12"/>
      <c r="I35" s="12"/>
      <c r="J35" s="12"/>
      <c r="K35" s="12"/>
      <c r="L35" s="12"/>
      <c r="M35" s="12"/>
      <c r="N35" s="12"/>
      <c r="O35" s="12"/>
      <c r="P35" s="12"/>
      <c r="Q35" s="12"/>
      <c r="R35" s="12"/>
      <c r="S35" s="12"/>
      <c r="T35" s="12"/>
      <c r="U35" s="12"/>
      <c r="V35" s="12"/>
      <c r="AD35" s="32"/>
    </row>
    <row r="36" spans="2:30" s="22" customFormat="1" ht="29">
      <c r="B36" s="38" t="s">
        <v>56</v>
      </c>
      <c r="C36" s="30">
        <v>2100000000</v>
      </c>
      <c r="D36" s="30">
        <v>2100000000</v>
      </c>
      <c r="E36" s="30">
        <v>2100000000</v>
      </c>
      <c r="F36" s="30">
        <v>2100000000</v>
      </c>
      <c r="G36" s="30">
        <v>2100000000</v>
      </c>
      <c r="H36" s="30">
        <v>2100000000</v>
      </c>
      <c r="I36" s="30">
        <v>2100000000</v>
      </c>
      <c r="J36" s="30">
        <v>2100000000</v>
      </c>
      <c r="K36" s="30">
        <v>2100000000</v>
      </c>
      <c r="L36" s="30">
        <v>2100000000</v>
      </c>
      <c r="M36" s="30">
        <v>2100000000</v>
      </c>
      <c r="N36" s="30">
        <v>2100000000</v>
      </c>
      <c r="O36" s="30">
        <v>2100000000</v>
      </c>
      <c r="P36" s="30">
        <v>2100000000</v>
      </c>
      <c r="Q36" s="30">
        <v>2100000000</v>
      </c>
      <c r="R36" s="30">
        <v>2100000000</v>
      </c>
      <c r="S36" s="30">
        <v>2100000000</v>
      </c>
      <c r="T36" s="30">
        <v>2100000000</v>
      </c>
      <c r="U36" s="30">
        <v>2100000000</v>
      </c>
      <c r="V36" s="30">
        <v>2100000000</v>
      </c>
      <c r="W36" s="21">
        <v>2100000000</v>
      </c>
      <c r="X36" s="21">
        <v>2100000000</v>
      </c>
      <c r="Y36" s="21">
        <v>2100000000</v>
      </c>
      <c r="Z36" s="21">
        <v>2100000000</v>
      </c>
      <c r="AA36" s="21">
        <v>2100000000</v>
      </c>
      <c r="AB36" s="21">
        <v>2100000000</v>
      </c>
      <c r="AC36" s="21">
        <v>2100000000</v>
      </c>
      <c r="AD36" s="21">
        <v>2100000000</v>
      </c>
    </row>
    <row r="37" spans="2:30">
      <c r="B37" s="26"/>
      <c r="C37" s="13"/>
      <c r="D37" s="13"/>
      <c r="E37" s="13"/>
      <c r="F37" s="13"/>
      <c r="G37" s="13"/>
      <c r="H37" s="13"/>
      <c r="I37" s="13"/>
      <c r="J37" s="13"/>
      <c r="K37" s="13"/>
      <c r="L37" s="13"/>
      <c r="M37" s="13"/>
      <c r="N37" s="13"/>
      <c r="O37" s="13"/>
      <c r="P37" s="13"/>
      <c r="Q37" s="13"/>
      <c r="R37" s="13"/>
      <c r="S37" s="13"/>
      <c r="T37" s="13"/>
      <c r="U37" s="13"/>
      <c r="V37" s="13"/>
      <c r="AD37" s="32"/>
    </row>
    <row r="38" spans="2:30" s="22" customFormat="1" ht="15" thickBot="1">
      <c r="B38" s="22" t="s">
        <v>40</v>
      </c>
      <c r="C38" s="31">
        <f t="shared" ref="C38:P38" si="55">C4+C9+C34+C11+C17+C36+C22+C27+C29</f>
        <v>25300507276.709999</v>
      </c>
      <c r="D38" s="31">
        <f t="shared" si="55"/>
        <v>26282321969.240005</v>
      </c>
      <c r="E38" s="31">
        <f t="shared" si="55"/>
        <v>27009432359.120003</v>
      </c>
      <c r="F38" s="31">
        <f t="shared" si="55"/>
        <v>27474203534.230007</v>
      </c>
      <c r="G38" s="31">
        <f t="shared" si="55"/>
        <v>27732319186.900074</v>
      </c>
      <c r="H38" s="31">
        <f t="shared" si="55"/>
        <v>27896394782.320072</v>
      </c>
      <c r="I38" s="31">
        <f t="shared" si="55"/>
        <v>28325442226.250118</v>
      </c>
      <c r="J38" s="31">
        <f t="shared" si="55"/>
        <v>29295214044.160118</v>
      </c>
      <c r="K38" s="31">
        <f t="shared" si="55"/>
        <v>29436446169.980003</v>
      </c>
      <c r="L38" s="31">
        <f t="shared" si="55"/>
        <v>29992458934.219997</v>
      </c>
      <c r="M38" s="31">
        <f t="shared" si="55"/>
        <v>30095535388.070004</v>
      </c>
      <c r="N38" s="31">
        <f t="shared" si="55"/>
        <v>30424250761.5</v>
      </c>
      <c r="O38" s="31">
        <f t="shared" si="55"/>
        <v>30566128922.070004</v>
      </c>
      <c r="P38" s="31">
        <f t="shared" si="55"/>
        <v>30752612816.34</v>
      </c>
      <c r="Q38" s="31">
        <f t="shared" ref="Q38" si="56">Q4+Q9+Q34+Q11+Q17+Q36+Q22+Q27+Q29</f>
        <v>31024007893.130001</v>
      </c>
      <c r="R38" s="31">
        <f t="shared" ref="R38:S38" si="57">R4+R9+R34+R11+R17+R36+R22+R27+R29</f>
        <v>31290435415.57</v>
      </c>
      <c r="S38" s="31">
        <f t="shared" si="57"/>
        <v>33829379390.749996</v>
      </c>
      <c r="T38" s="31">
        <f t="shared" ref="T38:U38" si="58">T4+T9+T34+T11+T17+T36+T22+T27+T29</f>
        <v>34098646080.09</v>
      </c>
      <c r="U38" s="31">
        <f t="shared" si="58"/>
        <v>34451314370.010002</v>
      </c>
      <c r="V38" s="31">
        <f t="shared" ref="V38:W38" si="59">V4+V9+V34+V11+V17+V36+V22+V27+V29</f>
        <v>34721904371.5</v>
      </c>
      <c r="W38" s="31">
        <f t="shared" si="59"/>
        <v>35570449281.75</v>
      </c>
      <c r="X38" s="31">
        <f t="shared" ref="X38:Y38" si="60">X4+X9+X34+X11+X17+X36+X22+X27+X29</f>
        <v>35778904965.080002</v>
      </c>
      <c r="Y38" s="31">
        <f t="shared" si="60"/>
        <v>35955276059.879997</v>
      </c>
      <c r="Z38" s="31">
        <f t="shared" ref="Z38:AA38" si="61">Z4+Z9+Z34+Z11+Z17+Z36+Z22+Z27+Z29</f>
        <v>36373155669.620003</v>
      </c>
      <c r="AA38" s="31">
        <f t="shared" si="61"/>
        <v>36736195133.970001</v>
      </c>
      <c r="AB38" s="31">
        <f t="shared" ref="AB38:AD38" si="62">AB4+AB9+AB34+AB11+AB17+AB36+AB22+AB27+AB29</f>
        <v>37137088315.43</v>
      </c>
      <c r="AC38" s="31">
        <f t="shared" si="62"/>
        <v>37890677223.060005</v>
      </c>
      <c r="AD38" s="31">
        <f t="shared" si="62"/>
        <v>39804146484.880005</v>
      </c>
    </row>
    <row r="39" spans="2:30" s="22" customFormat="1" ht="15" thickTop="1">
      <c r="C39" s="29"/>
      <c r="D39" s="29"/>
      <c r="E39" s="29"/>
      <c r="F39" s="29"/>
      <c r="G39" s="29"/>
      <c r="H39" s="29"/>
      <c r="I39" s="29"/>
      <c r="J39" s="29"/>
      <c r="K39" s="29"/>
      <c r="L39" s="29"/>
      <c r="M39" s="29"/>
      <c r="N39" s="29"/>
      <c r="O39" s="29"/>
      <c r="P39" s="29"/>
      <c r="Q39" s="29"/>
      <c r="R39" s="29"/>
      <c r="S39" s="29"/>
      <c r="T39" s="29"/>
      <c r="U39" s="29"/>
      <c r="V39" s="29"/>
      <c r="W39" s="63"/>
      <c r="X39" s="63"/>
      <c r="Y39" s="63"/>
      <c r="Z39" s="63"/>
      <c r="AA39" s="63"/>
      <c r="AB39" s="63"/>
      <c r="AC39" s="63"/>
    </row>
    <row r="40" spans="2:30" ht="15" thickBot="1">
      <c r="B40" s="20"/>
      <c r="C40" s="15"/>
    </row>
    <row r="41" spans="2:30">
      <c r="C41" s="33" t="s">
        <v>13</v>
      </c>
      <c r="D41" s="34"/>
      <c r="E41" s="35"/>
    </row>
    <row r="42" spans="2:30">
      <c r="C42" s="36" t="s">
        <v>15</v>
      </c>
      <c r="E42" s="37"/>
      <c r="M42" s="13"/>
    </row>
    <row r="43" spans="2:30" ht="150.75" customHeight="1" thickBot="1">
      <c r="C43" s="76" t="s">
        <v>57</v>
      </c>
      <c r="D43" s="77"/>
      <c r="E43" s="78"/>
    </row>
  </sheetData>
  <mergeCells count="2">
    <mergeCell ref="C43:E43"/>
    <mergeCell ref="C1:U1"/>
  </mergeCells>
  <pageMargins left="0.25" right="0.25" top="0.75" bottom="0.75" header="0.3" footer="0.3"/>
  <pageSetup paperSize="5" scale="2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AD49"/>
  <sheetViews>
    <sheetView tabSelected="1" zoomScale="70" zoomScaleNormal="70" workbookViewId="0">
      <pane xSplit="2" ySplit="2" topLeftCell="C3" activePane="bottomRight" state="frozen"/>
      <selection pane="topRight" activeCell="C1" sqref="C1"/>
      <selection pane="bottomLeft" activeCell="A3" sqref="A3"/>
      <selection pane="bottomRight" activeCell="AD4" sqref="AD4"/>
    </sheetView>
  </sheetViews>
  <sheetFormatPr defaultColWidth="8.81640625" defaultRowHeight="14.5"/>
  <cols>
    <col min="1" max="1" width="1.81640625" style="43" customWidth="1"/>
    <col min="2" max="2" width="71.54296875" style="43" bestFit="1" customWidth="1"/>
    <col min="3" max="3" width="21.54296875" style="43" bestFit="1" customWidth="1"/>
    <col min="4" max="5" width="22" style="43" bestFit="1" customWidth="1"/>
    <col min="6" max="6" width="22.1796875" style="49" bestFit="1" customWidth="1"/>
    <col min="7" max="7" width="22.54296875" style="43" bestFit="1" customWidth="1"/>
    <col min="8" max="11" width="23" style="43" bestFit="1" customWidth="1"/>
    <col min="12" max="13" width="22.54296875" style="43" bestFit="1" customWidth="1"/>
    <col min="14" max="14" width="22" style="43" bestFit="1" customWidth="1"/>
    <col min="15" max="30" width="23.453125" style="43" bestFit="1" customWidth="1"/>
    <col min="31" max="16384" width="8.81640625" style="43"/>
  </cols>
  <sheetData>
    <row r="1" spans="2:30">
      <c r="B1" s="62" t="s">
        <v>0</v>
      </c>
      <c r="C1" s="80" t="s">
        <v>48</v>
      </c>
      <c r="D1" s="80"/>
      <c r="E1" s="80"/>
      <c r="F1" s="80"/>
      <c r="G1" s="80"/>
      <c r="H1" s="80"/>
      <c r="I1" s="80"/>
      <c r="J1" s="80"/>
      <c r="K1" s="80"/>
      <c r="L1" s="80"/>
      <c r="M1" s="80"/>
      <c r="N1" s="80"/>
      <c r="O1" s="80"/>
      <c r="P1" s="80"/>
      <c r="Q1" s="80"/>
      <c r="R1" s="80"/>
      <c r="S1" s="80"/>
      <c r="T1" s="80"/>
      <c r="U1" s="80"/>
    </row>
    <row r="2" spans="2:30" ht="41.5" customHeight="1">
      <c r="C2" s="44" t="s">
        <v>30</v>
      </c>
      <c r="D2" s="44" t="s">
        <v>29</v>
      </c>
      <c r="E2" s="44" t="s">
        <v>28</v>
      </c>
      <c r="F2" s="44" t="s">
        <v>27</v>
      </c>
      <c r="G2" s="44" t="s">
        <v>26</v>
      </c>
      <c r="H2" s="44" t="s">
        <v>25</v>
      </c>
      <c r="I2" s="44" t="s">
        <v>35</v>
      </c>
      <c r="J2" s="44" t="s">
        <v>24</v>
      </c>
      <c r="K2" s="44" t="s">
        <v>23</v>
      </c>
      <c r="L2" s="44" t="s">
        <v>22</v>
      </c>
      <c r="M2" s="44" t="s">
        <v>51</v>
      </c>
      <c r="N2" s="44" t="s">
        <v>52</v>
      </c>
      <c r="O2" s="44" t="s">
        <v>65</v>
      </c>
      <c r="P2" s="44" t="s">
        <v>66</v>
      </c>
      <c r="Q2" s="44" t="s">
        <v>67</v>
      </c>
      <c r="R2" s="44" t="s">
        <v>68</v>
      </c>
      <c r="S2" s="44" t="s">
        <v>69</v>
      </c>
      <c r="T2" s="44" t="s">
        <v>70</v>
      </c>
      <c r="U2" s="44" t="s">
        <v>71</v>
      </c>
      <c r="V2" s="44" t="s">
        <v>72</v>
      </c>
      <c r="W2" s="44" t="s">
        <v>73</v>
      </c>
      <c r="X2" s="44" t="s">
        <v>75</v>
      </c>
      <c r="Y2" s="44" t="s">
        <v>76</v>
      </c>
      <c r="Z2" s="44" t="s">
        <v>77</v>
      </c>
      <c r="AA2" s="44" t="s">
        <v>78</v>
      </c>
      <c r="AB2" s="44" t="s">
        <v>79</v>
      </c>
      <c r="AC2" s="44" t="s">
        <v>81</v>
      </c>
      <c r="AD2" s="44" t="s">
        <v>83</v>
      </c>
    </row>
    <row r="3" spans="2:30" ht="15.65" customHeight="1">
      <c r="B3" s="4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2:30" s="47" customFormat="1" ht="33" customHeight="1">
      <c r="B4" s="42" t="s">
        <v>58</v>
      </c>
      <c r="C4" s="48">
        <v>937057746.51999974</v>
      </c>
      <c r="D4" s="48">
        <v>1067042932.2399995</v>
      </c>
      <c r="E4" s="48">
        <v>1133781962.4400001</v>
      </c>
      <c r="F4" s="48">
        <v>1470691632.0999999</v>
      </c>
      <c r="G4" s="48">
        <v>1561296406.6999993</v>
      </c>
      <c r="H4" s="48">
        <v>1719912443.1599994</v>
      </c>
      <c r="I4" s="48">
        <v>2020530422.2499993</v>
      </c>
      <c r="J4" s="48">
        <v>2226481216.8499994</v>
      </c>
      <c r="K4" s="48">
        <v>2341782193.6999998</v>
      </c>
      <c r="L4" s="48">
        <v>2502846771.3699999</v>
      </c>
      <c r="M4" s="48">
        <v>2582192424.1300001</v>
      </c>
      <c r="N4" s="48">
        <v>2731971692.3000002</v>
      </c>
      <c r="O4" s="48">
        <v>2814169030.5100002</v>
      </c>
      <c r="P4" s="48">
        <v>2907224477.6599998</v>
      </c>
      <c r="Q4" s="48">
        <v>3018275250.5900002</v>
      </c>
      <c r="R4" s="48">
        <v>5544328080.3299999</v>
      </c>
      <c r="S4" s="48">
        <v>5690695105.6800003</v>
      </c>
      <c r="T4" s="48">
        <v>5829502248.4499998</v>
      </c>
      <c r="U4" s="48">
        <v>6113688216.3500004</v>
      </c>
      <c r="V4" s="48">
        <v>6321124256.7199993</v>
      </c>
      <c r="W4" s="48">
        <v>6509326076.539999</v>
      </c>
      <c r="X4" s="48">
        <v>6645056971.4899998</v>
      </c>
      <c r="Y4" s="48">
        <v>6745455144.1000004</v>
      </c>
      <c r="Z4" s="48">
        <v>6985577640.21</v>
      </c>
      <c r="AA4" s="48">
        <v>7083550799.1700001</v>
      </c>
      <c r="AB4" s="48">
        <v>7305248252.8099995</v>
      </c>
      <c r="AC4" s="48">
        <v>8644732031.5500011</v>
      </c>
      <c r="AD4" s="48">
        <v>9572344754.1499996</v>
      </c>
    </row>
    <row r="5" spans="2:30" ht="15.65" customHeight="1">
      <c r="B5" s="45"/>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2:30">
      <c r="B6" s="42" t="s">
        <v>59</v>
      </c>
    </row>
    <row r="7" spans="2:30" s="47" customFormat="1">
      <c r="B7" s="50" t="s">
        <v>50</v>
      </c>
      <c r="C7" s="51">
        <v>387090087.90999961</v>
      </c>
      <c r="D7" s="51">
        <v>387090087.90999961</v>
      </c>
      <c r="E7" s="51">
        <v>387090087.90999961</v>
      </c>
      <c r="F7" s="51">
        <v>387090087.90999961</v>
      </c>
      <c r="G7" s="51">
        <v>387090087.90999955</v>
      </c>
      <c r="H7" s="51">
        <v>387090087.90999955</v>
      </c>
      <c r="I7" s="51">
        <v>387090087.90999955</v>
      </c>
      <c r="J7" s="51">
        <v>387090087.90999955</v>
      </c>
      <c r="K7" s="51">
        <v>387090087.90999955</v>
      </c>
      <c r="L7" s="51">
        <v>387090087.90999955</v>
      </c>
      <c r="M7" s="51">
        <v>774180157.27999997</v>
      </c>
      <c r="N7" s="51">
        <v>774180157.27999997</v>
      </c>
      <c r="O7" s="51">
        <v>774180157.27999997</v>
      </c>
      <c r="P7" s="51">
        <v>774180157.27999997</v>
      </c>
      <c r="Q7" s="51">
        <v>774180157.27999997</v>
      </c>
      <c r="R7" s="51">
        <v>774180157.27999997</v>
      </c>
      <c r="S7" s="51">
        <v>774180157.27999997</v>
      </c>
      <c r="T7" s="51">
        <v>774180157.27999997</v>
      </c>
      <c r="U7" s="51">
        <v>774180157.27999997</v>
      </c>
      <c r="V7" s="51">
        <v>774180157.27999997</v>
      </c>
      <c r="W7" s="51">
        <v>774180157.27999997</v>
      </c>
      <c r="X7" s="51">
        <v>774180157.27999997</v>
      </c>
      <c r="Y7" s="51">
        <v>774180157.27999997</v>
      </c>
      <c r="Z7" s="51">
        <v>774180157.27999997</v>
      </c>
      <c r="AA7" s="51">
        <v>774180157.27999997</v>
      </c>
      <c r="AB7" s="51">
        <v>774180157.27999997</v>
      </c>
      <c r="AC7" s="51">
        <v>774180157.27999997</v>
      </c>
      <c r="AD7" s="51">
        <v>774180157.27999997</v>
      </c>
    </row>
    <row r="8" spans="2:30" s="47" customFormat="1">
      <c r="B8" s="50" t="s">
        <v>49</v>
      </c>
      <c r="C8" s="52">
        <v>0</v>
      </c>
      <c r="D8" s="52">
        <v>0</v>
      </c>
      <c r="E8" s="52">
        <v>0</v>
      </c>
      <c r="F8" s="52">
        <v>0</v>
      </c>
      <c r="G8" s="52">
        <v>0</v>
      </c>
      <c r="H8" s="52">
        <v>0</v>
      </c>
      <c r="I8" s="52">
        <v>4500000000</v>
      </c>
      <c r="J8" s="52">
        <v>4500000000</v>
      </c>
      <c r="K8" s="52">
        <v>4500000000</v>
      </c>
      <c r="L8" s="52">
        <v>4500000000</v>
      </c>
      <c r="M8" s="52">
        <v>4500000000</v>
      </c>
      <c r="N8" s="52">
        <v>4500000000</v>
      </c>
      <c r="O8" s="52">
        <v>4500000000</v>
      </c>
      <c r="P8" s="52">
        <v>4500000000</v>
      </c>
      <c r="Q8" s="52">
        <v>4500000000</v>
      </c>
      <c r="R8" s="52">
        <v>4500000000</v>
      </c>
      <c r="S8" s="52">
        <v>4500000000</v>
      </c>
      <c r="T8" s="52">
        <v>4500000000</v>
      </c>
      <c r="U8" s="52">
        <v>6850000000</v>
      </c>
      <c r="V8" s="52">
        <v>6850000000</v>
      </c>
      <c r="W8" s="52">
        <v>6850000000</v>
      </c>
      <c r="X8" s="52">
        <v>6850000000</v>
      </c>
      <c r="Y8" s="52">
        <v>6850000000</v>
      </c>
      <c r="Z8" s="52">
        <v>6850000000</v>
      </c>
      <c r="AA8" s="52">
        <v>6850000000</v>
      </c>
      <c r="AB8" s="52">
        <v>6850000000</v>
      </c>
      <c r="AC8" s="52">
        <v>6850000000</v>
      </c>
      <c r="AD8" s="52">
        <v>6850000000</v>
      </c>
    </row>
    <row r="9" spans="2:30" s="47" customFormat="1">
      <c r="B9" s="42" t="s">
        <v>33</v>
      </c>
      <c r="C9" s="53">
        <f t="shared" ref="C9:Q9" si="0">SUM(C7:C8)</f>
        <v>387090087.90999961</v>
      </c>
      <c r="D9" s="53">
        <f t="shared" si="0"/>
        <v>387090087.90999961</v>
      </c>
      <c r="E9" s="53">
        <f t="shared" si="0"/>
        <v>387090087.90999961</v>
      </c>
      <c r="F9" s="53">
        <f t="shared" si="0"/>
        <v>387090087.90999961</v>
      </c>
      <c r="G9" s="53">
        <f t="shared" si="0"/>
        <v>387090087.90999955</v>
      </c>
      <c r="H9" s="53">
        <f t="shared" si="0"/>
        <v>387090087.90999955</v>
      </c>
      <c r="I9" s="53">
        <f t="shared" si="0"/>
        <v>4887090087.9099998</v>
      </c>
      <c r="J9" s="53">
        <f t="shared" si="0"/>
        <v>4887090087.9099998</v>
      </c>
      <c r="K9" s="53">
        <f t="shared" si="0"/>
        <v>4887090087.9099998</v>
      </c>
      <c r="L9" s="53">
        <f t="shared" si="0"/>
        <v>4887090087.9099998</v>
      </c>
      <c r="M9" s="53">
        <f t="shared" si="0"/>
        <v>5274180157.2799997</v>
      </c>
      <c r="N9" s="53">
        <f t="shared" si="0"/>
        <v>5274180157.2799997</v>
      </c>
      <c r="O9" s="53">
        <f t="shared" si="0"/>
        <v>5274180157.2799997</v>
      </c>
      <c r="P9" s="53">
        <f t="shared" si="0"/>
        <v>5274180157.2799997</v>
      </c>
      <c r="Q9" s="53">
        <f t="shared" si="0"/>
        <v>5274180157.2799997</v>
      </c>
      <c r="R9" s="53">
        <f t="shared" ref="R9:S9" si="1">SUM(R7:R8)</f>
        <v>5274180157.2799997</v>
      </c>
      <c r="S9" s="53">
        <f t="shared" si="1"/>
        <v>5274180157.2799997</v>
      </c>
      <c r="T9" s="53">
        <f t="shared" ref="T9:U9" si="2">SUM(T7:T8)</f>
        <v>5274180157.2799997</v>
      </c>
      <c r="U9" s="53">
        <f t="shared" si="2"/>
        <v>7624180157.2799997</v>
      </c>
      <c r="V9" s="53">
        <f t="shared" ref="V9:W9" si="3">SUM(V7:V8)</f>
        <v>7624180157.2799997</v>
      </c>
      <c r="W9" s="53">
        <f t="shared" si="3"/>
        <v>7624180157.2799997</v>
      </c>
      <c r="X9" s="53">
        <f t="shared" ref="X9:Y9" si="4">SUM(X7:X8)</f>
        <v>7624180157.2799997</v>
      </c>
      <c r="Y9" s="53">
        <f t="shared" si="4"/>
        <v>7624180157.2799997</v>
      </c>
      <c r="Z9" s="53">
        <f t="shared" ref="Z9:AA9" si="5">SUM(Z7:Z8)</f>
        <v>7624180157.2799997</v>
      </c>
      <c r="AA9" s="53">
        <f t="shared" si="5"/>
        <v>7624180157.2799997</v>
      </c>
      <c r="AB9" s="53">
        <f t="shared" ref="AB9:AD9" si="6">SUM(AB7:AB8)</f>
        <v>7624180157.2799997</v>
      </c>
      <c r="AC9" s="53">
        <f t="shared" si="6"/>
        <v>7624180157.2799997</v>
      </c>
      <c r="AD9" s="53">
        <f t="shared" si="6"/>
        <v>7624180157.2799997</v>
      </c>
    </row>
    <row r="10" spans="2:30" s="47" customFormat="1">
      <c r="B10" s="50"/>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row>
    <row r="11" spans="2:30" s="47" customFormat="1">
      <c r="B11" s="42" t="s">
        <v>61</v>
      </c>
      <c r="C11" s="48">
        <v>362656214.38</v>
      </c>
      <c r="D11" s="48">
        <v>505615343.06000453</v>
      </c>
      <c r="E11" s="48">
        <v>645512214.57999992</v>
      </c>
      <c r="F11" s="48">
        <v>805183831.05998099</v>
      </c>
      <c r="G11" s="48">
        <v>945495860.4900831</v>
      </c>
      <c r="H11" s="48">
        <v>1000538564.1601026</v>
      </c>
      <c r="I11" s="48">
        <v>1045401427.2401197</v>
      </c>
      <c r="J11" s="48">
        <v>1067727848.1801198</v>
      </c>
      <c r="K11" s="48">
        <v>1072138210.7800001</v>
      </c>
      <c r="L11" s="48">
        <v>1074577536.3999999</v>
      </c>
      <c r="M11" s="48">
        <v>1124140480.3300002</v>
      </c>
      <c r="N11" s="48">
        <v>1150480242.26</v>
      </c>
      <c r="O11" s="48">
        <v>1197676158.6800001</v>
      </c>
      <c r="P11" s="48">
        <v>1247946006.3099999</v>
      </c>
      <c r="Q11" s="48">
        <v>1284006481.72</v>
      </c>
      <c r="R11" s="48">
        <v>1333101300.98</v>
      </c>
      <c r="S11" s="48">
        <v>1350511608.26</v>
      </c>
      <c r="T11" s="48">
        <v>1373069413.0799999</v>
      </c>
      <c r="U11" s="48">
        <v>1388436220.1500001</v>
      </c>
      <c r="V11" s="48">
        <v>1396894313.0799997</v>
      </c>
      <c r="W11" s="48">
        <v>1411083880.98</v>
      </c>
      <c r="X11" s="48">
        <v>1416738204.0899997</v>
      </c>
      <c r="Y11" s="48">
        <v>1424912884.8699999</v>
      </c>
      <c r="Z11" s="48">
        <v>1580048918.8499999</v>
      </c>
      <c r="AA11" s="48">
        <v>1808304479.3299999</v>
      </c>
      <c r="AB11" s="48">
        <v>1879731480.5599999</v>
      </c>
      <c r="AC11" s="48">
        <v>1908067153.52</v>
      </c>
      <c r="AD11" s="48">
        <v>2150185781.0599999</v>
      </c>
    </row>
    <row r="12" spans="2:30" s="47" customFormat="1">
      <c r="B12" s="50"/>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row>
    <row r="13" spans="2:30">
      <c r="B13" s="42" t="s">
        <v>62</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row>
    <row r="14" spans="2:30" ht="15" customHeight="1">
      <c r="B14" s="56" t="s">
        <v>34</v>
      </c>
      <c r="C14" s="55">
        <v>696440498.97999835</v>
      </c>
      <c r="D14" s="55">
        <v>1028710608.819996</v>
      </c>
      <c r="E14" s="55">
        <v>1171701492.0799999</v>
      </c>
      <c r="F14" s="55">
        <v>1372659128.980001</v>
      </c>
      <c r="G14" s="55">
        <v>1532752900.2500012</v>
      </c>
      <c r="H14" s="55">
        <v>1684777834.8800027</v>
      </c>
      <c r="I14" s="55">
        <v>1832801009.2200012</v>
      </c>
      <c r="J14" s="55">
        <v>2059720095.8100019</v>
      </c>
      <c r="K14" s="55">
        <v>2191801985.7600002</v>
      </c>
      <c r="L14" s="55">
        <v>2351580153.8299999</v>
      </c>
      <c r="M14" s="55">
        <v>2435184522.48</v>
      </c>
      <c r="N14" s="55">
        <v>2465345113.5999999</v>
      </c>
      <c r="O14" s="55">
        <v>2552126128.1400003</v>
      </c>
      <c r="P14" s="55">
        <v>2553292524.9099998</v>
      </c>
      <c r="Q14" s="55">
        <v>2555457109.7399998</v>
      </c>
      <c r="R14" s="55">
        <v>2554816593.3500004</v>
      </c>
      <c r="S14" s="55">
        <v>2559470052.3199997</v>
      </c>
      <c r="T14" s="55">
        <v>2559391858.8599997</v>
      </c>
      <c r="U14" s="55">
        <v>2559511174.8800001</v>
      </c>
      <c r="V14" s="55">
        <v>2558886899.2600002</v>
      </c>
      <c r="W14" s="55">
        <v>2614721952.5500002</v>
      </c>
      <c r="X14" s="55">
        <v>2607288281.2700005</v>
      </c>
      <c r="Y14" s="55">
        <v>2614664762.9499998</v>
      </c>
      <c r="Z14" s="55">
        <v>2618733279.6399999</v>
      </c>
      <c r="AA14" s="55">
        <v>2622107515.1099997</v>
      </c>
      <c r="AB14" s="55">
        <v>2625460996.7600002</v>
      </c>
      <c r="AC14" s="55">
        <v>2633922588.7600002</v>
      </c>
      <c r="AD14" s="55">
        <v>2639817415.8000002</v>
      </c>
    </row>
    <row r="15" spans="2:30" ht="15" customHeight="1">
      <c r="B15" s="50" t="s">
        <v>36</v>
      </c>
      <c r="C15" s="57">
        <v>0</v>
      </c>
      <c r="D15" s="57">
        <v>5966285.5800000019</v>
      </c>
      <c r="E15" s="57">
        <v>25572302.199999969</v>
      </c>
      <c r="F15" s="57">
        <v>66140714.909999922</v>
      </c>
      <c r="G15" s="57">
        <v>117447580.68999995</v>
      </c>
      <c r="H15" s="57">
        <v>151016750.23999992</v>
      </c>
      <c r="I15" s="57">
        <v>186123100.11999992</v>
      </c>
      <c r="J15" s="57">
        <v>224172730.64999992</v>
      </c>
      <c r="K15" s="57">
        <v>255901850.79000002</v>
      </c>
      <c r="L15" s="57">
        <v>287244401.31999999</v>
      </c>
      <c r="M15" s="57">
        <v>383031873.99000001</v>
      </c>
      <c r="N15" s="57">
        <v>500324098.16000003</v>
      </c>
      <c r="O15" s="57">
        <v>548651870.00999999</v>
      </c>
      <c r="P15" s="57">
        <v>639880524.6500001</v>
      </c>
      <c r="Q15" s="57">
        <v>723746220.35000002</v>
      </c>
      <c r="R15" s="57">
        <v>779426151.13</v>
      </c>
      <c r="S15" s="57">
        <v>879258455.15000021</v>
      </c>
      <c r="T15" s="57">
        <v>932108026.78000009</v>
      </c>
      <c r="U15" s="57">
        <v>1004128320.5400001</v>
      </c>
      <c r="V15" s="57">
        <v>1061855036.64</v>
      </c>
      <c r="W15" s="57">
        <v>1091595519.5200002</v>
      </c>
      <c r="X15" s="57">
        <v>1165852754.8199999</v>
      </c>
      <c r="Y15" s="57">
        <v>1198466119.4399998</v>
      </c>
      <c r="Z15" s="57">
        <v>1247468995.1499999</v>
      </c>
      <c r="AA15" s="68">
        <v>1270791364.3399999</v>
      </c>
      <c r="AB15" s="68">
        <v>1365519426.26</v>
      </c>
      <c r="AC15" s="68">
        <v>1416873594.5100002</v>
      </c>
      <c r="AD15" s="68">
        <v>1472094642.5700002</v>
      </c>
    </row>
    <row r="16" spans="2:30" s="47" customFormat="1">
      <c r="B16" s="42" t="s">
        <v>37</v>
      </c>
      <c r="C16" s="58">
        <f>SUM(C14:C15)</f>
        <v>696440498.97999835</v>
      </c>
      <c r="D16" s="58">
        <f t="shared" ref="D16:L16" si="7">SUM(D14:D15)</f>
        <v>1034676894.399996</v>
      </c>
      <c r="E16" s="58">
        <f t="shared" si="7"/>
        <v>1197273794.28</v>
      </c>
      <c r="F16" s="58">
        <f t="shared" si="7"/>
        <v>1438799843.8900008</v>
      </c>
      <c r="G16" s="58">
        <f t="shared" si="7"/>
        <v>1650200480.9400012</v>
      </c>
      <c r="H16" s="58">
        <f t="shared" si="7"/>
        <v>1835794585.1200027</v>
      </c>
      <c r="I16" s="58">
        <f t="shared" si="7"/>
        <v>2018924109.3400011</v>
      </c>
      <c r="J16" s="58">
        <f t="shared" si="7"/>
        <v>2283892826.4600019</v>
      </c>
      <c r="K16" s="58">
        <f t="shared" si="7"/>
        <v>2447703836.5500002</v>
      </c>
      <c r="L16" s="58">
        <f t="shared" si="7"/>
        <v>2638824555.1500001</v>
      </c>
      <c r="M16" s="58">
        <f t="shared" ref="M16:N16" si="8">SUM(M14:M15)</f>
        <v>2818216396.4700003</v>
      </c>
      <c r="N16" s="58">
        <f t="shared" si="8"/>
        <v>2965669211.7599998</v>
      </c>
      <c r="O16" s="58">
        <f t="shared" ref="O16:P16" si="9">SUM(O14:O15)</f>
        <v>3100777998.1500006</v>
      </c>
      <c r="P16" s="58">
        <f t="shared" si="9"/>
        <v>3193173049.5599999</v>
      </c>
      <c r="Q16" s="58">
        <f t="shared" ref="Q16" si="10">SUM(Q14:Q15)</f>
        <v>3279203330.0899997</v>
      </c>
      <c r="R16" s="58">
        <f t="shared" ref="R16:S16" si="11">SUM(R14:R15)</f>
        <v>3334242744.4800005</v>
      </c>
      <c r="S16" s="58">
        <f t="shared" si="11"/>
        <v>3438728507.4699998</v>
      </c>
      <c r="T16" s="58">
        <f t="shared" ref="T16:U16" si="12">SUM(T14:T15)</f>
        <v>3491499885.6399999</v>
      </c>
      <c r="U16" s="58">
        <f t="shared" si="12"/>
        <v>3563639495.4200001</v>
      </c>
      <c r="V16" s="58">
        <f t="shared" ref="V16:W16" si="13">SUM(V14:V15)</f>
        <v>3620741935.9000001</v>
      </c>
      <c r="W16" s="58">
        <f t="shared" si="13"/>
        <v>3706317472.0700006</v>
      </c>
      <c r="X16" s="58">
        <f t="shared" ref="X16:Y16" si="14">SUM(X14:X15)</f>
        <v>3773141036.0900002</v>
      </c>
      <c r="Y16" s="58">
        <f t="shared" si="14"/>
        <v>3813130882.3899994</v>
      </c>
      <c r="Z16" s="58">
        <f t="shared" ref="Z16:AA16" si="15">SUM(Z14:Z15)</f>
        <v>3866202274.79</v>
      </c>
      <c r="AA16" s="58">
        <f t="shared" si="15"/>
        <v>3892898879.4499998</v>
      </c>
      <c r="AB16" s="58">
        <f t="shared" ref="AB16:AD16" si="16">SUM(AB14:AB15)</f>
        <v>3990980423.0200005</v>
      </c>
      <c r="AC16" s="58">
        <f t="shared" si="16"/>
        <v>4050796183.2700005</v>
      </c>
      <c r="AD16" s="58">
        <f t="shared" si="16"/>
        <v>4111912058.3700004</v>
      </c>
    </row>
    <row r="17" spans="2:30" s="47" customFormat="1">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row>
    <row r="18" spans="2:30" s="47" customFormat="1">
      <c r="B18" s="42" t="s">
        <v>63</v>
      </c>
      <c r="C18" s="59">
        <v>50000000</v>
      </c>
      <c r="D18" s="59">
        <v>50000000</v>
      </c>
      <c r="E18" s="59">
        <v>50000000</v>
      </c>
      <c r="F18" s="59">
        <v>72000000</v>
      </c>
      <c r="G18" s="59">
        <v>72000000</v>
      </c>
      <c r="H18" s="59">
        <v>72000000</v>
      </c>
      <c r="I18" s="59">
        <v>72364586.73999998</v>
      </c>
      <c r="J18" s="59">
        <v>72564551.309999987</v>
      </c>
      <c r="K18" s="59">
        <v>72848465.769999996</v>
      </c>
      <c r="L18" s="59">
        <v>173043739.47</v>
      </c>
      <c r="M18" s="59">
        <v>183853500.59</v>
      </c>
      <c r="N18" s="59">
        <v>254103090.02000001</v>
      </c>
      <c r="O18" s="59">
        <v>254369549.40000001</v>
      </c>
      <c r="P18" s="59">
        <v>324527462.38999999</v>
      </c>
      <c r="Q18" s="59">
        <v>325011537.79000002</v>
      </c>
      <c r="R18" s="59">
        <v>395232396.89999998</v>
      </c>
      <c r="S18" s="59">
        <v>395451656.04000002</v>
      </c>
      <c r="T18" s="59">
        <v>485633991.98000002</v>
      </c>
      <c r="U18" s="59">
        <v>485976235.47000003</v>
      </c>
      <c r="V18" s="59">
        <v>486092872.86000001</v>
      </c>
      <c r="W18" s="59">
        <v>486376230</v>
      </c>
      <c r="X18" s="59">
        <v>537793506.09000003</v>
      </c>
      <c r="Y18" s="59">
        <v>537852884.49000001</v>
      </c>
      <c r="Z18" s="59">
        <v>538019171.71000004</v>
      </c>
      <c r="AA18" s="59">
        <v>538209618.93000007</v>
      </c>
      <c r="AB18" s="59">
        <v>538275585.11000001</v>
      </c>
      <c r="AC18" s="59">
        <v>538345700.04999995</v>
      </c>
      <c r="AD18" s="59">
        <v>538396222.87</v>
      </c>
    </row>
    <row r="19" spans="2:30" s="47" customFormat="1">
      <c r="B19" s="4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row>
    <row r="20" spans="2:30">
      <c r="B20" s="42" t="s">
        <v>8</v>
      </c>
      <c r="F20" s="43"/>
    </row>
    <row r="21" spans="2:30" ht="15" customHeight="1">
      <c r="B21" s="56" t="s">
        <v>34</v>
      </c>
      <c r="C21" s="55">
        <v>0</v>
      </c>
      <c r="D21" s="55">
        <v>0</v>
      </c>
      <c r="E21" s="55">
        <v>0</v>
      </c>
      <c r="F21" s="55">
        <v>0</v>
      </c>
      <c r="G21" s="55">
        <v>0</v>
      </c>
      <c r="H21" s="55">
        <v>0</v>
      </c>
      <c r="I21" s="55">
        <v>0</v>
      </c>
      <c r="J21" s="55">
        <v>0</v>
      </c>
      <c r="K21" s="55">
        <v>0</v>
      </c>
      <c r="L21" s="55">
        <v>0</v>
      </c>
      <c r="M21" s="55">
        <v>0</v>
      </c>
      <c r="N21" s="55">
        <v>0</v>
      </c>
      <c r="O21" s="55">
        <v>0</v>
      </c>
      <c r="P21" s="55">
        <v>0</v>
      </c>
      <c r="Q21" s="55">
        <v>0</v>
      </c>
      <c r="R21" s="55">
        <v>0</v>
      </c>
      <c r="S21" s="55">
        <v>0</v>
      </c>
      <c r="T21" s="55">
        <v>0</v>
      </c>
      <c r="U21" s="55">
        <v>0</v>
      </c>
      <c r="V21" s="55">
        <v>0</v>
      </c>
      <c r="W21" s="55">
        <v>151191199</v>
      </c>
      <c r="X21" s="55">
        <v>151191199</v>
      </c>
      <c r="Y21" s="55">
        <v>151191199</v>
      </c>
      <c r="Z21" s="55">
        <v>151191199</v>
      </c>
      <c r="AA21" s="55">
        <v>151191199</v>
      </c>
      <c r="AB21" s="55">
        <v>151191199</v>
      </c>
      <c r="AC21" s="55">
        <v>151191199</v>
      </c>
      <c r="AD21" s="55">
        <v>151191199</v>
      </c>
    </row>
    <row r="22" spans="2:30" ht="15" customHeight="1">
      <c r="B22" s="50" t="s">
        <v>36</v>
      </c>
      <c r="C22" s="57">
        <v>207600000</v>
      </c>
      <c r="D22" s="57">
        <v>415300000</v>
      </c>
      <c r="E22" s="57">
        <v>622800000</v>
      </c>
      <c r="F22" s="57">
        <v>626130000</v>
      </c>
      <c r="G22" s="57">
        <v>636552938</v>
      </c>
      <c r="H22" s="57">
        <v>650897107.04999995</v>
      </c>
      <c r="I22" s="57">
        <v>655171248.04999995</v>
      </c>
      <c r="J22" s="57">
        <v>658027848.04999995</v>
      </c>
      <c r="K22" s="57">
        <v>666028179.81999993</v>
      </c>
      <c r="L22" s="57">
        <v>672692888.4799999</v>
      </c>
      <c r="M22" s="57">
        <v>778995752.16999996</v>
      </c>
      <c r="N22" s="57">
        <v>780099617.24000001</v>
      </c>
      <c r="O22" s="57">
        <v>783012795.15999997</v>
      </c>
      <c r="P22" s="57">
        <v>887631773.49000001</v>
      </c>
      <c r="Q22" s="57">
        <v>948321143.47000003</v>
      </c>
      <c r="R22" s="57">
        <v>948471143.47000003</v>
      </c>
      <c r="S22" s="57">
        <v>957231786.95000005</v>
      </c>
      <c r="T22" s="57">
        <v>1064497606.47</v>
      </c>
      <c r="U22" s="57">
        <v>1087300710.9400001</v>
      </c>
      <c r="V22" s="57">
        <v>1091591374.0900002</v>
      </c>
      <c r="W22" s="57">
        <v>1091876207.3900001</v>
      </c>
      <c r="X22" s="57">
        <v>1092266428.74</v>
      </c>
      <c r="Y22" s="57">
        <v>1098297748.0699999</v>
      </c>
      <c r="Z22" s="57">
        <v>1098297748.0699999</v>
      </c>
      <c r="AA22" s="57">
        <v>1098322227.04</v>
      </c>
      <c r="AB22" s="57">
        <v>1098322227.04</v>
      </c>
      <c r="AC22" s="57">
        <v>1098545302.6799998</v>
      </c>
      <c r="AD22" s="57">
        <v>1098545302.6799998</v>
      </c>
    </row>
    <row r="23" spans="2:30" s="47" customFormat="1">
      <c r="B23" s="42" t="s">
        <v>39</v>
      </c>
      <c r="C23" s="58">
        <f>SUM(C21:C22)</f>
        <v>207600000</v>
      </c>
      <c r="D23" s="58">
        <f t="shared" ref="D23" si="17">SUM(D21:D22)</f>
        <v>415300000</v>
      </c>
      <c r="E23" s="58">
        <f t="shared" ref="E23" si="18">SUM(E21:E22)</f>
        <v>622800000</v>
      </c>
      <c r="F23" s="58">
        <f t="shared" ref="F23" si="19">SUM(F21:F22)</f>
        <v>626130000</v>
      </c>
      <c r="G23" s="58">
        <f t="shared" ref="G23" si="20">SUM(G21:G22)</f>
        <v>636552938</v>
      </c>
      <c r="H23" s="58">
        <f t="shared" ref="H23" si="21">SUM(H21:H22)</f>
        <v>650897107.04999995</v>
      </c>
      <c r="I23" s="58">
        <f t="shared" ref="I23" si="22">SUM(I21:I22)</f>
        <v>655171248.04999995</v>
      </c>
      <c r="J23" s="58">
        <f t="shared" ref="J23" si="23">SUM(J21:J22)</f>
        <v>658027848.04999995</v>
      </c>
      <c r="K23" s="58">
        <f t="shared" ref="K23" si="24">SUM(K21:K22)</f>
        <v>666028179.81999993</v>
      </c>
      <c r="L23" s="58">
        <f t="shared" ref="L23:Q23" si="25">SUM(L21:L22)</f>
        <v>672692888.4799999</v>
      </c>
      <c r="M23" s="58">
        <f t="shared" si="25"/>
        <v>778995752.16999996</v>
      </c>
      <c r="N23" s="58">
        <f t="shared" si="25"/>
        <v>780099617.24000001</v>
      </c>
      <c r="O23" s="58">
        <f t="shared" si="25"/>
        <v>783012795.15999997</v>
      </c>
      <c r="P23" s="58">
        <f t="shared" si="25"/>
        <v>887631773.49000001</v>
      </c>
      <c r="Q23" s="58">
        <f t="shared" si="25"/>
        <v>948321143.47000003</v>
      </c>
      <c r="R23" s="58">
        <f t="shared" ref="R23:S23" si="26">SUM(R21:R22)</f>
        <v>948471143.47000003</v>
      </c>
      <c r="S23" s="58">
        <f t="shared" si="26"/>
        <v>957231786.95000005</v>
      </c>
      <c r="T23" s="58">
        <f t="shared" ref="T23:U23" si="27">SUM(T21:T22)</f>
        <v>1064497606.47</v>
      </c>
      <c r="U23" s="58">
        <f t="shared" si="27"/>
        <v>1087300710.9400001</v>
      </c>
      <c r="V23" s="58">
        <f t="shared" ref="V23:W23" si="28">SUM(V21:V22)</f>
        <v>1091591374.0900002</v>
      </c>
      <c r="W23" s="58">
        <f t="shared" si="28"/>
        <v>1243067406.3900001</v>
      </c>
      <c r="X23" s="58">
        <f t="shared" ref="X23:Y23" si="29">SUM(X21:X22)</f>
        <v>1243457627.74</v>
      </c>
      <c r="Y23" s="58">
        <f t="shared" si="29"/>
        <v>1249488947.0699999</v>
      </c>
      <c r="Z23" s="58">
        <f t="shared" ref="Z23:AA23" si="30">SUM(Z21:Z22)</f>
        <v>1249488947.0699999</v>
      </c>
      <c r="AA23" s="58">
        <f t="shared" si="30"/>
        <v>1249513426.04</v>
      </c>
      <c r="AB23" s="58">
        <f t="shared" ref="AB23:AD23" si="31">SUM(AB21:AB22)</f>
        <v>1249513426.04</v>
      </c>
      <c r="AC23" s="58">
        <f t="shared" si="31"/>
        <v>1249736501.6799998</v>
      </c>
      <c r="AD23" s="58">
        <f t="shared" si="31"/>
        <v>1249736501.6799998</v>
      </c>
    </row>
    <row r="24" spans="2:30" s="47" customFormat="1">
      <c r="B24" s="4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2:30" s="47" customFormat="1">
      <c r="B25" s="42" t="s">
        <v>54</v>
      </c>
      <c r="C25" s="59">
        <v>0</v>
      </c>
      <c r="D25" s="59">
        <v>0</v>
      </c>
      <c r="E25" s="59">
        <v>0</v>
      </c>
      <c r="F25" s="59">
        <v>0</v>
      </c>
      <c r="G25" s="59">
        <v>0</v>
      </c>
      <c r="H25" s="59">
        <v>0</v>
      </c>
      <c r="I25" s="59">
        <v>0</v>
      </c>
      <c r="J25" s="59">
        <v>0</v>
      </c>
      <c r="K25" s="59">
        <v>0</v>
      </c>
      <c r="L25" s="59">
        <v>0</v>
      </c>
      <c r="M25" s="59">
        <v>17988348</v>
      </c>
      <c r="N25" s="59">
        <v>249718478.38999999</v>
      </c>
      <c r="O25" s="59">
        <v>249725578.27000001</v>
      </c>
      <c r="P25" s="59">
        <v>249660768.84999999</v>
      </c>
      <c r="Q25" s="59">
        <v>249660768.84999999</v>
      </c>
      <c r="R25" s="59">
        <v>249742711.84999999</v>
      </c>
      <c r="S25" s="59">
        <v>249986660.84999999</v>
      </c>
      <c r="T25" s="59">
        <v>249986660.84999999</v>
      </c>
      <c r="U25" s="59">
        <v>249999998.84999999</v>
      </c>
      <c r="V25" s="59">
        <v>249999998.84999999</v>
      </c>
      <c r="W25" s="59">
        <v>249999998.84999999</v>
      </c>
      <c r="X25" s="59">
        <v>249999998.84999999</v>
      </c>
      <c r="Y25" s="59">
        <v>249999998.84999999</v>
      </c>
      <c r="Z25" s="59">
        <v>249999998.84999999</v>
      </c>
      <c r="AA25" s="59">
        <v>249999998.84999999</v>
      </c>
      <c r="AB25" s="59">
        <v>249999998.84999999</v>
      </c>
      <c r="AC25" s="59">
        <v>249999998.84999999</v>
      </c>
      <c r="AD25" s="59">
        <v>249999998.84999999</v>
      </c>
    </row>
    <row r="26" spans="2:30" s="47" customFormat="1">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2:30" s="47" customFormat="1">
      <c r="B27" s="42" t="s">
        <v>60</v>
      </c>
      <c r="C27" s="48">
        <v>3924644701.2399788</v>
      </c>
      <c r="D27" s="48">
        <v>3924640567.6899786</v>
      </c>
      <c r="E27" s="48">
        <v>3938798743.6900001</v>
      </c>
      <c r="F27" s="48">
        <v>5023127409.1899958</v>
      </c>
      <c r="G27" s="48">
        <v>5023126652.5799999</v>
      </c>
      <c r="H27" s="48">
        <v>5023126184.6200237</v>
      </c>
      <c r="I27" s="48">
        <v>5142496470.2399988</v>
      </c>
      <c r="J27" s="48">
        <v>5142516363.3400145</v>
      </c>
      <c r="K27" s="48">
        <v>5142516363.3400145</v>
      </c>
      <c r="L27" s="48">
        <v>5142535984.75</v>
      </c>
      <c r="M27" s="48">
        <v>5142535984.75</v>
      </c>
      <c r="N27" s="48">
        <v>5142535984.75</v>
      </c>
      <c r="O27" s="48">
        <v>5142535984.75</v>
      </c>
      <c r="P27" s="48">
        <v>5142535984.75</v>
      </c>
      <c r="Q27" s="48">
        <v>5142535984.75</v>
      </c>
      <c r="R27" s="48">
        <v>5142535984.75</v>
      </c>
      <c r="S27" s="48">
        <v>5142535984.75</v>
      </c>
      <c r="T27" s="48">
        <v>5142535984.75</v>
      </c>
      <c r="U27" s="48">
        <v>5142535984.75</v>
      </c>
      <c r="V27" s="48">
        <v>5142535984.75</v>
      </c>
      <c r="W27" s="48">
        <v>5142535984.75</v>
      </c>
      <c r="X27" s="48">
        <v>5142535984.75</v>
      </c>
      <c r="Y27" s="48">
        <v>5142535984.75</v>
      </c>
      <c r="Z27" s="48">
        <v>5142535984.75</v>
      </c>
      <c r="AA27" s="48">
        <v>5142535984.75</v>
      </c>
      <c r="AB27" s="48">
        <v>5142535984.75</v>
      </c>
      <c r="AC27" s="48">
        <v>5142535984.75</v>
      </c>
      <c r="AD27" s="48">
        <v>5142535984.75</v>
      </c>
    </row>
    <row r="28" spans="2:30">
      <c r="B28" s="54"/>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row>
    <row r="29" spans="2:30" s="47" customFormat="1">
      <c r="B29" s="42" t="s">
        <v>43</v>
      </c>
      <c r="C29" s="59">
        <v>968471301.54999995</v>
      </c>
      <c r="D29" s="59">
        <v>2009599592.8399999</v>
      </c>
      <c r="E29" s="59">
        <v>2011050167.8999999</v>
      </c>
      <c r="F29" s="59">
        <v>2040455410.2399998</v>
      </c>
      <c r="G29" s="59">
        <v>2042175665.8499999</v>
      </c>
      <c r="H29" s="59">
        <v>2043547117.5899997</v>
      </c>
      <c r="I29" s="59">
        <v>2046578598.1199996</v>
      </c>
      <c r="J29" s="59">
        <v>2048750122.9299998</v>
      </c>
      <c r="K29" s="59">
        <v>2053324964.9699996</v>
      </c>
      <c r="L29" s="59">
        <v>2056077963.23</v>
      </c>
      <c r="M29" s="59">
        <v>2056977086.05</v>
      </c>
      <c r="N29" s="59">
        <v>2059063662.0500002</v>
      </c>
      <c r="O29" s="59">
        <v>2061316857.8899999</v>
      </c>
      <c r="P29" s="59">
        <v>2061424532.2</v>
      </c>
      <c r="Q29" s="59">
        <v>2066901495.8900001</v>
      </c>
      <c r="R29" s="59">
        <v>2096842073.6599998</v>
      </c>
      <c r="S29" s="59">
        <v>2096967627.6999998</v>
      </c>
      <c r="T29" s="59">
        <v>2097181557.1299999</v>
      </c>
      <c r="U29" s="59">
        <v>2097210180.29</v>
      </c>
      <c r="V29" s="59">
        <v>2097210204.8899999</v>
      </c>
      <c r="W29" s="59">
        <v>2097252711.1499999</v>
      </c>
      <c r="X29" s="59">
        <v>2097335353.7099998</v>
      </c>
      <c r="Y29" s="59">
        <v>2097335353.7099998</v>
      </c>
      <c r="Z29" s="59">
        <v>2097335353.7099998</v>
      </c>
      <c r="AA29" s="59">
        <v>2097184103.7099998</v>
      </c>
      <c r="AB29" s="59">
        <v>2097184103.7099998</v>
      </c>
      <c r="AC29" s="59">
        <v>2097184103.7099998</v>
      </c>
      <c r="AD29" s="59">
        <v>2097184103.7099998</v>
      </c>
    </row>
    <row r="30" spans="2:30">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row>
    <row r="31" spans="2:30" s="47" customFormat="1" ht="15" thickBot="1">
      <c r="B31" s="47" t="s">
        <v>40</v>
      </c>
      <c r="C31" s="60">
        <f t="shared" ref="C31:P31" si="32">C4+C9+C27+C11+C16+C29+C18+C23+C25</f>
        <v>7533960550.579977</v>
      </c>
      <c r="D31" s="60">
        <f t="shared" si="32"/>
        <v>9393965418.1399765</v>
      </c>
      <c r="E31" s="60">
        <f t="shared" si="32"/>
        <v>9986306970.7999992</v>
      </c>
      <c r="F31" s="60">
        <f t="shared" si="32"/>
        <v>11863478214.389977</v>
      </c>
      <c r="G31" s="60">
        <f t="shared" si="32"/>
        <v>12317938092.470083</v>
      </c>
      <c r="H31" s="60">
        <f t="shared" si="32"/>
        <v>12732906089.610126</v>
      </c>
      <c r="I31" s="60">
        <f t="shared" si="32"/>
        <v>17888556949.890118</v>
      </c>
      <c r="J31" s="60">
        <f t="shared" si="32"/>
        <v>18387050865.030136</v>
      </c>
      <c r="K31" s="60">
        <f t="shared" si="32"/>
        <v>18683432302.840015</v>
      </c>
      <c r="L31" s="60">
        <f t="shared" si="32"/>
        <v>19147689526.759998</v>
      </c>
      <c r="M31" s="60">
        <f t="shared" si="32"/>
        <v>19979080129.769997</v>
      </c>
      <c r="N31" s="60">
        <f t="shared" si="32"/>
        <v>20607822136.049999</v>
      </c>
      <c r="O31" s="60">
        <f t="shared" si="32"/>
        <v>20877764110.090004</v>
      </c>
      <c r="P31" s="60">
        <f t="shared" si="32"/>
        <v>21288304212.489998</v>
      </c>
      <c r="Q31" s="60">
        <f t="shared" ref="Q31" si="33">Q4+Q9+Q27+Q11+Q16+Q29+Q18+Q23+Q25</f>
        <v>21588096150.429996</v>
      </c>
      <c r="R31" s="60">
        <f t="shared" ref="R31:S31" si="34">R4+R9+R27+R11+R16+R29+R18+R23+R25</f>
        <v>24318676593.700001</v>
      </c>
      <c r="S31" s="60">
        <f t="shared" si="34"/>
        <v>24596289094.98</v>
      </c>
      <c r="T31" s="60">
        <f t="shared" ref="T31:U31" si="35">T4+T9+T27+T11+T16+T29+T18+T23+T25</f>
        <v>25008087505.629997</v>
      </c>
      <c r="U31" s="60">
        <f t="shared" si="35"/>
        <v>27752967199.500004</v>
      </c>
      <c r="V31" s="60">
        <f t="shared" ref="V31:W31" si="36">V4+V9+V27+V11+V16+V29+V18+V23+V25</f>
        <v>28030371098.419998</v>
      </c>
      <c r="W31" s="60">
        <f t="shared" si="36"/>
        <v>28470139918.009998</v>
      </c>
      <c r="X31" s="60">
        <f t="shared" ref="X31:Y31" si="37">X4+X9+X27+X11+X16+X29+X18+X23+X25</f>
        <v>28730238840.09</v>
      </c>
      <c r="Y31" s="60">
        <f t="shared" si="37"/>
        <v>28884892237.509998</v>
      </c>
      <c r="Z31" s="60">
        <f t="shared" ref="Z31:AA31" si="38">Z4+Z9+Z27+Z11+Z16+Z29+Z18+Z23+Z25</f>
        <v>29333388447.219994</v>
      </c>
      <c r="AA31" s="60">
        <f t="shared" si="38"/>
        <v>29686377447.509998</v>
      </c>
      <c r="AB31" s="60">
        <f t="shared" ref="AB31:AD31" si="39">AB4+AB9+AB27+AB11+AB16+AB29+AB18+AB23+AB25</f>
        <v>30077649412.130001</v>
      </c>
      <c r="AC31" s="60">
        <f t="shared" si="39"/>
        <v>31505577814.66</v>
      </c>
      <c r="AD31" s="60">
        <f t="shared" si="39"/>
        <v>32736475562.719997</v>
      </c>
    </row>
    <row r="32" spans="2:30" s="47" customFormat="1" ht="15" thickTop="1">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row>
    <row r="33" spans="3:29" s="47" customFormat="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row>
    <row r="34" spans="3:29" s="47" customFormat="1" ht="15" thickBot="1">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row>
    <row r="35" spans="3:29">
      <c r="C35" s="87" t="s">
        <v>13</v>
      </c>
      <c r="D35" s="88"/>
      <c r="E35" s="88"/>
      <c r="F35" s="89"/>
    </row>
    <row r="36" spans="3:29">
      <c r="C36" s="84" t="s">
        <v>16</v>
      </c>
      <c r="D36" s="85"/>
      <c r="E36" s="85"/>
      <c r="F36" s="86"/>
    </row>
    <row r="37" spans="3:29" ht="139.5" customHeight="1" thickBot="1">
      <c r="C37" s="81" t="s">
        <v>19</v>
      </c>
      <c r="D37" s="82"/>
      <c r="E37" s="82"/>
      <c r="F37" s="83"/>
    </row>
    <row r="38" spans="3:29" s="47" customFormat="1">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row>
    <row r="39" spans="3:29" s="47" customFormat="1">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row>
    <row r="40" spans="3:29" s="47" customFormat="1">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row>
    <row r="41" spans="3:29" s="47" customFormat="1">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row>
    <row r="42" spans="3:29" s="47" customFormat="1">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row>
    <row r="43" spans="3:29" s="47" customFormat="1">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row>
    <row r="44" spans="3:29" s="47" customFormat="1">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row>
    <row r="45" spans="3:29" s="47" customFormat="1">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row>
    <row r="46" spans="3:29" s="47" customFormat="1">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row>
    <row r="47" spans="3:29" s="47" customFormat="1">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row>
    <row r="48" spans="3:29" s="47" customFormat="1">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row>
    <row r="49" spans="3:29">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row>
  </sheetData>
  <mergeCells count="4">
    <mergeCell ref="C1:U1"/>
    <mergeCell ref="C37:F37"/>
    <mergeCell ref="C36:F36"/>
    <mergeCell ref="C35:F35"/>
  </mergeCells>
  <pageMargins left="0.25" right="0.25" top="0.75" bottom="0.75" header="0.3" footer="0.3"/>
  <pageSetup paperSize="5" scale="2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Seth J Carr</cp:lastModifiedBy>
  <cp:lastPrinted>2023-02-03T19:23:16Z</cp:lastPrinted>
  <dcterms:created xsi:type="dcterms:W3CDTF">2021-10-04T21:30:02Z</dcterms:created>
  <dcterms:modified xsi:type="dcterms:W3CDTF">2024-01-19T16:32:46Z</dcterms:modified>
</cp:coreProperties>
</file>