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ACCTS.SHR\COVID-19 (CARES Act)\COVID Dashboard Project\Monthly Files\06 - September 2022\"/>
    </mc:Choice>
  </mc:AlternateContent>
  <xr:revisionPtr revIDLastSave="0" documentId="13_ncr:1_{5DF61AEE-3F5B-4A1B-A81A-B204B94F85CF}" xr6:coauthVersionLast="47" xr6:coauthVersionMax="47" xr10:uidLastSave="{00000000-0000-0000-0000-000000000000}"/>
  <bookViews>
    <workbookView xWindow="28680" yWindow="-120" windowWidth="28095" windowHeight="16440" xr2:uid="{327E8300-3A7D-477E-86CA-2384A828B00B}"/>
  </bookViews>
  <sheets>
    <sheet name="Overview and Summary" sheetId="3" r:id="rId1"/>
    <sheet name="Funds Received - Monthly" sheetId="2" r:id="rId2"/>
    <sheet name="Funds Spent - Monthly" sheetId="4" r:id="rId3"/>
  </sheets>
  <definedNames>
    <definedName name="_xlnm.Print_Area" localSheetId="1">'Funds Received - Monthly'!$B$1:$O$39</definedName>
    <definedName name="_xlnm.Print_Area" localSheetId="2">'Funds Spent - Monthly'!$B$1:$O$32</definedName>
    <definedName name="_xlnm.Print_Area" localSheetId="0">'Overview and Summary'!$B$1:$E$20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 i="2" l="1"/>
  <c r="O21" i="2"/>
  <c r="O8" i="2"/>
  <c r="O27" i="4" l="1"/>
  <c r="O18" i="4"/>
  <c r="O9" i="4"/>
  <c r="O33" i="2"/>
  <c r="O34" i="2" s="1"/>
  <c r="O29" i="2"/>
  <c r="O22" i="2"/>
  <c r="O14" i="2"/>
  <c r="O13" i="2"/>
  <c r="O7" i="2"/>
  <c r="O9" i="2" s="1"/>
  <c r="E5" i="3"/>
  <c r="D11" i="3"/>
  <c r="D10" i="3"/>
  <c r="D8" i="3"/>
  <c r="D5" i="3"/>
  <c r="N7" i="2"/>
  <c r="O31" i="4" l="1"/>
  <c r="O38" i="2"/>
  <c r="D29" i="2"/>
  <c r="E29" i="2"/>
  <c r="F29" i="2"/>
  <c r="G29" i="2"/>
  <c r="H29" i="2"/>
  <c r="I29" i="2"/>
  <c r="J29" i="2"/>
  <c r="K29" i="2"/>
  <c r="L29" i="2"/>
  <c r="M29" i="2"/>
  <c r="N29" i="2"/>
  <c r="M38" i="2"/>
  <c r="N33" i="2"/>
  <c r="N34" i="2" s="1"/>
  <c r="M33" i="2"/>
  <c r="L33" i="2"/>
  <c r="K33" i="2"/>
  <c r="J33" i="2"/>
  <c r="J34" i="2" s="1"/>
  <c r="D34" i="2"/>
  <c r="E34" i="2"/>
  <c r="E38" i="2" s="1"/>
  <c r="F34" i="2"/>
  <c r="G34" i="2"/>
  <c r="G38" i="2" s="1"/>
  <c r="H34" i="2"/>
  <c r="H38" i="2" s="1"/>
  <c r="I34" i="2"/>
  <c r="K34" i="2"/>
  <c r="L34" i="2"/>
  <c r="M34" i="2"/>
  <c r="I33" i="2"/>
  <c r="H33" i="2"/>
  <c r="G33" i="2"/>
  <c r="F33" i="2"/>
  <c r="E33" i="2"/>
  <c r="D33" i="2"/>
  <c r="D38" i="2" l="1"/>
  <c r="L38" i="2"/>
  <c r="K38" i="2"/>
  <c r="F38" i="2"/>
  <c r="J38" i="2"/>
  <c r="I38" i="2"/>
  <c r="C33" i="2" l="1"/>
  <c r="C34" i="2"/>
  <c r="C38" i="2" s="1"/>
  <c r="N28" i="2"/>
  <c r="M28" i="2"/>
  <c r="L28" i="2"/>
  <c r="K28" i="2"/>
  <c r="J28" i="2"/>
  <c r="I28" i="2"/>
  <c r="H28" i="2"/>
  <c r="G28" i="2"/>
  <c r="F28" i="2"/>
  <c r="E28" i="2"/>
  <c r="E27" i="2"/>
  <c r="D28" i="2"/>
  <c r="N27" i="4" l="1"/>
  <c r="N18" i="4"/>
  <c r="N9" i="4"/>
  <c r="M27" i="4"/>
  <c r="M18" i="4"/>
  <c r="M9" i="4"/>
  <c r="M31" i="4" s="1"/>
  <c r="C29" i="2"/>
  <c r="N21" i="2"/>
  <c r="N19" i="2"/>
  <c r="M21" i="2"/>
  <c r="M22" i="2" s="1"/>
  <c r="L21" i="2"/>
  <c r="K21" i="2"/>
  <c r="K22" i="2" s="1"/>
  <c r="J20" i="2"/>
  <c r="G22" i="2"/>
  <c r="H22" i="2"/>
  <c r="I22" i="2"/>
  <c r="J22" i="2"/>
  <c r="L22" i="2"/>
  <c r="D22" i="2"/>
  <c r="E22" i="2"/>
  <c r="F22" i="2"/>
  <c r="J21" i="2"/>
  <c r="J19" i="2"/>
  <c r="I21" i="2"/>
  <c r="H21" i="2"/>
  <c r="G21" i="2"/>
  <c r="F21" i="2"/>
  <c r="E21" i="2"/>
  <c r="D21" i="2"/>
  <c r="I19" i="2"/>
  <c r="D19" i="2"/>
  <c r="C22" i="2"/>
  <c r="N31" i="4" l="1"/>
  <c r="N22" i="2"/>
  <c r="N13" i="2" l="1"/>
  <c r="N14" i="2" s="1"/>
  <c r="M13" i="2"/>
  <c r="M14" i="2" s="1"/>
  <c r="L13" i="2"/>
  <c r="L14" i="2" s="1"/>
  <c r="K13" i="2"/>
  <c r="K14" i="2" s="1"/>
  <c r="J13" i="2"/>
  <c r="J14" i="2" s="1"/>
  <c r="I13" i="2"/>
  <c r="I14" i="2" s="1"/>
  <c r="H13" i="2"/>
  <c r="H14" i="2" s="1"/>
  <c r="G13" i="2"/>
  <c r="G14" i="2" s="1"/>
  <c r="F13" i="2"/>
  <c r="F14" i="2" s="1"/>
  <c r="E13" i="2"/>
  <c r="E14" i="2" s="1"/>
  <c r="D13" i="2"/>
  <c r="D14" i="2" s="1"/>
  <c r="C14" i="2"/>
  <c r="N8" i="2"/>
  <c r="M7" i="2"/>
  <c r="M8" i="2"/>
  <c r="L8" i="2" l="1"/>
  <c r="L9" i="2" s="1"/>
  <c r="L7" i="2"/>
  <c r="K8" i="2"/>
  <c r="K9" i="2" s="1"/>
  <c r="K7" i="2"/>
  <c r="M9" i="2"/>
  <c r="N9" i="2"/>
  <c r="N38" i="2" s="1"/>
  <c r="J7" i="2"/>
  <c r="J8" i="2"/>
  <c r="I8" i="2"/>
  <c r="H8" i="2"/>
  <c r="G8" i="2"/>
  <c r="F8" i="2"/>
  <c r="E8" i="2"/>
  <c r="E9" i="2" s="1"/>
  <c r="D8" i="2"/>
  <c r="D9" i="2" s="1"/>
  <c r="F9" i="2"/>
  <c r="G9" i="2"/>
  <c r="H9" i="2"/>
  <c r="I9" i="2"/>
  <c r="C9" i="2"/>
  <c r="L27" i="4"/>
  <c r="D9" i="4"/>
  <c r="E9" i="4"/>
  <c r="F9" i="4"/>
  <c r="G9" i="4"/>
  <c r="H9" i="4"/>
  <c r="I9" i="4"/>
  <c r="J9" i="4"/>
  <c r="K9" i="4"/>
  <c r="L9" i="4"/>
  <c r="C9" i="4"/>
  <c r="K31" i="4" l="1"/>
  <c r="I31" i="4"/>
  <c r="J9" i="2"/>
  <c r="K27" i="4"/>
  <c r="J27" i="4"/>
  <c r="J31" i="4" s="1"/>
  <c r="I27" i="4"/>
  <c r="H27" i="4"/>
  <c r="G27" i="4"/>
  <c r="F27" i="4"/>
  <c r="E27" i="4"/>
  <c r="D27" i="4"/>
  <c r="C27" i="4"/>
  <c r="D18" i="4"/>
  <c r="D31" i="4" s="1"/>
  <c r="E18" i="4"/>
  <c r="E31" i="4" s="1"/>
  <c r="F18" i="4"/>
  <c r="F31" i="4" s="1"/>
  <c r="G18" i="4"/>
  <c r="G31" i="4" s="1"/>
  <c r="H18" i="4"/>
  <c r="H31" i="4" s="1"/>
  <c r="I18" i="4"/>
  <c r="J18" i="4"/>
  <c r="K18" i="4"/>
  <c r="L18" i="4"/>
  <c r="L31" i="4" s="1"/>
  <c r="C18" i="4"/>
  <c r="C31" i="4" s="1"/>
  <c r="E12" i="3" l="1"/>
  <c r="D12" i="3"/>
</calcChain>
</file>

<file path=xl/sharedStrings.xml><?xml version="1.0" encoding="utf-8"?>
<sst xmlns="http://schemas.openxmlformats.org/spreadsheetml/2006/main" count="118" uniqueCount="73">
  <si>
    <t>COVID-19 Relief Program Tracker</t>
  </si>
  <si>
    <t>Elementary and Secondary School Emergency Relief</t>
  </si>
  <si>
    <t>State and Local Fiscal Recovery Fund</t>
  </si>
  <si>
    <t>Coronavirus Relief Fund</t>
  </si>
  <si>
    <t>Child Care Services</t>
  </si>
  <si>
    <t>Emergency Rental Assistance</t>
  </si>
  <si>
    <t>Homeowners Assistance Fund</t>
  </si>
  <si>
    <t>Excluded Worker Fund</t>
  </si>
  <si>
    <t>Small Business Recovery</t>
  </si>
  <si>
    <t>$13.5 billion</t>
  </si>
  <si>
    <t>$5.1 billion</t>
  </si>
  <si>
    <t>$2.5 billion</t>
  </si>
  <si>
    <t>$539.5 million</t>
  </si>
  <si>
    <t>Technical Notes</t>
  </si>
  <si>
    <t>Funds Expected to Be Received</t>
  </si>
  <si>
    <t>Funds Received</t>
  </si>
  <si>
    <t>Funds Spent</t>
  </si>
  <si>
    <t>$2.1 billion</t>
  </si>
  <si>
    <t>$14.0 billion</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</si>
  <si>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</si>
  <si>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Anticipated funding (federal and/or State) available for New York State or for “pass through” to other recipients, such as childcare providers, landlords, or local governments. These estimates are from sources including the Division of the Budget, legislative appropriations, federal and State agencies, and Federal Funds Information for States.  Funds paid directly by the federal government to beneficiaries are not included.</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</si>
  <si>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</si>
  <si>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June 2022</t>
  </si>
  <si>
    <t>May 2022</t>
  </si>
  <si>
    <t>April 2022</t>
  </si>
  <si>
    <t>February 2022</t>
  </si>
  <si>
    <t>January 2022</t>
  </si>
  <si>
    <t>December 2021</t>
  </si>
  <si>
    <t>November 2021</t>
  </si>
  <si>
    <t>October 2021</t>
  </si>
  <si>
    <t>September 2021</t>
  </si>
  <si>
    <t>Funds Received As of Month Ending:</t>
  </si>
  <si>
    <t>$3.9 billion</t>
  </si>
  <si>
    <t xml:space="preserve">Federal aid received by the State of New York, either for direct program administration or pass through to other recipients. In some cases, the State has already received all the funding for which it is eligible; in other cases, the State will be reimbursed by the federal government for spending made under a certain program.  Funds paid directly by the federal government to beneficiaries are not included.
*Includes Short Term Investment Pool (STIP) Interest through June totaling $16.7 million for State and Local Fiscal Recovery Fund, $6.9 million for Coronavirus Relief Fund, $1.47 million for Emergency Rental Assistance and $654K for Homeowners Assistance Fund. </t>
  </si>
  <si>
    <t>Interest Earned</t>
  </si>
  <si>
    <t>State and Local Fiscal Recovery Fund Total</t>
  </si>
  <si>
    <t>Federal Funding</t>
  </si>
  <si>
    <t>March 2022</t>
  </si>
  <si>
    <t>State Funding</t>
  </si>
  <si>
    <t>Emergency Rental Assistance Total</t>
  </si>
  <si>
    <t>Homeowners Assistance Fund Total</t>
  </si>
  <si>
    <t>Small Business Recovery Total</t>
  </si>
  <si>
    <t>Total Federal Funding</t>
  </si>
  <si>
    <t>Total State Funding</t>
  </si>
  <si>
    <t>Total Interest Earned</t>
  </si>
  <si>
    <t>TOTAL</t>
  </si>
  <si>
    <t>if we're going to report on interest earnings, we should explain what that means and why it only affects certain programs.</t>
  </si>
  <si>
    <t>Coronavirus Relief Fund Total</t>
  </si>
  <si>
    <t xml:space="preserve">Coronavirus Relief Fund </t>
  </si>
  <si>
    <t>Excluded Worker Fund Total (State Only)</t>
  </si>
  <si>
    <t>Federal and State Funds Expected to Be Awarded</t>
  </si>
  <si>
    <t>Funds Received (including interest earned)</t>
  </si>
  <si>
    <t>Utility Arrears Relief Program</t>
  </si>
  <si>
    <t>$250 million</t>
  </si>
  <si>
    <t>Funds Disbursed As of Month Ending (includes spending from interest earned):</t>
  </si>
  <si>
    <t>State</t>
  </si>
  <si>
    <t>Local Governments</t>
  </si>
  <si>
    <t>July 2022</t>
  </si>
  <si>
    <t>August 2022</t>
  </si>
  <si>
    <t>Child Care Services (Federal Only)</t>
  </si>
  <si>
    <t>Utility Arrears Relief Total (State Only)</t>
  </si>
  <si>
    <t>Elementary and Secondary School Emergency Relief 
(Federal Only)</t>
  </si>
  <si>
    <t>Excluded Worker Fund Total 
(State Only)</t>
  </si>
  <si>
    <t xml:space="preserve">Federal aid received by the State of New York, either for direct program administration or pass through to other recipients. In some cases, the State has already received all the funding for which it is eligible; in other cases, the State will be reimbursed by the federal government for spending made under a certain program.  Funds paid directly by the federal government to beneficiaries are not included.
Interest Earned includes Short Term Investment Pool (STIP) Interest.  The STIP was created by the Legislature on July 1, 1973 as an investment vehicle to manage state and local government cash. Since its creation, the STIP has provided a safe, convenient way for state and local government agencies to invest and withdraw cash with 24-hour notice. Local governments have other investment options as permitted by law and use the STIP at their discretion. </t>
  </si>
  <si>
    <t>Elementary and Secondary School Emergency Relief Total (Federal Only)</t>
  </si>
  <si>
    <t>State and Local Fiscal Recovery Fund (Federal and Interest)</t>
  </si>
  <si>
    <t>Coronavirus Relief Fund Total (Federal and Interest)</t>
  </si>
  <si>
    <t>Child Care Services Total (Federal Only)</t>
  </si>
  <si>
    <t>Emergency Rental Assistance (Includes Interest)</t>
  </si>
  <si>
    <t>Homeowners Assistance Fund Total (Federal and Interest)</t>
  </si>
  <si>
    <t>$1.7 billion</t>
  </si>
  <si>
    <t>As of September 30, 2022</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</si>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</sst>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_);_(&quot;$&quot;* \(#,##0\);_(&quot;$&quot;* &quot;-&quot;?_);_(@_)"/>
  </numFmts>
  <fonts count="20">
    <font>
      <sz val="11"/>
      <color theme="1"/>
      <name val="Calibri"/>
      <family val="2"/>
    </font>
    <font>
      <sz val="11"/>
      <color theme="1"/>
      <name val="Calibri"/>
      <family val="2"/>
    </font>
    <font>
      <sz val="18"/>
      <color theme="3"/>
      <name val="Calibri Light"/>
      <family val="2"/>
      <scheme val="major"/>
    </font>
    <font>
      <b/>
      <sz val="10"/>
      <color theme="3"/>
      <name val="Calibri Light"/>
      <family val="2"/>
      <scheme val="major"/>
    </font>
    <font>
      <b/>
      <sz val="11"/>
      <color theme="3"/>
      <name val="Calibri Light"/>
      <family val="2"/>
      <scheme val="major"/>
    </font>
    <font>
      <sz val="14"/>
      <color rgb="FF333333"/>
      <name val="Inherit"/>
    </font>
    <font>
      <b/>
      <u/>
      <sz val="10"/>
      <color rgb="FF333333"/>
      <name val="Helvetica Neue"/>
    </font>
    <font>
      <sz val="10"/>
      <color theme="1"/>
      <name val="Calibri"/>
      <family val="2"/>
    </font>
    <font>
      <sz val="10"/>
      <color rgb="FF333333"/>
      <name val="Helvetica Neue"/>
    </font>
    <font>
      <b/>
      <sz val="11"/>
      <color rgb="FFFF0000"/>
      <name val="Calibri"/>
      <family val="2"/>
    </font>
    <font>
      <b/>
      <sz val="11"/>
      <color theme="1"/>
      <name val="Calibri"/>
      <family val="2"/>
    </font>
    <font>
      <b/>
      <u/>
      <sz val="11"/>
      <color theme="1"/>
      <name val="Calibri"/>
      <family val="2"/>
    </font>
    <font>
      <b/>
      <sz val="11"/>
      <color theme="3"/>
      <name val="Calibri"/>
      <family val="2"/>
      <scheme val="minor"/>
    </font>
    <font>
      <sz val="11"/>
      <color theme="1"/>
      <name val="Calibri"/>
      <family val="2"/>
      <scheme val="minor"/>
    </font>
    <font>
      <b/>
      <i/>
      <sz val="11"/>
      <color theme="1"/>
      <name val="Calibri"/>
      <family val="2"/>
      <scheme val="minor"/>
    </font>
    <font>
      <b/>
      <sz val="11"/>
      <color theme="1"/>
      <name val="Calibri"/>
      <family val="2"/>
      <scheme val="minor"/>
    </font>
    <font>
      <b/>
      <sz val="11"/>
      <color rgb="FFFF0000"/>
      <name val="Calibri"/>
      <family val="2"/>
      <scheme val="minor"/>
    </font>
    <font>
      <sz val="11"/>
      <color rgb="FF333333"/>
      <name val="Calibri"/>
      <family val="2"/>
      <scheme val="minor"/>
    </font>
    <font>
      <b/>
      <u/>
      <sz val="11"/>
      <color rgb="FF333333"/>
      <name val="Calibri"/>
      <family val="2"/>
      <scheme val="minor"/>
    </font>
    <font>
      <b/>
      <u/>
      <sz val="11"/>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8">
    <xf numFmtId="0" fontId="0" fillId="0" borderId="0" xfId="0"/>
    <xf numFmtId="0" fontId="0" fillId="2" borderId="3" xfId="0" applyFill="1" applyBorder="1"/>
    <xf numFmtId="0" fontId="0" fillId="2" borderId="4" xfId="0" applyFill="1" applyBorder="1"/>
    <xf numFmtId="0" fontId="5" fillId="2" borderId="2" xfId="0" applyFont="1" applyFill="1" applyBorder="1" applyAlignment="1">
      <alignment vertical="center"/>
    </xf>
    <xf numFmtId="0" fontId="6" fillId="2" borderId="10" xfId="0" applyFont="1" applyFill="1" applyBorder="1" applyAlignment="1">
      <alignment vertical="center"/>
    </xf>
    <xf numFmtId="0" fontId="7" fillId="2" borderId="11" xfId="0" applyFont="1" applyFill="1" applyBorder="1"/>
    <xf numFmtId="0" fontId="7" fillId="2" borderId="12" xfId="0" applyFont="1" applyFill="1" applyBorder="1"/>
    <xf numFmtId="0" fontId="6" fillId="2" borderId="5" xfId="0" applyFont="1" applyFill="1" applyBorder="1" applyAlignment="1">
      <alignment vertical="center"/>
    </xf>
    <xf numFmtId="0" fontId="7" fillId="2" borderId="0" xfId="0" applyFont="1" applyFill="1" applyBorder="1"/>
    <xf numFmtId="0" fontId="7" fillId="2" borderId="6" xfId="0" applyFont="1" applyFill="1" applyBorder="1"/>
    <xf numFmtId="0" fontId="0" fillId="2" borderId="0" xfId="0" applyFill="1"/>
    <xf numFmtId="0" fontId="4" fillId="2" borderId="0" xfId="2" applyFont="1" applyFill="1" applyAlignment="1">
      <alignment horizontal="left"/>
    </xf>
    <xf numFmtId="164" fontId="0" fillId="2" borderId="0" xfId="1" applyNumberFormat="1" applyFont="1" applyFill="1"/>
    <xf numFmtId="164" fontId="0" fillId="2" borderId="0" xfId="0" applyNumberFormat="1" applyFill="1"/>
    <xf numFmtId="164" fontId="0" fillId="2" borderId="16" xfId="0" applyNumberFormat="1" applyFill="1" applyBorder="1"/>
    <xf numFmtId="44" fontId="0" fillId="2" borderId="0" xfId="0" applyNumberFormat="1" applyFill="1"/>
    <xf numFmtId="0" fontId="3" fillId="2" borderId="1" xfId="2" applyFont="1" applyFill="1" applyBorder="1" applyAlignment="1">
      <alignment horizontal="center" wrapText="1"/>
    </xf>
    <xf numFmtId="164" fontId="0" fillId="2" borderId="0" xfId="1" applyNumberFormat="1" applyFont="1" applyFill="1" applyAlignment="1">
      <alignment horizontal="right"/>
    </xf>
    <xf numFmtId="0" fontId="3" fillId="2" borderId="1" xfId="2" applyFont="1" applyFill="1" applyBorder="1" applyAlignment="1">
      <alignment horizontal="center"/>
    </xf>
    <xf numFmtId="0" fontId="0" fillId="2" borderId="0" xfId="0" applyFont="1" applyFill="1"/>
    <xf numFmtId="49" fontId="10" fillId="2" borderId="1" xfId="2" applyNumberFormat="1" applyFont="1" applyFill="1" applyBorder="1" applyAlignment="1">
      <alignment horizontal="center"/>
    </xf>
    <xf numFmtId="0" fontId="10" fillId="2" borderId="0" xfId="2" applyFont="1" applyFill="1" applyAlignment="1">
      <alignment horizontal="left"/>
    </xf>
    <xf numFmtId="0" fontId="9" fillId="2" borderId="0" xfId="0" applyFont="1" applyFill="1" applyAlignment="1">
      <alignment horizontal="left" wrapText="1"/>
    </xf>
    <xf numFmtId="164" fontId="10" fillId="2" borderId="1" xfId="1" applyNumberFormat="1" applyFont="1" applyFill="1" applyBorder="1"/>
    <xf numFmtId="0" fontId="10" fillId="2" borderId="0" xfId="0" applyFont="1" applyFill="1"/>
    <xf numFmtId="0" fontId="0" fillId="2" borderId="0" xfId="2" applyFont="1" applyFill="1" applyAlignment="1">
      <alignment horizontal="left" indent="1"/>
    </xf>
    <xf numFmtId="164" fontId="0" fillId="2" borderId="1" xfId="1" applyNumberFormat="1" applyFont="1" applyFill="1" applyBorder="1"/>
    <xf numFmtId="164" fontId="10" fillId="2" borderId="0" xfId="1" applyNumberFormat="1" applyFont="1" applyFill="1"/>
    <xf numFmtId="0" fontId="10" fillId="2" borderId="0" xfId="2" applyFont="1" applyFill="1" applyAlignment="1">
      <alignment horizontal="left" indent="1"/>
    </xf>
    <xf numFmtId="0" fontId="10" fillId="2" borderId="0" xfId="2" applyFont="1" applyFill="1" applyBorder="1" applyAlignment="1">
      <alignment horizontal="left"/>
    </xf>
    <xf numFmtId="164" fontId="10" fillId="2" borderId="0" xfId="1" applyNumberFormat="1" applyFont="1" applyFill="1" applyBorder="1"/>
    <xf numFmtId="164" fontId="0" fillId="2" borderId="0" xfId="0" applyNumberFormat="1" applyFont="1" applyFill="1"/>
    <xf numFmtId="164" fontId="0" fillId="2" borderId="1" xfId="0" applyNumberFormat="1" applyFont="1" applyFill="1" applyBorder="1"/>
    <xf numFmtId="164" fontId="10" fillId="2" borderId="0" xfId="0" applyNumberFormat="1" applyFont="1" applyFill="1"/>
    <xf numFmtId="164" fontId="10" fillId="2" borderId="1" xfId="0" applyNumberFormat="1" applyFont="1" applyFill="1" applyBorder="1"/>
    <xf numFmtId="164" fontId="10" fillId="2" borderId="0" xfId="0" applyNumberFormat="1" applyFont="1" applyFill="1" applyBorder="1"/>
    <xf numFmtId="164" fontId="10" fillId="2" borderId="16" xfId="0" applyNumberFormat="1" applyFont="1" applyFill="1" applyBorder="1"/>
    <xf numFmtId="44" fontId="0" fillId="2" borderId="0" xfId="0" applyNumberFormat="1" applyFont="1" applyFill="1"/>
    <xf numFmtId="44" fontId="0" fillId="2" borderId="0" xfId="1" applyFont="1" applyFill="1"/>
    <xf numFmtId="0" fontId="0" fillId="2" borderId="17" xfId="0" applyFont="1" applyFill="1" applyBorder="1" applyAlignment="1">
      <alignment vertical="center"/>
    </xf>
    <xf numFmtId="0" fontId="0" fillId="2" borderId="18" xfId="0" applyFont="1" applyFill="1" applyBorder="1"/>
    <xf numFmtId="0" fontId="0" fillId="2" borderId="19" xfId="0" applyFont="1" applyFill="1" applyBorder="1"/>
    <xf numFmtId="0" fontId="0" fillId="2" borderId="0" xfId="0" applyFont="1" applyFill="1" applyBorder="1"/>
    <xf numFmtId="0" fontId="11" fillId="2" borderId="20" xfId="0" applyFont="1" applyFill="1" applyBorder="1" applyAlignment="1">
      <alignment vertical="center"/>
    </xf>
    <xf numFmtId="0" fontId="0" fillId="2" borderId="21" xfId="0" applyFont="1" applyFill="1" applyBorder="1"/>
    <xf numFmtId="0" fontId="4" fillId="2" borderId="0" xfId="2" applyFont="1" applyFill="1" applyAlignment="1">
      <alignment horizontal="left" wrapText="1"/>
    </xf>
    <xf numFmtId="0" fontId="0" fillId="2" borderId="0" xfId="2" applyFont="1" applyFill="1" applyBorder="1" applyAlignment="1">
      <alignment horizontal="left" indent="1"/>
    </xf>
    <xf numFmtId="0" fontId="4" fillId="2" borderId="0" xfId="2" applyFont="1" applyFill="1" applyBorder="1" applyAlignment="1">
      <alignment horizontal="left" wrapText="1"/>
    </xf>
    <xf numFmtId="0" fontId="9" fillId="2" borderId="0" xfId="0" applyFont="1" applyFill="1" applyAlignment="1">
      <alignment horizontal="center" wrapText="1"/>
    </xf>
    <xf numFmtId="0" fontId="12" fillId="2" borderId="0" xfId="2" applyFont="1" applyFill="1" applyAlignment="1">
      <alignment horizontal="left" wrapText="1"/>
    </xf>
    <xf numFmtId="0" fontId="13" fillId="2" borderId="0" xfId="0" applyFont="1" applyFill="1"/>
    <xf numFmtId="0" fontId="13" fillId="2" borderId="18" xfId="0" applyFont="1" applyFill="1" applyBorder="1"/>
    <xf numFmtId="0" fontId="13" fillId="2" borderId="19" xfId="0" applyFont="1" applyFill="1" applyBorder="1"/>
    <xf numFmtId="44" fontId="13" fillId="2" borderId="0" xfId="1" applyFont="1" applyFill="1" applyBorder="1"/>
    <xf numFmtId="0" fontId="14" fillId="2" borderId="0" xfId="2" applyFont="1" applyFill="1" applyAlignment="1">
      <alignment horizontal="left"/>
    </xf>
    <xf numFmtId="49" fontId="15" fillId="2" borderId="1" xfId="2" applyNumberFormat="1" applyFont="1" applyFill="1" applyBorder="1" applyAlignment="1">
      <alignment horizontal="center"/>
    </xf>
    <xf numFmtId="0" fontId="15" fillId="2" borderId="0" xfId="2" applyFont="1" applyFill="1" applyAlignment="1">
      <alignment horizontal="left"/>
    </xf>
    <xf numFmtId="164" fontId="13" fillId="2" borderId="0" xfId="1" applyNumberFormat="1" applyFont="1" applyFill="1"/>
    <xf numFmtId="0" fontId="16" fillId="2" borderId="0" xfId="0" applyFont="1" applyFill="1" applyAlignment="1">
      <alignment horizontal="left" vertical="center" wrapText="1"/>
    </xf>
    <xf numFmtId="0" fontId="15" fillId="2" borderId="0" xfId="0" applyFont="1" applyFill="1"/>
    <xf numFmtId="164" fontId="15" fillId="2" borderId="1" xfId="1" applyNumberFormat="1" applyFont="1" applyFill="1" applyBorder="1"/>
    <xf numFmtId="44" fontId="13" fillId="2" borderId="0" xfId="1" applyFont="1" applyFill="1"/>
    <xf numFmtId="0" fontId="13" fillId="2" borderId="0" xfId="2" applyFont="1" applyFill="1" applyBorder="1" applyAlignment="1">
      <alignment horizontal="left" indent="1"/>
    </xf>
    <xf numFmtId="164" fontId="13" fillId="2" borderId="0" xfId="1" applyNumberFormat="1" applyFont="1" applyFill="1" applyBorder="1"/>
    <xf numFmtId="164" fontId="13" fillId="2" borderId="1" xfId="1" applyNumberFormat="1" applyFont="1" applyFill="1" applyBorder="1"/>
    <xf numFmtId="164" fontId="15" fillId="2" borderId="0" xfId="1" applyNumberFormat="1" applyFont="1" applyFill="1" applyBorder="1"/>
    <xf numFmtId="0" fontId="15" fillId="2" borderId="0" xfId="2" applyFont="1" applyFill="1" applyAlignment="1">
      <alignment horizontal="left" indent="1"/>
    </xf>
    <xf numFmtId="164" fontId="13" fillId="2" borderId="0" xfId="0" applyNumberFormat="1" applyFont="1" applyFill="1"/>
    <xf numFmtId="0" fontId="13" fillId="2" borderId="0" xfId="2" applyFont="1" applyFill="1" applyAlignment="1">
      <alignment horizontal="left" indent="1"/>
    </xf>
    <xf numFmtId="164" fontId="13" fillId="2" borderId="1" xfId="0" applyNumberFormat="1" applyFont="1" applyFill="1" applyBorder="1"/>
    <xf numFmtId="164" fontId="15" fillId="2" borderId="0" xfId="0" applyNumberFormat="1" applyFont="1" applyFill="1"/>
    <xf numFmtId="164" fontId="15" fillId="2" borderId="1" xfId="0" applyNumberFormat="1" applyFont="1" applyFill="1" applyBorder="1"/>
    <xf numFmtId="0" fontId="15" fillId="2" borderId="0" xfId="2" applyFont="1" applyFill="1" applyBorder="1" applyAlignment="1">
      <alignment horizontal="left"/>
    </xf>
    <xf numFmtId="164" fontId="15" fillId="2" borderId="0" xfId="0" applyNumberFormat="1" applyFont="1" applyFill="1" applyBorder="1"/>
    <xf numFmtId="164" fontId="15" fillId="2" borderId="16" xfId="0" applyNumberFormat="1" applyFont="1" applyFill="1" applyBorder="1"/>
    <xf numFmtId="0" fontId="13" fillId="2" borderId="21" xfId="0" applyFont="1" applyFill="1" applyBorder="1"/>
    <xf numFmtId="164" fontId="13" fillId="2" borderId="0" xfId="0" applyNumberFormat="1" applyFont="1" applyFill="1" applyBorder="1"/>
    <xf numFmtId="44" fontId="13" fillId="2" borderId="0" xfId="0" applyNumberFormat="1" applyFont="1" applyFill="1"/>
    <xf numFmtId="0" fontId="13" fillId="2" borderId="17" xfId="0" applyFont="1" applyFill="1" applyBorder="1" applyAlignment="1">
      <alignment vertical="center"/>
    </xf>
    <xf numFmtId="0" fontId="13" fillId="2" borderId="0" xfId="0" applyFont="1" applyFill="1" applyBorder="1"/>
    <xf numFmtId="0" fontId="19" fillId="2" borderId="20" xfId="0" applyFont="1" applyFill="1" applyBorder="1" applyAlignment="1">
      <alignment vertical="center"/>
    </xf>
    <xf numFmtId="165" fontId="0" fillId="2" borderId="0" xfId="0" applyNumberFormat="1" applyFont="1" applyFill="1"/>
    <xf numFmtId="0" fontId="3" fillId="2" borderId="1" xfId="2" applyFont="1" applyFill="1" applyBorder="1" applyAlignment="1">
      <alignment horizont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0" fillId="2" borderId="22"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0" fontId="10" fillId="2" borderId="0" xfId="2" applyFont="1" applyFill="1" applyBorder="1" applyAlignment="1">
      <alignment horizontal="center"/>
    </xf>
    <xf numFmtId="0" fontId="13" fillId="2" borderId="22"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24" xfId="0" applyFont="1" applyFill="1" applyBorder="1" applyAlignment="1">
      <alignment horizontal="left" vertical="top" wrapText="1"/>
    </xf>
    <xf numFmtId="0" fontId="16" fillId="2" borderId="20" xfId="0" applyFont="1" applyFill="1" applyBorder="1" applyAlignment="1">
      <alignment horizontal="center" vertical="top" wrapText="1"/>
    </xf>
    <xf numFmtId="0" fontId="16" fillId="2" borderId="0" xfId="0" applyFont="1" applyFill="1" applyBorder="1" applyAlignment="1">
      <alignment horizontal="center" vertical="top" wrapText="1"/>
    </xf>
    <xf numFmtId="0" fontId="17" fillId="2" borderId="22" xfId="0" applyFont="1" applyFill="1" applyBorder="1" applyAlignment="1">
      <alignment horizontal="left" vertical="top" wrapText="1"/>
    </xf>
    <xf numFmtId="0" fontId="17" fillId="2" borderId="23" xfId="0" applyFont="1" applyFill="1" applyBorder="1" applyAlignment="1">
      <alignment horizontal="left" vertical="top" wrapText="1"/>
    </xf>
    <xf numFmtId="0" fontId="17" fillId="2" borderId="24" xfId="0" applyFont="1" applyFill="1" applyBorder="1" applyAlignment="1">
      <alignment horizontal="left" vertical="top" wrapText="1"/>
    </xf>
    <xf numFmtId="0" fontId="18" fillId="2" borderId="20" xfId="0" applyFont="1" applyFill="1" applyBorder="1" applyAlignment="1">
      <alignment vertical="center"/>
    </xf>
    <xf numFmtId="0" fontId="18" fillId="2" borderId="0" xfId="0" applyFont="1" applyFill="1" applyBorder="1" applyAlignment="1">
      <alignment vertical="center"/>
    </xf>
    <xf numFmtId="0" fontId="18" fillId="2" borderId="21" xfId="0" applyFont="1" applyFill="1" applyBorder="1" applyAlignment="1">
      <alignment vertical="center"/>
    </xf>
    <xf numFmtId="0" fontId="17" fillId="2" borderId="17" xfId="0" applyFont="1" applyFill="1" applyBorder="1" applyAlignment="1">
      <alignment vertical="center"/>
    </xf>
    <xf numFmtId="0" fontId="17" fillId="2" borderId="18" xfId="0" applyFont="1" applyFill="1" applyBorder="1" applyAlignment="1">
      <alignment vertical="center"/>
    </xf>
    <xf numFmtId="0" fontId="17" fillId="2" borderId="19" xfId="0" applyFont="1" applyFill="1" applyBorder="1" applyAlignment="1">
      <alignment vertical="center"/>
    </xf>
    <xf numFmtId="0" fontId="15" fillId="2" borderId="0" xfId="2" applyFont="1" applyFill="1" applyBorder="1" applyAlignment="1">
      <alignment horizontal="center"/>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3DB0-5BE8-4698-9A9A-6AA2470AB583}">
  <sheetPr>
    <pageSetUpPr fitToPage="1"/>
  </sheetPr>
  <dimension ref="B1:L21"/>
  <sheetViews>
    <sheetView tabSelected="1" zoomScale="80" zoomScaleNormal="80" workbookViewId="0">
      <selection activeCell="B1" sqref="B1"/>
    </sheetView>
  </sheetViews>
  <sheetFormatPr defaultColWidth="8.85546875" defaultRowHeight="15"/>
  <cols>
    <col min="1" max="1" width="4.5703125" style="10" customWidth="1"/>
    <col min="2" max="2" width="53.42578125" style="10" bestFit="1" customWidth="1"/>
    <col min="3" max="3" width="17.5703125" style="10" bestFit="1" customWidth="1"/>
    <col min="4" max="4" width="19.7109375" style="10" customWidth="1"/>
    <col min="5" max="5" width="18.5703125" style="10" bestFit="1" customWidth="1"/>
    <col min="6" max="16384" width="8.85546875" style="10"/>
  </cols>
  <sheetData>
    <row r="1" spans="2:12">
      <c r="B1" s="54" t="s">
        <v>0</v>
      </c>
      <c r="C1" s="82" t="s">
        <v>71</v>
      </c>
      <c r="D1" s="82"/>
      <c r="E1" s="82"/>
    </row>
    <row r="2" spans="2:12" ht="39">
      <c r="C2" s="16" t="s">
        <v>50</v>
      </c>
      <c r="D2" s="16" t="s">
        <v>51</v>
      </c>
      <c r="E2" s="18" t="s">
        <v>16</v>
      </c>
      <c r="G2" s="48"/>
      <c r="H2" s="48"/>
      <c r="I2" s="48"/>
      <c r="J2" s="48"/>
      <c r="K2" s="48"/>
      <c r="L2" s="48"/>
    </row>
    <row r="3" spans="2:12">
      <c r="B3" s="11" t="s">
        <v>1</v>
      </c>
      <c r="C3" s="17" t="s">
        <v>18</v>
      </c>
      <c r="D3" s="12">
        <v>2796993893.8099999</v>
      </c>
      <c r="E3" s="12">
        <v>2814169030.5100002</v>
      </c>
      <c r="G3" s="48"/>
      <c r="H3" s="48"/>
      <c r="I3" s="48"/>
      <c r="J3" s="48"/>
      <c r="K3" s="48"/>
      <c r="L3" s="48"/>
    </row>
    <row r="4" spans="2:12">
      <c r="B4" s="11" t="s">
        <v>2</v>
      </c>
      <c r="C4" s="17" t="s">
        <v>9</v>
      </c>
      <c r="D4" s="12">
        <v>13586645147.610001</v>
      </c>
      <c r="E4" s="12">
        <v>5274180157.2799997</v>
      </c>
      <c r="G4" s="48"/>
      <c r="H4" s="48"/>
      <c r="I4" s="48"/>
      <c r="J4" s="48"/>
      <c r="K4" s="48"/>
      <c r="L4" s="48"/>
    </row>
    <row r="5" spans="2:12">
      <c r="B5" s="11" t="s">
        <v>3</v>
      </c>
      <c r="C5" s="17" t="s">
        <v>10</v>
      </c>
      <c r="D5" s="12">
        <f>'Funds Received - Monthly'!N14</f>
        <v>5142536005.8200006</v>
      </c>
      <c r="E5" s="12">
        <f>'Funds Spent - Monthly'!N11</f>
        <v>5142535984.75</v>
      </c>
      <c r="G5" s="48"/>
      <c r="H5" s="48"/>
      <c r="I5" s="48"/>
      <c r="J5" s="48"/>
      <c r="K5" s="48"/>
      <c r="L5" s="48"/>
    </row>
    <row r="6" spans="2:12">
      <c r="B6" s="11" t="s">
        <v>4</v>
      </c>
      <c r="C6" s="17" t="s">
        <v>11</v>
      </c>
      <c r="D6" s="12">
        <v>1185210716.22</v>
      </c>
      <c r="E6" s="12">
        <v>1197676158.6800001</v>
      </c>
      <c r="G6" s="48"/>
      <c r="H6" s="48"/>
      <c r="I6" s="48"/>
      <c r="J6" s="48"/>
      <c r="K6" s="48"/>
      <c r="L6" s="48"/>
    </row>
    <row r="7" spans="2:12">
      <c r="B7" s="11" t="s">
        <v>5</v>
      </c>
      <c r="C7" s="17" t="s">
        <v>32</v>
      </c>
      <c r="D7" s="13">
        <v>3848263085.04</v>
      </c>
      <c r="E7" s="13">
        <v>3100777998.1500006</v>
      </c>
    </row>
    <row r="8" spans="2:12">
      <c r="B8" s="11" t="s">
        <v>7</v>
      </c>
      <c r="C8" s="17" t="s">
        <v>17</v>
      </c>
      <c r="D8" s="13">
        <f>'Funds Received - Monthly'!N24</f>
        <v>2100000000</v>
      </c>
      <c r="E8" s="13">
        <v>2061316857.8899999</v>
      </c>
    </row>
    <row r="9" spans="2:12">
      <c r="B9" s="11" t="s">
        <v>6</v>
      </c>
      <c r="C9" s="17" t="s">
        <v>12</v>
      </c>
      <c r="D9" s="13">
        <v>541480073.57000005</v>
      </c>
      <c r="E9" s="13">
        <v>254369549.40000001</v>
      </c>
    </row>
    <row r="10" spans="2:12">
      <c r="B10" s="11" t="s">
        <v>8</v>
      </c>
      <c r="C10" s="17" t="s">
        <v>70</v>
      </c>
      <c r="D10" s="13">
        <f>'Funds Received - Monthly'!N34</f>
        <v>1115000000</v>
      </c>
      <c r="E10" s="13">
        <v>783012795.15999997</v>
      </c>
    </row>
    <row r="11" spans="2:12">
      <c r="B11" s="11" t="s">
        <v>52</v>
      </c>
      <c r="C11" s="17" t="s">
        <v>53</v>
      </c>
      <c r="D11" s="13">
        <f>'Funds Received - Monthly'!N36</f>
        <v>250000000</v>
      </c>
      <c r="E11" s="13">
        <v>249725578.27000001</v>
      </c>
    </row>
    <row r="12" spans="2:12" ht="15.75" thickBot="1">
      <c r="D12" s="14">
        <f>SUM(D3:D11)</f>
        <v>30566128922.070004</v>
      </c>
      <c r="E12" s="14">
        <f>SUM(E3:E11)</f>
        <v>20877764110.090004</v>
      </c>
    </row>
    <row r="13" spans="2:12" ht="16.5" thickTop="1" thickBot="1">
      <c r="B13" s="11"/>
      <c r="D13" s="15"/>
    </row>
    <row r="14" spans="2:12" ht="19.5" thickTop="1" thickBot="1">
      <c r="B14" s="3" t="s">
        <v>13</v>
      </c>
      <c r="C14" s="1"/>
      <c r="D14" s="1"/>
      <c r="E14" s="2"/>
    </row>
    <row r="15" spans="2:12">
      <c r="B15" s="4" t="s">
        <v>14</v>
      </c>
      <c r="C15" s="5"/>
      <c r="D15" s="5"/>
      <c r="E15" s="6"/>
    </row>
    <row r="16" spans="2:12" ht="57.6" customHeight="1" thickBot="1">
      <c r="B16" s="83" t="s">
        <v>20</v>
      </c>
      <c r="C16" s="84"/>
      <c r="D16" s="84"/>
      <c r="E16" s="85"/>
    </row>
    <row r="17" spans="2:5">
      <c r="B17" s="4" t="s">
        <v>15</v>
      </c>
      <c r="C17" s="5"/>
      <c r="D17" s="5"/>
      <c r="E17" s="6"/>
    </row>
    <row r="18" spans="2:5" ht="118.5" customHeight="1" thickBot="1">
      <c r="B18" s="83" t="s">
        <v>63</v>
      </c>
      <c r="C18" s="84"/>
      <c r="D18" s="84"/>
      <c r="E18" s="85"/>
    </row>
    <row r="19" spans="2:5">
      <c r="B19" s="7" t="s">
        <v>16</v>
      </c>
      <c r="C19" s="8"/>
      <c r="D19" s="8"/>
      <c r="E19" s="9"/>
    </row>
    <row r="20" spans="2:5" ht="84.75" customHeight="1" thickBot="1">
      <c r="B20" s="86" t="s">
        <v>21</v>
      </c>
      <c r="C20" s="87"/>
      <c r="D20" s="87"/>
      <c r="E20" s="88"/>
    </row>
    <row r="21" spans="2:5" ht="15.75" thickTop="1"/>
  </sheetData>
  <mergeCells count="4">
    <mergeCell ref="C1:E1"/>
    <mergeCell ref="B16:E16"/>
    <mergeCell ref="B18:E18"/>
    <mergeCell ref="B20:E20"/>
  </mergeCells>
  <pageMargins left="0.25" right="0.25" top="0.75" bottom="0.75" header="0.3" footer="0.3"/>
  <pageSetup scale="93"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8A81-0C83-426A-9043-2890D9C3B670}">
  <sheetPr>
    <pageSetUpPr fitToPage="1"/>
  </sheetPr>
  <dimension ref="B1:R43"/>
  <sheetViews>
    <sheetView zoomScale="70" zoomScaleNormal="70" workbookViewId="0">
      <pane xSplit="2" ySplit="2" topLeftCell="C3" activePane="bottomRight" state="frozen"/>
      <selection pane="topRight" activeCell="C1" sqref="C1"/>
      <selection pane="bottomLeft" activeCell="A3" sqref="A3"/>
      <selection pane="bottomRight" activeCell="B1" sqref="B1"/>
    </sheetView>
  </sheetViews>
  <sheetFormatPr defaultColWidth="8.85546875" defaultRowHeight="15"/>
  <cols>
    <col min="1" max="1" width="1.85546875" style="19" customWidth="1"/>
    <col min="2" max="2" width="53" style="19" bestFit="1" customWidth="1"/>
    <col min="3" max="3" width="23" style="19" bestFit="1" customWidth="1"/>
    <col min="4" max="4" width="22.5703125" style="19" bestFit="1" customWidth="1"/>
    <col min="5" max="5" width="23.42578125" style="19" bestFit="1" customWidth="1"/>
    <col min="6" max="6" width="22.5703125" style="38" bestFit="1" customWidth="1"/>
    <col min="7" max="10" width="23.42578125" style="19" bestFit="1" customWidth="1"/>
    <col min="11" max="11" width="22.5703125" style="19" bestFit="1" customWidth="1"/>
    <col min="12" max="12" width="23.42578125" style="19" bestFit="1" customWidth="1"/>
    <col min="13" max="13" width="23" style="19" bestFit="1" customWidth="1"/>
    <col min="14" max="15" width="23.42578125" style="19" bestFit="1" customWidth="1"/>
    <col min="16" max="16384" width="8.85546875" style="19"/>
  </cols>
  <sheetData>
    <row r="1" spans="2:18">
      <c r="B1" s="54" t="s">
        <v>0</v>
      </c>
      <c r="C1" s="92" t="s">
        <v>31</v>
      </c>
      <c r="D1" s="92"/>
      <c r="E1" s="92"/>
      <c r="F1" s="92"/>
      <c r="G1" s="92"/>
      <c r="H1" s="92"/>
      <c r="I1" s="92"/>
      <c r="J1" s="92"/>
      <c r="K1" s="92"/>
      <c r="L1" s="92"/>
      <c r="M1" s="92"/>
      <c r="N1" s="92"/>
      <c r="O1" s="92"/>
    </row>
    <row r="2" spans="2:18" ht="41.45" customHeight="1">
      <c r="C2" s="20" t="s">
        <v>30</v>
      </c>
      <c r="D2" s="20" t="s">
        <v>29</v>
      </c>
      <c r="E2" s="20" t="s">
        <v>28</v>
      </c>
      <c r="F2" s="20" t="s">
        <v>27</v>
      </c>
      <c r="G2" s="20" t="s">
        <v>26</v>
      </c>
      <c r="H2" s="20" t="s">
        <v>25</v>
      </c>
      <c r="I2" s="20" t="s">
        <v>37</v>
      </c>
      <c r="J2" s="20" t="s">
        <v>24</v>
      </c>
      <c r="K2" s="20" t="s">
        <v>23</v>
      </c>
      <c r="L2" s="20" t="s">
        <v>22</v>
      </c>
      <c r="M2" s="20" t="s">
        <v>57</v>
      </c>
      <c r="N2" s="20" t="s">
        <v>58</v>
      </c>
      <c r="O2" s="20" t="s">
        <v>72</v>
      </c>
    </row>
    <row r="3" spans="2:18" ht="15.6" customHeight="1">
      <c r="B3" s="21"/>
      <c r="C3" s="12"/>
      <c r="D3" s="12"/>
      <c r="E3" s="12"/>
      <c r="F3" s="12"/>
      <c r="G3" s="12"/>
      <c r="H3" s="12"/>
      <c r="I3" s="12"/>
      <c r="J3" s="12"/>
      <c r="K3" s="12"/>
      <c r="L3" s="12"/>
      <c r="M3" s="12"/>
      <c r="N3" s="12"/>
      <c r="O3" s="12"/>
      <c r="P3" s="22"/>
      <c r="Q3" s="22"/>
      <c r="R3" s="22"/>
    </row>
    <row r="4" spans="2:18" s="24" customFormat="1" ht="45">
      <c r="B4" s="45" t="s">
        <v>61</v>
      </c>
      <c r="C4" s="23">
        <v>924541007.49000001</v>
      </c>
      <c r="D4" s="23">
        <v>1024622380.349999</v>
      </c>
      <c r="E4" s="23">
        <v>1127424455.3</v>
      </c>
      <c r="F4" s="23">
        <v>1429863176.0699992</v>
      </c>
      <c r="G4" s="23">
        <v>1546927202.809999</v>
      </c>
      <c r="H4" s="23">
        <v>1646497289.4099989</v>
      </c>
      <c r="I4" s="23">
        <v>1996514007.8799992</v>
      </c>
      <c r="J4" s="23">
        <v>2202743359.6899991</v>
      </c>
      <c r="K4" s="23">
        <v>2325774734.5100002</v>
      </c>
      <c r="L4" s="23">
        <v>2487482564.3099999</v>
      </c>
      <c r="M4" s="23">
        <v>2577675277.5799999</v>
      </c>
      <c r="N4" s="23">
        <v>2710819896.7600002</v>
      </c>
      <c r="O4" s="23">
        <v>2796993893.8099999</v>
      </c>
    </row>
    <row r="5" spans="2:18">
      <c r="B5" s="21"/>
      <c r="C5" s="12"/>
      <c r="D5" s="12"/>
      <c r="E5" s="12"/>
      <c r="F5" s="12"/>
      <c r="G5" s="12"/>
      <c r="H5" s="12"/>
      <c r="I5" s="12"/>
      <c r="J5" s="12"/>
      <c r="K5" s="12"/>
      <c r="L5" s="12"/>
      <c r="M5" s="12"/>
      <c r="N5" s="12"/>
      <c r="O5" s="12"/>
      <c r="P5" s="22"/>
      <c r="Q5" s="22"/>
      <c r="R5" s="22"/>
    </row>
    <row r="6" spans="2:18">
      <c r="B6" s="45" t="s">
        <v>2</v>
      </c>
      <c r="F6" s="19"/>
      <c r="P6" s="22"/>
      <c r="Q6" s="22"/>
      <c r="R6" s="22"/>
    </row>
    <row r="7" spans="2:18" ht="15" customHeight="1">
      <c r="B7" s="25" t="s">
        <v>36</v>
      </c>
      <c r="C7" s="12">
        <v>13132106036</v>
      </c>
      <c r="D7" s="12">
        <v>13132106036</v>
      </c>
      <c r="E7" s="12">
        <v>13132106036</v>
      </c>
      <c r="F7" s="12">
        <v>13132106036</v>
      </c>
      <c r="G7" s="12">
        <v>13132106036</v>
      </c>
      <c r="H7" s="12">
        <v>13132106036</v>
      </c>
      <c r="I7" s="12">
        <v>13132106036</v>
      </c>
      <c r="J7" s="12">
        <f>13132106036-34366.55</f>
        <v>13132071669.450001</v>
      </c>
      <c r="K7" s="12">
        <f t="shared" ref="K7" si="0">13132106036-34366.55</f>
        <v>13132071669.450001</v>
      </c>
      <c r="L7" s="12">
        <f>13132106036-34366.55+387124447</f>
        <v>13519196116.450001</v>
      </c>
      <c r="M7" s="12">
        <f t="shared" ref="M7:O7" si="1">13132106036-34366.55+387124447</f>
        <v>13519196116.450001</v>
      </c>
      <c r="N7" s="12">
        <f t="shared" si="1"/>
        <v>13519196116.450001</v>
      </c>
      <c r="O7" s="12">
        <f t="shared" si="1"/>
        <v>13519196116.450001</v>
      </c>
      <c r="P7" s="22"/>
      <c r="Q7" s="22"/>
      <c r="R7" s="22"/>
    </row>
    <row r="8" spans="2:18" ht="15" customHeight="1">
      <c r="B8" s="46" t="s">
        <v>34</v>
      </c>
      <c r="C8" s="26">
        <v>1839478.25</v>
      </c>
      <c r="D8" s="26">
        <f>C8+549783.09</f>
        <v>2389261.34</v>
      </c>
      <c r="E8" s="26">
        <f>D8+601342.69</f>
        <v>2990604.03</v>
      </c>
      <c r="F8" s="26">
        <f>E8+656217.3</f>
        <v>3646821.33</v>
      </c>
      <c r="G8" s="26">
        <f>F8+841718.27</f>
        <v>4488539.5999999996</v>
      </c>
      <c r="H8" s="26">
        <f>G8+1040972.87</f>
        <v>5529512.4699999997</v>
      </c>
      <c r="I8" s="26">
        <f>H8+1269091.94</f>
        <v>6798604.4100000001</v>
      </c>
      <c r="J8" s="26">
        <f>I8+2182041.36</f>
        <v>8980645.7699999996</v>
      </c>
      <c r="K8" s="26">
        <f>J8+4146747.51</f>
        <v>13127393.279999999</v>
      </c>
      <c r="L8" s="26">
        <f>K8+7912534.87</f>
        <v>21039928.149999999</v>
      </c>
      <c r="M8" s="26">
        <f>L8+10971046.6</f>
        <v>32010974.75</v>
      </c>
      <c r="N8" s="26">
        <f>M8+15459752.01</f>
        <v>47470726.759999998</v>
      </c>
      <c r="O8" s="26">
        <f>N8+19978304.4</f>
        <v>67449031.159999996</v>
      </c>
      <c r="P8" s="22"/>
      <c r="Q8" s="22"/>
      <c r="R8" s="22"/>
    </row>
    <row r="9" spans="2:18" s="24" customFormat="1">
      <c r="B9" s="45" t="s">
        <v>35</v>
      </c>
      <c r="C9" s="27">
        <f>SUM(C7:C8)</f>
        <v>13133945514.25</v>
      </c>
      <c r="D9" s="27">
        <f t="shared" ref="D9:N9" si="2">SUM(D7:D8)</f>
        <v>13134495297.34</v>
      </c>
      <c r="E9" s="27">
        <f t="shared" si="2"/>
        <v>13135096640.030001</v>
      </c>
      <c r="F9" s="27">
        <f t="shared" si="2"/>
        <v>13135752857.33</v>
      </c>
      <c r="G9" s="27">
        <f t="shared" si="2"/>
        <v>13136594575.6</v>
      </c>
      <c r="H9" s="27">
        <f t="shared" si="2"/>
        <v>13137635548.469999</v>
      </c>
      <c r="I9" s="27">
        <f t="shared" si="2"/>
        <v>13138904640.41</v>
      </c>
      <c r="J9" s="27">
        <f t="shared" si="2"/>
        <v>13141052315.220001</v>
      </c>
      <c r="K9" s="27">
        <f t="shared" si="2"/>
        <v>13145199062.730001</v>
      </c>
      <c r="L9" s="27">
        <f t="shared" si="2"/>
        <v>13540236044.6</v>
      </c>
      <c r="M9" s="27">
        <f t="shared" si="2"/>
        <v>13551207091.200001</v>
      </c>
      <c r="N9" s="27">
        <f t="shared" si="2"/>
        <v>13566666843.210001</v>
      </c>
      <c r="O9" s="27">
        <f t="shared" ref="O9" si="3">SUM(O7:O8)</f>
        <v>13586645147.610001</v>
      </c>
      <c r="P9" s="22"/>
      <c r="Q9" s="22"/>
      <c r="R9" s="22"/>
    </row>
    <row r="10" spans="2:18">
      <c r="B10" s="28"/>
      <c r="C10" s="12"/>
      <c r="D10" s="12"/>
      <c r="E10" s="12"/>
      <c r="F10" s="12"/>
      <c r="G10" s="12"/>
      <c r="H10" s="12"/>
      <c r="I10" s="12"/>
      <c r="J10" s="12"/>
      <c r="K10" s="12"/>
      <c r="L10" s="12"/>
      <c r="M10" s="12"/>
      <c r="N10" s="12"/>
      <c r="O10" s="12"/>
      <c r="P10" s="22"/>
      <c r="Q10" s="22"/>
      <c r="R10" s="22"/>
    </row>
    <row r="11" spans="2:18" s="24" customFormat="1">
      <c r="B11" s="45" t="s">
        <v>48</v>
      </c>
      <c r="P11" s="22"/>
      <c r="Q11" s="22"/>
      <c r="R11" s="22"/>
    </row>
    <row r="12" spans="2:18" s="24" customFormat="1">
      <c r="B12" s="25" t="s">
        <v>36</v>
      </c>
      <c r="C12" s="12">
        <v>5135624853.1000004</v>
      </c>
      <c r="D12" s="12">
        <v>5135624853.1000004</v>
      </c>
      <c r="E12" s="12">
        <v>5135624853.1000004</v>
      </c>
      <c r="F12" s="12">
        <v>5135624853.1000004</v>
      </c>
      <c r="G12" s="12">
        <v>5135624853.1000004</v>
      </c>
      <c r="H12" s="12">
        <v>5135624853.1000004</v>
      </c>
      <c r="I12" s="12">
        <v>5135624853.1000004</v>
      </c>
      <c r="J12" s="12">
        <v>5135624853.1000004</v>
      </c>
      <c r="K12" s="12">
        <v>5135624853.1000004</v>
      </c>
      <c r="L12" s="12">
        <v>5135624853.1000004</v>
      </c>
      <c r="M12" s="12">
        <v>5135624853.1000004</v>
      </c>
      <c r="N12" s="12">
        <v>5135624853.1000004</v>
      </c>
      <c r="O12" s="12">
        <v>5135624853.1000004</v>
      </c>
      <c r="P12" s="22"/>
      <c r="Q12" s="22"/>
      <c r="R12" s="22"/>
    </row>
    <row r="13" spans="2:18" s="24" customFormat="1">
      <c r="B13" s="46" t="s">
        <v>34</v>
      </c>
      <c r="C13" s="26">
        <v>6633456.7199999997</v>
      </c>
      <c r="D13" s="26">
        <f>C13+52516.59</f>
        <v>6685973.3099999996</v>
      </c>
      <c r="E13" s="26">
        <f>D13+57442.02</f>
        <v>6743415.3299999991</v>
      </c>
      <c r="F13" s="26">
        <f>E13+62659.53</f>
        <v>6806074.8599999994</v>
      </c>
      <c r="G13" s="26">
        <f>F13+63814.39</f>
        <v>6869889.2499999991</v>
      </c>
      <c r="H13" s="26">
        <f>G13+9745.1</f>
        <v>6879634.3499999987</v>
      </c>
      <c r="I13" s="26">
        <f>H13+11881.97</f>
        <v>6891516.3199999984</v>
      </c>
      <c r="J13" s="26">
        <f>I13+19596.88</f>
        <v>6911113.1999999983</v>
      </c>
      <c r="K13" s="26">
        <f>J13+10.08</f>
        <v>6911123.2799999984</v>
      </c>
      <c r="L13" s="26">
        <f>K13+12.17</f>
        <v>6911135.4499999983</v>
      </c>
      <c r="M13" s="26">
        <f>L13+17.27</f>
        <v>6911152.7199999979</v>
      </c>
      <c r="N13" s="26">
        <f>M13+0</f>
        <v>6911152.7199999979</v>
      </c>
      <c r="O13" s="26">
        <f>N13+0</f>
        <v>6911152.7199999979</v>
      </c>
      <c r="P13" s="22"/>
      <c r="Q13" s="22"/>
      <c r="R13" s="22"/>
    </row>
    <row r="14" spans="2:18" s="24" customFormat="1">
      <c r="B14" s="45" t="s">
        <v>47</v>
      </c>
      <c r="C14" s="30">
        <f>SUM(C12:C13)</f>
        <v>5142258309.8200006</v>
      </c>
      <c r="D14" s="30">
        <f t="shared" ref="D14:N14" si="4">SUM(D12:D13)</f>
        <v>5142310826.4100008</v>
      </c>
      <c r="E14" s="30">
        <f t="shared" si="4"/>
        <v>5142368268.4300003</v>
      </c>
      <c r="F14" s="30">
        <f t="shared" si="4"/>
        <v>5142430927.96</v>
      </c>
      <c r="G14" s="30">
        <f t="shared" si="4"/>
        <v>5142494742.3500004</v>
      </c>
      <c r="H14" s="30">
        <f t="shared" si="4"/>
        <v>5142504487.4500008</v>
      </c>
      <c r="I14" s="30">
        <f t="shared" si="4"/>
        <v>5142516369.4200001</v>
      </c>
      <c r="J14" s="30">
        <f t="shared" si="4"/>
        <v>5142535966.3000002</v>
      </c>
      <c r="K14" s="30">
        <f t="shared" si="4"/>
        <v>5142535976.3800001</v>
      </c>
      <c r="L14" s="30">
        <f t="shared" si="4"/>
        <v>5142535988.5500002</v>
      </c>
      <c r="M14" s="30">
        <f t="shared" si="4"/>
        <v>5142536005.8200006</v>
      </c>
      <c r="N14" s="30">
        <f t="shared" si="4"/>
        <v>5142536005.8200006</v>
      </c>
      <c r="O14" s="30">
        <f t="shared" ref="O14" si="5">SUM(O12:O13)</f>
        <v>5142536005.8200006</v>
      </c>
      <c r="P14" s="22"/>
      <c r="Q14" s="22"/>
      <c r="R14" s="22"/>
    </row>
    <row r="15" spans="2:18">
      <c r="B15" s="21"/>
      <c r="C15" s="12"/>
      <c r="D15" s="12"/>
      <c r="E15" s="12"/>
      <c r="F15" s="12"/>
      <c r="G15" s="12"/>
      <c r="H15" s="12"/>
      <c r="I15" s="12"/>
      <c r="J15" s="12"/>
      <c r="K15" s="12"/>
      <c r="L15" s="12"/>
      <c r="M15" s="12"/>
      <c r="N15" s="12"/>
      <c r="O15" s="12"/>
      <c r="P15" s="22"/>
      <c r="Q15" s="22"/>
      <c r="R15" s="22"/>
    </row>
    <row r="16" spans="2:18" s="24" customFormat="1">
      <c r="B16" s="45" t="s">
        <v>59</v>
      </c>
      <c r="C16" s="23">
        <v>340653890.87</v>
      </c>
      <c r="D16" s="23">
        <v>486159009.75000906</v>
      </c>
      <c r="E16" s="23">
        <v>624253638.71999991</v>
      </c>
      <c r="F16" s="23">
        <v>785792570.02000952</v>
      </c>
      <c r="G16" s="23">
        <v>925832835.51007116</v>
      </c>
      <c r="H16" s="23">
        <v>989170389.75007522</v>
      </c>
      <c r="I16" s="23">
        <v>1039575079.0801208</v>
      </c>
      <c r="J16" s="23">
        <v>1056551224.5301164</v>
      </c>
      <c r="K16" s="23">
        <v>1070255283.88</v>
      </c>
      <c r="L16" s="23">
        <v>1068953798.0299999</v>
      </c>
      <c r="M16" s="23">
        <v>1070224231.67</v>
      </c>
      <c r="N16" s="23">
        <v>1150345932.9799998</v>
      </c>
      <c r="O16" s="23">
        <v>1185210716.22</v>
      </c>
    </row>
    <row r="17" spans="2:18">
      <c r="B17" s="21"/>
      <c r="C17" s="12"/>
      <c r="D17" s="12"/>
      <c r="E17" s="12"/>
      <c r="F17" s="12"/>
      <c r="G17" s="12"/>
      <c r="H17" s="12"/>
      <c r="I17" s="12"/>
      <c r="J17" s="12"/>
      <c r="K17" s="12"/>
      <c r="L17" s="12"/>
      <c r="M17" s="12"/>
      <c r="N17" s="12"/>
      <c r="O17" s="12"/>
      <c r="P17" s="22"/>
      <c r="Q17" s="22"/>
      <c r="R17" s="22"/>
    </row>
    <row r="18" spans="2:18">
      <c r="B18" s="45" t="s">
        <v>5</v>
      </c>
      <c r="C18" s="31"/>
      <c r="D18" s="31"/>
      <c r="E18" s="31"/>
      <c r="F18" s="31"/>
      <c r="G18" s="31"/>
      <c r="H18" s="31"/>
      <c r="I18" s="31"/>
      <c r="J18" s="31"/>
      <c r="K18" s="31"/>
      <c r="L18" s="31"/>
      <c r="M18" s="31"/>
      <c r="N18" s="31"/>
      <c r="O18" s="31"/>
    </row>
    <row r="19" spans="2:18">
      <c r="B19" s="25" t="s">
        <v>36</v>
      </c>
      <c r="C19" s="31">
        <v>1689668547.5599999</v>
      </c>
      <c r="D19" s="31">
        <f>C19+735573109.44</f>
        <v>2425241657</v>
      </c>
      <c r="E19" s="31">
        <v>2425241657</v>
      </c>
      <c r="F19" s="31">
        <v>2425241657</v>
      </c>
      <c r="G19" s="31">
        <v>2425241657</v>
      </c>
      <c r="H19" s="31">
        <v>2425241657</v>
      </c>
      <c r="I19" s="31">
        <f>H19+27219044.18</f>
        <v>2452460701.1799998</v>
      </c>
      <c r="J19" s="31">
        <f>I19+119204649.68</f>
        <v>2571665350.8599997</v>
      </c>
      <c r="K19" s="31">
        <v>2571665350.8599997</v>
      </c>
      <c r="L19" s="31">
        <v>2571665350.8599997</v>
      </c>
      <c r="M19" s="31">
        <v>2571665350.8599997</v>
      </c>
      <c r="N19" s="31">
        <f>M19+99354877.39</f>
        <v>2671020228.2499995</v>
      </c>
      <c r="O19" s="31">
        <v>2671020228.2499995</v>
      </c>
    </row>
    <row r="20" spans="2:18">
      <c r="B20" s="25" t="s">
        <v>38</v>
      </c>
      <c r="C20" s="31">
        <v>1050000000</v>
      </c>
      <c r="D20" s="31">
        <v>1050000000</v>
      </c>
      <c r="E20" s="31">
        <v>1050000000</v>
      </c>
      <c r="F20" s="31">
        <v>1050000000</v>
      </c>
      <c r="G20" s="31">
        <v>1050000000</v>
      </c>
      <c r="H20" s="31">
        <v>1050000000</v>
      </c>
      <c r="I20" s="31">
        <v>1050000000</v>
      </c>
      <c r="J20" s="31">
        <f>1050000000+125000000</f>
        <v>1175000000</v>
      </c>
      <c r="K20" s="31">
        <v>1175000000</v>
      </c>
      <c r="L20" s="31">
        <v>1175000000</v>
      </c>
      <c r="M20" s="31">
        <v>1175000000</v>
      </c>
      <c r="N20" s="31">
        <v>1175000000</v>
      </c>
      <c r="O20" s="31">
        <v>1175000000</v>
      </c>
    </row>
    <row r="21" spans="2:18">
      <c r="B21" s="46" t="s">
        <v>34</v>
      </c>
      <c r="C21" s="32">
        <v>486483.7</v>
      </c>
      <c r="D21" s="32">
        <f>C21+51974.21</f>
        <v>538457.91</v>
      </c>
      <c r="E21" s="32">
        <f>D21+42048.52</f>
        <v>580506.43000000005</v>
      </c>
      <c r="F21" s="32">
        <f>E21+66944.9</f>
        <v>647451.33000000007</v>
      </c>
      <c r="G21" s="32">
        <f>F21+74072.83</f>
        <v>721524.16</v>
      </c>
      <c r="H21" s="32">
        <f>G21+79065.6</f>
        <v>800589.76</v>
      </c>
      <c r="I21" s="32">
        <f>H21+79482.23</f>
        <v>880071.99</v>
      </c>
      <c r="J21" s="32">
        <f>I21+114391.08</f>
        <v>994463.07</v>
      </c>
      <c r="K21" s="32">
        <f>J21+198004.58</f>
        <v>1192467.6499999999</v>
      </c>
      <c r="L21" s="32">
        <f>K21+279720.82</f>
        <v>1472188.47</v>
      </c>
      <c r="M21" s="32">
        <f>L21+258920.16</f>
        <v>1731108.63</v>
      </c>
      <c r="N21" s="32">
        <f>M21+201108.54</f>
        <v>1932217.17</v>
      </c>
      <c r="O21" s="32">
        <f>N21+310639.62</f>
        <v>2242856.79</v>
      </c>
    </row>
    <row r="22" spans="2:18" s="24" customFormat="1">
      <c r="B22" s="45" t="s">
        <v>39</v>
      </c>
      <c r="C22" s="33">
        <f>SUM(C19:C21)</f>
        <v>2740155031.2599998</v>
      </c>
      <c r="D22" s="33">
        <f t="shared" ref="D22:G22" si="6">SUM(D19:D21)</f>
        <v>3475780114.9099998</v>
      </c>
      <c r="E22" s="33">
        <f t="shared" si="6"/>
        <v>3475822163.4299998</v>
      </c>
      <c r="F22" s="33">
        <f t="shared" si="6"/>
        <v>3475889108.3299999</v>
      </c>
      <c r="G22" s="33">
        <f t="shared" si="6"/>
        <v>3475963181.1599998</v>
      </c>
      <c r="H22" s="33">
        <f t="shared" ref="H22" si="7">SUM(H19:H21)</f>
        <v>3476042246.7600002</v>
      </c>
      <c r="I22" s="33">
        <f t="shared" ref="I22" si="8">SUM(I19:I21)</f>
        <v>3503340773.1699996</v>
      </c>
      <c r="J22" s="33">
        <f t="shared" ref="J22:K22" si="9">SUM(J19:J21)</f>
        <v>3747659813.9299998</v>
      </c>
      <c r="K22" s="33">
        <f t="shared" si="9"/>
        <v>3747857818.5099998</v>
      </c>
      <c r="L22" s="33">
        <f t="shared" ref="L22" si="10">SUM(L19:L21)</f>
        <v>3748137539.3299994</v>
      </c>
      <c r="M22" s="33">
        <f t="shared" ref="M22" si="11">SUM(M19:M21)</f>
        <v>3748396459.4899998</v>
      </c>
      <c r="N22" s="33">
        <f t="shared" ref="N22:O22" si="12">SUM(N19:N21)</f>
        <v>3847952445.4199996</v>
      </c>
      <c r="O22" s="33">
        <f t="shared" si="12"/>
        <v>3848263085.0399995</v>
      </c>
    </row>
    <row r="23" spans="2:18">
      <c r="B23" s="28"/>
      <c r="C23" s="31"/>
      <c r="D23" s="31"/>
      <c r="E23" s="31"/>
      <c r="F23" s="31"/>
      <c r="G23" s="31"/>
      <c r="H23" s="31"/>
      <c r="I23" s="31"/>
      <c r="J23" s="31"/>
      <c r="K23" s="31"/>
      <c r="L23" s="31"/>
      <c r="M23" s="31"/>
      <c r="N23" s="31"/>
      <c r="O23" s="31"/>
    </row>
    <row r="24" spans="2:18" s="24" customFormat="1" ht="30">
      <c r="B24" s="45" t="s">
        <v>62</v>
      </c>
      <c r="C24" s="34">
        <v>2100000000</v>
      </c>
      <c r="D24" s="34">
        <v>2100000000</v>
      </c>
      <c r="E24" s="34">
        <v>2100000000</v>
      </c>
      <c r="F24" s="34">
        <v>2100000000</v>
      </c>
      <c r="G24" s="34">
        <v>2100000000</v>
      </c>
      <c r="H24" s="34">
        <v>2100000000</v>
      </c>
      <c r="I24" s="34">
        <v>2100000000</v>
      </c>
      <c r="J24" s="34">
        <v>2100000000</v>
      </c>
      <c r="K24" s="34">
        <v>2100000000</v>
      </c>
      <c r="L24" s="34">
        <v>2100000000</v>
      </c>
      <c r="M24" s="34">
        <v>2100000000</v>
      </c>
      <c r="N24" s="34">
        <v>2100000000</v>
      </c>
      <c r="O24" s="34">
        <v>2100000000</v>
      </c>
    </row>
    <row r="25" spans="2:18">
      <c r="B25" s="28"/>
      <c r="C25" s="31"/>
      <c r="D25" s="31"/>
      <c r="E25" s="31"/>
      <c r="F25" s="31"/>
      <c r="G25" s="31"/>
      <c r="H25" s="31"/>
      <c r="I25" s="31"/>
      <c r="J25" s="31"/>
      <c r="K25" s="31"/>
      <c r="L25" s="31"/>
      <c r="M25" s="31"/>
      <c r="N25" s="31"/>
      <c r="O25" s="31"/>
    </row>
    <row r="26" spans="2:18">
      <c r="B26" s="45" t="s">
        <v>6</v>
      </c>
      <c r="C26" s="31"/>
      <c r="D26" s="31"/>
      <c r="E26" s="31"/>
      <c r="F26" s="31"/>
      <c r="G26" s="31"/>
      <c r="H26" s="31"/>
      <c r="I26" s="31"/>
      <c r="J26" s="31"/>
      <c r="K26" s="31"/>
      <c r="L26" s="31"/>
      <c r="M26" s="31"/>
      <c r="N26" s="31"/>
      <c r="O26" s="31"/>
    </row>
    <row r="27" spans="2:18">
      <c r="B27" s="25" t="s">
        <v>36</v>
      </c>
      <c r="C27" s="12">
        <v>53945851.799999997</v>
      </c>
      <c r="D27" s="12">
        <v>53945851.799999997</v>
      </c>
      <c r="E27" s="81">
        <f>D27+485512666.2</f>
        <v>539458518</v>
      </c>
      <c r="F27" s="81">
        <v>539458518</v>
      </c>
      <c r="G27" s="81">
        <v>539458518</v>
      </c>
      <c r="H27" s="81">
        <v>539458518</v>
      </c>
      <c r="I27" s="81">
        <v>539458518</v>
      </c>
      <c r="J27" s="81">
        <v>539458518</v>
      </c>
      <c r="K27" s="81">
        <v>539458518</v>
      </c>
      <c r="L27" s="81">
        <v>539458518</v>
      </c>
      <c r="M27" s="81">
        <v>539458518</v>
      </c>
      <c r="N27" s="81">
        <v>539458518</v>
      </c>
      <c r="O27" s="81">
        <v>539458518</v>
      </c>
    </row>
    <row r="28" spans="2:18">
      <c r="B28" s="46" t="s">
        <v>34</v>
      </c>
      <c r="C28" s="26">
        <v>7671.22</v>
      </c>
      <c r="D28" s="26">
        <f>C28+817.46</f>
        <v>8488.68</v>
      </c>
      <c r="E28" s="26">
        <f>D28+186.53</f>
        <v>8675.2100000000009</v>
      </c>
      <c r="F28" s="26">
        <f>E28+7701.31</f>
        <v>16376.52</v>
      </c>
      <c r="G28" s="26">
        <f>F28+31754.95</f>
        <v>48131.47</v>
      </c>
      <c r="H28" s="26">
        <f>G28+38171.01</f>
        <v>86302.48000000001</v>
      </c>
      <c r="I28" s="26">
        <f>H28+46535.81</f>
        <v>132838.29</v>
      </c>
      <c r="J28" s="26">
        <f>I28+80008.2</f>
        <v>212846.49</v>
      </c>
      <c r="K28" s="26">
        <f>J28+151929.48</f>
        <v>364775.97</v>
      </c>
      <c r="L28" s="26">
        <f>K28+289705.43</f>
        <v>654481.39999999991</v>
      </c>
      <c r="M28" s="26">
        <f>L28+383322.91</f>
        <v>1037804.3099999998</v>
      </c>
      <c r="N28" s="26">
        <f>M28+433315</f>
        <v>1471119.3099999998</v>
      </c>
      <c r="O28" s="26">
        <f>N28+550436.26</f>
        <v>2021555.5699999998</v>
      </c>
    </row>
    <row r="29" spans="2:18" s="24" customFormat="1">
      <c r="B29" s="47" t="s">
        <v>40</v>
      </c>
      <c r="C29" s="33">
        <f>SUM(C27:C28)</f>
        <v>53953523.019999996</v>
      </c>
      <c r="D29" s="33">
        <f t="shared" ref="D29:N29" si="13">SUM(D27:D28)</f>
        <v>53954340.479999997</v>
      </c>
      <c r="E29" s="33">
        <f t="shared" si="13"/>
        <v>539467193.21000004</v>
      </c>
      <c r="F29" s="33">
        <f t="shared" si="13"/>
        <v>539474894.51999998</v>
      </c>
      <c r="G29" s="33">
        <f t="shared" si="13"/>
        <v>539506649.47000003</v>
      </c>
      <c r="H29" s="33">
        <f t="shared" si="13"/>
        <v>539544820.48000002</v>
      </c>
      <c r="I29" s="33">
        <f t="shared" si="13"/>
        <v>539591356.28999996</v>
      </c>
      <c r="J29" s="33">
        <f t="shared" si="13"/>
        <v>539671364.49000001</v>
      </c>
      <c r="K29" s="33">
        <f t="shared" si="13"/>
        <v>539823293.97000003</v>
      </c>
      <c r="L29" s="33">
        <f t="shared" si="13"/>
        <v>540112999.39999998</v>
      </c>
      <c r="M29" s="33">
        <f t="shared" si="13"/>
        <v>540496322.30999994</v>
      </c>
      <c r="N29" s="33">
        <f t="shared" si="13"/>
        <v>540929637.30999994</v>
      </c>
      <c r="O29" s="33">
        <f t="shared" ref="O29" si="14">SUM(O27:O28)</f>
        <v>541480073.57000005</v>
      </c>
    </row>
    <row r="30" spans="2:18" s="24" customFormat="1">
      <c r="B30" s="21"/>
      <c r="C30" s="31"/>
      <c r="D30" s="31"/>
      <c r="E30" s="31"/>
      <c r="F30" s="31"/>
      <c r="G30" s="31"/>
      <c r="H30" s="31"/>
      <c r="I30" s="31"/>
      <c r="J30" s="31"/>
      <c r="K30" s="31"/>
      <c r="L30" s="31"/>
      <c r="M30" s="31"/>
      <c r="N30" s="31"/>
      <c r="O30" s="31"/>
    </row>
    <row r="31" spans="2:18">
      <c r="B31" s="45" t="s">
        <v>8</v>
      </c>
      <c r="F31" s="19"/>
    </row>
    <row r="32" spans="2:18">
      <c r="B32" s="25" t="s">
        <v>36</v>
      </c>
      <c r="C32" s="31">
        <v>0</v>
      </c>
      <c r="D32" s="31">
        <v>0</v>
      </c>
      <c r="E32" s="31">
        <v>0</v>
      </c>
      <c r="F32" s="31">
        <v>0</v>
      </c>
      <c r="G32" s="31">
        <v>0</v>
      </c>
      <c r="H32" s="31">
        <v>0</v>
      </c>
      <c r="I32" s="31">
        <v>0</v>
      </c>
      <c r="J32" s="31">
        <v>0</v>
      </c>
      <c r="K32" s="31">
        <v>0</v>
      </c>
      <c r="L32" s="31">
        <v>0</v>
      </c>
      <c r="M32" s="31">
        <v>0</v>
      </c>
      <c r="N32" s="31">
        <v>0</v>
      </c>
      <c r="O32" s="31">
        <v>0</v>
      </c>
    </row>
    <row r="33" spans="2:15">
      <c r="B33" s="46" t="s">
        <v>38</v>
      </c>
      <c r="C33" s="32">
        <f>800000000+25000000+40000000</f>
        <v>865000000</v>
      </c>
      <c r="D33" s="32">
        <f t="shared" ref="D33:I33" si="15">800000000+25000000+40000000</f>
        <v>865000000</v>
      </c>
      <c r="E33" s="32">
        <f t="shared" si="15"/>
        <v>865000000</v>
      </c>
      <c r="F33" s="32">
        <f t="shared" si="15"/>
        <v>865000000</v>
      </c>
      <c r="G33" s="32">
        <f t="shared" si="15"/>
        <v>865000000</v>
      </c>
      <c r="H33" s="32">
        <f t="shared" si="15"/>
        <v>865000000</v>
      </c>
      <c r="I33" s="32">
        <f t="shared" si="15"/>
        <v>865000000</v>
      </c>
      <c r="J33" s="32">
        <f>800000000+25000000+40000000+40000000+200000000+10000000</f>
        <v>1115000000</v>
      </c>
      <c r="K33" s="32">
        <f t="shared" ref="K33:O33" si="16">800000000+25000000+40000000+40000000+200000000+10000000</f>
        <v>1115000000</v>
      </c>
      <c r="L33" s="32">
        <f t="shared" si="16"/>
        <v>1115000000</v>
      </c>
      <c r="M33" s="32">
        <f t="shared" si="16"/>
        <v>1115000000</v>
      </c>
      <c r="N33" s="32">
        <f t="shared" si="16"/>
        <v>1115000000</v>
      </c>
      <c r="O33" s="32">
        <f t="shared" si="16"/>
        <v>1115000000</v>
      </c>
    </row>
    <row r="34" spans="2:15" s="24" customFormat="1">
      <c r="B34" s="47" t="s">
        <v>41</v>
      </c>
      <c r="C34" s="33">
        <f>SUM(C32:C33)</f>
        <v>865000000</v>
      </c>
      <c r="D34" s="33">
        <f t="shared" ref="D34:N34" si="17">SUM(D32:D33)</f>
        <v>865000000</v>
      </c>
      <c r="E34" s="33">
        <f t="shared" si="17"/>
        <v>865000000</v>
      </c>
      <c r="F34" s="33">
        <f t="shared" si="17"/>
        <v>865000000</v>
      </c>
      <c r="G34" s="33">
        <f t="shared" si="17"/>
        <v>865000000</v>
      </c>
      <c r="H34" s="33">
        <f t="shared" si="17"/>
        <v>865000000</v>
      </c>
      <c r="I34" s="33">
        <f t="shared" si="17"/>
        <v>865000000</v>
      </c>
      <c r="J34" s="33">
        <f t="shared" si="17"/>
        <v>1115000000</v>
      </c>
      <c r="K34" s="33">
        <f t="shared" si="17"/>
        <v>1115000000</v>
      </c>
      <c r="L34" s="33">
        <f t="shared" si="17"/>
        <v>1115000000</v>
      </c>
      <c r="M34" s="33">
        <f t="shared" si="17"/>
        <v>1115000000</v>
      </c>
      <c r="N34" s="33">
        <f t="shared" si="17"/>
        <v>1115000000</v>
      </c>
      <c r="O34" s="33">
        <f t="shared" ref="O34" si="18">SUM(O32:O33)</f>
        <v>1115000000</v>
      </c>
    </row>
    <row r="35" spans="2:15" s="24" customFormat="1">
      <c r="B35" s="21"/>
      <c r="C35" s="33"/>
      <c r="D35" s="33"/>
      <c r="E35" s="33"/>
      <c r="F35" s="33"/>
      <c r="G35" s="33"/>
      <c r="H35" s="33"/>
      <c r="I35" s="33"/>
      <c r="J35" s="33"/>
      <c r="K35" s="33"/>
      <c r="L35" s="33"/>
      <c r="M35" s="33"/>
      <c r="N35" s="33"/>
      <c r="O35" s="33"/>
    </row>
    <row r="36" spans="2:15" s="24" customFormat="1">
      <c r="B36" s="45" t="s">
        <v>60</v>
      </c>
      <c r="C36" s="34">
        <v>0</v>
      </c>
      <c r="D36" s="34">
        <v>0</v>
      </c>
      <c r="E36" s="34">
        <v>0</v>
      </c>
      <c r="F36" s="34">
        <v>0</v>
      </c>
      <c r="G36" s="34">
        <v>0</v>
      </c>
      <c r="H36" s="34">
        <v>0</v>
      </c>
      <c r="I36" s="34">
        <v>0</v>
      </c>
      <c r="J36" s="34">
        <v>250000000</v>
      </c>
      <c r="K36" s="34">
        <v>250000000</v>
      </c>
      <c r="L36" s="34">
        <v>250000000</v>
      </c>
      <c r="M36" s="34">
        <v>250000000</v>
      </c>
      <c r="N36" s="34">
        <v>250000000</v>
      </c>
      <c r="O36" s="34">
        <v>250000000</v>
      </c>
    </row>
    <row r="37" spans="2:15" s="24" customFormat="1">
      <c r="B37" s="29"/>
      <c r="C37" s="35"/>
      <c r="D37" s="35"/>
      <c r="E37" s="35"/>
      <c r="F37" s="35"/>
      <c r="G37" s="35"/>
      <c r="H37" s="35"/>
      <c r="I37" s="35"/>
      <c r="J37" s="35"/>
      <c r="K37" s="35"/>
      <c r="L37" s="35"/>
      <c r="M37" s="35"/>
      <c r="N37" s="35"/>
      <c r="O37" s="35"/>
    </row>
    <row r="38" spans="2:15" s="24" customFormat="1" ht="15.75" thickBot="1">
      <c r="B38" s="24" t="s">
        <v>45</v>
      </c>
      <c r="C38" s="36">
        <f>C4+C9+C14+C16+C22+C24+C29+C34+C36</f>
        <v>25300507276.709999</v>
      </c>
      <c r="D38" s="36">
        <f t="shared" ref="D38:N38" si="19">D4+D9+D14+D16+D22+D24+D29+D34+D36</f>
        <v>26282321969.240005</v>
      </c>
      <c r="E38" s="36">
        <f t="shared" si="19"/>
        <v>27009432359.120003</v>
      </c>
      <c r="F38" s="36">
        <f t="shared" si="19"/>
        <v>27474203534.230007</v>
      </c>
      <c r="G38" s="36">
        <f t="shared" si="19"/>
        <v>27732319186.900074</v>
      </c>
      <c r="H38" s="36">
        <f t="shared" si="19"/>
        <v>27896394782.320072</v>
      </c>
      <c r="I38" s="36">
        <f t="shared" si="19"/>
        <v>28325442226.250118</v>
      </c>
      <c r="J38" s="36">
        <f t="shared" si="19"/>
        <v>29295214044.160118</v>
      </c>
      <c r="K38" s="36">
        <f t="shared" si="19"/>
        <v>29436446169.980003</v>
      </c>
      <c r="L38" s="36">
        <f t="shared" si="19"/>
        <v>29992458934.219997</v>
      </c>
      <c r="M38" s="36">
        <f t="shared" si="19"/>
        <v>30095535388.070004</v>
      </c>
      <c r="N38" s="36">
        <f t="shared" si="19"/>
        <v>30424250761.5</v>
      </c>
      <c r="O38" s="36">
        <f t="shared" ref="O38" si="20">O4+O9+O14+O16+O22+O24+O29+O34+O36</f>
        <v>30566128922.070004</v>
      </c>
    </row>
    <row r="39" spans="2:15" s="24" customFormat="1" ht="15.75" thickTop="1">
      <c r="C39" s="35"/>
      <c r="D39" s="35"/>
      <c r="E39" s="35"/>
      <c r="F39" s="35"/>
      <c r="G39" s="35"/>
      <c r="H39" s="35"/>
      <c r="I39" s="35"/>
      <c r="J39" s="35"/>
      <c r="K39" s="35"/>
      <c r="L39" s="35"/>
      <c r="M39" s="35"/>
      <c r="N39" s="35"/>
      <c r="O39" s="35"/>
    </row>
    <row r="40" spans="2:15" ht="15.75" thickBot="1">
      <c r="B40" s="21"/>
      <c r="C40" s="37"/>
    </row>
    <row r="41" spans="2:15">
      <c r="C41" s="39" t="s">
        <v>13</v>
      </c>
      <c r="D41" s="40"/>
      <c r="E41" s="41"/>
    </row>
    <row r="42" spans="2:15">
      <c r="C42" s="43" t="s">
        <v>15</v>
      </c>
      <c r="D42" s="42"/>
      <c r="E42" s="44"/>
      <c r="M42" s="31"/>
    </row>
    <row r="43" spans="2:15" ht="150.75" customHeight="1" thickBot="1">
      <c r="B43" s="42"/>
      <c r="C43" s="89" t="s">
        <v>63</v>
      </c>
      <c r="D43" s="90"/>
      <c r="E43" s="91"/>
    </row>
  </sheetData>
  <mergeCells count="2">
    <mergeCell ref="C43:E43"/>
    <mergeCell ref="C1:O1"/>
  </mergeCells>
  <pageMargins left="0.25" right="0.25" top="0.75" bottom="0.75" header="0.3" footer="0.3"/>
  <pageSetup paperSize="5" scale="48"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0A6B-1959-4F32-972E-E6CBA2E8DC1B}">
  <sheetPr>
    <pageSetUpPr fitToPage="1"/>
  </sheetPr>
  <dimension ref="B1:P59"/>
  <sheetViews>
    <sheetView zoomScale="70" zoomScaleNormal="70" workbookViewId="0">
      <pane xSplit="2" ySplit="2" topLeftCell="C3" activePane="bottomRight" state="frozen"/>
      <selection pane="topRight" activeCell="C1" sqref="C1"/>
      <selection pane="bottomLeft" activeCell="A3" sqref="A3"/>
      <selection pane="bottomRight" activeCell="B1" sqref="B1"/>
    </sheetView>
  </sheetViews>
  <sheetFormatPr defaultColWidth="8.85546875" defaultRowHeight="15"/>
  <cols>
    <col min="1" max="1" width="1.85546875" style="50" customWidth="1"/>
    <col min="2" max="2" width="67.7109375" style="50" customWidth="1"/>
    <col min="3" max="3" width="21.5703125" style="50" bestFit="1" customWidth="1"/>
    <col min="4" max="5" width="22" style="50" bestFit="1" customWidth="1"/>
    <col min="6" max="6" width="22.140625" style="61" bestFit="1" customWidth="1"/>
    <col min="7" max="7" width="22.5703125" style="50" bestFit="1" customWidth="1"/>
    <col min="8" max="11" width="23" style="50" bestFit="1" customWidth="1"/>
    <col min="12" max="13" width="22.5703125" style="50" bestFit="1" customWidth="1"/>
    <col min="14" max="14" width="22" style="50" bestFit="1" customWidth="1"/>
    <col min="15" max="15" width="23.42578125" style="50" bestFit="1" customWidth="1"/>
    <col min="16" max="16384" width="8.85546875" style="50"/>
  </cols>
  <sheetData>
    <row r="1" spans="2:16">
      <c r="B1" s="54" t="s">
        <v>0</v>
      </c>
      <c r="C1" s="107" t="s">
        <v>54</v>
      </c>
      <c r="D1" s="107"/>
      <c r="E1" s="107"/>
      <c r="F1" s="107"/>
      <c r="G1" s="107"/>
      <c r="H1" s="107"/>
      <c r="I1" s="107"/>
      <c r="J1" s="107"/>
      <c r="K1" s="107"/>
      <c r="L1" s="107"/>
      <c r="M1" s="107"/>
      <c r="N1" s="107"/>
      <c r="O1" s="107"/>
    </row>
    <row r="2" spans="2:16" ht="41.45" customHeight="1">
      <c r="C2" s="55" t="s">
        <v>30</v>
      </c>
      <c r="D2" s="55" t="s">
        <v>29</v>
      </c>
      <c r="E2" s="55" t="s">
        <v>28</v>
      </c>
      <c r="F2" s="55" t="s">
        <v>27</v>
      </c>
      <c r="G2" s="55" t="s">
        <v>26</v>
      </c>
      <c r="H2" s="55" t="s">
        <v>25</v>
      </c>
      <c r="I2" s="55" t="s">
        <v>37</v>
      </c>
      <c r="J2" s="55" t="s">
        <v>24</v>
      </c>
      <c r="K2" s="55" t="s">
        <v>23</v>
      </c>
      <c r="L2" s="55" t="s">
        <v>22</v>
      </c>
      <c r="M2" s="55" t="s">
        <v>57</v>
      </c>
      <c r="N2" s="55" t="s">
        <v>58</v>
      </c>
      <c r="O2" s="55" t="s">
        <v>72</v>
      </c>
    </row>
    <row r="3" spans="2:16" ht="15.6" customHeight="1">
      <c r="B3" s="56"/>
      <c r="C3" s="57"/>
      <c r="D3" s="57"/>
      <c r="E3" s="57"/>
      <c r="F3" s="57"/>
      <c r="G3" s="57"/>
      <c r="H3" s="57"/>
      <c r="I3" s="57"/>
      <c r="J3" s="57"/>
      <c r="K3" s="57"/>
      <c r="L3" s="57"/>
      <c r="M3" s="57"/>
      <c r="N3" s="57"/>
      <c r="O3" s="57"/>
      <c r="P3" s="58"/>
    </row>
    <row r="4" spans="2:16" s="59" customFormat="1" ht="33" customHeight="1">
      <c r="B4" s="49" t="s">
        <v>64</v>
      </c>
      <c r="C4" s="60">
        <v>937057746.51999974</v>
      </c>
      <c r="D4" s="60">
        <v>1067042932.2399995</v>
      </c>
      <c r="E4" s="60">
        <v>1133781962.4400001</v>
      </c>
      <c r="F4" s="60">
        <v>1470691632.0999999</v>
      </c>
      <c r="G4" s="60">
        <v>1561296406.6999993</v>
      </c>
      <c r="H4" s="60">
        <v>1719912443.1599994</v>
      </c>
      <c r="I4" s="60">
        <v>2020530422.2499993</v>
      </c>
      <c r="J4" s="60">
        <v>2226481216.8499994</v>
      </c>
      <c r="K4" s="60">
        <v>2341782193.6999998</v>
      </c>
      <c r="L4" s="60">
        <v>2502846771.3699999</v>
      </c>
      <c r="M4" s="60">
        <v>2582192424.1300001</v>
      </c>
      <c r="N4" s="60">
        <v>2731971692.3000002</v>
      </c>
      <c r="O4" s="60">
        <v>2814169030.5100002</v>
      </c>
    </row>
    <row r="5" spans="2:16" ht="15.6" customHeight="1">
      <c r="B5" s="56"/>
      <c r="C5" s="57"/>
      <c r="D5" s="57"/>
      <c r="E5" s="57"/>
      <c r="F5" s="57"/>
      <c r="G5" s="57"/>
      <c r="H5" s="57"/>
      <c r="I5" s="57"/>
      <c r="J5" s="57"/>
      <c r="K5" s="57"/>
      <c r="L5" s="57"/>
      <c r="M5" s="57"/>
      <c r="N5" s="57"/>
      <c r="O5" s="57"/>
      <c r="P5" s="58"/>
    </row>
    <row r="6" spans="2:16">
      <c r="B6" s="49" t="s">
        <v>65</v>
      </c>
      <c r="P6" s="58"/>
    </row>
    <row r="7" spans="2:16" s="59" customFormat="1">
      <c r="B7" s="62" t="s">
        <v>56</v>
      </c>
      <c r="C7" s="63">
        <v>387090087.90999961</v>
      </c>
      <c r="D7" s="63">
        <v>387090087.90999961</v>
      </c>
      <c r="E7" s="63">
        <v>387090087.90999961</v>
      </c>
      <c r="F7" s="63">
        <v>387090087.90999961</v>
      </c>
      <c r="G7" s="63">
        <v>387090087.90999955</v>
      </c>
      <c r="H7" s="63">
        <v>387090087.90999955</v>
      </c>
      <c r="I7" s="63">
        <v>387090087.90999955</v>
      </c>
      <c r="J7" s="63">
        <v>387090087.90999955</v>
      </c>
      <c r="K7" s="63">
        <v>387090087.90999955</v>
      </c>
      <c r="L7" s="63">
        <v>387090087.90999955</v>
      </c>
      <c r="M7" s="63">
        <v>774180157.27999997</v>
      </c>
      <c r="N7" s="63">
        <v>774180157.27999997</v>
      </c>
      <c r="O7" s="63">
        <v>774180157.27999997</v>
      </c>
      <c r="P7" s="58"/>
    </row>
    <row r="8" spans="2:16" s="59" customFormat="1">
      <c r="B8" s="62" t="s">
        <v>55</v>
      </c>
      <c r="C8" s="64">
        <v>0</v>
      </c>
      <c r="D8" s="64">
        <v>0</v>
      </c>
      <c r="E8" s="64">
        <v>0</v>
      </c>
      <c r="F8" s="64">
        <v>0</v>
      </c>
      <c r="G8" s="64">
        <v>0</v>
      </c>
      <c r="H8" s="64">
        <v>0</v>
      </c>
      <c r="I8" s="64">
        <v>4500000000</v>
      </c>
      <c r="J8" s="64">
        <v>4500000000</v>
      </c>
      <c r="K8" s="64">
        <v>4500000000</v>
      </c>
      <c r="L8" s="64">
        <v>4500000000</v>
      </c>
      <c r="M8" s="64">
        <v>4500000000</v>
      </c>
      <c r="N8" s="64">
        <v>4500000000</v>
      </c>
      <c r="O8" s="64">
        <v>4500000000</v>
      </c>
      <c r="P8" s="58"/>
    </row>
    <row r="9" spans="2:16" s="59" customFormat="1">
      <c r="B9" s="49" t="s">
        <v>35</v>
      </c>
      <c r="C9" s="65">
        <f>SUM(C7:C8)</f>
        <v>387090087.90999961</v>
      </c>
      <c r="D9" s="65">
        <f t="shared" ref="D9:L9" si="0">SUM(D7:D8)</f>
        <v>387090087.90999961</v>
      </c>
      <c r="E9" s="65">
        <f t="shared" si="0"/>
        <v>387090087.90999961</v>
      </c>
      <c r="F9" s="65">
        <f t="shared" si="0"/>
        <v>387090087.90999961</v>
      </c>
      <c r="G9" s="65">
        <f t="shared" si="0"/>
        <v>387090087.90999955</v>
      </c>
      <c r="H9" s="65">
        <f t="shared" si="0"/>
        <v>387090087.90999955</v>
      </c>
      <c r="I9" s="65">
        <f t="shared" si="0"/>
        <v>4887090087.9099998</v>
      </c>
      <c r="J9" s="65">
        <f t="shared" si="0"/>
        <v>4887090087.9099998</v>
      </c>
      <c r="K9" s="65">
        <f t="shared" si="0"/>
        <v>4887090087.9099998</v>
      </c>
      <c r="L9" s="65">
        <f t="shared" si="0"/>
        <v>4887090087.9099998</v>
      </c>
      <c r="M9" s="65">
        <f t="shared" ref="M9:N9" si="1">SUM(M7:M8)</f>
        <v>5274180157.2799997</v>
      </c>
      <c r="N9" s="65">
        <f t="shared" si="1"/>
        <v>5274180157.2799997</v>
      </c>
      <c r="O9" s="65">
        <f t="shared" ref="O9" si="2">SUM(O7:O8)</f>
        <v>5274180157.2799997</v>
      </c>
      <c r="P9" s="58"/>
    </row>
    <row r="10" spans="2:16">
      <c r="B10" s="66"/>
      <c r="C10" s="57"/>
      <c r="D10" s="57"/>
      <c r="E10" s="57"/>
      <c r="F10" s="57"/>
      <c r="G10" s="57"/>
      <c r="H10" s="57"/>
      <c r="I10" s="57"/>
      <c r="J10" s="57"/>
      <c r="K10" s="57"/>
      <c r="L10" s="57"/>
      <c r="M10" s="57"/>
      <c r="N10" s="57"/>
      <c r="O10" s="57"/>
      <c r="P10" s="58"/>
    </row>
    <row r="11" spans="2:16" s="59" customFormat="1">
      <c r="B11" s="49" t="s">
        <v>66</v>
      </c>
      <c r="C11" s="60">
        <v>3924644701.2399788</v>
      </c>
      <c r="D11" s="60">
        <v>3924640567.6899786</v>
      </c>
      <c r="E11" s="60">
        <v>3938798743.6900001</v>
      </c>
      <c r="F11" s="60">
        <v>5023127409.1899958</v>
      </c>
      <c r="G11" s="60">
        <v>5023126652.5799999</v>
      </c>
      <c r="H11" s="60">
        <v>5023126184.6200237</v>
      </c>
      <c r="I11" s="60">
        <v>5142496470.2399988</v>
      </c>
      <c r="J11" s="60">
        <v>5142516363.3400145</v>
      </c>
      <c r="K11" s="60">
        <v>5142516363.3400145</v>
      </c>
      <c r="L11" s="60">
        <v>5142535984.75</v>
      </c>
      <c r="M11" s="60">
        <v>5142535984.75</v>
      </c>
      <c r="N11" s="60">
        <v>5142535984.75</v>
      </c>
      <c r="O11" s="60">
        <v>5142535984.75</v>
      </c>
      <c r="P11" s="58"/>
    </row>
    <row r="12" spans="2:16">
      <c r="B12" s="56"/>
      <c r="C12" s="57"/>
      <c r="D12" s="57"/>
      <c r="E12" s="57"/>
      <c r="F12" s="57"/>
      <c r="G12" s="57"/>
      <c r="H12" s="57"/>
      <c r="I12" s="57"/>
      <c r="J12" s="57"/>
      <c r="K12" s="57"/>
      <c r="L12" s="57"/>
      <c r="M12" s="57"/>
      <c r="N12" s="57"/>
      <c r="O12" s="57"/>
      <c r="P12" s="58"/>
    </row>
    <row r="13" spans="2:16" s="59" customFormat="1">
      <c r="B13" s="49" t="s">
        <v>67</v>
      </c>
      <c r="C13" s="60">
        <v>362656214.38</v>
      </c>
      <c r="D13" s="60">
        <v>505615343.06000453</v>
      </c>
      <c r="E13" s="60">
        <v>645512214.57999992</v>
      </c>
      <c r="F13" s="60">
        <v>805183831.05998099</v>
      </c>
      <c r="G13" s="60">
        <v>945495860.4900831</v>
      </c>
      <c r="H13" s="60">
        <v>1000538564.1601026</v>
      </c>
      <c r="I13" s="60">
        <v>1045401427.2401197</v>
      </c>
      <c r="J13" s="60">
        <v>1067727848.1801198</v>
      </c>
      <c r="K13" s="60">
        <v>1072138210.7800001</v>
      </c>
      <c r="L13" s="60">
        <v>1074577536.3999999</v>
      </c>
      <c r="M13" s="60">
        <v>1124140480.3300002</v>
      </c>
      <c r="N13" s="60">
        <v>1150480242.26</v>
      </c>
      <c r="O13" s="60">
        <v>1197676158.6800001</v>
      </c>
    </row>
    <row r="14" spans="2:16">
      <c r="B14" s="56"/>
      <c r="C14" s="57"/>
      <c r="D14" s="57"/>
      <c r="E14" s="57"/>
      <c r="F14" s="57"/>
      <c r="G14" s="57"/>
      <c r="H14" s="57"/>
      <c r="I14" s="57"/>
      <c r="J14" s="57"/>
      <c r="K14" s="57"/>
      <c r="L14" s="57"/>
      <c r="M14" s="57"/>
      <c r="N14" s="57"/>
      <c r="O14" s="57"/>
      <c r="P14" s="58"/>
    </row>
    <row r="15" spans="2:16">
      <c r="B15" s="49" t="s">
        <v>68</v>
      </c>
      <c r="C15" s="67"/>
      <c r="D15" s="67"/>
      <c r="E15" s="67"/>
      <c r="F15" s="67"/>
      <c r="G15" s="67"/>
      <c r="H15" s="67"/>
      <c r="I15" s="67"/>
      <c r="J15" s="67"/>
      <c r="K15" s="67"/>
      <c r="L15" s="67"/>
      <c r="M15" s="67"/>
      <c r="N15" s="67"/>
      <c r="O15" s="67"/>
      <c r="P15" s="58"/>
    </row>
    <row r="16" spans="2:16" ht="15" customHeight="1">
      <c r="B16" s="68" t="s">
        <v>36</v>
      </c>
      <c r="C16" s="67">
        <v>696440498.97999835</v>
      </c>
      <c r="D16" s="67">
        <v>1028710608.819996</v>
      </c>
      <c r="E16" s="67">
        <v>1171701492.0799999</v>
      </c>
      <c r="F16" s="67">
        <v>1372659128.980001</v>
      </c>
      <c r="G16" s="67">
        <v>1532752900.2500012</v>
      </c>
      <c r="H16" s="67">
        <v>1684777834.8800027</v>
      </c>
      <c r="I16" s="67">
        <v>1832801009.2200012</v>
      </c>
      <c r="J16" s="67">
        <v>2059720095.8100019</v>
      </c>
      <c r="K16" s="67">
        <v>2191801985.7600002</v>
      </c>
      <c r="L16" s="67">
        <v>2351580153.8299999</v>
      </c>
      <c r="M16" s="67">
        <v>2435184522.48</v>
      </c>
      <c r="N16" s="67">
        <v>2465345113.5999999</v>
      </c>
      <c r="O16" s="67">
        <v>2552126128.1400003</v>
      </c>
      <c r="P16" s="58"/>
    </row>
    <row r="17" spans="2:16" ht="15" customHeight="1">
      <c r="B17" s="62" t="s">
        <v>38</v>
      </c>
      <c r="C17" s="69">
        <v>0</v>
      </c>
      <c r="D17" s="69">
        <v>5966285.5800000019</v>
      </c>
      <c r="E17" s="69">
        <v>25572302.199999969</v>
      </c>
      <c r="F17" s="69">
        <v>66140714.909999922</v>
      </c>
      <c r="G17" s="69">
        <v>117447580.68999995</v>
      </c>
      <c r="H17" s="69">
        <v>151016750.23999992</v>
      </c>
      <c r="I17" s="69">
        <v>186123100.11999992</v>
      </c>
      <c r="J17" s="69">
        <v>224172730.64999992</v>
      </c>
      <c r="K17" s="69">
        <v>255901850.79000002</v>
      </c>
      <c r="L17" s="69">
        <v>287244401.31999999</v>
      </c>
      <c r="M17" s="69">
        <v>383031873.99000001</v>
      </c>
      <c r="N17" s="69">
        <v>500324098.16000003</v>
      </c>
      <c r="O17" s="69">
        <v>548651870.00999999</v>
      </c>
      <c r="P17" s="58"/>
    </row>
    <row r="18" spans="2:16" s="59" customFormat="1">
      <c r="B18" s="49" t="s">
        <v>39</v>
      </c>
      <c r="C18" s="70">
        <f>SUM(C16:C17)</f>
        <v>696440498.97999835</v>
      </c>
      <c r="D18" s="70">
        <f t="shared" ref="D18:L18" si="3">SUM(D16:D17)</f>
        <v>1034676894.399996</v>
      </c>
      <c r="E18" s="70">
        <f t="shared" si="3"/>
        <v>1197273794.28</v>
      </c>
      <c r="F18" s="70">
        <f t="shared" si="3"/>
        <v>1438799843.8900008</v>
      </c>
      <c r="G18" s="70">
        <f t="shared" si="3"/>
        <v>1650200480.9400012</v>
      </c>
      <c r="H18" s="70">
        <f t="shared" si="3"/>
        <v>1835794585.1200027</v>
      </c>
      <c r="I18" s="70">
        <f t="shared" si="3"/>
        <v>2018924109.3400011</v>
      </c>
      <c r="J18" s="70">
        <f t="shared" si="3"/>
        <v>2283892826.4600019</v>
      </c>
      <c r="K18" s="70">
        <f t="shared" si="3"/>
        <v>2447703836.5500002</v>
      </c>
      <c r="L18" s="70">
        <f t="shared" si="3"/>
        <v>2638824555.1500001</v>
      </c>
      <c r="M18" s="70">
        <f t="shared" ref="M18:N18" si="4">SUM(M16:M17)</f>
        <v>2818216396.4700003</v>
      </c>
      <c r="N18" s="70">
        <f t="shared" si="4"/>
        <v>2965669211.7599998</v>
      </c>
      <c r="O18" s="70">
        <f t="shared" ref="O18" si="5">SUM(O16:O17)</f>
        <v>3100777998.1500006</v>
      </c>
      <c r="P18" s="58"/>
    </row>
    <row r="19" spans="2:16">
      <c r="B19" s="66"/>
      <c r="C19" s="67"/>
      <c r="D19" s="67"/>
      <c r="E19" s="67"/>
      <c r="F19" s="67"/>
      <c r="G19" s="67"/>
      <c r="H19" s="67"/>
      <c r="I19" s="67"/>
      <c r="J19" s="67"/>
      <c r="K19" s="67"/>
      <c r="L19" s="67"/>
      <c r="M19" s="67"/>
      <c r="N19" s="67"/>
      <c r="O19" s="67"/>
      <c r="P19" s="58"/>
    </row>
    <row r="20" spans="2:16" s="59" customFormat="1">
      <c r="B20" s="49" t="s">
        <v>49</v>
      </c>
      <c r="C20" s="71">
        <v>968471301.54999995</v>
      </c>
      <c r="D20" s="71">
        <v>2009599592.8399999</v>
      </c>
      <c r="E20" s="71">
        <v>2011050167.8999999</v>
      </c>
      <c r="F20" s="71">
        <v>2040455410.2399998</v>
      </c>
      <c r="G20" s="71">
        <v>2042175665.8499999</v>
      </c>
      <c r="H20" s="71">
        <v>2043547117.5899997</v>
      </c>
      <c r="I20" s="71">
        <v>2046578598.1199996</v>
      </c>
      <c r="J20" s="71">
        <v>2048750122.9299998</v>
      </c>
      <c r="K20" s="71">
        <v>2053324964.9699996</v>
      </c>
      <c r="L20" s="71">
        <v>2056077963.23</v>
      </c>
      <c r="M20" s="71">
        <v>2056977086.05</v>
      </c>
      <c r="N20" s="71">
        <v>2059063662.0500002</v>
      </c>
      <c r="O20" s="71">
        <v>2061316857.8899999</v>
      </c>
    </row>
    <row r="21" spans="2:16">
      <c r="B21" s="66"/>
      <c r="C21" s="67"/>
      <c r="D21" s="67"/>
      <c r="E21" s="67"/>
      <c r="F21" s="67"/>
      <c r="G21" s="67"/>
      <c r="H21" s="67"/>
      <c r="I21" s="67"/>
      <c r="J21" s="67"/>
      <c r="K21" s="67"/>
      <c r="L21" s="67"/>
      <c r="M21" s="67"/>
      <c r="N21" s="67"/>
      <c r="O21" s="67"/>
      <c r="P21" s="58"/>
    </row>
    <row r="22" spans="2:16" s="59" customFormat="1">
      <c r="B22" s="49" t="s">
        <v>69</v>
      </c>
      <c r="C22" s="71">
        <v>50000000</v>
      </c>
      <c r="D22" s="71">
        <v>50000000</v>
      </c>
      <c r="E22" s="71">
        <v>50000000</v>
      </c>
      <c r="F22" s="71">
        <v>72000000</v>
      </c>
      <c r="G22" s="71">
        <v>72000000</v>
      </c>
      <c r="H22" s="71">
        <v>72000000</v>
      </c>
      <c r="I22" s="71">
        <v>72364586.73999998</v>
      </c>
      <c r="J22" s="71">
        <v>72564551.309999987</v>
      </c>
      <c r="K22" s="71">
        <v>72848465.769999996</v>
      </c>
      <c r="L22" s="71">
        <v>173043739.47</v>
      </c>
      <c r="M22" s="71">
        <v>183853500.59</v>
      </c>
      <c r="N22" s="71">
        <v>254103090.02000001</v>
      </c>
      <c r="O22" s="71">
        <v>254369549.40000001</v>
      </c>
      <c r="P22" s="58"/>
    </row>
    <row r="23" spans="2:16" s="59" customFormat="1">
      <c r="B23" s="56"/>
      <c r="C23" s="67"/>
      <c r="D23" s="67"/>
      <c r="E23" s="67"/>
      <c r="F23" s="67"/>
      <c r="G23" s="67"/>
      <c r="H23" s="67"/>
      <c r="I23" s="67"/>
      <c r="J23" s="67"/>
      <c r="K23" s="67"/>
      <c r="L23" s="67"/>
      <c r="M23" s="67"/>
      <c r="N23" s="67"/>
      <c r="O23" s="67"/>
      <c r="P23" s="58"/>
    </row>
    <row r="24" spans="2:16">
      <c r="B24" s="49" t="s">
        <v>8</v>
      </c>
      <c r="F24" s="50"/>
      <c r="P24" s="58"/>
    </row>
    <row r="25" spans="2:16" ht="15" customHeight="1">
      <c r="B25" s="68" t="s">
        <v>36</v>
      </c>
      <c r="C25" s="67">
        <v>0</v>
      </c>
      <c r="D25" s="67">
        <v>0</v>
      </c>
      <c r="E25" s="67">
        <v>0</v>
      </c>
      <c r="F25" s="67">
        <v>0</v>
      </c>
      <c r="G25" s="67">
        <v>0</v>
      </c>
      <c r="H25" s="67">
        <v>0</v>
      </c>
      <c r="I25" s="67">
        <v>0</v>
      </c>
      <c r="J25" s="67">
        <v>0</v>
      </c>
      <c r="K25" s="67">
        <v>0</v>
      </c>
      <c r="L25" s="67">
        <v>0</v>
      </c>
      <c r="M25" s="67">
        <v>0</v>
      </c>
      <c r="N25" s="67">
        <v>0</v>
      </c>
      <c r="O25" s="67">
        <v>0</v>
      </c>
      <c r="P25" s="58"/>
    </row>
    <row r="26" spans="2:16" ht="15" customHeight="1">
      <c r="B26" s="62" t="s">
        <v>38</v>
      </c>
      <c r="C26" s="69">
        <v>207600000</v>
      </c>
      <c r="D26" s="69">
        <v>415300000</v>
      </c>
      <c r="E26" s="69">
        <v>622800000</v>
      </c>
      <c r="F26" s="69">
        <v>626130000</v>
      </c>
      <c r="G26" s="69">
        <v>636552938</v>
      </c>
      <c r="H26" s="69">
        <v>650897107.04999995</v>
      </c>
      <c r="I26" s="69">
        <v>655171248.04999995</v>
      </c>
      <c r="J26" s="69">
        <v>658027848.04999995</v>
      </c>
      <c r="K26" s="69">
        <v>666028179.81999993</v>
      </c>
      <c r="L26" s="69">
        <v>672692888.4799999</v>
      </c>
      <c r="M26" s="69">
        <v>778995752.16999996</v>
      </c>
      <c r="N26" s="69">
        <v>780099617.24000001</v>
      </c>
      <c r="O26" s="69">
        <v>783012795.15999997</v>
      </c>
      <c r="P26" s="58"/>
    </row>
    <row r="27" spans="2:16" s="59" customFormat="1">
      <c r="B27" s="49" t="s">
        <v>41</v>
      </c>
      <c r="C27" s="70">
        <f>SUM(C25:C26)</f>
        <v>207600000</v>
      </c>
      <c r="D27" s="70">
        <f t="shared" ref="D27" si="6">SUM(D25:D26)</f>
        <v>415300000</v>
      </c>
      <c r="E27" s="70">
        <f t="shared" ref="E27" si="7">SUM(E25:E26)</f>
        <v>622800000</v>
      </c>
      <c r="F27" s="70">
        <f t="shared" ref="F27" si="8">SUM(F25:F26)</f>
        <v>626130000</v>
      </c>
      <c r="G27" s="70">
        <f t="shared" ref="G27" si="9">SUM(G25:G26)</f>
        <v>636552938</v>
      </c>
      <c r="H27" s="70">
        <f t="shared" ref="H27" si="10">SUM(H25:H26)</f>
        <v>650897107.04999995</v>
      </c>
      <c r="I27" s="70">
        <f t="shared" ref="I27" si="11">SUM(I25:I26)</f>
        <v>655171248.04999995</v>
      </c>
      <c r="J27" s="70">
        <f t="shared" ref="J27" si="12">SUM(J25:J26)</f>
        <v>658027848.04999995</v>
      </c>
      <c r="K27" s="70">
        <f t="shared" ref="K27" si="13">SUM(K25:K26)</f>
        <v>666028179.81999993</v>
      </c>
      <c r="L27" s="70">
        <f>SUM(L25:L26)</f>
        <v>672692888.4799999</v>
      </c>
      <c r="M27" s="70">
        <f>SUM(M25:M26)</f>
        <v>778995752.16999996</v>
      </c>
      <c r="N27" s="70">
        <f>SUM(N25:N26)</f>
        <v>780099617.24000001</v>
      </c>
      <c r="O27" s="70">
        <f>SUM(O25:O26)</f>
        <v>783012795.15999997</v>
      </c>
      <c r="P27" s="58"/>
    </row>
    <row r="28" spans="2:16" s="59" customFormat="1">
      <c r="B28" s="56"/>
      <c r="C28" s="70"/>
      <c r="D28" s="70"/>
      <c r="E28" s="70"/>
      <c r="F28" s="70"/>
      <c r="G28" s="70"/>
      <c r="H28" s="70"/>
      <c r="I28" s="70"/>
      <c r="J28" s="70"/>
      <c r="K28" s="70"/>
      <c r="L28" s="70"/>
      <c r="M28" s="70"/>
      <c r="N28" s="70"/>
      <c r="O28" s="70"/>
      <c r="P28" s="58"/>
    </row>
    <row r="29" spans="2:16" s="59" customFormat="1">
      <c r="B29" s="49" t="s">
        <v>60</v>
      </c>
      <c r="C29" s="71">
        <v>0</v>
      </c>
      <c r="D29" s="71">
        <v>0</v>
      </c>
      <c r="E29" s="71">
        <v>0</v>
      </c>
      <c r="F29" s="71">
        <v>0</v>
      </c>
      <c r="G29" s="71">
        <v>0</v>
      </c>
      <c r="H29" s="71">
        <v>0</v>
      </c>
      <c r="I29" s="71">
        <v>0</v>
      </c>
      <c r="J29" s="71">
        <v>0</v>
      </c>
      <c r="K29" s="71">
        <v>0</v>
      </c>
      <c r="L29" s="71">
        <v>0</v>
      </c>
      <c r="M29" s="71">
        <v>17988348</v>
      </c>
      <c r="N29" s="71">
        <v>249718478.38999999</v>
      </c>
      <c r="O29" s="71">
        <v>249725578.27000001</v>
      </c>
    </row>
    <row r="30" spans="2:16" s="59" customFormat="1">
      <c r="B30" s="72"/>
      <c r="C30" s="73"/>
      <c r="D30" s="73"/>
      <c r="E30" s="73"/>
      <c r="F30" s="73"/>
      <c r="G30" s="73"/>
      <c r="H30" s="73"/>
      <c r="I30" s="73"/>
      <c r="J30" s="73"/>
      <c r="K30" s="73"/>
      <c r="L30" s="73"/>
      <c r="M30" s="73"/>
      <c r="N30" s="73"/>
      <c r="O30" s="73"/>
    </row>
    <row r="31" spans="2:16" s="59" customFormat="1" ht="15.75" thickBot="1">
      <c r="B31" s="59" t="s">
        <v>45</v>
      </c>
      <c r="C31" s="74">
        <f>C4+C9+C11+C13+C18+C20+C22+C27+C29</f>
        <v>7533960550.579977</v>
      </c>
      <c r="D31" s="74">
        <f t="shared" ref="D31:N31" si="14">D4+D9+D11+D13+D18+D20+D22+D27+D29</f>
        <v>9393965418.1399765</v>
      </c>
      <c r="E31" s="74">
        <f t="shared" si="14"/>
        <v>9986306970.7999992</v>
      </c>
      <c r="F31" s="74">
        <f t="shared" si="14"/>
        <v>11863478214.389977</v>
      </c>
      <c r="G31" s="74">
        <f t="shared" si="14"/>
        <v>12317938092.470083</v>
      </c>
      <c r="H31" s="74">
        <f t="shared" si="14"/>
        <v>12732906089.610126</v>
      </c>
      <c r="I31" s="74">
        <f t="shared" si="14"/>
        <v>17888556949.890118</v>
      </c>
      <c r="J31" s="74">
        <f t="shared" si="14"/>
        <v>18387050865.030136</v>
      </c>
      <c r="K31" s="74">
        <f t="shared" si="14"/>
        <v>18683432302.840015</v>
      </c>
      <c r="L31" s="74">
        <f t="shared" si="14"/>
        <v>19147689526.759998</v>
      </c>
      <c r="M31" s="74">
        <f t="shared" si="14"/>
        <v>19979080129.769997</v>
      </c>
      <c r="N31" s="74">
        <f t="shared" si="14"/>
        <v>20607822136.049999</v>
      </c>
      <c r="O31" s="74">
        <f t="shared" ref="O31" si="15">O4+O9+O11+O13+O18+O20+O22+O27+O29</f>
        <v>20877764110.090004</v>
      </c>
    </row>
    <row r="32" spans="2:16" s="59" customFormat="1" ht="15.75" thickTop="1">
      <c r="C32" s="73"/>
      <c r="D32" s="73"/>
      <c r="E32" s="73"/>
      <c r="F32" s="73"/>
      <c r="G32" s="73"/>
      <c r="H32" s="73"/>
      <c r="I32" s="73"/>
      <c r="J32" s="73"/>
      <c r="K32" s="73"/>
      <c r="L32" s="73"/>
      <c r="M32" s="73"/>
      <c r="N32" s="73"/>
      <c r="O32" s="73"/>
    </row>
    <row r="33" spans="3:15" s="59" customFormat="1">
      <c r="C33" s="73"/>
      <c r="D33" s="73"/>
      <c r="E33" s="73"/>
      <c r="F33" s="73"/>
      <c r="G33" s="73"/>
      <c r="H33" s="73"/>
      <c r="I33" s="73"/>
      <c r="J33" s="73"/>
      <c r="K33" s="73"/>
      <c r="L33" s="73"/>
      <c r="M33" s="73"/>
      <c r="N33" s="73"/>
      <c r="O33" s="73"/>
    </row>
    <row r="34" spans="3:15" s="59" customFormat="1" ht="15.75" thickBot="1">
      <c r="C34" s="73"/>
      <c r="D34" s="73"/>
      <c r="E34" s="73"/>
      <c r="F34" s="73"/>
      <c r="G34" s="73"/>
      <c r="H34" s="73"/>
      <c r="I34" s="73"/>
      <c r="J34" s="73"/>
      <c r="K34" s="73"/>
      <c r="L34" s="73"/>
      <c r="M34" s="73"/>
      <c r="N34" s="73"/>
      <c r="O34" s="73"/>
    </row>
    <row r="35" spans="3:15">
      <c r="C35" s="104" t="s">
        <v>13</v>
      </c>
      <c r="D35" s="105"/>
      <c r="E35" s="105"/>
      <c r="F35" s="106"/>
    </row>
    <row r="36" spans="3:15">
      <c r="C36" s="101" t="s">
        <v>16</v>
      </c>
      <c r="D36" s="102"/>
      <c r="E36" s="102"/>
      <c r="F36" s="103"/>
    </row>
    <row r="37" spans="3:15" ht="127.9" customHeight="1" thickBot="1">
      <c r="C37" s="98" t="s">
        <v>19</v>
      </c>
      <c r="D37" s="99"/>
      <c r="E37" s="99"/>
      <c r="F37" s="100"/>
    </row>
    <row r="38" spans="3:15" s="59" customFormat="1">
      <c r="C38" s="73"/>
      <c r="D38" s="73"/>
      <c r="E38" s="73"/>
      <c r="F38" s="73"/>
      <c r="G38" s="73"/>
      <c r="H38" s="73"/>
      <c r="I38" s="73"/>
      <c r="J38" s="73"/>
      <c r="K38" s="73"/>
      <c r="L38" s="73"/>
      <c r="M38" s="73"/>
      <c r="N38" s="73"/>
      <c r="O38" s="73"/>
    </row>
    <row r="39" spans="3:15" s="59" customFormat="1">
      <c r="C39" s="73"/>
      <c r="D39" s="73"/>
      <c r="E39" s="73"/>
      <c r="F39" s="73"/>
      <c r="G39" s="73"/>
      <c r="H39" s="73"/>
      <c r="I39" s="73"/>
      <c r="J39" s="73"/>
      <c r="K39" s="73"/>
      <c r="L39" s="73"/>
      <c r="M39" s="73"/>
      <c r="N39" s="73"/>
      <c r="O39" s="73"/>
    </row>
    <row r="40" spans="3:15" s="59" customFormat="1">
      <c r="C40" s="73"/>
      <c r="D40" s="73"/>
      <c r="E40" s="73"/>
      <c r="F40" s="73"/>
      <c r="G40" s="73"/>
      <c r="H40" s="73"/>
      <c r="I40" s="73"/>
      <c r="J40" s="73"/>
      <c r="K40" s="73"/>
      <c r="L40" s="73"/>
      <c r="M40" s="73"/>
      <c r="N40" s="73"/>
      <c r="O40" s="73"/>
    </row>
    <row r="41" spans="3:15" s="59" customFormat="1">
      <c r="C41" s="73"/>
      <c r="D41" s="73"/>
      <c r="E41" s="73"/>
      <c r="F41" s="73"/>
      <c r="G41" s="73"/>
      <c r="H41" s="73"/>
      <c r="I41" s="73"/>
      <c r="J41" s="73"/>
      <c r="K41" s="73"/>
      <c r="L41" s="73"/>
      <c r="M41" s="73"/>
      <c r="N41" s="73"/>
      <c r="O41" s="73"/>
    </row>
    <row r="42" spans="3:15" s="59" customFormat="1">
      <c r="C42" s="73"/>
      <c r="D42" s="73"/>
      <c r="E42" s="73"/>
      <c r="F42" s="73"/>
      <c r="G42" s="73"/>
      <c r="H42" s="73"/>
      <c r="I42" s="73"/>
      <c r="J42" s="73"/>
      <c r="K42" s="73"/>
      <c r="L42" s="73"/>
      <c r="M42" s="73"/>
      <c r="N42" s="73"/>
      <c r="O42" s="73"/>
    </row>
    <row r="43" spans="3:15" s="59" customFormat="1">
      <c r="C43" s="73"/>
      <c r="D43" s="73"/>
      <c r="E43" s="73"/>
      <c r="F43" s="73"/>
      <c r="G43" s="73"/>
      <c r="H43" s="73"/>
      <c r="I43" s="73"/>
      <c r="J43" s="73"/>
      <c r="K43" s="73"/>
      <c r="L43" s="73"/>
      <c r="M43" s="73"/>
      <c r="N43" s="73"/>
      <c r="O43" s="73"/>
    </row>
    <row r="44" spans="3:15" s="59" customFormat="1">
      <c r="C44" s="73"/>
      <c r="D44" s="73"/>
      <c r="E44" s="73"/>
      <c r="F44" s="73"/>
      <c r="G44" s="73"/>
      <c r="H44" s="73"/>
      <c r="I44" s="73"/>
      <c r="J44" s="73"/>
      <c r="K44" s="73"/>
      <c r="L44" s="73"/>
      <c r="M44" s="73"/>
      <c r="N44" s="73"/>
      <c r="O44" s="73"/>
    </row>
    <row r="45" spans="3:15" s="59" customFormat="1">
      <c r="C45" s="73"/>
      <c r="D45" s="73"/>
      <c r="E45" s="73"/>
      <c r="F45" s="73"/>
      <c r="G45" s="73"/>
      <c r="H45" s="73"/>
      <c r="I45" s="73"/>
      <c r="J45" s="73"/>
      <c r="K45" s="73"/>
      <c r="L45" s="73"/>
      <c r="M45" s="73"/>
      <c r="N45" s="73"/>
      <c r="O45" s="73"/>
    </row>
    <row r="46" spans="3:15" s="59" customFormat="1">
      <c r="C46" s="73"/>
      <c r="D46" s="73"/>
      <c r="E46" s="73"/>
      <c r="F46" s="73"/>
      <c r="G46" s="73"/>
      <c r="H46" s="73"/>
      <c r="I46" s="73"/>
      <c r="J46" s="73"/>
      <c r="K46" s="73"/>
      <c r="L46" s="73"/>
      <c r="M46" s="73"/>
      <c r="N46" s="73"/>
      <c r="O46" s="73"/>
    </row>
    <row r="47" spans="3:15" s="59" customFormat="1">
      <c r="C47" s="73"/>
      <c r="D47" s="73"/>
      <c r="E47" s="73"/>
      <c r="F47" s="73"/>
      <c r="G47" s="73"/>
      <c r="H47" s="73"/>
      <c r="I47" s="73"/>
      <c r="J47" s="73"/>
      <c r="K47" s="73"/>
      <c r="L47" s="73"/>
      <c r="M47" s="73"/>
      <c r="N47" s="73"/>
      <c r="O47" s="73"/>
    </row>
    <row r="48" spans="3:15" s="59" customFormat="1">
      <c r="C48" s="73"/>
      <c r="D48" s="73"/>
      <c r="E48" s="73"/>
      <c r="F48" s="73"/>
      <c r="G48" s="73"/>
      <c r="H48" s="73"/>
      <c r="I48" s="73"/>
      <c r="J48" s="73"/>
      <c r="K48" s="73"/>
      <c r="L48" s="73"/>
      <c r="M48" s="73"/>
      <c r="N48" s="73"/>
      <c r="O48" s="73"/>
    </row>
    <row r="49" spans="2:15">
      <c r="C49" s="76"/>
      <c r="D49" s="76"/>
      <c r="E49" s="76"/>
      <c r="F49" s="76"/>
      <c r="G49" s="76"/>
      <c r="H49" s="76"/>
      <c r="I49" s="76"/>
      <c r="J49" s="76"/>
      <c r="K49" s="76"/>
      <c r="L49" s="76"/>
      <c r="M49" s="76"/>
      <c r="N49" s="76"/>
      <c r="O49" s="76"/>
    </row>
    <row r="50" spans="2:15">
      <c r="B50" s="50" t="s">
        <v>42</v>
      </c>
      <c r="C50" s="76"/>
      <c r="D50" s="76"/>
      <c r="E50" s="76"/>
      <c r="F50" s="76"/>
      <c r="G50" s="76"/>
      <c r="H50" s="76"/>
      <c r="I50" s="76"/>
      <c r="J50" s="76"/>
      <c r="K50" s="76"/>
      <c r="L50" s="76"/>
      <c r="M50" s="76"/>
      <c r="N50" s="76"/>
      <c r="O50" s="76"/>
    </row>
    <row r="51" spans="2:15">
      <c r="B51" s="50" t="s">
        <v>43</v>
      </c>
      <c r="C51" s="76"/>
      <c r="D51" s="76"/>
      <c r="E51" s="76"/>
      <c r="F51" s="76"/>
      <c r="G51" s="76"/>
      <c r="H51" s="76"/>
      <c r="I51" s="76"/>
      <c r="J51" s="76"/>
      <c r="K51" s="76"/>
      <c r="L51" s="76"/>
      <c r="M51" s="76"/>
      <c r="N51" s="76"/>
      <c r="O51" s="76"/>
    </row>
    <row r="52" spans="2:15">
      <c r="B52" s="50" t="s">
        <v>44</v>
      </c>
      <c r="C52" s="76"/>
      <c r="D52" s="76"/>
      <c r="E52" s="76"/>
      <c r="F52" s="76"/>
      <c r="G52" s="76"/>
      <c r="H52" s="76"/>
      <c r="I52" s="76"/>
      <c r="J52" s="76"/>
      <c r="K52" s="76"/>
      <c r="L52" s="76"/>
      <c r="M52" s="76"/>
      <c r="N52" s="76"/>
      <c r="O52" s="76"/>
    </row>
    <row r="53" spans="2:15">
      <c r="C53" s="76"/>
      <c r="D53" s="76"/>
      <c r="E53" s="76"/>
      <c r="F53" s="76"/>
      <c r="G53" s="76"/>
      <c r="H53" s="76"/>
      <c r="I53" s="76"/>
      <c r="J53" s="76"/>
      <c r="K53" s="76"/>
      <c r="L53" s="76"/>
      <c r="M53" s="76"/>
      <c r="N53" s="76"/>
      <c r="O53" s="76"/>
    </row>
    <row r="54" spans="2:15">
      <c r="C54" s="76"/>
      <c r="D54" s="76"/>
      <c r="E54" s="76"/>
      <c r="F54" s="76"/>
      <c r="G54" s="76"/>
      <c r="H54" s="76"/>
      <c r="I54" s="76"/>
      <c r="J54" s="76"/>
      <c r="K54" s="76"/>
      <c r="L54" s="76"/>
      <c r="M54" s="76"/>
      <c r="N54" s="76"/>
      <c r="O54" s="76"/>
    </row>
    <row r="55" spans="2:15">
      <c r="C55" s="76"/>
      <c r="D55" s="76"/>
      <c r="E55" s="76"/>
      <c r="F55" s="76"/>
      <c r="G55" s="76"/>
      <c r="H55" s="76"/>
      <c r="I55" s="76"/>
      <c r="J55" s="76"/>
      <c r="K55" s="76"/>
      <c r="L55" s="76"/>
      <c r="M55" s="76"/>
      <c r="N55" s="76"/>
      <c r="O55" s="76"/>
    </row>
    <row r="56" spans="2:15" ht="15.75" thickBot="1">
      <c r="B56" s="56"/>
      <c r="C56" s="77"/>
    </row>
    <row r="57" spans="2:15">
      <c r="B57" s="78" t="s">
        <v>13</v>
      </c>
      <c r="C57" s="51"/>
      <c r="D57" s="52"/>
      <c r="E57" s="79"/>
      <c r="F57" s="53"/>
    </row>
    <row r="58" spans="2:15">
      <c r="B58" s="80" t="s">
        <v>15</v>
      </c>
      <c r="C58" s="79"/>
      <c r="D58" s="75"/>
      <c r="E58" s="79"/>
      <c r="F58" s="53"/>
    </row>
    <row r="59" spans="2:15" ht="135.6" customHeight="1" thickBot="1">
      <c r="B59" s="93" t="s">
        <v>33</v>
      </c>
      <c r="C59" s="94"/>
      <c r="D59" s="95"/>
      <c r="E59" s="96" t="s">
        <v>46</v>
      </c>
      <c r="F59" s="97"/>
    </row>
  </sheetData>
  <mergeCells count="6">
    <mergeCell ref="C1:O1"/>
    <mergeCell ref="B59:D59"/>
    <mergeCell ref="E59:F59"/>
    <mergeCell ref="C37:F37"/>
    <mergeCell ref="C36:F36"/>
    <mergeCell ref="C35:F35"/>
  </mergeCells>
  <pageMargins left="0.25" right="0.25" top="0.75" bottom="0.75" header="0.3" footer="0.3"/>
  <pageSetup paperSize="5" scale="47"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 and Summary</vt:lpstr>
      <vt:lpstr>Funds Received - Monthly</vt:lpstr>
      <vt:lpstr>Funds Spent - Monthly</vt:lpstr>
      <vt:lpstr>'Funds Received - Monthly'!Print_Area</vt:lpstr>
      <vt:lpstr>'Funds Spent - Monthly'!Print_Area</vt:lpstr>
      <vt:lpstr>'Overview and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Swanson</dc:creator>
  <cp:lastModifiedBy>Eric Swanson</cp:lastModifiedBy>
  <cp:lastPrinted>2022-10-04T18:42:18Z</cp:lastPrinted>
  <dcterms:created xsi:type="dcterms:W3CDTF">2021-10-04T21:30:02Z</dcterms:created>
  <dcterms:modified xsi:type="dcterms:W3CDTF">2022-10-04T18:43:17Z</dcterms:modified>
</cp:coreProperties>
</file>