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defaultThemeVersion="124226"/>
  <bookViews>
    <workbookView xWindow="600" yWindow="-225" windowWidth="19440" windowHeight="9780" tabRatio="82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Share'!$B$5:$K$50</definedName>
    <definedName name="Page_1" localSheetId="3">Footnotes!$A$3:$S$67</definedName>
    <definedName name="Page_2" localSheetId="3">Footnotes!$A$69:$S$95</definedName>
    <definedName name="page1" localSheetId="32">'Sch 4'!$A$3:$J$19</definedName>
    <definedName name="page1" localSheetId="0">'Table of Contents'!$A$1:$J$101</definedName>
    <definedName name="_xlnm.Print_Area" localSheetId="22">' Exhbit I '!$B$15:$AL$103</definedName>
    <definedName name="_xlnm.Print_Area" localSheetId="23">' Exhibit I State'!$B$15:$AN$101</definedName>
    <definedName name="_xlnm.Print_Area" localSheetId="41">'Appendix F'!$A$2:$AA$50</definedName>
    <definedName name="_xlnm.Print_Area" localSheetId="42">'Appendix G'!$A$2:$P$291</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Projects'!$A$3:$K$45</definedName>
    <definedName name="_xlnm.Print_Area" localSheetId="13">'Exh D Captl Projects State Fed'!$A$3:$U$45</definedName>
    <definedName name="_xlnm.Print_Area" localSheetId="11">'Exh D Debt Service'!$A$3:$K$43</definedName>
    <definedName name="_xlnm.Print_Area" localSheetId="8">'Exh D General Fund  '!$A$3:$K$55</definedName>
    <definedName name="_xlnm.Print_Area" localSheetId="9">'Exh D Special Revenue'!$A$3:$K$47</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7">'Exh F'!$B$14:$AK$141</definedName>
    <definedName name="_xlnm.Print_Area" localSheetId="1">'Exhibit A'!$A$3:$AI$60</definedName>
    <definedName name="_xlnm.Print_Area" localSheetId="14">'EXHIBIT E '!$A$3:$AK$58</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Footnotes!$A$2:$R$68</definedName>
    <definedName name="_xlnm.Print_Area" localSheetId="36">'HCRA '!$A$3:$Z$62</definedName>
    <definedName name="_xlnm.Print_Area" localSheetId="37">'HCRA PROG DISB'!$A$3:$I$106</definedName>
    <definedName name="_xlnm.Print_Area" localSheetId="40">'Medicaid Disp Share'!$B$2:$I$53</definedName>
    <definedName name="_xlnm.Print_Area" localSheetId="39">'Public Goods '!$A$3:$H$54</definedName>
    <definedName name="_xlnm.Print_Area" localSheetId="29">'Sch 1 '!$A$3:$L$153</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DB2D6C_C362_45F4_A2F1_C59B9CF1777D_.wvu.PrintArea" localSheetId="23" hidden="1">' Exhibit I State'!$B$3:$AN$101</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State'!$B$3:$AN$101</definedName>
    <definedName name="Z_7AE64DEF_56FD_44C8_9F38_A2F981B8F883_.wvu.Rows" localSheetId="23" hidden="1">' Exhibit I State'!#REF!</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'!$B$15:$AL$103</definedName>
    <definedName name="Z_8EE6466D_211E_4E05_9F84_CC0A1C6F79F4_.wvu.PrintArea" localSheetId="23" hidden="1">' Exhibit I State'!$B$15:$AN$101</definedName>
    <definedName name="Z_8EE6466D_211E_4E05_9F84_CC0A1C6F79F4_.wvu.PrintArea" localSheetId="41" hidden="1">'Appendix F'!$A$2:$AA$50</definedName>
    <definedName name="Z_8EE6466D_211E_4E05_9F84_CC0A1C6F79F4_.wvu.PrintArea" localSheetId="42" hidden="1">'Appendix G'!$A$2:$P$291</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Projects'!$A$3:$K$44</definedName>
    <definedName name="Z_8EE6466D_211E_4E05_9F84_CC0A1C6F79F4_.wvu.PrintArea" localSheetId="13" hidden="1">'Exh D Captl Projects State Fed'!$A$3:$AA$44</definedName>
    <definedName name="Z_8EE6466D_211E_4E05_9F84_CC0A1C6F79F4_.wvu.PrintArea" localSheetId="11" hidden="1">'Exh D Debt Service'!$A$3:$K$43</definedName>
    <definedName name="Z_8EE6466D_211E_4E05_9F84_CC0A1C6F79F4_.wvu.PrintArea" localSheetId="8" hidden="1">'Exh D General Fund  '!$A$3:$K$55</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Operating'!$A$3:$K$54</definedName>
    <definedName name="Z_8EE6466D_211E_4E05_9F84_CC0A1C6F79F4_.wvu.PrintArea" localSheetId="6" hidden="1">'Exh D-Governmental  '!$A$3:$K$54</definedName>
    <definedName name="Z_8EE6466D_211E_4E05_9F84_CC0A1C6F79F4_.wvu.PrintArea" localSheetId="17" hidden="1">'Exh F'!$A$2:$AK$138</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Footnotes!$A$2:$Q$67</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Share'!$B$2:$I$53</definedName>
    <definedName name="Z_8EE6466D_211E_4E05_9F84_CC0A1C6F79F4_.wvu.PrintArea" localSheetId="39" hidden="1">'Public Goods '!$A$3:$H$54</definedName>
    <definedName name="Z_8EE6466D_211E_4E05_9F84_CC0A1C6F79F4_.wvu.PrintArea" localSheetId="29" hidden="1">'Sch 1 '!$A$3:$L$153</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5B132A8_AE52_43B0_ACD8_B96D216615CD_.wvu.FilterData" localSheetId="8" hidden="1">'Exh D General Fund  '!$A$3:$A$7</definedName>
    <definedName name="Z_AA91AFAE_EED9_4A9F_975A_DBA015C351C3_.wvu.FilterData" localSheetId="8" hidden="1">'Exh D General Fund  '!$A$3:$A$7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25725"/>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D52" i="15"/>
  <c r="AB52"/>
  <c r="R52"/>
  <c r="P52"/>
  <c r="N52"/>
  <c r="L52"/>
  <c r="J52"/>
  <c r="H52"/>
  <c r="F52"/>
  <c r="D52"/>
  <c r="AH51"/>
  <c r="AJ51" s="1"/>
  <c r="X51"/>
  <c r="V51"/>
  <c r="X50"/>
  <c r="AH50" s="1"/>
  <c r="AJ50" s="1"/>
  <c r="V50"/>
  <c r="X49"/>
  <c r="AH49" s="1"/>
  <c r="AJ49" s="1"/>
  <c r="V49"/>
  <c r="X48"/>
  <c r="AH48" s="1"/>
  <c r="AJ48" s="1"/>
  <c r="V48"/>
  <c r="AH47"/>
  <c r="AJ47" s="1"/>
  <c r="X47"/>
  <c r="V47"/>
  <c r="AJ46"/>
  <c r="AH46"/>
  <c r="X46"/>
  <c r="V46"/>
  <c r="AD43"/>
  <c r="AB43"/>
  <c r="R43"/>
  <c r="P43"/>
  <c r="N43"/>
  <c r="L43"/>
  <c r="J43"/>
  <c r="H43"/>
  <c r="F43"/>
  <c r="D43"/>
  <c r="X42"/>
  <c r="AH42" s="1"/>
  <c r="AJ42" s="1"/>
  <c r="V42"/>
  <c r="X41"/>
  <c r="AH41" s="1"/>
  <c r="AJ41" s="1"/>
  <c r="V41"/>
  <c r="X40"/>
  <c r="AH40" s="1"/>
  <c r="AJ40" s="1"/>
  <c r="V40"/>
  <c r="X39"/>
  <c r="AH39" s="1"/>
  <c r="AJ39" s="1"/>
  <c r="V39"/>
  <c r="X38"/>
  <c r="AH38" s="1"/>
  <c r="AJ38" s="1"/>
  <c r="V38"/>
  <c r="AD35"/>
  <c r="AB35"/>
  <c r="R35"/>
  <c r="P35"/>
  <c r="N35"/>
  <c r="L35"/>
  <c r="J35"/>
  <c r="H35"/>
  <c r="F35"/>
  <c r="D35"/>
  <c r="X34"/>
  <c r="AH34" s="1"/>
  <c r="AJ34" s="1"/>
  <c r="V34"/>
  <c r="AH33"/>
  <c r="AJ33" s="1"/>
  <c r="X33"/>
  <c r="V33"/>
  <c r="X32"/>
  <c r="AH32" s="1"/>
  <c r="AJ32" s="1"/>
  <c r="V32"/>
  <c r="X31"/>
  <c r="AH31" s="1"/>
  <c r="AJ31" s="1"/>
  <c r="V31"/>
  <c r="X30"/>
  <c r="AH30" s="1"/>
  <c r="AJ30" s="1"/>
  <c r="V30"/>
  <c r="AH29"/>
  <c r="AJ29" s="1"/>
  <c r="X29"/>
  <c r="V29"/>
  <c r="X28"/>
  <c r="X35" s="1"/>
  <c r="AH35" s="1"/>
  <c r="AJ35" s="1"/>
  <c r="V28"/>
  <c r="AD25"/>
  <c r="L25"/>
  <c r="L54" s="1"/>
  <c r="X24"/>
  <c r="AH24" s="1"/>
  <c r="AJ24" s="1"/>
  <c r="V24"/>
  <c r="AJ23"/>
  <c r="AH23"/>
  <c r="AJ22"/>
  <c r="AH22"/>
  <c r="AD21"/>
  <c r="AB21"/>
  <c r="AB25" s="1"/>
  <c r="R21"/>
  <c r="R25" s="1"/>
  <c r="R54" s="1"/>
  <c r="P21"/>
  <c r="P25" s="1"/>
  <c r="P54" s="1"/>
  <c r="N21"/>
  <c r="N25" s="1"/>
  <c r="L21"/>
  <c r="J21"/>
  <c r="J25" s="1"/>
  <c r="J54" s="1"/>
  <c r="H21"/>
  <c r="H25" s="1"/>
  <c r="H54" s="1"/>
  <c r="F21"/>
  <c r="F25" s="1"/>
  <c r="D21"/>
  <c r="D25" s="1"/>
  <c r="D54" s="1"/>
  <c r="X20"/>
  <c r="AH20" s="1"/>
  <c r="AJ20" s="1"/>
  <c r="V20"/>
  <c r="X19"/>
  <c r="AH19" s="1"/>
  <c r="AJ19" s="1"/>
  <c r="V19"/>
  <c r="X18"/>
  <c r="AH18" s="1"/>
  <c r="AJ18" s="1"/>
  <c r="V18"/>
  <c r="AH17"/>
  <c r="AJ17" s="1"/>
  <c r="X17"/>
  <c r="V17"/>
  <c r="X16"/>
  <c r="X21" s="1"/>
  <c r="V16"/>
  <c r="X13"/>
  <c r="V13"/>
  <c r="R13"/>
  <c r="P13"/>
  <c r="N13"/>
  <c r="L13"/>
  <c r="J13"/>
  <c r="H13"/>
  <c r="AD12"/>
  <c r="X12"/>
  <c r="R12"/>
  <c r="N12"/>
  <c r="J12"/>
  <c r="AH16" l="1"/>
  <c r="AJ16" s="1"/>
  <c r="AH28"/>
  <c r="AJ28" s="1"/>
  <c r="AB54"/>
  <c r="AD54"/>
  <c r="V43"/>
  <c r="V52"/>
  <c r="V21"/>
  <c r="V25" s="1"/>
  <c r="V54" s="1"/>
  <c r="F54"/>
  <c r="N54"/>
  <c r="V35"/>
  <c r="X52"/>
  <c r="AH52" s="1"/>
  <c r="AJ52" s="1"/>
  <c r="AH21"/>
  <c r="AJ21" s="1"/>
  <c r="X25"/>
  <c r="X43"/>
  <c r="AH43" s="1"/>
  <c r="AJ43" s="1"/>
  <c r="X54" l="1"/>
  <c r="AH54" s="1"/>
  <c r="AJ54" s="1"/>
  <c r="AH25"/>
  <c r="AJ25" s="1"/>
  <c r="I98" i="38" l="1"/>
  <c r="I96"/>
  <c r="E94"/>
  <c r="E99" s="1"/>
  <c r="C94"/>
  <c r="C99" s="1"/>
  <c r="I93"/>
  <c r="I92"/>
  <c r="I91"/>
  <c r="I90"/>
  <c r="I88"/>
  <c r="I86"/>
  <c r="I84"/>
  <c r="I83"/>
  <c r="I82"/>
  <c r="I81"/>
  <c r="I80"/>
  <c r="I79"/>
  <c r="I78"/>
  <c r="I77"/>
  <c r="I76"/>
  <c r="I75"/>
  <c r="I74"/>
  <c r="I73"/>
  <c r="I72"/>
  <c r="I71"/>
  <c r="I69"/>
  <c r="I68"/>
  <c r="I67"/>
  <c r="I66"/>
  <c r="I65"/>
  <c r="I64"/>
  <c r="I63"/>
  <c r="I62"/>
  <c r="I61"/>
  <c r="I60"/>
  <c r="I59"/>
  <c r="I58"/>
  <c r="I57"/>
  <c r="I56"/>
  <c r="I55"/>
  <c r="I54"/>
  <c r="I53"/>
  <c r="I52"/>
  <c r="G51"/>
  <c r="I51" s="1"/>
  <c r="I50"/>
  <c r="I49"/>
  <c r="I48"/>
  <c r="I47"/>
  <c r="I46"/>
  <c r="I45"/>
  <c r="I44"/>
  <c r="I43"/>
  <c r="I42"/>
  <c r="I41"/>
  <c r="G39"/>
  <c r="I37"/>
  <c r="I35"/>
  <c r="I33"/>
  <c r="I32"/>
  <c r="I31"/>
  <c r="I30"/>
  <c r="I29"/>
  <c r="I28"/>
  <c r="I27"/>
  <c r="I26"/>
  <c r="I25"/>
  <c r="I24"/>
  <c r="I23"/>
  <c r="I22"/>
  <c r="I21"/>
  <c r="I20"/>
  <c r="I19"/>
  <c r="I18"/>
  <c r="I17"/>
  <c r="I15"/>
  <c r="I14"/>
  <c r="I13"/>
  <c r="I12"/>
  <c r="I11"/>
  <c r="G94" l="1"/>
  <c r="G99" s="1"/>
  <c r="I39"/>
  <c r="I94" s="1"/>
  <c r="I99" s="1"/>
  <c r="AB32" i="26"/>
  <c r="AM43" i="21" l="1"/>
  <c r="AM72" i="20"/>
  <c r="H52" i="3" l="1"/>
  <c r="H51"/>
  <c r="H44"/>
  <c r="H41"/>
  <c r="H40"/>
  <c r="H39"/>
  <c r="H36"/>
  <c r="H35"/>
  <c r="H34"/>
  <c r="H33"/>
  <c r="H32"/>
  <c r="H31"/>
  <c r="H29"/>
  <c r="H28"/>
  <c r="H27"/>
  <c r="H22"/>
  <c r="H17"/>
  <c r="F44" i="41"/>
  <c r="F37"/>
  <c r="F23"/>
  <c r="F17"/>
  <c r="E47" i="40"/>
  <c r="E38"/>
  <c r="E28"/>
  <c r="E22"/>
  <c r="F73" i="19"/>
  <c r="E30" i="40" l="1"/>
  <c r="E50" s="1"/>
  <c r="F25" i="41"/>
  <c r="F47" s="1"/>
  <c r="G41" i="10" l="1"/>
  <c r="J92" i="39" l="1"/>
  <c r="H92"/>
  <c r="J87"/>
  <c r="H87"/>
  <c r="J78"/>
  <c r="H78"/>
  <c r="J69"/>
  <c r="H69"/>
  <c r="J65"/>
  <c r="H65"/>
  <c r="J48"/>
  <c r="H48"/>
  <c r="J43"/>
  <c r="H43"/>
  <c r="J31"/>
  <c r="H31"/>
  <c r="H94" l="1"/>
  <c r="J94"/>
  <c r="AA16" i="22"/>
  <c r="AA63"/>
  <c r="AD65" l="1"/>
  <c r="AD55"/>
  <c r="AD23"/>
  <c r="AD20"/>
  <c r="AD43"/>
  <c r="L50" i="2"/>
  <c r="L49"/>
  <c r="L40"/>
  <c r="L37"/>
  <c r="L19"/>
  <c r="L14"/>
  <c r="AD25" i="22" l="1"/>
  <c r="AD47" s="1"/>
  <c r="AD58" s="1"/>
  <c r="AD70" s="1"/>
  <c r="AD73" s="1"/>
  <c r="H50" i="2"/>
  <c r="H49"/>
  <c r="F53" i="19"/>
  <c r="F104"/>
  <c r="H41" i="2" s="1"/>
  <c r="F103" i="19"/>
  <c r="H38" i="2" s="1"/>
  <c r="F102" i="19"/>
  <c r="H37" i="2" s="1"/>
  <c r="F101" i="19"/>
  <c r="H36" i="2" s="1"/>
  <c r="F98" i="19"/>
  <c r="H33" i="2" s="1"/>
  <c r="F97" i="19"/>
  <c r="H32" i="2" s="1"/>
  <c r="F96" i="19"/>
  <c r="H31" i="2" s="1"/>
  <c r="F95" i="19"/>
  <c r="H30" i="2" s="1"/>
  <c r="F94" i="19"/>
  <c r="H29" i="2" s="1"/>
  <c r="F93" i="19"/>
  <c r="H28" i="2" s="1"/>
  <c r="F91" i="19"/>
  <c r="H26" i="2" s="1"/>
  <c r="F90" i="19"/>
  <c r="H25" i="2" s="1"/>
  <c r="F89" i="19"/>
  <c r="H24" i="2" s="1"/>
  <c r="F83" i="19"/>
  <c r="H19" i="2" s="1"/>
  <c r="F80" i="19"/>
  <c r="F79"/>
  <c r="F78"/>
  <c r="F77"/>
  <c r="F76"/>
  <c r="F75"/>
  <c r="F74"/>
  <c r="F72"/>
  <c r="F71"/>
  <c r="F70"/>
  <c r="F68"/>
  <c r="F67"/>
  <c r="F66"/>
  <c r="F65"/>
  <c r="F64"/>
  <c r="F63"/>
  <c r="F61"/>
  <c r="F60"/>
  <c r="F59"/>
  <c r="F58"/>
  <c r="F56"/>
  <c r="F55"/>
  <c r="F54"/>
  <c r="F52"/>
  <c r="F51"/>
  <c r="F49"/>
  <c r="F48"/>
  <c r="F47"/>
  <c r="F46"/>
  <c r="F44"/>
  <c r="F37"/>
  <c r="H17" i="2" s="1"/>
  <c r="F34" i="19"/>
  <c r="F33"/>
  <c r="F32"/>
  <c r="F31"/>
  <c r="F30"/>
  <c r="F27"/>
  <c r="F26"/>
  <c r="F25"/>
  <c r="F24"/>
  <c r="F23"/>
  <c r="F22"/>
  <c r="F21"/>
  <c r="F18"/>
  <c r="H14" i="2" s="1"/>
  <c r="AM68" i="21"/>
  <c r="AM49"/>
  <c r="B36" i="5" l="1"/>
  <c r="B35"/>
  <c r="B28"/>
  <c r="B27"/>
  <c r="B26"/>
  <c r="B25"/>
  <c r="B20"/>
  <c r="B19"/>
  <c r="B18"/>
  <c r="F36"/>
  <c r="F35"/>
  <c r="F27"/>
  <c r="F26"/>
  <c r="F25"/>
  <c r="F18"/>
  <c r="B33" i="6" l="1"/>
  <c r="B32"/>
  <c r="B25"/>
  <c r="B24"/>
  <c r="B23"/>
  <c r="B18"/>
  <c r="F33"/>
  <c r="F32"/>
  <c r="F25"/>
  <c r="F24"/>
  <c r="F23"/>
  <c r="F18"/>
  <c r="AK73" i="18" l="1"/>
  <c r="AN25" i="24"/>
  <c r="K63" i="34" l="1"/>
  <c r="I63"/>
  <c r="G63"/>
  <c r="E63"/>
  <c r="C63"/>
  <c r="S35" l="1"/>
  <c r="Q35"/>
  <c r="Q63" s="1"/>
  <c r="S34"/>
  <c r="S23"/>
  <c r="S22"/>
  <c r="S21"/>
  <c r="S19"/>
  <c r="M61"/>
  <c r="M60"/>
  <c r="M57"/>
  <c r="M56"/>
  <c r="M53"/>
  <c r="M52"/>
  <c r="M51"/>
  <c r="M50"/>
  <c r="M49"/>
  <c r="M48"/>
  <c r="M45"/>
  <c r="M43"/>
  <c r="M41"/>
  <c r="M39"/>
  <c r="M38"/>
  <c r="M35"/>
  <c r="M34"/>
  <c r="M31"/>
  <c r="M30"/>
  <c r="M29"/>
  <c r="M26"/>
  <c r="M23"/>
  <c r="M22"/>
  <c r="M21"/>
  <c r="M20"/>
  <c r="M19"/>
  <c r="M16"/>
  <c r="I12"/>
  <c r="Q12"/>
  <c r="K12"/>
  <c r="M12" s="1"/>
  <c r="S12" s="1"/>
  <c r="K11"/>
  <c r="S11" s="1"/>
  <c r="S63" l="1"/>
  <c r="M63"/>
  <c r="P50" i="2"/>
  <c r="P49"/>
  <c r="P48"/>
  <c r="G61" i="23" l="1"/>
  <c r="P19" i="2" s="1"/>
  <c r="G82" i="23"/>
  <c r="P41" i="2" s="1"/>
  <c r="G81" i="23"/>
  <c r="P38" i="2" s="1"/>
  <c r="G80" i="23"/>
  <c r="P37" i="2" s="1"/>
  <c r="G79" i="23"/>
  <c r="P36" i="2" s="1"/>
  <c r="G76" i="23"/>
  <c r="P33" i="2" s="1"/>
  <c r="G75" i="23"/>
  <c r="P32" i="2" s="1"/>
  <c r="G74" i="23"/>
  <c r="P31" i="2" s="1"/>
  <c r="G73" i="23"/>
  <c r="P30" i="2" s="1"/>
  <c r="G72" i="23"/>
  <c r="P29" i="2" s="1"/>
  <c r="G71" i="23"/>
  <c r="P28" i="2" s="1"/>
  <c r="G69" i="23"/>
  <c r="P26" i="2" s="1"/>
  <c r="G68" i="23"/>
  <c r="P25" i="2" s="1"/>
  <c r="G67" i="23"/>
  <c r="P24" i="2" s="1"/>
  <c r="G58" i="23"/>
  <c r="G57"/>
  <c r="G56"/>
  <c r="G55"/>
  <c r="G54"/>
  <c r="G52"/>
  <c r="G51"/>
  <c r="G50"/>
  <c r="G49"/>
  <c r="G48"/>
  <c r="G46"/>
  <c r="G45"/>
  <c r="G44"/>
  <c r="G43"/>
  <c r="G42"/>
  <c r="G41"/>
  <c r="G39"/>
  <c r="G37"/>
  <c r="G30"/>
  <c r="G27"/>
  <c r="G26"/>
  <c r="G25"/>
  <c r="G22"/>
  <c r="G21"/>
  <c r="G20"/>
  <c r="O11" i="43" l="1"/>
  <c r="O202"/>
  <c r="O206"/>
  <c r="K254"/>
  <c r="K206"/>
  <c r="K202"/>
  <c r="K197"/>
  <c r="K184"/>
  <c r="K97"/>
  <c r="K11"/>
  <c r="I254"/>
  <c r="G254"/>
  <c r="I206"/>
  <c r="G206"/>
  <c r="I202"/>
  <c r="G202"/>
  <c r="I197"/>
  <c r="G197"/>
  <c r="I184"/>
  <c r="G184"/>
  <c r="I97"/>
  <c r="G97"/>
  <c r="I11"/>
  <c r="G11"/>
  <c r="D59" i="3"/>
  <c r="K257" i="43" l="1"/>
  <c r="G257"/>
  <c r="I257"/>
  <c r="O257"/>
  <c r="E133" i="17"/>
  <c r="E132"/>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8"/>
  <c r="E45"/>
  <c r="E44"/>
  <c r="E43"/>
  <c r="E42"/>
  <c r="E41"/>
  <c r="E38"/>
  <c r="E37"/>
  <c r="E36"/>
  <c r="E35"/>
  <c r="E34"/>
  <c r="E33"/>
  <c r="E32"/>
  <c r="E29"/>
  <c r="E28"/>
  <c r="E27"/>
  <c r="E25"/>
  <c r="E24"/>
  <c r="E23"/>
  <c r="E22"/>
  <c r="E21"/>
  <c r="E134" i="16"/>
  <c r="E133"/>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5"/>
  <c r="E44"/>
  <c r="E43"/>
  <c r="E42"/>
  <c r="E41"/>
  <c r="E38"/>
  <c r="E37"/>
  <c r="E36"/>
  <c r="E35"/>
  <c r="E34"/>
  <c r="E33"/>
  <c r="E32"/>
  <c r="E29"/>
  <c r="E28"/>
  <c r="E27"/>
  <c r="E25"/>
  <c r="E24"/>
  <c r="E23"/>
  <c r="E22"/>
  <c r="E21"/>
  <c r="D50" i="2"/>
  <c r="D49"/>
  <c r="D38"/>
  <c r="D37"/>
  <c r="D36"/>
  <c r="D33"/>
  <c r="D32"/>
  <c r="D31"/>
  <c r="D30"/>
  <c r="D29"/>
  <c r="D28"/>
  <c r="D26"/>
  <c r="D25"/>
  <c r="D24"/>
  <c r="D19"/>
  <c r="AN23" i="25"/>
  <c r="AK25" i="18"/>
  <c r="D24" l="1"/>
  <c r="D28" s="1"/>
  <c r="A44" i="11"/>
  <c r="A44" i="10" s="1"/>
  <c r="C32" i="13" l="1"/>
  <c r="C26"/>
  <c r="AK49" i="18"/>
  <c r="AF25" i="24" l="1"/>
  <c r="AN89"/>
  <c r="AN72"/>
  <c r="AN43"/>
  <c r="AN41"/>
  <c r="AI37" i="22"/>
  <c r="AN39" i="25"/>
  <c r="AN54" i="24"/>
  <c r="V27" i="11" l="1"/>
  <c r="P27"/>
  <c r="N27"/>
  <c r="K27"/>
  <c r="E27"/>
  <c r="C27"/>
  <c r="C35"/>
  <c r="E35"/>
  <c r="K35"/>
  <c r="N35"/>
  <c r="P35"/>
  <c r="V35"/>
  <c r="AE111" i="20" l="1"/>
  <c r="D37" i="18" l="1"/>
  <c r="AI42" i="22"/>
  <c r="AI29"/>
  <c r="AJ132" i="16"/>
  <c r="AM50" i="21" l="1"/>
  <c r="AM41"/>
  <c r="C20" i="10"/>
  <c r="C20" i="7" s="1"/>
  <c r="C21" i="10"/>
  <c r="C22"/>
  <c r="C23"/>
  <c r="C24"/>
  <c r="C25"/>
  <c r="C26"/>
  <c r="C30"/>
  <c r="C31"/>
  <c r="C32"/>
  <c r="C34"/>
  <c r="E20"/>
  <c r="E21"/>
  <c r="E22"/>
  <c r="E23"/>
  <c r="E24"/>
  <c r="E25"/>
  <c r="E26"/>
  <c r="E30"/>
  <c r="E31"/>
  <c r="E32"/>
  <c r="E34"/>
  <c r="P38" i="4"/>
  <c r="N38"/>
  <c r="AM16" i="20"/>
  <c r="AK88" i="18" l="1"/>
  <c r="AK84"/>
  <c r="AK78"/>
  <c r="D17" i="29"/>
  <c r="AI24" l="1"/>
  <c r="AA39" i="27"/>
  <c r="G39" i="13"/>
  <c r="AG20" i="23"/>
  <c r="AG21"/>
  <c r="AG22"/>
  <c r="AG27"/>
  <c r="AG26"/>
  <c r="AL26" s="1"/>
  <c r="AG30"/>
  <c r="AG61"/>
  <c r="X65" i="22" l="1"/>
  <c r="X55"/>
  <c r="X43"/>
  <c r="X23"/>
  <c r="X20"/>
  <c r="V65"/>
  <c r="V55"/>
  <c r="V43"/>
  <c r="V23"/>
  <c r="V20"/>
  <c r="T65"/>
  <c r="T55"/>
  <c r="T43"/>
  <c r="T23"/>
  <c r="T20"/>
  <c r="R65"/>
  <c r="R55"/>
  <c r="R43"/>
  <c r="R23"/>
  <c r="R20"/>
  <c r="P65"/>
  <c r="P55"/>
  <c r="P43"/>
  <c r="P23"/>
  <c r="P20"/>
  <c r="N65"/>
  <c r="N55"/>
  <c r="N43"/>
  <c r="N23"/>
  <c r="N20"/>
  <c r="L65"/>
  <c r="L55"/>
  <c r="L43"/>
  <c r="L23"/>
  <c r="L20"/>
  <c r="J65"/>
  <c r="J55"/>
  <c r="J43"/>
  <c r="J23"/>
  <c r="J20"/>
  <c r="H65"/>
  <c r="H55"/>
  <c r="H43"/>
  <c r="H23"/>
  <c r="H20"/>
  <c r="F65"/>
  <c r="F55"/>
  <c r="F43"/>
  <c r="F23"/>
  <c r="F20"/>
  <c r="L25" l="1"/>
  <c r="L47" s="1"/>
  <c r="L58" s="1"/>
  <c r="L70" s="1"/>
  <c r="J25"/>
  <c r="J47" s="1"/>
  <c r="J58" s="1"/>
  <c r="J70" s="1"/>
  <c r="R25"/>
  <c r="R47" s="1"/>
  <c r="R58" s="1"/>
  <c r="R70" s="1"/>
  <c r="P25"/>
  <c r="P47" s="1"/>
  <c r="P58" s="1"/>
  <c r="P70" s="1"/>
  <c r="H25"/>
  <c r="H47" s="1"/>
  <c r="H58" s="1"/>
  <c r="H70" s="1"/>
  <c r="N25"/>
  <c r="N47" s="1"/>
  <c r="N58" s="1"/>
  <c r="N70" s="1"/>
  <c r="X25"/>
  <c r="X47" s="1"/>
  <c r="X58" s="1"/>
  <c r="X70" s="1"/>
  <c r="F25"/>
  <c r="F47" s="1"/>
  <c r="F58" s="1"/>
  <c r="F70" s="1"/>
  <c r="V25"/>
  <c r="V47" s="1"/>
  <c r="V58" s="1"/>
  <c r="V70" s="1"/>
  <c r="T25"/>
  <c r="T47" s="1"/>
  <c r="T58" s="1"/>
  <c r="T70" s="1"/>
  <c r="P17" i="29"/>
  <c r="K82" i="30" l="1"/>
  <c r="K84" l="1"/>
  <c r="H15" i="40" l="1"/>
  <c r="H12"/>
  <c r="AF71" i="24" l="1"/>
  <c r="E40" i="7" l="1"/>
  <c r="C40"/>
  <c r="G25" i="14" l="1"/>
  <c r="G40" i="7" s="1"/>
  <c r="AA23" i="23" l="1"/>
  <c r="AA28"/>
  <c r="Y136" i="16"/>
  <c r="AA31" i="23"/>
  <c r="AA77"/>
  <c r="AA84" s="1"/>
  <c r="AA94"/>
  <c r="AA59"/>
  <c r="AA33" l="1"/>
  <c r="AA63" s="1"/>
  <c r="AA87" s="1"/>
  <c r="AA99" s="1"/>
  <c r="AM47" i="21" l="1"/>
  <c r="D51" i="2" l="1"/>
  <c r="H46" i="40"/>
  <c r="H45"/>
  <c r="H44"/>
  <c r="H37"/>
  <c r="H35"/>
  <c r="H34"/>
  <c r="H25"/>
  <c r="H21"/>
  <c r="H20"/>
  <c r="H18"/>
  <c r="H17"/>
  <c r="H16"/>
  <c r="K132" i="30"/>
  <c r="G96" l="1"/>
  <c r="K85" l="1"/>
  <c r="AE55" i="20" l="1"/>
  <c r="AG42" i="23" l="1"/>
  <c r="E42"/>
  <c r="AF23" i="25"/>
  <c r="AL23" s="1"/>
  <c r="AF41" i="24"/>
  <c r="AL41" s="1"/>
  <c r="AD42" i="23" l="1"/>
  <c r="AJ42" s="1"/>
  <c r="AL42" s="1"/>
  <c r="K114" i="30"/>
  <c r="M196" i="43"/>
  <c r="M194"/>
  <c r="M187"/>
  <c r="M252"/>
  <c r="M251"/>
  <c r="M245"/>
  <c r="M244"/>
  <c r="M243"/>
  <c r="M237"/>
  <c r="M236"/>
  <c r="M235"/>
  <c r="M229"/>
  <c r="M228"/>
  <c r="M227"/>
  <c r="M221"/>
  <c r="M220"/>
  <c r="M219"/>
  <c r="M213"/>
  <c r="M212"/>
  <c r="M211"/>
  <c r="M250"/>
  <c r="M249"/>
  <c r="M246"/>
  <c r="M242"/>
  <c r="M241"/>
  <c r="M238"/>
  <c r="M234"/>
  <c r="M233"/>
  <c r="M230"/>
  <c r="M226"/>
  <c r="M225"/>
  <c r="M222"/>
  <c r="M218"/>
  <c r="M217"/>
  <c r="M214"/>
  <c r="M210"/>
  <c r="M209"/>
  <c r="M253"/>
  <c r="M248"/>
  <c r="M247"/>
  <c r="M240"/>
  <c r="M239"/>
  <c r="M232"/>
  <c r="M231"/>
  <c r="M224"/>
  <c r="M223"/>
  <c r="M216"/>
  <c r="M215"/>
  <c r="M195"/>
  <c r="M193"/>
  <c r="M192"/>
  <c r="M191"/>
  <c r="M190"/>
  <c r="M189"/>
  <c r="M188"/>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C20" i="13" l="1"/>
  <c r="T32" i="37"/>
  <c r="I20" i="41" l="1"/>
  <c r="I16"/>
  <c r="AD41" i="2"/>
  <c r="AA44" i="3"/>
  <c r="AA36"/>
  <c r="AF72" i="24" l="1"/>
  <c r="K105" i="30" l="1"/>
  <c r="N61" i="35" l="1"/>
  <c r="F61"/>
  <c r="E32" i="12" l="1"/>
  <c r="AC84" i="18"/>
  <c r="AI84" s="1"/>
  <c r="AC85"/>
  <c r="AI85" s="1"/>
  <c r="AK85" s="1"/>
  <c r="AE97" i="17"/>
  <c r="AE64"/>
  <c r="AA42" i="22" l="1"/>
  <c r="AG42" s="1"/>
  <c r="D43"/>
  <c r="L18" i="2" s="1"/>
  <c r="B43" i="22"/>
  <c r="AA29"/>
  <c r="AG29" s="1"/>
  <c r="AE93" i="17" l="1"/>
  <c r="AE68" i="21" l="1"/>
  <c r="AC113" i="19" l="1"/>
  <c r="AE21" i="16" l="1"/>
  <c r="Y23" i="3" l="1"/>
  <c r="AG49" i="23" l="1"/>
  <c r="E49"/>
  <c r="AN30" i="25"/>
  <c r="AF30"/>
  <c r="AL30" s="1"/>
  <c r="F49" i="23"/>
  <c r="AN48" i="24"/>
  <c r="AF48"/>
  <c r="AL48" s="1"/>
  <c r="AD49" i="23" l="1"/>
  <c r="AJ49" s="1"/>
  <c r="AL49" s="1"/>
  <c r="AC58" i="18"/>
  <c r="K112" i="30" l="1"/>
  <c r="I32" i="41"/>
  <c r="AF26" i="24" l="1"/>
  <c r="AF113" i="19" l="1"/>
  <c r="AF112"/>
  <c r="AC70" i="18" l="1"/>
  <c r="K51" i="30"/>
  <c r="AG82" i="23" l="1"/>
  <c r="R80" i="20" l="1"/>
  <c r="I43" i="41" l="1"/>
  <c r="I41"/>
  <c r="I40"/>
  <c r="I36"/>
  <c r="I35"/>
  <c r="I34"/>
  <c r="I33"/>
  <c r="I22"/>
  <c r="I17"/>
  <c r="AC123" i="18" l="1"/>
  <c r="AC121"/>
  <c r="AG57" i="23" l="1"/>
  <c r="AG58"/>
  <c r="P80" i="20" l="1"/>
  <c r="AF60" i="19"/>
  <c r="AF59"/>
  <c r="AF58"/>
  <c r="D60"/>
  <c r="D59"/>
  <c r="D58"/>
  <c r="AL25" i="23" l="1"/>
  <c r="AJ25"/>
  <c r="R52" i="35" l="1"/>
  <c r="V52" s="1"/>
  <c r="E26" i="12" l="1"/>
  <c r="E36" s="1"/>
  <c r="C26"/>
  <c r="AI40" i="25"/>
  <c r="AC40"/>
  <c r="AA40"/>
  <c r="Y40"/>
  <c r="W40"/>
  <c r="U40"/>
  <c r="S40"/>
  <c r="Q40"/>
  <c r="O40"/>
  <c r="M40"/>
  <c r="K40"/>
  <c r="I40"/>
  <c r="G40"/>
  <c r="E40"/>
  <c r="O27" i="14"/>
  <c r="M27"/>
  <c r="E27"/>
  <c r="C27"/>
  <c r="AM75" i="21"/>
  <c r="A40" i="14" l="1"/>
  <c r="A40" i="13"/>
  <c r="A39"/>
  <c r="A39" i="12"/>
  <c r="A42" i="11"/>
  <c r="A41"/>
  <c r="A42" i="10"/>
  <c r="A41"/>
  <c r="A49" i="9"/>
  <c r="A50"/>
  <c r="AF72" i="25" l="1"/>
  <c r="AF71"/>
  <c r="AF63"/>
  <c r="Q31" i="14" s="1"/>
  <c r="AF62" i="25"/>
  <c r="AF61"/>
  <c r="AF60"/>
  <c r="AF57"/>
  <c r="AF56"/>
  <c r="AF55"/>
  <c r="AF54"/>
  <c r="AF53"/>
  <c r="AF52"/>
  <c r="AF50"/>
  <c r="AF49"/>
  <c r="AF48"/>
  <c r="AF42"/>
  <c r="Q24" i="14" s="1"/>
  <c r="AF39" i="25"/>
  <c r="AF38"/>
  <c r="AF37"/>
  <c r="AF36"/>
  <c r="AF35"/>
  <c r="AF33"/>
  <c r="AF32"/>
  <c r="AF31"/>
  <c r="AF29"/>
  <c r="AF27"/>
  <c r="AF26"/>
  <c r="AF25"/>
  <c r="AF24"/>
  <c r="AF22"/>
  <c r="AF20"/>
  <c r="AF18"/>
  <c r="AF91" i="24"/>
  <c r="AF90"/>
  <c r="G26" i="14" s="1"/>
  <c r="AF89" i="24"/>
  <c r="AF81"/>
  <c r="G31" i="14" s="1"/>
  <c r="AF80" i="24"/>
  <c r="AF79"/>
  <c r="AF78"/>
  <c r="AF75"/>
  <c r="AF74"/>
  <c r="AF73"/>
  <c r="AF70"/>
  <c r="AF68"/>
  <c r="AF67"/>
  <c r="AF66"/>
  <c r="AF60"/>
  <c r="G24" i="14" s="1"/>
  <c r="AF57" i="24"/>
  <c r="AF56"/>
  <c r="AF55"/>
  <c r="AF54"/>
  <c r="AF53"/>
  <c r="AF45"/>
  <c r="AF43"/>
  <c r="AF29"/>
  <c r="AF24"/>
  <c r="AF21"/>
  <c r="AF20"/>
  <c r="AF19"/>
  <c r="AE75" i="21"/>
  <c r="AE74"/>
  <c r="AE73"/>
  <c r="AE72"/>
  <c r="AE69"/>
  <c r="AE67"/>
  <c r="AE66"/>
  <c r="AE65"/>
  <c r="AE64"/>
  <c r="AE62"/>
  <c r="AE61"/>
  <c r="AE60"/>
  <c r="AE54"/>
  <c r="AE51"/>
  <c r="AE50"/>
  <c r="AE49"/>
  <c r="AE48"/>
  <c r="AE47"/>
  <c r="AE46"/>
  <c r="AE45"/>
  <c r="AE44"/>
  <c r="AE43"/>
  <c r="AE42"/>
  <c r="AE41"/>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AE78" i="20"/>
  <c r="AE77"/>
  <c r="AE75"/>
  <c r="AE74"/>
  <c r="AE72"/>
  <c r="AE71"/>
  <c r="AE70"/>
  <c r="AE69"/>
  <c r="AE65"/>
  <c r="AE63"/>
  <c r="AK63" s="1"/>
  <c r="AM63" s="1"/>
  <c r="AE62"/>
  <c r="AE60"/>
  <c r="AE52"/>
  <c r="AE47"/>
  <c r="AE45"/>
  <c r="AE43"/>
  <c r="AE36"/>
  <c r="AE33"/>
  <c r="AE32"/>
  <c r="AE31"/>
  <c r="AE30"/>
  <c r="AE29"/>
  <c r="AE26"/>
  <c r="AE25"/>
  <c r="AE24"/>
  <c r="AE23"/>
  <c r="AE22"/>
  <c r="AE21"/>
  <c r="AE20"/>
  <c r="AE16"/>
  <c r="AG56" i="23"/>
  <c r="AG55"/>
  <c r="AL55" s="1"/>
  <c r="AG54"/>
  <c r="AG52"/>
  <c r="AG51"/>
  <c r="AG50"/>
  <c r="AG48"/>
  <c r="AG46"/>
  <c r="AG45"/>
  <c r="AG44"/>
  <c r="AL44" s="1"/>
  <c r="AG43"/>
  <c r="AG41"/>
  <c r="AG39"/>
  <c r="AG37"/>
  <c r="Y46" i="17"/>
  <c r="W46"/>
  <c r="U46"/>
  <c r="S46"/>
  <c r="Q46"/>
  <c r="O46"/>
  <c r="AE28" i="16"/>
  <c r="C28"/>
  <c r="AE27" i="17"/>
  <c r="AE28"/>
  <c r="C28"/>
  <c r="C27"/>
  <c r="AE123" i="16"/>
  <c r="AE135" i="17"/>
  <c r="AE73"/>
  <c r="AE72"/>
  <c r="AE71"/>
  <c r="AE70"/>
  <c r="AE69"/>
  <c r="AE68"/>
  <c r="C73"/>
  <c r="C72"/>
  <c r="C71"/>
  <c r="C70"/>
  <c r="C69"/>
  <c r="C68"/>
  <c r="AE68" i="16"/>
  <c r="C68"/>
  <c r="AI31" i="22"/>
  <c r="AI36"/>
  <c r="AI35"/>
  <c r="AI34"/>
  <c r="AI33"/>
  <c r="AA36"/>
  <c r="AG36" s="1"/>
  <c r="AA35"/>
  <c r="AG35" s="1"/>
  <c r="AA34"/>
  <c r="AG34" s="1"/>
  <c r="AA33"/>
  <c r="AG33" s="1"/>
  <c r="AA32"/>
  <c r="AA31"/>
  <c r="AG31" s="1"/>
  <c r="AE52" i="17"/>
  <c r="AE51"/>
  <c r="D18" i="19"/>
  <c r="C27" i="16" s="1"/>
  <c r="N52" i="21"/>
  <c r="N80" i="20"/>
  <c r="AE52" i="16"/>
  <c r="AE50"/>
  <c r="AE49"/>
  <c r="A6" i="10"/>
  <c r="C52" i="17"/>
  <c r="C51"/>
  <c r="C52" i="16"/>
  <c r="C50"/>
  <c r="C49"/>
  <c r="AE84" i="21"/>
  <c r="AF80" i="19"/>
  <c r="AF79"/>
  <c r="AE97" i="16" s="1"/>
  <c r="AF78" i="19"/>
  <c r="AF77"/>
  <c r="AF76"/>
  <c r="AF75"/>
  <c r="AE93" i="16" s="1"/>
  <c r="AF74" i="19"/>
  <c r="AF73"/>
  <c r="AK73" s="1"/>
  <c r="AF72"/>
  <c r="AF71"/>
  <c r="AF70"/>
  <c r="AF68"/>
  <c r="AF67"/>
  <c r="AF66"/>
  <c r="AF65"/>
  <c r="AF64"/>
  <c r="AF63"/>
  <c r="AF61"/>
  <c r="AF56"/>
  <c r="AF55"/>
  <c r="AF54"/>
  <c r="AF53"/>
  <c r="AE71" i="16" s="1"/>
  <c r="AF52" i="19"/>
  <c r="AE70" i="16" s="1"/>
  <c r="AF51" i="19"/>
  <c r="AF49"/>
  <c r="AF48"/>
  <c r="AF47"/>
  <c r="AE64" i="16" s="1"/>
  <c r="AF46" i="19"/>
  <c r="AF44"/>
  <c r="AH27" i="20"/>
  <c r="AG9" i="21"/>
  <c r="AG9" i="20"/>
  <c r="AF24" i="18"/>
  <c r="AN18" i="25"/>
  <c r="AM19" i="21"/>
  <c r="AL91" i="24" l="1"/>
  <c r="G32" i="14"/>
  <c r="AL72" i="25"/>
  <c r="AN72" s="1"/>
  <c r="Q32" i="14"/>
  <c r="AE52" i="21"/>
  <c r="AF81" i="19"/>
  <c r="N14" i="2"/>
  <c r="AG59" i="23"/>
  <c r="AE69" i="16"/>
  <c r="AE72"/>
  <c r="AG16" i="22"/>
  <c r="AI16" s="1"/>
  <c r="M26" i="17"/>
  <c r="M30" s="1"/>
  <c r="M39"/>
  <c r="M117"/>
  <c r="M126" s="1"/>
  <c r="M46"/>
  <c r="AF40" i="25"/>
  <c r="Q23" i="14" s="1"/>
  <c r="M135" i="17"/>
  <c r="M99"/>
  <c r="M54"/>
  <c r="G20" i="12"/>
  <c r="AE73" i="16"/>
  <c r="AG32" i="22"/>
  <c r="AI32" s="1"/>
  <c r="AC74" i="25"/>
  <c r="AC58"/>
  <c r="AC65" s="1"/>
  <c r="AC44"/>
  <c r="AE112" i="20"/>
  <c r="G34" i="11" s="1"/>
  <c r="AE83" i="21"/>
  <c r="AC93" i="24"/>
  <c r="AC76"/>
  <c r="AC83" s="1"/>
  <c r="AC58"/>
  <c r="AC30"/>
  <c r="AC27"/>
  <c r="AC22"/>
  <c r="G26" i="11"/>
  <c r="AB114" i="20"/>
  <c r="AB98"/>
  <c r="AB105" s="1"/>
  <c r="AB80"/>
  <c r="AB37"/>
  <c r="AB34"/>
  <c r="AB27"/>
  <c r="AB86" i="21"/>
  <c r="AB70"/>
  <c r="AB77" s="1"/>
  <c r="AB52"/>
  <c r="AB56" s="1"/>
  <c r="AF28" i="18"/>
  <c r="AA17" i="3" s="1"/>
  <c r="AM48" i="21"/>
  <c r="AM44"/>
  <c r="AM45"/>
  <c r="AM42"/>
  <c r="AM35"/>
  <c r="AM36"/>
  <c r="AM37"/>
  <c r="AM38"/>
  <c r="AM39"/>
  <c r="AM34"/>
  <c r="AM23"/>
  <c r="AM24"/>
  <c r="AM27"/>
  <c r="AM28"/>
  <c r="AM29"/>
  <c r="AM30"/>
  <c r="AM22"/>
  <c r="AK31"/>
  <c r="AM31" s="1"/>
  <c r="M56" i="17" l="1"/>
  <c r="M103" s="1"/>
  <c r="M129" s="1"/>
  <c r="M139" s="1"/>
  <c r="J51" i="3"/>
  <c r="AC32" i="24"/>
  <c r="AC62" s="1"/>
  <c r="AC86" s="1"/>
  <c r="AC98" s="1"/>
  <c r="AB80" i="21"/>
  <c r="AB90" s="1"/>
  <c r="AB39" i="20"/>
  <c r="AB84" s="1"/>
  <c r="AB108" s="1"/>
  <c r="AB118" s="1"/>
  <c r="AC68" i="25"/>
  <c r="AC78" s="1"/>
  <c r="A6" i="13" l="1"/>
  <c r="M254" i="43"/>
  <c r="M205"/>
  <c r="M206" s="1"/>
  <c r="M201"/>
  <c r="M200"/>
  <c r="M197"/>
  <c r="M184"/>
  <c r="M97"/>
  <c r="M11"/>
  <c r="AA28" i="42"/>
  <c r="D44" i="41"/>
  <c r="D37"/>
  <c r="I30"/>
  <c r="I29"/>
  <c r="D23"/>
  <c r="I21"/>
  <c r="D17"/>
  <c r="I13"/>
  <c r="C47" i="40"/>
  <c r="H42"/>
  <c r="H41"/>
  <c r="C38"/>
  <c r="C28"/>
  <c r="H27"/>
  <c r="H26"/>
  <c r="C22"/>
  <c r="H19"/>
  <c r="J28" i="5"/>
  <c r="J19"/>
  <c r="H14"/>
  <c r="P14" s="1"/>
  <c r="L14"/>
  <c r="F15"/>
  <c r="H15"/>
  <c r="J15"/>
  <c r="L15"/>
  <c r="J20"/>
  <c r="F21"/>
  <c r="N21"/>
  <c r="P21"/>
  <c r="N29"/>
  <c r="P29"/>
  <c r="N37"/>
  <c r="P37"/>
  <c r="P44"/>
  <c r="AG92" i="23"/>
  <c r="AG91"/>
  <c r="C30" i="40" l="1"/>
  <c r="C50" s="1"/>
  <c r="C52" s="1"/>
  <c r="E12" s="1"/>
  <c r="E52" s="1"/>
  <c r="H22"/>
  <c r="D25" i="41"/>
  <c r="D47" s="1"/>
  <c r="D49" s="1"/>
  <c r="F13" s="1"/>
  <c r="F49" s="1"/>
  <c r="M202" i="43"/>
  <c r="M257" s="1"/>
  <c r="I37" i="41"/>
  <c r="I44"/>
  <c r="H38" i="40"/>
  <c r="I23" i="41"/>
  <c r="I25" s="1"/>
  <c r="H28" i="40"/>
  <c r="H47"/>
  <c r="K46" i="17"/>
  <c r="P32" i="5"/>
  <c r="P42" s="1"/>
  <c r="P45" s="1"/>
  <c r="K136" i="16"/>
  <c r="J27" i="5"/>
  <c r="F37"/>
  <c r="K26" i="16"/>
  <c r="K26" i="17"/>
  <c r="K30" s="1"/>
  <c r="K135"/>
  <c r="K117"/>
  <c r="K126" s="1"/>
  <c r="K39"/>
  <c r="N32" i="5"/>
  <c r="N42" s="1"/>
  <c r="N45" s="1"/>
  <c r="J26"/>
  <c r="F29"/>
  <c r="F32" s="1"/>
  <c r="J36"/>
  <c r="B37"/>
  <c r="J35"/>
  <c r="B29"/>
  <c r="J25"/>
  <c r="J18"/>
  <c r="J21" s="1"/>
  <c r="B21"/>
  <c r="E30" i="23"/>
  <c r="E27"/>
  <c r="E26"/>
  <c r="E25"/>
  <c r="E22"/>
  <c r="E21"/>
  <c r="E20"/>
  <c r="AF36" i="24"/>
  <c r="L86" i="21"/>
  <c r="L70"/>
  <c r="L77" s="1"/>
  <c r="L52"/>
  <c r="L56" s="1"/>
  <c r="L115" i="19"/>
  <c r="K54" i="17"/>
  <c r="I47" i="41" l="1"/>
  <c r="I49" s="1"/>
  <c r="H30" i="40"/>
  <c r="J37" i="5"/>
  <c r="F42"/>
  <c r="K30" i="16"/>
  <c r="K99" i="17"/>
  <c r="K56"/>
  <c r="M23" i="23"/>
  <c r="M31"/>
  <c r="K54" i="16"/>
  <c r="L38" i="19"/>
  <c r="J29" i="5"/>
  <c r="J32" s="1"/>
  <c r="B32"/>
  <c r="B42" s="1"/>
  <c r="M94" i="23"/>
  <c r="M28"/>
  <c r="M77"/>
  <c r="M84" s="1"/>
  <c r="M59"/>
  <c r="L80" i="21"/>
  <c r="L90" s="1"/>
  <c r="L99" i="19"/>
  <c r="L106" s="1"/>
  <c r="L35"/>
  <c r="L28"/>
  <c r="H50" i="40" l="1"/>
  <c r="H52" s="1"/>
  <c r="K46" i="16"/>
  <c r="J42" i="5"/>
  <c r="L81" i="19"/>
  <c r="K103" i="17"/>
  <c r="K129" s="1"/>
  <c r="K139" s="1"/>
  <c r="K99" i="16"/>
  <c r="K39"/>
  <c r="M33" i="23"/>
  <c r="M63" s="1"/>
  <c r="M87" s="1"/>
  <c r="M99" s="1"/>
  <c r="L40" i="19"/>
  <c r="K117" i="16"/>
  <c r="K126" s="1"/>
  <c r="K56" l="1"/>
  <c r="K103" s="1"/>
  <c r="K129" s="1"/>
  <c r="K140" s="1"/>
  <c r="L85" i="19"/>
  <c r="L109" s="1"/>
  <c r="L119" s="1"/>
  <c r="AD50" i="2" l="1"/>
  <c r="AE134" i="16" s="1"/>
  <c r="AN70" i="24"/>
  <c r="AG31" i="23"/>
  <c r="Y59"/>
  <c r="W59"/>
  <c r="U59"/>
  <c r="S59"/>
  <c r="Q59"/>
  <c r="O59"/>
  <c r="Z37" i="20"/>
  <c r="X37"/>
  <c r="V37"/>
  <c r="T37"/>
  <c r="R37"/>
  <c r="P37"/>
  <c r="N37"/>
  <c r="L37"/>
  <c r="J37"/>
  <c r="H37"/>
  <c r="F37"/>
  <c r="H20" i="3" s="1"/>
  <c r="D37" i="20"/>
  <c r="Z34"/>
  <c r="X34"/>
  <c r="V34"/>
  <c r="T34"/>
  <c r="R34"/>
  <c r="P34"/>
  <c r="N34"/>
  <c r="L34"/>
  <c r="J34"/>
  <c r="H34"/>
  <c r="F34"/>
  <c r="H19" i="3" s="1"/>
  <c r="D34" i="20"/>
  <c r="Z27"/>
  <c r="X27"/>
  <c r="V27"/>
  <c r="T27"/>
  <c r="R27"/>
  <c r="P27"/>
  <c r="N27"/>
  <c r="L27"/>
  <c r="J27"/>
  <c r="J39" s="1"/>
  <c r="H27"/>
  <c r="H39" s="1"/>
  <c r="F27"/>
  <c r="H18" i="3" s="1"/>
  <c r="D27" i="20"/>
  <c r="AH34"/>
  <c r="AH37"/>
  <c r="AK125" i="18"/>
  <c r="AK51"/>
  <c r="AK43"/>
  <c r="AK36"/>
  <c r="AK35"/>
  <c r="AK31"/>
  <c r="C51" i="16"/>
  <c r="C29"/>
  <c r="C25"/>
  <c r="C24"/>
  <c r="C23"/>
  <c r="C22"/>
  <c r="C21"/>
  <c r="D39" i="20" l="1"/>
  <c r="Z39"/>
  <c r="X39"/>
  <c r="V39"/>
  <c r="F39"/>
  <c r="T39"/>
  <c r="R39"/>
  <c r="P39"/>
  <c r="N39"/>
  <c r="L39"/>
  <c r="AH39"/>
  <c r="G38" i="12"/>
  <c r="E48" i="8"/>
  <c r="C49" i="7"/>
  <c r="E49"/>
  <c r="T61" i="35" l="1"/>
  <c r="P61"/>
  <c r="L61"/>
  <c r="J61"/>
  <c r="H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V32"/>
  <c r="R32"/>
  <c r="P32"/>
  <c r="N32"/>
  <c r="L32"/>
  <c r="J32"/>
  <c r="H32"/>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Q30"/>
  <c r="O30"/>
  <c r="M30"/>
  <c r="K30"/>
  <c r="I30"/>
  <c r="G30"/>
  <c r="E30"/>
  <c r="C30"/>
  <c r="AA29"/>
  <c r="AA27"/>
  <c r="AA26"/>
  <c r="AA25"/>
  <c r="AA24"/>
  <c r="AA23"/>
  <c r="AA22"/>
  <c r="AA21"/>
  <c r="AA20"/>
  <c r="AA19"/>
  <c r="AA17"/>
  <c r="AA16"/>
  <c r="AA15"/>
  <c r="AA14"/>
  <c r="D44" i="37" l="1"/>
  <c r="R61" i="35"/>
  <c r="C43" i="42"/>
  <c r="S43"/>
  <c r="H44" i="37"/>
  <c r="P44"/>
  <c r="X44"/>
  <c r="E43" i="42"/>
  <c r="M43"/>
  <c r="U43"/>
  <c r="G43"/>
  <c r="O43"/>
  <c r="W43"/>
  <c r="F44" i="37"/>
  <c r="N44"/>
  <c r="V44"/>
  <c r="B44"/>
  <c r="B46" s="1"/>
  <c r="D12" s="1"/>
  <c r="R44"/>
  <c r="Q43" i="42"/>
  <c r="Y43"/>
  <c r="T44" i="37"/>
  <c r="Z32"/>
  <c r="L44"/>
  <c r="K43" i="42"/>
  <c r="AA30"/>
  <c r="I43"/>
  <c r="AA40"/>
  <c r="Z24" i="37"/>
  <c r="J44"/>
  <c r="Z42"/>
  <c r="V16" i="35"/>
  <c r="V61" s="1"/>
  <c r="D46" i="37" l="1"/>
  <c r="F46" s="1"/>
  <c r="H46" s="1"/>
  <c r="J46" s="1"/>
  <c r="L46" s="1"/>
  <c r="N46" s="1"/>
  <c r="P46" s="1"/>
  <c r="R46" s="1"/>
  <c r="T46" s="1"/>
  <c r="V46" s="1"/>
  <c r="X46" s="1"/>
  <c r="Z44"/>
  <c r="Z46" s="1"/>
  <c r="AA43" i="42"/>
  <c r="C31" i="13"/>
  <c r="C30"/>
  <c r="E31"/>
  <c r="E30"/>
  <c r="C25"/>
  <c r="C24"/>
  <c r="C23"/>
  <c r="C22"/>
  <c r="C21"/>
  <c r="E25"/>
  <c r="E24"/>
  <c r="E23"/>
  <c r="E22"/>
  <c r="E21"/>
  <c r="E20"/>
  <c r="E27" l="1"/>
  <c r="E33" i="10"/>
  <c r="C27" l="1"/>
  <c r="E27"/>
  <c r="C61" i="17"/>
  <c r="C91" i="16"/>
  <c r="AE98" i="17"/>
  <c r="AE96"/>
  <c r="AE95"/>
  <c r="AE94"/>
  <c r="AE92"/>
  <c r="AE91"/>
  <c r="AE90"/>
  <c r="AE89"/>
  <c r="AE88"/>
  <c r="AE86"/>
  <c r="AE85"/>
  <c r="AE84"/>
  <c r="AE83"/>
  <c r="AE82"/>
  <c r="AE81"/>
  <c r="AE79"/>
  <c r="AE78"/>
  <c r="AE77"/>
  <c r="AE76"/>
  <c r="AE74"/>
  <c r="AE66"/>
  <c r="AE65"/>
  <c r="AE63"/>
  <c r="A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C45"/>
  <c r="C42"/>
  <c r="C33"/>
  <c r="C35"/>
  <c r="C37"/>
  <c r="E39" i="23"/>
  <c r="U22" i="14"/>
  <c r="U20"/>
  <c r="S39"/>
  <c r="S22"/>
  <c r="S20"/>
  <c r="I39"/>
  <c r="AE61" i="16" l="1"/>
  <c r="AE60"/>
  <c r="AE60" i="17"/>
  <c r="AE117"/>
  <c r="AE126" s="1"/>
  <c r="AD49" i="2"/>
  <c r="C60" i="17"/>
  <c r="E37" i="23" l="1"/>
  <c r="E58"/>
  <c r="E57"/>
  <c r="E56"/>
  <c r="E55"/>
  <c r="E54"/>
  <c r="E52"/>
  <c r="E51"/>
  <c r="E50"/>
  <c r="E48"/>
  <c r="E46"/>
  <c r="E45"/>
  <c r="E44"/>
  <c r="E43"/>
  <c r="E41"/>
  <c r="AN50" i="25"/>
  <c r="AN48"/>
  <c r="AE46" i="20"/>
  <c r="AE66"/>
  <c r="T41" i="11"/>
  <c r="I41"/>
  <c r="I38" i="12"/>
  <c r="T23" i="11"/>
  <c r="T22"/>
  <c r="T21"/>
  <c r="T20"/>
  <c r="I25"/>
  <c r="I42" i="9"/>
  <c r="I41"/>
  <c r="I40"/>
  <c r="AE48" i="20" l="1"/>
  <c r="AE53"/>
  <c r="AF44" i="24"/>
  <c r="AF51"/>
  <c r="AE58" i="20"/>
  <c r="AF38" i="24"/>
  <c r="AE59" i="20"/>
  <c r="AE73"/>
  <c r="AE50"/>
  <c r="AE57"/>
  <c r="AF40" i="24"/>
  <c r="AF49"/>
  <c r="AE54" i="20"/>
  <c r="AE76"/>
  <c r="AE67"/>
  <c r="AF47" i="24"/>
  <c r="AE64" i="20"/>
  <c r="AE79"/>
  <c r="AE51"/>
  <c r="AF42" i="24"/>
  <c r="AF50"/>
  <c r="I59" i="23"/>
  <c r="C61" i="16"/>
  <c r="E59" i="23"/>
  <c r="K59"/>
  <c r="J80" i="20"/>
  <c r="E31" i="7"/>
  <c r="E30"/>
  <c r="C31"/>
  <c r="C30"/>
  <c r="G59" i="23" l="1"/>
  <c r="P18" i="2" s="1"/>
  <c r="E42" i="7"/>
  <c r="E41"/>
  <c r="E33"/>
  <c r="E32"/>
  <c r="E29"/>
  <c r="C25"/>
  <c r="C23"/>
  <c r="C21"/>
  <c r="C42"/>
  <c r="C32"/>
  <c r="E24"/>
  <c r="E25"/>
  <c r="E23"/>
  <c r="E22"/>
  <c r="E21"/>
  <c r="E20"/>
  <c r="C24"/>
  <c r="C22"/>
  <c r="C29"/>
  <c r="O33" i="14"/>
  <c r="M33"/>
  <c r="C33" i="13"/>
  <c r="E33"/>
  <c r="E26" i="7" l="1"/>
  <c r="C26"/>
  <c r="I39" i="13"/>
  <c r="E37"/>
  <c r="E40" s="1"/>
  <c r="I41" i="10" l="1"/>
  <c r="E35"/>
  <c r="E39" s="1"/>
  <c r="E42" s="1"/>
  <c r="AN37" i="25" l="1"/>
  <c r="AN36"/>
  <c r="AN35"/>
  <c r="AN32"/>
  <c r="AN31"/>
  <c r="AN29"/>
  <c r="AN27"/>
  <c r="AN26"/>
  <c r="AN25"/>
  <c r="AN24"/>
  <c r="AN22"/>
  <c r="AN20"/>
  <c r="Z35" i="19"/>
  <c r="X35"/>
  <c r="V35"/>
  <c r="T35"/>
  <c r="R35"/>
  <c r="P35"/>
  <c r="N35"/>
  <c r="AB28" i="17"/>
  <c r="AB27"/>
  <c r="AF52" i="18"/>
  <c r="Z52"/>
  <c r="X52"/>
  <c r="V52"/>
  <c r="T52"/>
  <c r="R52"/>
  <c r="P52"/>
  <c r="N52"/>
  <c r="L52"/>
  <c r="AF44"/>
  <c r="Z44"/>
  <c r="X44"/>
  <c r="V44"/>
  <c r="T44"/>
  <c r="R44"/>
  <c r="P44"/>
  <c r="N44"/>
  <c r="L44"/>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53" i="17"/>
  <c r="AE50"/>
  <c r="AE49"/>
  <c r="AE48"/>
  <c r="AJ48" s="1"/>
  <c r="AE44"/>
  <c r="AE43"/>
  <c r="AE41"/>
  <c r="AE38"/>
  <c r="AE36"/>
  <c r="AE34"/>
  <c r="AE32"/>
  <c r="AH28"/>
  <c r="AJ28" s="1"/>
  <c r="AH27"/>
  <c r="AJ27" s="1"/>
  <c r="AE29"/>
  <c r="AE25"/>
  <c r="AE24"/>
  <c r="AE23"/>
  <c r="AE22"/>
  <c r="AE21"/>
  <c r="AN24" i="24"/>
  <c r="AL25"/>
  <c r="AL24"/>
  <c r="C38" i="17"/>
  <c r="C53"/>
  <c r="C50"/>
  <c r="C49"/>
  <c r="C48"/>
  <c r="C44"/>
  <c r="C43"/>
  <c r="C41"/>
  <c r="C36"/>
  <c r="C34"/>
  <c r="C32"/>
  <c r="C25"/>
  <c r="C29"/>
  <c r="C24"/>
  <c r="C23"/>
  <c r="C22"/>
  <c r="C21"/>
  <c r="G22" i="13" l="1"/>
  <c r="K22" s="1"/>
  <c r="W56" i="17"/>
  <c r="Y56" i="16"/>
  <c r="Y56" i="17"/>
  <c r="S56"/>
  <c r="U56"/>
  <c r="Q56"/>
  <c r="O56"/>
  <c r="O56" i="16"/>
  <c r="U56"/>
  <c r="W56"/>
  <c r="AE54" i="17"/>
  <c r="S56" i="16"/>
  <c r="Q56"/>
  <c r="AE46" i="17"/>
  <c r="AI32" i="24"/>
  <c r="G46" i="17"/>
  <c r="C46"/>
  <c r="E46"/>
  <c r="I46"/>
  <c r="M56" i="16"/>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K22" i="14"/>
  <c r="I22"/>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I22" i="13" l="1"/>
  <c r="AH41" i="17"/>
  <c r="AB46"/>
  <c r="AE56"/>
  <c r="AL30" i="24"/>
  <c r="AN30" s="1"/>
  <c r="AH42" i="17"/>
  <c r="AH32"/>
  <c r="AB39"/>
  <c r="AH48"/>
  <c r="AB26"/>
  <c r="AB30" s="1"/>
  <c r="AG28" i="23"/>
  <c r="Y28"/>
  <c r="W28"/>
  <c r="U28"/>
  <c r="S28"/>
  <c r="Q28"/>
  <c r="O28"/>
  <c r="K28"/>
  <c r="I28"/>
  <c r="G28"/>
  <c r="P16" i="2" s="1"/>
  <c r="E28" i="23"/>
  <c r="AD27"/>
  <c r="AJ27" s="1"/>
  <c r="AL27" s="1"/>
  <c r="AD26"/>
  <c r="Y31"/>
  <c r="W31"/>
  <c r="U31"/>
  <c r="S31"/>
  <c r="Q31"/>
  <c r="O31"/>
  <c r="K31"/>
  <c r="I31"/>
  <c r="G31"/>
  <c r="P17" i="2" s="1"/>
  <c r="E31" i="23"/>
  <c r="AD30"/>
  <c r="AG23"/>
  <c r="Y23"/>
  <c r="W23"/>
  <c r="U23"/>
  <c r="S23"/>
  <c r="Q23"/>
  <c r="O23"/>
  <c r="K23"/>
  <c r="I23"/>
  <c r="G23"/>
  <c r="P15" i="2" s="1"/>
  <c r="E23" i="23"/>
  <c r="AD22"/>
  <c r="AJ22" s="1"/>
  <c r="AL22" s="1"/>
  <c r="AD21"/>
  <c r="AJ21" s="1"/>
  <c r="AL21" s="1"/>
  <c r="AD20"/>
  <c r="AJ20" s="1"/>
  <c r="AL20" s="1"/>
  <c r="AA20" i="3"/>
  <c r="AA22" i="22"/>
  <c r="AG22" s="1"/>
  <c r="AI22" s="1"/>
  <c r="AA19"/>
  <c r="AG19" s="1"/>
  <c r="AI19" s="1"/>
  <c r="D23"/>
  <c r="L17" i="2" s="1"/>
  <c r="B23" i="22"/>
  <c r="D52" i="18"/>
  <c r="F52"/>
  <c r="D17" i="2" s="1"/>
  <c r="H52" i="18"/>
  <c r="J52"/>
  <c r="D44"/>
  <c r="F44"/>
  <c r="D16" i="2" s="1"/>
  <c r="H44" i="18"/>
  <c r="J44"/>
  <c r="B20" i="22"/>
  <c r="D20"/>
  <c r="L15" i="2" s="1"/>
  <c r="AK33" i="18"/>
  <c r="AB51" i="16"/>
  <c r="AB48"/>
  <c r="AB29"/>
  <c r="AB28"/>
  <c r="AH28" s="1"/>
  <c r="AJ28" s="1"/>
  <c r="AB25"/>
  <c r="AB24"/>
  <c r="AB23"/>
  <c r="AB22"/>
  <c r="AB21"/>
  <c r="G26"/>
  <c r="E26"/>
  <c r="C26"/>
  <c r="C30" s="1"/>
  <c r="AL39" i="25"/>
  <c r="AL38"/>
  <c r="AN38" s="1"/>
  <c r="AL37"/>
  <c r="AL36"/>
  <c r="AL35"/>
  <c r="AL33"/>
  <c r="AN33" s="1"/>
  <c r="AL32"/>
  <c r="AL31"/>
  <c r="AL29"/>
  <c r="AL27"/>
  <c r="AL26"/>
  <c r="AL25"/>
  <c r="AL24"/>
  <c r="AL22"/>
  <c r="AL20"/>
  <c r="AL18"/>
  <c r="AL56" i="24"/>
  <c r="AN56" s="1"/>
  <c r="AL55"/>
  <c r="AN55" s="1"/>
  <c r="AL54"/>
  <c r="AL53"/>
  <c r="AN53" s="1"/>
  <c r="AL51"/>
  <c r="AN51" s="1"/>
  <c r="AL49"/>
  <c r="AN49" s="1"/>
  <c r="AL45"/>
  <c r="AN45" s="1"/>
  <c r="AL44"/>
  <c r="AN44" s="1"/>
  <c r="AL42"/>
  <c r="AN42" s="1"/>
  <c r="AF83" i="19"/>
  <c r="AE101" i="16" s="1"/>
  <c r="AF104" i="19"/>
  <c r="AF103"/>
  <c r="AF102"/>
  <c r="AF101"/>
  <c r="AF98"/>
  <c r="AF97"/>
  <c r="AF96"/>
  <c r="AF95"/>
  <c r="AF94"/>
  <c r="AF93"/>
  <c r="AF91"/>
  <c r="AF90"/>
  <c r="AF89"/>
  <c r="AF37"/>
  <c r="AF34"/>
  <c r="AF33"/>
  <c r="AF32"/>
  <c r="AF31"/>
  <c r="AF30"/>
  <c r="AF27"/>
  <c r="AF26"/>
  <c r="AF25"/>
  <c r="AF24"/>
  <c r="AF23"/>
  <c r="AF22"/>
  <c r="AF21"/>
  <c r="AF18"/>
  <c r="AE88" i="16"/>
  <c r="AE66"/>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N38"/>
  <c r="Z28"/>
  <c r="X28"/>
  <c r="V28"/>
  <c r="T28"/>
  <c r="R28"/>
  <c r="P28"/>
  <c r="N28"/>
  <c r="I54" i="17"/>
  <c r="I56" s="1"/>
  <c r="G54"/>
  <c r="G56" s="1"/>
  <c r="E54"/>
  <c r="E5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c r="AH114" i="20"/>
  <c r="AK36"/>
  <c r="AM36" s="1"/>
  <c r="AK33"/>
  <c r="AM33" s="1"/>
  <c r="AK32"/>
  <c r="AM32" s="1"/>
  <c r="AK31"/>
  <c r="AM31" s="1"/>
  <c r="AK30"/>
  <c r="AM30" s="1"/>
  <c r="AA19" i="3"/>
  <c r="AM25" i="20"/>
  <c r="AM24"/>
  <c r="AK26"/>
  <c r="AM26" s="1"/>
  <c r="AK25"/>
  <c r="AK24"/>
  <c r="AK23"/>
  <c r="AM23" s="1"/>
  <c r="AK22"/>
  <c r="AM22" s="1"/>
  <c r="AK21"/>
  <c r="AM21" s="1"/>
  <c r="C86" i="17"/>
  <c r="C85"/>
  <c r="C79"/>
  <c r="E21" i="8"/>
  <c r="C133" i="17"/>
  <c r="AD14" i="2" l="1"/>
  <c r="AK18" i="19"/>
  <c r="B25" i="22"/>
  <c r="AH22" i="16"/>
  <c r="AJ22" s="1"/>
  <c r="AH23"/>
  <c r="AJ23" s="1"/>
  <c r="AH29"/>
  <c r="AJ29" s="1"/>
  <c r="AH21"/>
  <c r="AJ21" s="1"/>
  <c r="AH25"/>
  <c r="AJ25" s="1"/>
  <c r="AH24"/>
  <c r="AJ24" s="1"/>
  <c r="AH48"/>
  <c r="AJ48" s="1"/>
  <c r="D25" i="22"/>
  <c r="E30" i="16"/>
  <c r="AL40" i="25"/>
  <c r="G30" i="16"/>
  <c r="AJ41" i="17"/>
  <c r="AH46"/>
  <c r="AJ46" s="1"/>
  <c r="AB27" i="16"/>
  <c r="AE27"/>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74" i="16"/>
  <c r="AE79"/>
  <c r="AE89"/>
  <c r="AE33"/>
  <c r="AE37"/>
  <c r="AK26" i="19"/>
  <c r="AE43" i="16"/>
  <c r="AE53"/>
  <c r="G20" i="11"/>
  <c r="AE63" i="16"/>
  <c r="AE78"/>
  <c r="AE83"/>
  <c r="AE92"/>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H15" i="2" s="1"/>
  <c r="AC26" i="19"/>
  <c r="AI26" s="1"/>
  <c r="AC23"/>
  <c r="AI23" s="1"/>
  <c r="AK23" s="1"/>
  <c r="F35"/>
  <c r="H16" i="2" s="1"/>
  <c r="AC33" i="19"/>
  <c r="AI33" s="1"/>
  <c r="AK33" s="1"/>
  <c r="AC37"/>
  <c r="AI37" s="1"/>
  <c r="AK37" s="1"/>
  <c r="I54" i="16"/>
  <c r="AB43"/>
  <c r="AF35" i="19"/>
  <c r="AD16" i="2" s="1"/>
  <c r="AE41" i="16"/>
  <c r="J35" i="19"/>
  <c r="AC32"/>
  <c r="AI32" s="1"/>
  <c r="AK32" s="1"/>
  <c r="F38"/>
  <c r="J38"/>
  <c r="H28"/>
  <c r="AF115"/>
  <c r="AC30"/>
  <c r="AI30" s="1"/>
  <c r="AK30" s="1"/>
  <c r="D35"/>
  <c r="J28"/>
  <c r="AB32" i="16"/>
  <c r="AF38" i="19"/>
  <c r="AD17" i="2" s="1"/>
  <c r="D28" i="19"/>
  <c r="AF99"/>
  <c r="AF106" s="1"/>
  <c r="AB35" i="16"/>
  <c r="AC31" i="19"/>
  <c r="AI31" s="1"/>
  <c r="AK31" s="1"/>
  <c r="H35"/>
  <c r="H38"/>
  <c r="AF28"/>
  <c r="AB49" i="16"/>
  <c r="AH26" i="17"/>
  <c r="AJ42"/>
  <c r="AJ32"/>
  <c r="AH39"/>
  <c r="AJ39" s="1"/>
  <c r="AH51" i="16"/>
  <c r="AJ51" s="1"/>
  <c r="G33" i="23"/>
  <c r="O33"/>
  <c r="W33"/>
  <c r="I33"/>
  <c r="K33"/>
  <c r="S33"/>
  <c r="E33"/>
  <c r="U33"/>
  <c r="Q33"/>
  <c r="Y33"/>
  <c r="AG33"/>
  <c r="AD28"/>
  <c r="AJ26"/>
  <c r="AD23"/>
  <c r="AA20" i="22"/>
  <c r="AA23"/>
  <c r="AB26" i="16"/>
  <c r="AL57" i="24"/>
  <c r="AN57" s="1"/>
  <c r="AL43"/>
  <c r="AL47"/>
  <c r="AN47" s="1"/>
  <c r="AL50"/>
  <c r="AN50" s="1"/>
  <c r="AL40"/>
  <c r="AN40" s="1"/>
  <c r="AL36"/>
  <c r="AN36" s="1"/>
  <c r="AL38"/>
  <c r="AN38" s="1"/>
  <c r="AC22" i="19"/>
  <c r="AI22" s="1"/>
  <c r="AK22" s="1"/>
  <c r="AK16" i="20"/>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C23"/>
  <c r="AI23" s="1"/>
  <c r="AK23" s="1"/>
  <c r="AC22"/>
  <c r="AI22" s="1"/>
  <c r="AK22" s="1"/>
  <c r="AC21"/>
  <c r="AI21" s="1"/>
  <c r="AK21" s="1"/>
  <c r="AC20"/>
  <c r="AI20" s="1"/>
  <c r="AK20" s="1"/>
  <c r="AC19"/>
  <c r="AF37"/>
  <c r="AA18" i="3" s="1"/>
  <c r="Z37" i="18"/>
  <c r="X37"/>
  <c r="V37"/>
  <c r="T37"/>
  <c r="R37"/>
  <c r="P37"/>
  <c r="N37"/>
  <c r="L37"/>
  <c r="J37"/>
  <c r="H37"/>
  <c r="F37"/>
  <c r="D15" i="2" s="1"/>
  <c r="Z24" i="18"/>
  <c r="Z28" s="1"/>
  <c r="X24"/>
  <c r="X28" s="1"/>
  <c r="V24"/>
  <c r="V28" s="1"/>
  <c r="T24"/>
  <c r="T28" s="1"/>
  <c r="R24"/>
  <c r="R28" s="1"/>
  <c r="P24"/>
  <c r="P28" s="1"/>
  <c r="N24"/>
  <c r="N28" s="1"/>
  <c r="L24"/>
  <c r="L28" s="1"/>
  <c r="J24"/>
  <c r="J28" s="1"/>
  <c r="H24"/>
  <c r="H28" s="1"/>
  <c r="F24"/>
  <c r="F28" s="1"/>
  <c r="D14" i="2" s="1"/>
  <c r="AA15" i="3"/>
  <c r="Y15"/>
  <c r="F15"/>
  <c r="F14"/>
  <c r="D15"/>
  <c r="AB98" i="17"/>
  <c r="AE99"/>
  <c r="Y99"/>
  <c r="W99"/>
  <c r="U99"/>
  <c r="S99"/>
  <c r="Q99"/>
  <c r="O99"/>
  <c r="Y99" i="16"/>
  <c r="Y103" s="1"/>
  <c r="U99"/>
  <c r="S99"/>
  <c r="Q99"/>
  <c r="O99"/>
  <c r="M99"/>
  <c r="AH52" i="21"/>
  <c r="AH56" s="1"/>
  <c r="Z52"/>
  <c r="Z56" s="1"/>
  <c r="X52"/>
  <c r="V52"/>
  <c r="V56" s="1"/>
  <c r="T52"/>
  <c r="T56" s="1"/>
  <c r="R52"/>
  <c r="R56" s="1"/>
  <c r="P52"/>
  <c r="P56" s="1"/>
  <c r="N56"/>
  <c r="J52"/>
  <c r="J56" s="1"/>
  <c r="H52"/>
  <c r="H56" s="1"/>
  <c r="F52"/>
  <c r="F56" s="1"/>
  <c r="D52"/>
  <c r="D56" s="1"/>
  <c r="AH80" i="20"/>
  <c r="Z80"/>
  <c r="X80"/>
  <c r="V80"/>
  <c r="T80"/>
  <c r="L80"/>
  <c r="H80"/>
  <c r="F80"/>
  <c r="H21" i="3" s="1"/>
  <c r="D80" i="20"/>
  <c r="Z81" i="19"/>
  <c r="V81"/>
  <c r="T81"/>
  <c r="R81"/>
  <c r="P81"/>
  <c r="N81"/>
  <c r="H81"/>
  <c r="F81"/>
  <c r="H18" i="2" s="1"/>
  <c r="AF89" i="18"/>
  <c r="Z89"/>
  <c r="X89"/>
  <c r="V89"/>
  <c r="T89"/>
  <c r="R89"/>
  <c r="P89"/>
  <c r="N89"/>
  <c r="L89"/>
  <c r="J89"/>
  <c r="H89"/>
  <c r="F89"/>
  <c r="D18" i="2" s="1"/>
  <c r="AA44" i="25"/>
  <c r="Y44"/>
  <c r="W44"/>
  <c r="U44"/>
  <c r="S44"/>
  <c r="Q44"/>
  <c r="O44"/>
  <c r="M44"/>
  <c r="K44"/>
  <c r="I44"/>
  <c r="G44"/>
  <c r="E44"/>
  <c r="AI58" i="24"/>
  <c r="AF58"/>
  <c r="G23" i="14" s="1"/>
  <c r="AA58" i="24"/>
  <c r="Y58"/>
  <c r="W58"/>
  <c r="U58"/>
  <c r="S58"/>
  <c r="Q58"/>
  <c r="O58"/>
  <c r="M58"/>
  <c r="K58"/>
  <c r="I58"/>
  <c r="G58"/>
  <c r="E58"/>
  <c r="G20" i="10" l="1"/>
  <c r="I20" s="1"/>
  <c r="D84" i="20"/>
  <c r="V14" i="2"/>
  <c r="X56" i="21"/>
  <c r="AA25" i="22"/>
  <c r="AI19" i="18"/>
  <c r="AK19" s="1"/>
  <c r="AC24"/>
  <c r="AC28" s="1"/>
  <c r="AB30" i="16"/>
  <c r="AH26"/>
  <c r="AJ26" s="1"/>
  <c r="AH37"/>
  <c r="AJ37" s="1"/>
  <c r="AK21" i="19"/>
  <c r="AI28"/>
  <c r="AK28" s="1"/>
  <c r="AI27" i="18"/>
  <c r="AK27" s="1"/>
  <c r="AH27" i="16"/>
  <c r="AE30"/>
  <c r="G23" i="11"/>
  <c r="G23" i="10" s="1"/>
  <c r="R85" i="19"/>
  <c r="T85"/>
  <c r="Z85"/>
  <c r="P85"/>
  <c r="N85"/>
  <c r="V85"/>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AI44" i="25"/>
  <c r="H54" i="18"/>
  <c r="H93" s="1"/>
  <c r="R54"/>
  <c r="R93" s="1"/>
  <c r="Z54"/>
  <c r="Z93" s="1"/>
  <c r="F54"/>
  <c r="F93" s="1"/>
  <c r="AD15" i="2"/>
  <c r="P54" i="18"/>
  <c r="P93" s="1"/>
  <c r="X54"/>
  <c r="X93" s="1"/>
  <c r="D54"/>
  <c r="L54"/>
  <c r="L93" s="1"/>
  <c r="T54"/>
  <c r="T93" s="1"/>
  <c r="N54"/>
  <c r="N93" s="1"/>
  <c r="V54"/>
  <c r="V93" s="1"/>
  <c r="AI44"/>
  <c r="AI46"/>
  <c r="AK46" s="1"/>
  <c r="AC52"/>
  <c r="G23" i="9" s="1"/>
  <c r="AC44" i="18"/>
  <c r="G22" i="9" s="1"/>
  <c r="AI35" i="19"/>
  <c r="AK35" s="1"/>
  <c r="Z84" i="20"/>
  <c r="P84"/>
  <c r="T84"/>
  <c r="F40" i="19"/>
  <c r="AH51" i="17"/>
  <c r="I23" i="14"/>
  <c r="AG23" i="22"/>
  <c r="AI23" s="1"/>
  <c r="G22" i="12"/>
  <c r="N17" i="2"/>
  <c r="AG20" i="22"/>
  <c r="G21" i="12"/>
  <c r="N15" i="2"/>
  <c r="S23" i="14"/>
  <c r="F84" i="20"/>
  <c r="N84"/>
  <c r="AH84"/>
  <c r="X84"/>
  <c r="G21" i="11"/>
  <c r="D40" i="19"/>
  <c r="J40"/>
  <c r="AC35"/>
  <c r="J16" i="2" s="1"/>
  <c r="H40" i="19"/>
  <c r="AB54" i="16"/>
  <c r="AH49"/>
  <c r="AJ49" s="1"/>
  <c r="AF40" i="19"/>
  <c r="AF85" s="1"/>
  <c r="AF109" s="1"/>
  <c r="AF119" s="1"/>
  <c r="AF121" s="1"/>
  <c r="R84" i="20"/>
  <c r="G22" i="11"/>
  <c r="G22" i="10" s="1"/>
  <c r="I22" s="1"/>
  <c r="I39" i="16"/>
  <c r="AB39"/>
  <c r="AH32"/>
  <c r="AJ32" s="1"/>
  <c r="I46"/>
  <c r="AB41"/>
  <c r="H84" i="20"/>
  <c r="AJ26" i="17"/>
  <c r="AJ23" i="23"/>
  <c r="AL23" s="1"/>
  <c r="R15" i="2"/>
  <c r="AJ31" i="23"/>
  <c r="AL31" s="1"/>
  <c r="R17" i="2"/>
  <c r="R16"/>
  <c r="W103" i="17"/>
  <c r="O103"/>
  <c r="S62" i="24"/>
  <c r="Q62"/>
  <c r="E62"/>
  <c r="M62"/>
  <c r="U62"/>
  <c r="K62"/>
  <c r="AA62"/>
  <c r="I62"/>
  <c r="Y62"/>
  <c r="G62"/>
  <c r="O62"/>
  <c r="W62"/>
  <c r="AI62"/>
  <c r="U103" i="17"/>
  <c r="Q103"/>
  <c r="Y103"/>
  <c r="S103"/>
  <c r="AE103"/>
  <c r="AE129" s="1"/>
  <c r="AE139" s="1"/>
  <c r="AD33" i="23"/>
  <c r="AJ33" s="1"/>
  <c r="AL33" s="1"/>
  <c r="AJ28"/>
  <c r="AL28" s="1"/>
  <c r="AE99" i="16"/>
  <c r="M103"/>
  <c r="U103"/>
  <c r="S103"/>
  <c r="Q103"/>
  <c r="O103"/>
  <c r="AL58" i="24"/>
  <c r="AN58" s="1"/>
  <c r="AM20" i="20"/>
  <c r="AM27"/>
  <c r="AI38" i="19"/>
  <c r="AK38" s="1"/>
  <c r="J14" i="2"/>
  <c r="AI18" i="19"/>
  <c r="J84" i="20"/>
  <c r="AC38" i="19"/>
  <c r="J17" i="2" s="1"/>
  <c r="AC28" i="19"/>
  <c r="J15" i="2" s="1"/>
  <c r="AF54" i="18"/>
  <c r="AF93" s="1"/>
  <c r="AI37"/>
  <c r="J54"/>
  <c r="J93" s="1"/>
  <c r="AC37"/>
  <c r="G21" i="9" s="1"/>
  <c r="AB64" i="17"/>
  <c r="AB71"/>
  <c r="AB76"/>
  <c r="AB82"/>
  <c r="AB90"/>
  <c r="AB94"/>
  <c r="G99"/>
  <c r="AB63"/>
  <c r="AB70"/>
  <c r="AB74"/>
  <c r="AB79"/>
  <c r="AB86"/>
  <c r="AB93"/>
  <c r="AB61"/>
  <c r="AB69"/>
  <c r="AB73"/>
  <c r="AB78"/>
  <c r="AB85"/>
  <c r="AB92"/>
  <c r="AB96"/>
  <c r="AB60"/>
  <c r="AB68"/>
  <c r="AB72"/>
  <c r="AB77"/>
  <c r="AB83"/>
  <c r="AB91"/>
  <c r="AB95"/>
  <c r="E99"/>
  <c r="I99"/>
  <c r="AN40" i="25"/>
  <c r="O63" i="23"/>
  <c r="Q63"/>
  <c r="S63"/>
  <c r="U63"/>
  <c r="W63"/>
  <c r="Y63"/>
  <c r="C27" i="13"/>
  <c r="C123" i="16"/>
  <c r="C132" i="17"/>
  <c r="C124"/>
  <c r="C123"/>
  <c r="C121"/>
  <c r="C120"/>
  <c r="C119"/>
  <c r="C116"/>
  <c r="C115"/>
  <c r="C114"/>
  <c r="C113"/>
  <c r="C112"/>
  <c r="C111"/>
  <c r="C109"/>
  <c r="C108"/>
  <c r="C107"/>
  <c r="C101"/>
  <c r="AA43" i="3"/>
  <c r="AA41"/>
  <c r="AA40"/>
  <c r="AA39"/>
  <c r="AA35"/>
  <c r="AA34"/>
  <c r="AA33"/>
  <c r="AA32"/>
  <c r="X81" i="19" l="1"/>
  <c r="W99" i="16"/>
  <c r="W103" s="1"/>
  <c r="I23" i="10"/>
  <c r="AC54" i="18"/>
  <c r="AH30" i="16"/>
  <c r="AJ30" s="1"/>
  <c r="AJ27"/>
  <c r="G20" i="9"/>
  <c r="AI24" i="18"/>
  <c r="AI20" i="22"/>
  <c r="AG25"/>
  <c r="AI25" s="1"/>
  <c r="I23" i="11"/>
  <c r="AE56" i="16"/>
  <c r="AM37" i="20"/>
  <c r="AI52" i="18"/>
  <c r="I23" i="13"/>
  <c r="G21" i="10"/>
  <c r="I21" s="1"/>
  <c r="T33" i="11"/>
  <c r="C33" i="10"/>
  <c r="C37" i="13"/>
  <c r="C40" s="1"/>
  <c r="C41" i="7"/>
  <c r="I23" i="9"/>
  <c r="I21"/>
  <c r="I22"/>
  <c r="AH54" i="17"/>
  <c r="AJ54" s="1"/>
  <c r="AJ51"/>
  <c r="I22" i="12"/>
  <c r="G23" i="7"/>
  <c r="I21" i="12"/>
  <c r="I56" i="16"/>
  <c r="I21" i="11"/>
  <c r="I22"/>
  <c r="AH41" i="16"/>
  <c r="AJ41" s="1"/>
  <c r="AB46"/>
  <c r="AB56" s="1"/>
  <c r="AH39"/>
  <c r="AJ39" s="1"/>
  <c r="AH54"/>
  <c r="AJ54" s="1"/>
  <c r="AI40" i="19"/>
  <c r="AK40" s="1"/>
  <c r="AC40"/>
  <c r="G103" i="17"/>
  <c r="E103"/>
  <c r="I103"/>
  <c r="X85" i="19" l="1"/>
  <c r="AI28" i="18"/>
  <c r="AI54" s="1"/>
  <c r="AK24"/>
  <c r="C33" i="7"/>
  <c r="C35" i="10"/>
  <c r="C39" s="1"/>
  <c r="C42" s="1"/>
  <c r="I20" i="9"/>
  <c r="I20" i="12"/>
  <c r="G20" i="7"/>
  <c r="I23"/>
  <c r="AH46" i="16"/>
  <c r="AJ46" s="1"/>
  <c r="AK112" i="20"/>
  <c r="AM112" s="1"/>
  <c r="J52" i="3"/>
  <c r="AM39" i="20"/>
  <c r="AK28" i="18" l="1"/>
  <c r="I20" i="7"/>
  <c r="AH56" i="16"/>
  <c r="AJ56" s="1"/>
  <c r="I34" i="11"/>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9"/>
  <c r="AK48"/>
  <c r="AK47"/>
  <c r="AK46"/>
  <c r="AM46" s="1"/>
  <c r="AK45"/>
  <c r="AK44"/>
  <c r="AK43"/>
  <c r="AK42"/>
  <c r="AK41"/>
  <c r="AK39"/>
  <c r="AK38"/>
  <c r="AK37"/>
  <c r="AK36"/>
  <c r="AK35"/>
  <c r="AK34"/>
  <c r="AK32"/>
  <c r="AM32" s="1"/>
  <c r="AK30"/>
  <c r="AK29"/>
  <c r="AK28"/>
  <c r="AK27"/>
  <c r="AK26"/>
  <c r="AM26" s="1"/>
  <c r="AK24"/>
  <c r="AK23"/>
  <c r="AK22"/>
  <c r="AK21"/>
  <c r="AM21" s="1"/>
  <c r="AK79" i="20"/>
  <c r="AM79" s="1"/>
  <c r="AK78"/>
  <c r="AM78" s="1"/>
  <c r="AK77"/>
  <c r="AM77" s="1"/>
  <c r="AK76"/>
  <c r="AM76" s="1"/>
  <c r="AK75"/>
  <c r="AM75" s="1"/>
  <c r="AK74"/>
  <c r="AM74" s="1"/>
  <c r="AK73"/>
  <c r="AM73" s="1"/>
  <c r="AK72"/>
  <c r="AK71"/>
  <c r="AM71" s="1"/>
  <c r="AK70"/>
  <c r="AM70" s="1"/>
  <c r="AK67"/>
  <c r="AM67" s="1"/>
  <c r="AK66"/>
  <c r="AM66" s="1"/>
  <c r="AK65"/>
  <c r="AM65" s="1"/>
  <c r="AK64"/>
  <c r="AM64" s="1"/>
  <c r="AK62"/>
  <c r="AM62" s="1"/>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C134" i="16"/>
  <c r="J115" i="19"/>
  <c r="AK84" i="21" l="1"/>
  <c r="AM84" s="1"/>
  <c r="R34" i="11"/>
  <c r="AE56" i="21"/>
  <c r="AK19"/>
  <c r="K63" i="23"/>
  <c r="G99" i="16"/>
  <c r="E99"/>
  <c r="AK69" i="20"/>
  <c r="AM69" s="1"/>
  <c r="AE80"/>
  <c r="J81" i="19"/>
  <c r="J85" s="1"/>
  <c r="AB79" i="16"/>
  <c r="AB71"/>
  <c r="AB91"/>
  <c r="AB95"/>
  <c r="AH63"/>
  <c r="AJ63" s="1"/>
  <c r="AB72"/>
  <c r="AB83"/>
  <c r="AB92"/>
  <c r="AB77"/>
  <c r="AB76"/>
  <c r="AB61"/>
  <c r="AB93"/>
  <c r="AB96"/>
  <c r="AB68"/>
  <c r="AB64"/>
  <c r="AB70"/>
  <c r="AB86"/>
  <c r="AB74"/>
  <c r="AB78"/>
  <c r="AB82"/>
  <c r="AB90"/>
  <c r="AB94"/>
  <c r="AB98"/>
  <c r="AB69"/>
  <c r="AB73"/>
  <c r="AB85"/>
  <c r="J99" i="19"/>
  <c r="J106" s="1"/>
  <c r="AH68" i="16" l="1"/>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AK52" i="21"/>
  <c r="G24" i="11"/>
  <c r="G27" s="1"/>
  <c r="J21" i="3"/>
  <c r="AK80" i="20"/>
  <c r="AB60" i="16"/>
  <c r="I99"/>
  <c r="J109" i="19"/>
  <c r="J119" s="1"/>
  <c r="G24" i="10" l="1"/>
  <c r="I24" s="1"/>
  <c r="T24" i="11"/>
  <c r="I24"/>
  <c r="AM80" i="20"/>
  <c r="AH60" i="16"/>
  <c r="AJ60" s="1"/>
  <c r="AE47" i="26"/>
  <c r="AN91" i="24"/>
  <c r="AA21" i="3" l="1"/>
  <c r="I32" i="14" l="1"/>
  <c r="O23" i="26"/>
  <c r="AA14" i="27"/>
  <c r="H44" i="5" s="1"/>
  <c r="AA17" i="27"/>
  <c r="AD19"/>
  <c r="AA25"/>
  <c r="AA26"/>
  <c r="AA27"/>
  <c r="AD2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E34"/>
  <c r="AB44"/>
  <c r="AB45"/>
  <c r="A39" i="14"/>
  <c r="A38" i="12"/>
  <c r="A49" i="8"/>
  <c r="A48"/>
  <c r="E41"/>
  <c r="C41"/>
  <c r="E40"/>
  <c r="C40"/>
  <c r="E33"/>
  <c r="E32"/>
  <c r="E31"/>
  <c r="E30"/>
  <c r="E29"/>
  <c r="C33"/>
  <c r="C32"/>
  <c r="C31"/>
  <c r="C30"/>
  <c r="C29"/>
  <c r="E25"/>
  <c r="C25"/>
  <c r="E24"/>
  <c r="C24"/>
  <c r="E23"/>
  <c r="E22"/>
  <c r="E20"/>
  <c r="C23"/>
  <c r="C21"/>
  <c r="C22"/>
  <c r="C20"/>
  <c r="C43" i="9"/>
  <c r="C31"/>
  <c r="C32" i="12"/>
  <c r="D36" i="5" l="1"/>
  <c r="AH45" i="26"/>
  <c r="AJ45" s="1"/>
  <c r="AH16"/>
  <c r="AJ16" s="1"/>
  <c r="D44" i="5"/>
  <c r="L44" s="1"/>
  <c r="S44" s="1"/>
  <c r="U44" s="1"/>
  <c r="D35"/>
  <c r="D37" s="1"/>
  <c r="AB47" i="26"/>
  <c r="AG14" i="27"/>
  <c r="AI14" s="1"/>
  <c r="AH32" i="26"/>
  <c r="AJ32" s="1"/>
  <c r="D28" i="5"/>
  <c r="L28" s="1"/>
  <c r="S28" s="1"/>
  <c r="U28" s="1"/>
  <c r="AH31" i="26"/>
  <c r="AJ31" s="1"/>
  <c r="D27" i="5"/>
  <c r="AH30" i="26"/>
  <c r="AJ30" s="1"/>
  <c r="AH29"/>
  <c r="D25" i="5"/>
  <c r="AH21" i="26"/>
  <c r="AJ21" s="1"/>
  <c r="D20" i="5"/>
  <c r="L20" s="1"/>
  <c r="S20" s="1"/>
  <c r="U20" s="1"/>
  <c r="AH20" i="26"/>
  <c r="AJ20" s="1"/>
  <c r="D19" i="5"/>
  <c r="L19" s="1"/>
  <c r="S19" s="1"/>
  <c r="U19" s="1"/>
  <c r="AH19" i="26"/>
  <c r="AJ19" s="1"/>
  <c r="D18" i="5"/>
  <c r="C26" i="8"/>
  <c r="E26"/>
  <c r="AG40" i="27"/>
  <c r="AI40" s="1"/>
  <c r="H36" i="5"/>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D34" i="27"/>
  <c r="AD48" s="1"/>
  <c r="AD50" s="1"/>
  <c r="AA33" i="28"/>
  <c r="AA42" i="27"/>
  <c r="AG17"/>
  <c r="AB23" i="26"/>
  <c r="AB34"/>
  <c r="AA29" i="27"/>
  <c r="AG25" i="28"/>
  <c r="AI25" s="1"/>
  <c r="AA25"/>
  <c r="AG13"/>
  <c r="AI13" s="1"/>
  <c r="C34" i="8"/>
  <c r="C47" i="9"/>
  <c r="C50" s="1"/>
  <c r="C36" i="12"/>
  <c r="C39" s="1"/>
  <c r="L36" i="5" l="1"/>
  <c r="S36" s="1"/>
  <c r="U36" s="1"/>
  <c r="AJ44" i="26"/>
  <c r="AH47"/>
  <c r="AJ47" s="1"/>
  <c r="D29" i="5"/>
  <c r="L27"/>
  <c r="S27" s="1"/>
  <c r="U27" s="1"/>
  <c r="AH34" i="26"/>
  <c r="AJ34" s="1"/>
  <c r="AJ29"/>
  <c r="AH23"/>
  <c r="D21" i="5"/>
  <c r="AA28" i="28"/>
  <c r="AG17"/>
  <c r="H37" i="5"/>
  <c r="L35"/>
  <c r="AG42" i="27"/>
  <c r="AI42" s="1"/>
  <c r="H29" i="5"/>
  <c r="L25"/>
  <c r="AG29" i="27"/>
  <c r="AI29" s="1"/>
  <c r="H21" i="5"/>
  <c r="L18"/>
  <c r="AA34" i="27"/>
  <c r="AA48" s="1"/>
  <c r="AA50" s="1"/>
  <c r="AG50" s="1"/>
  <c r="AI50" s="1"/>
  <c r="AI17"/>
  <c r="AG19"/>
  <c r="AB39" i="26"/>
  <c r="C46" i="8"/>
  <c r="C49" s="1"/>
  <c r="C37"/>
  <c r="N39" i="11"/>
  <c r="N42" s="1"/>
  <c r="C39"/>
  <c r="C42" s="1"/>
  <c r="M37" i="14"/>
  <c r="M40" s="1"/>
  <c r="AA37" i="28" l="1"/>
  <c r="AG37" s="1"/>
  <c r="AI37" s="1"/>
  <c r="AG28"/>
  <c r="AI28" s="1"/>
  <c r="AA38"/>
  <c r="AG38" s="1"/>
  <c r="AI38" s="1"/>
  <c r="D32" i="5"/>
  <c r="D42" s="1"/>
  <c r="D45" s="1"/>
  <c r="AH39" i="26"/>
  <c r="AJ39" s="1"/>
  <c r="AJ23"/>
  <c r="AI17" i="28"/>
  <c r="L37" i="5"/>
  <c r="S35"/>
  <c r="U35" s="1"/>
  <c r="S25"/>
  <c r="L29"/>
  <c r="H32"/>
  <c r="H42" s="1"/>
  <c r="H45" s="1"/>
  <c r="L21"/>
  <c r="S18"/>
  <c r="AG34" i="27"/>
  <c r="AI34" s="1"/>
  <c r="AI19"/>
  <c r="AB53" i="26"/>
  <c r="AB55" s="1"/>
  <c r="AH55" s="1"/>
  <c r="AJ55" s="1"/>
  <c r="A6" i="14"/>
  <c r="A6" i="12"/>
  <c r="A6" i="11"/>
  <c r="A6" i="9"/>
  <c r="A6" i="8"/>
  <c r="AD58" i="23"/>
  <c r="AJ58" s="1"/>
  <c r="AL58" s="1"/>
  <c r="AD57"/>
  <c r="AD56"/>
  <c r="AD55"/>
  <c r="AD54"/>
  <c r="AJ54" s="1"/>
  <c r="AL54" s="1"/>
  <c r="AD52"/>
  <c r="AD51"/>
  <c r="AD50"/>
  <c r="AJ50" s="1"/>
  <c r="AL50" s="1"/>
  <c r="AD48"/>
  <c r="AJ48" s="1"/>
  <c r="AL48" s="1"/>
  <c r="AD46"/>
  <c r="AJ46" s="1"/>
  <c r="AD45"/>
  <c r="AD44"/>
  <c r="AD43"/>
  <c r="AD41"/>
  <c r="AD39"/>
  <c r="AD37"/>
  <c r="AA41" i="22"/>
  <c r="AA39"/>
  <c r="AG39" s="1"/>
  <c r="AI39" s="1"/>
  <c r="AA38"/>
  <c r="AG38" s="1"/>
  <c r="AI38" s="1"/>
  <c r="AA37"/>
  <c r="AG41" l="1"/>
  <c r="AA43"/>
  <c r="AJ39" i="23"/>
  <c r="AL39" s="1"/>
  <c r="AJ56"/>
  <c r="AL56" s="1"/>
  <c r="AJ55"/>
  <c r="AJ43"/>
  <c r="AL43" s="1"/>
  <c r="AJ51"/>
  <c r="AL51" s="1"/>
  <c r="AJ41"/>
  <c r="AL41" s="1"/>
  <c r="AL46"/>
  <c r="AJ52"/>
  <c r="AL52" s="1"/>
  <c r="AJ57"/>
  <c r="AL57" s="1"/>
  <c r="AJ45"/>
  <c r="AL45" s="1"/>
  <c r="AJ44"/>
  <c r="AH53" i="26"/>
  <c r="AJ53" s="1"/>
  <c r="S37" i="5"/>
  <c r="U37" s="1"/>
  <c r="U25"/>
  <c r="S29"/>
  <c r="U29" s="1"/>
  <c r="L32"/>
  <c r="L42" s="1"/>
  <c r="L45" s="1"/>
  <c r="S21"/>
  <c r="U18"/>
  <c r="AG37" i="22"/>
  <c r="AJ37" i="23"/>
  <c r="AD59"/>
  <c r="AG48" i="27"/>
  <c r="AI48" s="1"/>
  <c r="C33" i="14"/>
  <c r="D47" i="22"/>
  <c r="D81" i="19"/>
  <c r="S32" i="5" l="1"/>
  <c r="U32" s="1"/>
  <c r="AI41" i="22"/>
  <c r="AG43"/>
  <c r="AI43" s="1"/>
  <c r="U21" i="5"/>
  <c r="AL37" i="23"/>
  <c r="AJ59"/>
  <c r="C37" i="14"/>
  <c r="C40" s="1"/>
  <c r="E39" i="12"/>
  <c r="S42" i="5" l="1"/>
  <c r="U42" s="1"/>
  <c r="AB12" i="17"/>
  <c r="S45" i="5" l="1"/>
  <c r="U45" s="1"/>
  <c r="Q26" i="14"/>
  <c r="U26" l="1"/>
  <c r="S26"/>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Y135" i="17"/>
  <c r="W135"/>
  <c r="U135"/>
  <c r="S135"/>
  <c r="Q135"/>
  <c r="O135"/>
  <c r="I135"/>
  <c r="G135"/>
  <c r="E135"/>
  <c r="AB133"/>
  <c r="AH133" s="1"/>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H135" s="1"/>
  <c r="AB135"/>
  <c r="G25" i="13"/>
  <c r="I25" s="1"/>
  <c r="AJ120" i="17"/>
  <c r="AJ119"/>
  <c r="U25" i="14"/>
  <c r="K40" i="7" s="1"/>
  <c r="S25" i="14"/>
  <c r="I25"/>
  <c r="K25"/>
  <c r="U21"/>
  <c r="S21"/>
  <c r="AJ101" i="17"/>
  <c r="I129"/>
  <c r="I139" s="1"/>
  <c r="Q129"/>
  <c r="Q139" s="1"/>
  <c r="AJ133"/>
  <c r="Y129"/>
  <c r="Y139" s="1"/>
  <c r="U129"/>
  <c r="U139" s="1"/>
  <c r="E129"/>
  <c r="E139" s="1"/>
  <c r="S129"/>
  <c r="S139" s="1"/>
  <c r="E33" i="14"/>
  <c r="AA53" i="3"/>
  <c r="H48"/>
  <c r="H57" s="1"/>
  <c r="Y53"/>
  <c r="AA37"/>
  <c r="AA45" s="1"/>
  <c r="Y37"/>
  <c r="Y45" s="1"/>
  <c r="E37" i="8"/>
  <c r="E47" i="9"/>
  <c r="E50" s="1"/>
  <c r="AE141" i="17"/>
  <c r="AB117"/>
  <c r="AB126" s="1"/>
  <c r="AH107"/>
  <c r="G129"/>
  <c r="G139" s="1"/>
  <c r="O129"/>
  <c r="O139" s="1"/>
  <c r="W129"/>
  <c r="W139" s="1"/>
  <c r="AJ135" l="1"/>
  <c r="AJ132"/>
  <c r="K25" i="13"/>
  <c r="AH117" i="17"/>
  <c r="AH126" s="1"/>
  <c r="AJ126" s="1"/>
  <c r="E46" i="8"/>
  <c r="E49" s="1"/>
  <c r="AJ107" i="17"/>
  <c r="P39" i="11"/>
  <c r="P42" s="1"/>
  <c r="E37" i="14"/>
  <c r="E40" s="1"/>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K63" s="1"/>
  <c r="AC58"/>
  <c r="AI58" s="1"/>
  <c r="AK58" s="1"/>
  <c r="AC87" i="18"/>
  <c r="AI87" s="1"/>
  <c r="AK87" s="1"/>
  <c r="AC86"/>
  <c r="AC83"/>
  <c r="AC82"/>
  <c r="AC79"/>
  <c r="AC78"/>
  <c r="AI78" s="1"/>
  <c r="AC76"/>
  <c r="AC75"/>
  <c r="AC73"/>
  <c r="AI73" s="1"/>
  <c r="AC72"/>
  <c r="AC71"/>
  <c r="AC69"/>
  <c r="AC68"/>
  <c r="AC67"/>
  <c r="AC66"/>
  <c r="AC62"/>
  <c r="AI62" s="1"/>
  <c r="AK62" s="1"/>
  <c r="AC61"/>
  <c r="AI61" s="1"/>
  <c r="AK61" s="1"/>
  <c r="AC59"/>
  <c r="C88" i="17" l="1"/>
  <c r="AB88" s="1"/>
  <c r="AH88" s="1"/>
  <c r="AJ88" s="1"/>
  <c r="C88" i="16"/>
  <c r="AB88" s="1"/>
  <c r="C84" i="17"/>
  <c r="C84" i="16"/>
  <c r="AB84" s="1"/>
  <c r="C65" i="17"/>
  <c r="AB65" s="1"/>
  <c r="C65" i="16"/>
  <c r="C97" i="17"/>
  <c r="C97" i="16"/>
  <c r="AB97" s="1"/>
  <c r="C66" i="17"/>
  <c r="AB66" s="1"/>
  <c r="AH66" s="1"/>
  <c r="AJ66" s="1"/>
  <c r="C66" i="16"/>
  <c r="AB66" s="1"/>
  <c r="AB84" i="17"/>
  <c r="AH84" s="1"/>
  <c r="AJ84" s="1"/>
  <c r="AB81"/>
  <c r="AH81" s="1"/>
  <c r="AJ81" s="1"/>
  <c r="AB89"/>
  <c r="AH89" s="1"/>
  <c r="AJ89" s="1"/>
  <c r="AC64" i="18"/>
  <c r="AI64" s="1"/>
  <c r="AK64" s="1"/>
  <c r="AC63"/>
  <c r="AI63" s="1"/>
  <c r="AK63" s="1"/>
  <c r="AC77"/>
  <c r="AI77" s="1"/>
  <c r="AK77" s="1"/>
  <c r="AB89" i="16"/>
  <c r="AC81" i="18"/>
  <c r="AI81" s="1"/>
  <c r="AK81" s="1"/>
  <c r="AB81" i="16"/>
  <c r="AC88" i="18"/>
  <c r="AI88"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6" i="18"/>
  <c r="AK86" s="1"/>
  <c r="AI83"/>
  <c r="AK83" s="1"/>
  <c r="AI82"/>
  <c r="AK82" s="1"/>
  <c r="AI79"/>
  <c r="AK79" s="1"/>
  <c r="AI76"/>
  <c r="AK76" s="1"/>
  <c r="AI75"/>
  <c r="AK75" s="1"/>
  <c r="AI72"/>
  <c r="AK72" s="1"/>
  <c r="AI71"/>
  <c r="AK71" s="1"/>
  <c r="AI70"/>
  <c r="AK70" s="1"/>
  <c r="AI69"/>
  <c r="AK69" s="1"/>
  <c r="AI68"/>
  <c r="AK68" s="1"/>
  <c r="AI67"/>
  <c r="AK67" s="1"/>
  <c r="AI66"/>
  <c r="AK66" s="1"/>
  <c r="AI59"/>
  <c r="AK59" s="1"/>
  <c r="AI58"/>
  <c r="AK58" s="1"/>
  <c r="D89"/>
  <c r="D93" l="1"/>
  <c r="D21" i="3"/>
  <c r="AH66" i="16"/>
  <c r="AJ66" s="1"/>
  <c r="AH97"/>
  <c r="AJ97" s="1"/>
  <c r="AH89"/>
  <c r="AJ89" s="1"/>
  <c r="AH88"/>
  <c r="AJ88" s="1"/>
  <c r="AH81"/>
  <c r="AJ81" s="1"/>
  <c r="AH84"/>
  <c r="AJ84" s="1"/>
  <c r="AC81" i="19"/>
  <c r="C99" i="17"/>
  <c r="C103" s="1"/>
  <c r="AB97"/>
  <c r="AH97" s="1"/>
  <c r="AJ97" s="1"/>
  <c r="AH65"/>
  <c r="AJ65" s="1"/>
  <c r="AB65" i="16"/>
  <c r="C99"/>
  <c r="AI44" i="19"/>
  <c r="AK44" s="1"/>
  <c r="AI89" i="18"/>
  <c r="AK89" s="1"/>
  <c r="AC89"/>
  <c r="G24" i="9" s="1"/>
  <c r="I24" l="1"/>
  <c r="AB99" i="17"/>
  <c r="AB103" s="1"/>
  <c r="AH99"/>
  <c r="AH65" i="16"/>
  <c r="AJ65" s="1"/>
  <c r="AB99"/>
  <c r="AI81" i="19"/>
  <c r="C129" i="17"/>
  <c r="C139" s="1"/>
  <c r="C141" s="1"/>
  <c r="F18" i="2"/>
  <c r="E16" i="17" l="1"/>
  <c r="E141" s="1"/>
  <c r="G141" s="1"/>
  <c r="I141" s="1"/>
  <c r="K141" s="1"/>
  <c r="M141" s="1"/>
  <c r="O141" s="1"/>
  <c r="Q141" s="1"/>
  <c r="S141" s="1"/>
  <c r="U141" s="1"/>
  <c r="W141" s="1"/>
  <c r="Y141" s="1"/>
  <c r="AJ99"/>
  <c r="AH103"/>
  <c r="AJ103" s="1"/>
  <c r="AH99" i="16"/>
  <c r="AJ99" s="1"/>
  <c r="F21" i="3"/>
  <c r="AB129" i="17" l="1"/>
  <c r="AH129" l="1"/>
  <c r="AJ129" s="1"/>
  <c r="AB139"/>
  <c r="AB141" l="1"/>
  <c r="AH141" s="1"/>
  <c r="AJ141" s="1"/>
  <c r="AH139"/>
  <c r="AJ139" s="1"/>
  <c r="I63" i="23" l="1"/>
  <c r="H85" i="19" l="1"/>
  <c r="G103" i="16"/>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E150" i="30" l="1"/>
  <c r="G26" i="10" l="1"/>
  <c r="G63" i="23"/>
  <c r="L22" i="3"/>
  <c r="AH98" i="20"/>
  <c r="AH105" s="1"/>
  <c r="I26" i="10" l="1"/>
  <c r="I26" i="11"/>
  <c r="I27" s="1"/>
  <c r="R22" i="3"/>
  <c r="R23" s="1"/>
  <c r="R48" s="1"/>
  <c r="R57" s="1"/>
  <c r="L23"/>
  <c r="L48" s="1"/>
  <c r="L57" s="1"/>
  <c r="AC122" i="18"/>
  <c r="G30" i="9"/>
  <c r="AC97" i="18"/>
  <c r="AC98"/>
  <c r="AC99"/>
  <c r="AC101"/>
  <c r="AC102"/>
  <c r="AC103"/>
  <c r="AC104"/>
  <c r="AC105"/>
  <c r="AC106"/>
  <c r="AC109"/>
  <c r="F15" i="6"/>
  <c r="I30" i="9" l="1"/>
  <c r="AI121" i="18"/>
  <c r="AK121" s="1"/>
  <c r="G28" i="9"/>
  <c r="AI122" i="18"/>
  <c r="AK122" s="1"/>
  <c r="G29" i="9"/>
  <c r="F85" i="19"/>
  <c r="E103" i="16"/>
  <c r="AI123" i="18"/>
  <c r="AK123" s="1"/>
  <c r="I29" i="9" l="1"/>
  <c r="I28"/>
  <c r="AN80" i="24"/>
  <c r="AN79"/>
  <c r="AN78"/>
  <c r="AM83" i="21"/>
  <c r="AN71" i="25"/>
  <c r="AN62"/>
  <c r="AN61"/>
  <c r="AN60"/>
  <c r="AN56"/>
  <c r="AN55"/>
  <c r="AN54"/>
  <c r="AN52"/>
  <c r="X29" i="27"/>
  <c r="R32" i="11"/>
  <c r="J40" i="3"/>
  <c r="J36"/>
  <c r="J35"/>
  <c r="J34"/>
  <c r="J33"/>
  <c r="J32"/>
  <c r="J31"/>
  <c r="J29"/>
  <c r="J28"/>
  <c r="J27"/>
  <c r="R25" i="11" l="1"/>
  <c r="AM54" i="21"/>
  <c r="AM56"/>
  <c r="T32" i="11"/>
  <c r="J22" i="3"/>
  <c r="AE84" i="20"/>
  <c r="R31" i="11"/>
  <c r="J44" i="3"/>
  <c r="T44" s="1"/>
  <c r="G33" i="11"/>
  <c r="G33" i="10" s="1"/>
  <c r="J41" i="3"/>
  <c r="G32" i="11"/>
  <c r="G32" i="10" s="1"/>
  <c r="J39" i="3"/>
  <c r="G31" i="11"/>
  <c r="J37" i="3"/>
  <c r="G26" i="13"/>
  <c r="AL80" i="24"/>
  <c r="AL79"/>
  <c r="AL78"/>
  <c r="AL75"/>
  <c r="AN75" s="1"/>
  <c r="AL73"/>
  <c r="AN73" s="1"/>
  <c r="AL72"/>
  <c r="AL71"/>
  <c r="AN71" s="1"/>
  <c r="AL70"/>
  <c r="AF27"/>
  <c r="G21" i="14" s="1"/>
  <c r="AI74" i="25"/>
  <c r="AA74"/>
  <c r="Y74"/>
  <c r="W74"/>
  <c r="U74"/>
  <c r="S74"/>
  <c r="Q74"/>
  <c r="O74"/>
  <c r="M74"/>
  <c r="K74"/>
  <c r="I74"/>
  <c r="G74"/>
  <c r="E74"/>
  <c r="AI58"/>
  <c r="AA58"/>
  <c r="AA65" s="1"/>
  <c r="Y58"/>
  <c r="Y65" s="1"/>
  <c r="W58"/>
  <c r="W65" s="1"/>
  <c r="U58"/>
  <c r="U65" s="1"/>
  <c r="S58"/>
  <c r="S65" s="1"/>
  <c r="Q58"/>
  <c r="Q65" s="1"/>
  <c r="O58"/>
  <c r="O65" s="1"/>
  <c r="M58"/>
  <c r="M65" s="1"/>
  <c r="K58"/>
  <c r="K65" s="1"/>
  <c r="I58"/>
  <c r="I65" s="1"/>
  <c r="G58"/>
  <c r="G65" s="1"/>
  <c r="E58"/>
  <c r="AL62"/>
  <c r="AL61"/>
  <c r="AL60"/>
  <c r="AN57"/>
  <c r="AL56"/>
  <c r="AL55"/>
  <c r="AL54"/>
  <c r="AL53"/>
  <c r="AN53" s="1"/>
  <c r="AL52"/>
  <c r="AL50"/>
  <c r="AL48"/>
  <c r="AF44"/>
  <c r="AI93" i="24"/>
  <c r="AA93"/>
  <c r="Y93"/>
  <c r="W93"/>
  <c r="U93"/>
  <c r="S93"/>
  <c r="Q93"/>
  <c r="O93"/>
  <c r="M93"/>
  <c r="K93"/>
  <c r="I93"/>
  <c r="G93"/>
  <c r="Y47" i="26"/>
  <c r="W47"/>
  <c r="U47"/>
  <c r="S47"/>
  <c r="Q47"/>
  <c r="O47"/>
  <c r="M47"/>
  <c r="K47"/>
  <c r="I47"/>
  <c r="G47"/>
  <c r="E47"/>
  <c r="C47"/>
  <c r="Y34"/>
  <c r="W34"/>
  <c r="U34"/>
  <c r="S34"/>
  <c r="Q34"/>
  <c r="O34"/>
  <c r="O39" s="1"/>
  <c r="O53" s="1"/>
  <c r="M34"/>
  <c r="K34"/>
  <c r="I34"/>
  <c r="G34"/>
  <c r="E34"/>
  <c r="C34"/>
  <c r="Y23"/>
  <c r="Y39" s="1"/>
  <c r="Y53" s="1"/>
  <c r="W23"/>
  <c r="U23"/>
  <c r="U39" s="1"/>
  <c r="U53" s="1"/>
  <c r="S23"/>
  <c r="Q23"/>
  <c r="Q39" s="1"/>
  <c r="Q53" s="1"/>
  <c r="M23"/>
  <c r="K23"/>
  <c r="I23"/>
  <c r="E23"/>
  <c r="C23"/>
  <c r="AA32" i="29"/>
  <c r="AG32" s="1"/>
  <c r="AI32" s="1"/>
  <c r="AA31"/>
  <c r="AG31" s="1"/>
  <c r="AA16"/>
  <c r="X42" i="27"/>
  <c r="V42"/>
  <c r="T42"/>
  <c r="R42"/>
  <c r="P42"/>
  <c r="N42"/>
  <c r="L42"/>
  <c r="J42"/>
  <c r="H42"/>
  <c r="F42"/>
  <c r="D42"/>
  <c r="B42"/>
  <c r="V29"/>
  <c r="T29"/>
  <c r="R29"/>
  <c r="P29"/>
  <c r="N29"/>
  <c r="L29"/>
  <c r="J29"/>
  <c r="H29"/>
  <c r="F29"/>
  <c r="D29"/>
  <c r="B29"/>
  <c r="X19"/>
  <c r="X34" s="1"/>
  <c r="V19"/>
  <c r="V34" s="1"/>
  <c r="T19"/>
  <c r="T34" s="1"/>
  <c r="R19"/>
  <c r="R34" s="1"/>
  <c r="P19"/>
  <c r="N19"/>
  <c r="N34" s="1"/>
  <c r="L19"/>
  <c r="L34" s="1"/>
  <c r="J19"/>
  <c r="J34" s="1"/>
  <c r="H19"/>
  <c r="F19"/>
  <c r="F34" s="1"/>
  <c r="D19"/>
  <c r="B19"/>
  <c r="B34" s="1"/>
  <c r="AD33" i="29"/>
  <c r="X33"/>
  <c r="V33"/>
  <c r="T33"/>
  <c r="R33"/>
  <c r="P33"/>
  <c r="N33"/>
  <c r="L33"/>
  <c r="J33"/>
  <c r="H33"/>
  <c r="F33"/>
  <c r="D33"/>
  <c r="B33"/>
  <c r="AA24"/>
  <c r="AG24" s="1"/>
  <c r="AA23"/>
  <c r="AG23" s="1"/>
  <c r="AI23" s="1"/>
  <c r="AA22"/>
  <c r="AG22" s="1"/>
  <c r="AD25"/>
  <c r="X25"/>
  <c r="V25"/>
  <c r="T25"/>
  <c r="R25"/>
  <c r="P25"/>
  <c r="N25"/>
  <c r="L25"/>
  <c r="J25"/>
  <c r="H25"/>
  <c r="F25"/>
  <c r="D25"/>
  <c r="X33" i="28"/>
  <c r="V33"/>
  <c r="T33"/>
  <c r="R33"/>
  <c r="P33"/>
  <c r="N33"/>
  <c r="L33"/>
  <c r="J33"/>
  <c r="H33"/>
  <c r="F33"/>
  <c r="D33"/>
  <c r="B33"/>
  <c r="X25"/>
  <c r="V25"/>
  <c r="T25"/>
  <c r="R25"/>
  <c r="P25"/>
  <c r="N25"/>
  <c r="L25"/>
  <c r="J25"/>
  <c r="H25"/>
  <c r="F25"/>
  <c r="D25"/>
  <c r="B25"/>
  <c r="X17"/>
  <c r="X28" s="1"/>
  <c r="X37" s="1"/>
  <c r="V17"/>
  <c r="V28" s="1"/>
  <c r="V37" s="1"/>
  <c r="T17"/>
  <c r="T28" s="1"/>
  <c r="T37" s="1"/>
  <c r="R17"/>
  <c r="R28" s="1"/>
  <c r="R37" s="1"/>
  <c r="P17"/>
  <c r="N17"/>
  <c r="N28" s="1"/>
  <c r="N37" s="1"/>
  <c r="L17"/>
  <c r="L28" s="1"/>
  <c r="L37" s="1"/>
  <c r="J17"/>
  <c r="H17"/>
  <c r="H28" s="1"/>
  <c r="H37" s="1"/>
  <c r="F17"/>
  <c r="D17"/>
  <c r="B17"/>
  <c r="B28" s="1"/>
  <c r="B37" s="1"/>
  <c r="B38" s="1"/>
  <c r="B25" i="29"/>
  <c r="AD17"/>
  <c r="X17"/>
  <c r="V17"/>
  <c r="T17"/>
  <c r="R17"/>
  <c r="N17"/>
  <c r="L17"/>
  <c r="J17"/>
  <c r="H17"/>
  <c r="F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6" i="24"/>
  <c r="AI83" s="1"/>
  <c r="AA76"/>
  <c r="AA83" s="1"/>
  <c r="Y76"/>
  <c r="Y83" s="1"/>
  <c r="W76"/>
  <c r="W83" s="1"/>
  <c r="U76"/>
  <c r="U83" s="1"/>
  <c r="S76"/>
  <c r="S83" s="1"/>
  <c r="Q76"/>
  <c r="Q83" s="1"/>
  <c r="O76"/>
  <c r="O83" s="1"/>
  <c r="M76"/>
  <c r="M83" s="1"/>
  <c r="K76"/>
  <c r="K83" s="1"/>
  <c r="I76"/>
  <c r="I83" s="1"/>
  <c r="G76"/>
  <c r="G83" s="1"/>
  <c r="E93"/>
  <c r="E76"/>
  <c r="Y94" i="23"/>
  <c r="W94"/>
  <c r="U94"/>
  <c r="S94"/>
  <c r="Q94"/>
  <c r="O94"/>
  <c r="K94"/>
  <c r="I94"/>
  <c r="G94"/>
  <c r="Y77"/>
  <c r="Y84" s="1"/>
  <c r="W77"/>
  <c r="W84" s="1"/>
  <c r="W87" s="1"/>
  <c r="U77"/>
  <c r="U84" s="1"/>
  <c r="U87" s="1"/>
  <c r="S77"/>
  <c r="S84" s="1"/>
  <c r="Q77"/>
  <c r="Q84" s="1"/>
  <c r="O77"/>
  <c r="O84" s="1"/>
  <c r="O87" s="1"/>
  <c r="K77"/>
  <c r="K84" s="1"/>
  <c r="I77"/>
  <c r="I84" s="1"/>
  <c r="G77"/>
  <c r="G84" s="1"/>
  <c r="G31" i="12"/>
  <c r="AA62" i="22"/>
  <c r="G25" i="12" s="1"/>
  <c r="AA53" i="22"/>
  <c r="AA51"/>
  <c r="G29" i="12" s="1"/>
  <c r="AG12" i="22"/>
  <c r="AI12" s="1"/>
  <c r="AA45"/>
  <c r="AA47" s="1"/>
  <c r="D65"/>
  <c r="D55"/>
  <c r="B65"/>
  <c r="B55"/>
  <c r="AH86" i="21"/>
  <c r="AH70"/>
  <c r="AH77" s="1"/>
  <c r="Z86"/>
  <c r="X86"/>
  <c r="V86"/>
  <c r="T86"/>
  <c r="R86"/>
  <c r="P86"/>
  <c r="N86"/>
  <c r="J86"/>
  <c r="H86"/>
  <c r="F86"/>
  <c r="D86"/>
  <c r="AE98" i="20"/>
  <c r="G30" i="11" s="1"/>
  <c r="Z114" i="20"/>
  <c r="X114"/>
  <c r="V114"/>
  <c r="T114"/>
  <c r="R114"/>
  <c r="P114"/>
  <c r="N114"/>
  <c r="L114"/>
  <c r="J114"/>
  <c r="H114"/>
  <c r="F114"/>
  <c r="Z98"/>
  <c r="Z105" s="1"/>
  <c r="X98"/>
  <c r="X105" s="1"/>
  <c r="V98"/>
  <c r="V105" s="1"/>
  <c r="T98"/>
  <c r="T105" s="1"/>
  <c r="T108"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F99"/>
  <c r="F106" s="1"/>
  <c r="D115"/>
  <c r="AF130" i="18"/>
  <c r="AF107"/>
  <c r="AF113" s="1"/>
  <c r="D13" i="28" l="1"/>
  <c r="B41" i="6"/>
  <c r="G35" i="11"/>
  <c r="G25" i="10"/>
  <c r="G27" s="1"/>
  <c r="H106" i="19"/>
  <c r="H109" s="1"/>
  <c r="H119" s="1"/>
  <c r="E83" i="24"/>
  <c r="E86" s="1"/>
  <c r="E98" s="1"/>
  <c r="E65" i="25"/>
  <c r="E68" s="1"/>
  <c r="E78" s="1"/>
  <c r="W39" i="26"/>
  <c r="W53" s="1"/>
  <c r="T28" i="29"/>
  <c r="T37" s="1"/>
  <c r="S39" i="26"/>
  <c r="S53" s="1"/>
  <c r="T118" i="20"/>
  <c r="X48" i="27"/>
  <c r="P28" i="28"/>
  <c r="P37" s="1"/>
  <c r="D34" i="27"/>
  <c r="D48" s="1"/>
  <c r="J47" i="32"/>
  <c r="N28" i="29"/>
  <c r="N37" s="1"/>
  <c r="B28"/>
  <c r="B37" s="1"/>
  <c r="B38" s="1"/>
  <c r="H28"/>
  <c r="H37" s="1"/>
  <c r="P28"/>
  <c r="P37" s="1"/>
  <c r="X28"/>
  <c r="X37" s="1"/>
  <c r="F48" i="27"/>
  <c r="F50" s="1"/>
  <c r="N48"/>
  <c r="V48"/>
  <c r="R28" i="29"/>
  <c r="R37" s="1"/>
  <c r="F28"/>
  <c r="F37" s="1"/>
  <c r="F38" s="1"/>
  <c r="V28"/>
  <c r="V37" s="1"/>
  <c r="L28"/>
  <c r="L37" s="1"/>
  <c r="M39" i="26"/>
  <c r="I42" i="31"/>
  <c r="J28" i="29"/>
  <c r="J37" s="1"/>
  <c r="K27" i="10"/>
  <c r="T25" i="11"/>
  <c r="J28" i="28"/>
  <c r="J37" s="1"/>
  <c r="G31" i="10"/>
  <c r="I31" s="1"/>
  <c r="I32"/>
  <c r="I26" i="13"/>
  <c r="I33" i="10"/>
  <c r="X119" i="19"/>
  <c r="N119"/>
  <c r="D118" i="20"/>
  <c r="I24" i="14"/>
  <c r="K24"/>
  <c r="I26"/>
  <c r="I29" i="12"/>
  <c r="I31"/>
  <c r="I25"/>
  <c r="G21" i="13"/>
  <c r="AF22" i="24"/>
  <c r="G20" i="14" s="1"/>
  <c r="T31" i="11"/>
  <c r="I30"/>
  <c r="I31"/>
  <c r="I32"/>
  <c r="I33"/>
  <c r="O99" i="23"/>
  <c r="W99"/>
  <c r="AG45" i="22"/>
  <c r="G24" i="12"/>
  <c r="D47" i="32"/>
  <c r="AI31" i="29"/>
  <c r="AG33"/>
  <c r="AI33" s="1"/>
  <c r="AG25"/>
  <c r="AI25" s="1"/>
  <c r="AI22"/>
  <c r="N108" i="20"/>
  <c r="N118" s="1"/>
  <c r="V108"/>
  <c r="V118" s="1"/>
  <c r="L108"/>
  <c r="L118" s="1"/>
  <c r="P108"/>
  <c r="P118" s="1"/>
  <c r="X108"/>
  <c r="X118" s="1"/>
  <c r="R108"/>
  <c r="R118" s="1"/>
  <c r="Z108"/>
  <c r="Z118" s="1"/>
  <c r="AL74" i="25"/>
  <c r="AN74" s="1"/>
  <c r="G32" i="13"/>
  <c r="AL89" i="24"/>
  <c r="AF93"/>
  <c r="AD44" i="3"/>
  <c r="AF44" s="1"/>
  <c r="G33" i="8"/>
  <c r="J45" i="3"/>
  <c r="J108" i="20"/>
  <c r="J118" s="1"/>
  <c r="J23" i="3"/>
  <c r="Q86" i="24"/>
  <c r="Q98" s="1"/>
  <c r="K86"/>
  <c r="K98" s="1"/>
  <c r="S86"/>
  <c r="S98" s="1"/>
  <c r="AA86"/>
  <c r="AA98" s="1"/>
  <c r="W86"/>
  <c r="W98" s="1"/>
  <c r="M86"/>
  <c r="M98" s="1"/>
  <c r="U86"/>
  <c r="U98" s="1"/>
  <c r="Y86"/>
  <c r="Y98" s="1"/>
  <c r="O86"/>
  <c r="O98" s="1"/>
  <c r="AL60"/>
  <c r="AN60" s="1"/>
  <c r="AL81"/>
  <c r="AN81" s="1"/>
  <c r="O68" i="25"/>
  <c r="O78" s="1"/>
  <c r="M68"/>
  <c r="M78" s="1"/>
  <c r="U68"/>
  <c r="U78" s="1"/>
  <c r="W68"/>
  <c r="W78" s="1"/>
  <c r="K68"/>
  <c r="K78" s="1"/>
  <c r="S68"/>
  <c r="S78" s="1"/>
  <c r="AA68"/>
  <c r="AA78" s="1"/>
  <c r="Q68"/>
  <c r="Q78" s="1"/>
  <c r="Y68"/>
  <c r="Y78" s="1"/>
  <c r="AL49"/>
  <c r="AN49" s="1"/>
  <c r="I39" i="26"/>
  <c r="I53" s="1"/>
  <c r="C39"/>
  <c r="C53" s="1"/>
  <c r="C55" s="1"/>
  <c r="E16" s="1"/>
  <c r="B44" i="5" s="1"/>
  <c r="K39" i="26"/>
  <c r="K53" s="1"/>
  <c r="J48" i="27"/>
  <c r="R48"/>
  <c r="L48"/>
  <c r="T48"/>
  <c r="H34"/>
  <c r="H48" s="1"/>
  <c r="P34"/>
  <c r="P48" s="1"/>
  <c r="B48"/>
  <c r="B50" s="1"/>
  <c r="AD28" i="29"/>
  <c r="AD37" s="1"/>
  <c r="AD38" s="1"/>
  <c r="D28"/>
  <c r="D37" s="1"/>
  <c r="AA17"/>
  <c r="AG16"/>
  <c r="Y87" i="23"/>
  <c r="Y99" s="1"/>
  <c r="K87"/>
  <c r="K99" s="1"/>
  <c r="S87"/>
  <c r="S99" s="1"/>
  <c r="U99"/>
  <c r="Q87"/>
  <c r="Q99" s="1"/>
  <c r="G23" i="12"/>
  <c r="AG53" i="22"/>
  <c r="AI53" s="1"/>
  <c r="G30" i="12"/>
  <c r="G32" s="1"/>
  <c r="P109" i="19"/>
  <c r="P119" s="1"/>
  <c r="R109"/>
  <c r="R119" s="1"/>
  <c r="Z109"/>
  <c r="Z119" s="1"/>
  <c r="T109"/>
  <c r="T119" s="1"/>
  <c r="V109"/>
  <c r="V119" s="1"/>
  <c r="G39" i="26"/>
  <c r="G53" s="1"/>
  <c r="AG63" i="22"/>
  <c r="AI63" s="1"/>
  <c r="AG62"/>
  <c r="F28" i="28"/>
  <c r="F37" s="1"/>
  <c r="H108" i="20"/>
  <c r="H118" s="1"/>
  <c r="I87" i="23"/>
  <c r="I99" s="1"/>
  <c r="AL63" i="25"/>
  <c r="AN63" s="1"/>
  <c r="I68"/>
  <c r="I78" s="1"/>
  <c r="AL68" i="24"/>
  <c r="AN68" s="1"/>
  <c r="I86"/>
  <c r="I98" s="1"/>
  <c r="AL19"/>
  <c r="AL26"/>
  <c r="D58" i="22"/>
  <c r="D70" s="1"/>
  <c r="AL90" i="24"/>
  <c r="AN90" s="1"/>
  <c r="AL20"/>
  <c r="AN20" s="1"/>
  <c r="E39" i="26"/>
  <c r="E53" s="1"/>
  <c r="E55" s="1"/>
  <c r="AL21" i="24"/>
  <c r="AN21" s="1"/>
  <c r="D28" i="28"/>
  <c r="D37" s="1"/>
  <c r="G87" i="23"/>
  <c r="G99" s="1"/>
  <c r="AL74" i="24"/>
  <c r="AN74" s="1"/>
  <c r="AL67"/>
  <c r="AN67" s="1"/>
  <c r="AF76"/>
  <c r="G30" i="14" s="1"/>
  <c r="G86" i="24"/>
  <c r="G98" s="1"/>
  <c r="AL66"/>
  <c r="AN66" s="1"/>
  <c r="AF74" i="25"/>
  <c r="AL57"/>
  <c r="AF58"/>
  <c r="Q30" i="14" s="1"/>
  <c r="G68" i="25"/>
  <c r="G78" s="1"/>
  <c r="AL42"/>
  <c r="AN44"/>
  <c r="AA65" i="22"/>
  <c r="AA55"/>
  <c r="AG51"/>
  <c r="AI51" s="1"/>
  <c r="AH108" i="20"/>
  <c r="AH118" s="1"/>
  <c r="AK98"/>
  <c r="F108"/>
  <c r="F118" s="1"/>
  <c r="AE105"/>
  <c r="AM105" s="1"/>
  <c r="F109" i="19"/>
  <c r="F119" s="1"/>
  <c r="H47" i="32"/>
  <c r="L44"/>
  <c r="F47"/>
  <c r="L23"/>
  <c r="G42" i="31"/>
  <c r="E42"/>
  <c r="C42"/>
  <c r="AF116" i="18"/>
  <c r="AF134" s="1"/>
  <c r="AF136" s="1"/>
  <c r="AM98" i="20"/>
  <c r="AM84"/>
  <c r="AA33" i="29"/>
  <c r="AA25"/>
  <c r="J18" i="33"/>
  <c r="K39" i="31"/>
  <c r="K25"/>
  <c r="W136" i="16"/>
  <c r="U136"/>
  <c r="S136"/>
  <c r="Q136"/>
  <c r="O136"/>
  <c r="M136"/>
  <c r="Y117"/>
  <c r="Y126" s="1"/>
  <c r="W117"/>
  <c r="W126" s="1"/>
  <c r="U117"/>
  <c r="U126" s="1"/>
  <c r="S117"/>
  <c r="S126" s="1"/>
  <c r="Q117"/>
  <c r="Q126" s="1"/>
  <c r="O117"/>
  <c r="O126" s="1"/>
  <c r="M117"/>
  <c r="M126" s="1"/>
  <c r="N34" i="6"/>
  <c r="N26"/>
  <c r="N19"/>
  <c r="N34" i="2"/>
  <c r="L34"/>
  <c r="I150" i="30"/>
  <c r="G150"/>
  <c r="C150"/>
  <c r="K130"/>
  <c r="K131"/>
  <c r="K133"/>
  <c r="K134"/>
  <c r="K135"/>
  <c r="K136"/>
  <c r="K137"/>
  <c r="K138"/>
  <c r="K139"/>
  <c r="K140"/>
  <c r="K141"/>
  <c r="K142"/>
  <c r="K143"/>
  <c r="K144"/>
  <c r="K145"/>
  <c r="K146"/>
  <c r="K147"/>
  <c r="K148"/>
  <c r="K149"/>
  <c r="K129"/>
  <c r="K113"/>
  <c r="K115"/>
  <c r="K116"/>
  <c r="K117"/>
  <c r="K118"/>
  <c r="K119"/>
  <c r="K120"/>
  <c r="K121"/>
  <c r="K122"/>
  <c r="K123"/>
  <c r="K124"/>
  <c r="K125"/>
  <c r="K126"/>
  <c r="K127"/>
  <c r="I108"/>
  <c r="G108"/>
  <c r="E108"/>
  <c r="C108"/>
  <c r="K102"/>
  <c r="K103"/>
  <c r="K104"/>
  <c r="K106"/>
  <c r="K107"/>
  <c r="K101"/>
  <c r="I96"/>
  <c r="E96"/>
  <c r="C96"/>
  <c r="K90"/>
  <c r="K91"/>
  <c r="K92"/>
  <c r="K93"/>
  <c r="K94"/>
  <c r="K95"/>
  <c r="K89"/>
  <c r="I86"/>
  <c r="G86"/>
  <c r="E86"/>
  <c r="C86"/>
  <c r="K69"/>
  <c r="K70"/>
  <c r="K71"/>
  <c r="K72"/>
  <c r="K73"/>
  <c r="K75"/>
  <c r="K76"/>
  <c r="K77"/>
  <c r="K78"/>
  <c r="K79"/>
  <c r="K80"/>
  <c r="K81"/>
  <c r="K83"/>
  <c r="K68"/>
  <c r="K63"/>
  <c r="K64"/>
  <c r="K65"/>
  <c r="K66"/>
  <c r="K62"/>
  <c r="K35"/>
  <c r="K36"/>
  <c r="K37"/>
  <c r="K38"/>
  <c r="K39"/>
  <c r="K40"/>
  <c r="K41"/>
  <c r="K42"/>
  <c r="K43"/>
  <c r="K44"/>
  <c r="K45"/>
  <c r="K46"/>
  <c r="K47"/>
  <c r="K48"/>
  <c r="K49"/>
  <c r="K50"/>
  <c r="K52"/>
  <c r="K53"/>
  <c r="K54"/>
  <c r="K55"/>
  <c r="K56"/>
  <c r="K57"/>
  <c r="K58"/>
  <c r="K34"/>
  <c r="K28"/>
  <c r="K29"/>
  <c r="K30"/>
  <c r="K31"/>
  <c r="K32"/>
  <c r="K27"/>
  <c r="D38" i="28" l="1"/>
  <c r="D14" i="27"/>
  <c r="D50" s="1"/>
  <c r="F44" i="5"/>
  <c r="F41" i="6"/>
  <c r="D13" i="29"/>
  <c r="D38" s="1"/>
  <c r="I25" i="10"/>
  <c r="I27" s="1"/>
  <c r="I35" i="11"/>
  <c r="G55" i="26"/>
  <c r="I55" s="1"/>
  <c r="K55" s="1"/>
  <c r="K108" i="30"/>
  <c r="H50" i="27"/>
  <c r="J50" s="1"/>
  <c r="H38" i="29"/>
  <c r="J38" s="1"/>
  <c r="L38" s="1"/>
  <c r="N38" s="1"/>
  <c r="G26" i="12"/>
  <c r="F38" i="28"/>
  <c r="H38" s="1"/>
  <c r="J38" s="1"/>
  <c r="G24" i="13"/>
  <c r="Q27" i="14"/>
  <c r="G20" i="13"/>
  <c r="G27" i="14"/>
  <c r="M53" i="26"/>
  <c r="AI62" i="22"/>
  <c r="AG65"/>
  <c r="AI65" s="1"/>
  <c r="I21" i="13"/>
  <c r="G22" i="7"/>
  <c r="G31" i="13"/>
  <c r="I31" s="1"/>
  <c r="I32"/>
  <c r="S32" i="14"/>
  <c r="S31"/>
  <c r="AN42" i="25"/>
  <c r="AL44"/>
  <c r="U27" i="14"/>
  <c r="S24"/>
  <c r="S27" s="1"/>
  <c r="I21"/>
  <c r="I20"/>
  <c r="I31"/>
  <c r="I30" i="12"/>
  <c r="I32" s="1"/>
  <c r="K32"/>
  <c r="G32" i="7"/>
  <c r="I24" i="12"/>
  <c r="I23"/>
  <c r="G24" i="7"/>
  <c r="AN26" i="24"/>
  <c r="AL27"/>
  <c r="AF32"/>
  <c r="AF62" s="1"/>
  <c r="AN19"/>
  <c r="AL22"/>
  <c r="AN22" s="1"/>
  <c r="K42" i="11"/>
  <c r="I33" i="8"/>
  <c r="AI45" i="22"/>
  <c r="AG47"/>
  <c r="AI47" s="1"/>
  <c r="AG17" i="29"/>
  <c r="AI16"/>
  <c r="U129" i="16"/>
  <c r="U140" s="1"/>
  <c r="Q129"/>
  <c r="Q140" s="1"/>
  <c r="O129"/>
  <c r="O140" s="1"/>
  <c r="W129"/>
  <c r="W140" s="1"/>
  <c r="M129"/>
  <c r="M140" s="1"/>
  <c r="S129"/>
  <c r="S140" s="1"/>
  <c r="Y129"/>
  <c r="Y140" s="1"/>
  <c r="J48" i="3"/>
  <c r="AL58" i="25"/>
  <c r="AF65"/>
  <c r="AF68" s="1"/>
  <c r="AA28" i="29"/>
  <c r="AA37" s="1"/>
  <c r="AL76" i="24"/>
  <c r="AN76" s="1"/>
  <c r="AA58" i="22"/>
  <c r="AA70" s="1"/>
  <c r="AA73" s="1"/>
  <c r="AL93" i="24"/>
  <c r="AN93" s="1"/>
  <c r="K150" i="30"/>
  <c r="AF83" i="24"/>
  <c r="AN58" i="25"/>
  <c r="K86" i="30"/>
  <c r="K96"/>
  <c r="AG55" i="22"/>
  <c r="AI55" s="1"/>
  <c r="AK105" i="20"/>
  <c r="AE108"/>
  <c r="AM108" s="1"/>
  <c r="L47" i="32"/>
  <c r="N29" i="6"/>
  <c r="N39" s="1"/>
  <c r="N42" s="1"/>
  <c r="AI86" i="24"/>
  <c r="K42" i="31"/>
  <c r="X12" i="2"/>
  <c r="H24" i="6"/>
  <c r="AC14" i="18"/>
  <c r="AK37"/>
  <c r="AK52"/>
  <c r="AC91"/>
  <c r="G25" i="9" s="1"/>
  <c r="AI98" i="18"/>
  <c r="AK98" s="1"/>
  <c r="AI99"/>
  <c r="AK99" s="1"/>
  <c r="AI101"/>
  <c r="AK101" s="1"/>
  <c r="AI102"/>
  <c r="AK102" s="1"/>
  <c r="AI103"/>
  <c r="AK103" s="1"/>
  <c r="AI104"/>
  <c r="AK104" s="1"/>
  <c r="AI105"/>
  <c r="AK105" s="1"/>
  <c r="AI106"/>
  <c r="AK106" s="1"/>
  <c r="D107"/>
  <c r="D113" s="1"/>
  <c r="F107"/>
  <c r="F113" s="1"/>
  <c r="H107"/>
  <c r="H113" s="1"/>
  <c r="J107"/>
  <c r="J113" s="1"/>
  <c r="L107"/>
  <c r="L113" s="1"/>
  <c r="N107"/>
  <c r="N113" s="1"/>
  <c r="P107"/>
  <c r="P113" s="1"/>
  <c r="R107"/>
  <c r="R113" s="1"/>
  <c r="T107"/>
  <c r="T113" s="1"/>
  <c r="V107"/>
  <c r="V113" s="1"/>
  <c r="X107"/>
  <c r="X113" s="1"/>
  <c r="Z107"/>
  <c r="Z113" s="1"/>
  <c r="AI109"/>
  <c r="AK109" s="1"/>
  <c r="AC110"/>
  <c r="AC111"/>
  <c r="AC120"/>
  <c r="G27" i="9" s="1"/>
  <c r="AC124" i="18"/>
  <c r="AC125"/>
  <c r="AC126"/>
  <c r="AC127"/>
  <c r="AI127" s="1"/>
  <c r="AK127" s="1"/>
  <c r="D130"/>
  <c r="F130"/>
  <c r="H130"/>
  <c r="J130"/>
  <c r="L130"/>
  <c r="N130"/>
  <c r="P130"/>
  <c r="R130"/>
  <c r="T130"/>
  <c r="V130"/>
  <c r="X130"/>
  <c r="Z130"/>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AF78" i="25" l="1"/>
  <c r="P38" i="29"/>
  <c r="K26" i="12"/>
  <c r="K36" s="1"/>
  <c r="K39" s="1"/>
  <c r="L38" i="28"/>
  <c r="N38" s="1"/>
  <c r="P38" s="1"/>
  <c r="R38" s="1"/>
  <c r="M55" i="26"/>
  <c r="O55" s="1"/>
  <c r="L50" i="27"/>
  <c r="N50" s="1"/>
  <c r="AI14" i="18"/>
  <c r="AK14" s="1"/>
  <c r="G49" i="9"/>
  <c r="K27" i="13"/>
  <c r="I20"/>
  <c r="I27" i="9"/>
  <c r="G41" i="7"/>
  <c r="I26" i="12"/>
  <c r="I36" s="1"/>
  <c r="I39" s="1"/>
  <c r="I24" i="13"/>
  <c r="G27"/>
  <c r="G21" i="7"/>
  <c r="I21" s="1"/>
  <c r="I27" i="14"/>
  <c r="K27"/>
  <c r="AI98" i="24"/>
  <c r="D80" i="21"/>
  <c r="D90" s="1"/>
  <c r="R80"/>
  <c r="R90" s="1"/>
  <c r="G33" i="7"/>
  <c r="I22"/>
  <c r="G30" i="13"/>
  <c r="I30" s="1"/>
  <c r="I33" s="1"/>
  <c r="I25" i="9"/>
  <c r="G31"/>
  <c r="G25" i="7"/>
  <c r="I25" s="1"/>
  <c r="U33" i="14"/>
  <c r="S30"/>
  <c r="S33" s="1"/>
  <c r="Q33"/>
  <c r="Q37" s="1"/>
  <c r="Q40" s="1"/>
  <c r="K33"/>
  <c r="I30"/>
  <c r="I33" s="1"/>
  <c r="I24" i="7"/>
  <c r="I32"/>
  <c r="AL32" i="24"/>
  <c r="AN32" s="1"/>
  <c r="AN27"/>
  <c r="AI91" i="18"/>
  <c r="AK91" s="1"/>
  <c r="AC93"/>
  <c r="AI17" i="29"/>
  <c r="AG28"/>
  <c r="P90" i="21"/>
  <c r="X90"/>
  <c r="N90"/>
  <c r="T90"/>
  <c r="V90"/>
  <c r="J90"/>
  <c r="AI126" i="18"/>
  <c r="AK126" s="1"/>
  <c r="G38" i="9"/>
  <c r="AI124" i="18"/>
  <c r="AK124" s="1"/>
  <c r="G39" i="9"/>
  <c r="AI111" i="18"/>
  <c r="AK111" s="1"/>
  <c r="G36" i="9"/>
  <c r="AI110" i="18"/>
  <c r="AK110" s="1"/>
  <c r="G35" i="9"/>
  <c r="G33" i="14"/>
  <c r="G37" s="1"/>
  <c r="G36" i="12"/>
  <c r="G39" s="1"/>
  <c r="AK44" i="18"/>
  <c r="X116"/>
  <c r="P116"/>
  <c r="H116"/>
  <c r="N116"/>
  <c r="V116"/>
  <c r="H90" i="21"/>
  <c r="AF86" i="24"/>
  <c r="AF98" s="1"/>
  <c r="AL83"/>
  <c r="AN83" s="1"/>
  <c r="AI120" i="18"/>
  <c r="AK120" s="1"/>
  <c r="F49" i="2"/>
  <c r="F51" i="3" s="1"/>
  <c r="F116" i="18"/>
  <c r="F90" i="21"/>
  <c r="AK108" i="20"/>
  <c r="AC130" i="18"/>
  <c r="Z116"/>
  <c r="R116"/>
  <c r="J116"/>
  <c r="T116"/>
  <c r="L116"/>
  <c r="D116"/>
  <c r="AC107"/>
  <c r="AI97"/>
  <c r="AK97" s="1"/>
  <c r="T38" i="28" l="1"/>
  <c r="V38" s="1"/>
  <c r="X38" s="1"/>
  <c r="R38" i="29"/>
  <c r="P50" i="27"/>
  <c r="Q55" i="26"/>
  <c r="I27" i="13"/>
  <c r="I37" s="1"/>
  <c r="I40" s="1"/>
  <c r="G49" i="7"/>
  <c r="I49" i="9"/>
  <c r="K31"/>
  <c r="I41" i="7"/>
  <c r="AI130" i="18"/>
  <c r="AK130" s="1"/>
  <c r="I26" i="7"/>
  <c r="G26"/>
  <c r="I33"/>
  <c r="G33" i="13"/>
  <c r="G37" s="1"/>
  <c r="G40" s="1"/>
  <c r="K33"/>
  <c r="K37" s="1"/>
  <c r="K40" s="1"/>
  <c r="I36" i="9"/>
  <c r="G31" i="7"/>
  <c r="AI107" i="18"/>
  <c r="G34" i="9"/>
  <c r="I38"/>
  <c r="I35"/>
  <c r="G30" i="7"/>
  <c r="I39" i="9"/>
  <c r="U37" i="14"/>
  <c r="K37"/>
  <c r="K40" s="1"/>
  <c r="I37"/>
  <c r="I40" s="1"/>
  <c r="S37"/>
  <c r="AL62" i="24"/>
  <c r="AN62" s="1"/>
  <c r="H61" i="3"/>
  <c r="AK54" i="18"/>
  <c r="AI28" i="29"/>
  <c r="AG37"/>
  <c r="AI37" s="1"/>
  <c r="AG58" i="22"/>
  <c r="AG70" s="1"/>
  <c r="AI70" s="1"/>
  <c r="AL86" i="24"/>
  <c r="AN86" s="1"/>
  <c r="AC113" i="18"/>
  <c r="P33" i="6"/>
  <c r="P32"/>
  <c r="H33"/>
  <c r="H32"/>
  <c r="F19"/>
  <c r="D33"/>
  <c r="D32"/>
  <c r="B19"/>
  <c r="J41" l="1"/>
  <c r="T38" i="29"/>
  <c r="V38" s="1"/>
  <c r="X38" s="1"/>
  <c r="S55" i="26"/>
  <c r="R50" i="27"/>
  <c r="K26" i="7"/>
  <c r="I49"/>
  <c r="AG73" i="22"/>
  <c r="AI58"/>
  <c r="AK107" i="18"/>
  <c r="AI113"/>
  <c r="AK113" s="1"/>
  <c r="AL98" i="24"/>
  <c r="AN98" s="1"/>
  <c r="I31" i="7"/>
  <c r="I34" i="9"/>
  <c r="I43" s="1"/>
  <c r="K43"/>
  <c r="K47" s="1"/>
  <c r="K50" s="1"/>
  <c r="I30" i="7"/>
  <c r="U40" i="14"/>
  <c r="S40"/>
  <c r="AI93" i="18"/>
  <c r="AK93" s="1"/>
  <c r="G40" i="14"/>
  <c r="AC116" i="18"/>
  <c r="AI116" s="1"/>
  <c r="AK116" s="1"/>
  <c r="D34" i="6"/>
  <c r="L33"/>
  <c r="S33" s="1"/>
  <c r="U33" s="1"/>
  <c r="F26"/>
  <c r="F29" s="1"/>
  <c r="F34"/>
  <c r="P34"/>
  <c r="U34" s="1"/>
  <c r="B34"/>
  <c r="J32"/>
  <c r="J33"/>
  <c r="H34"/>
  <c r="L32"/>
  <c r="S32" s="1"/>
  <c r="G34" i="10"/>
  <c r="T50" i="27" l="1"/>
  <c r="U55" i="26"/>
  <c r="U32" i="6"/>
  <c r="S34"/>
  <c r="I34" i="10"/>
  <c r="G42" i="7"/>
  <c r="K43" s="1"/>
  <c r="T34" i="11"/>
  <c r="AI73" i="22"/>
  <c r="L34" i="6"/>
  <c r="F39"/>
  <c r="F42" s="1"/>
  <c r="J34"/>
  <c r="B45" i="5" l="1"/>
  <c r="W55" i="26"/>
  <c r="Y55" s="1"/>
  <c r="F45" i="5"/>
  <c r="V50" i="27"/>
  <c r="X50" s="1"/>
  <c r="I42" i="7"/>
  <c r="G43"/>
  <c r="J44" i="5" l="1"/>
  <c r="J45" s="1"/>
  <c r="N57" i="2"/>
  <c r="N59" i="3" s="1"/>
  <c r="F57" i="2"/>
  <c r="F59" i="3" l="1"/>
  <c r="T59" s="1"/>
  <c r="K13" i="30"/>
  <c r="K22"/>
  <c r="AD40" i="2"/>
  <c r="AD59" i="3" l="1"/>
  <c r="AF59" s="1"/>
  <c r="G48" i="8"/>
  <c r="AG90" i="23"/>
  <c r="AL90" s="1"/>
  <c r="AE124" i="16"/>
  <c r="AG81" i="23"/>
  <c r="AG80"/>
  <c r="AG79"/>
  <c r="AG76"/>
  <c r="AG75"/>
  <c r="AG74"/>
  <c r="AE114" i="16" s="1"/>
  <c r="AG73" i="23"/>
  <c r="AL73" s="1"/>
  <c r="AG72"/>
  <c r="AE112" i="16" s="1"/>
  <c r="AG71" i="23"/>
  <c r="AG69"/>
  <c r="AE109" i="16" s="1"/>
  <c r="AG68" i="23"/>
  <c r="AE108" i="16" s="1"/>
  <c r="AG67" i="23"/>
  <c r="AE107" i="16" s="1"/>
  <c r="AG63" i="23"/>
  <c r="AK74" i="21"/>
  <c r="AM74" s="1"/>
  <c r="AK68"/>
  <c r="AK94" i="20"/>
  <c r="AM94" s="1"/>
  <c r="R26" i="11"/>
  <c r="R27" s="1"/>
  <c r="AK75" i="21"/>
  <c r="AK73"/>
  <c r="AM73" s="1"/>
  <c r="AK72"/>
  <c r="AM72" s="1"/>
  <c r="AK69"/>
  <c r="AM69" s="1"/>
  <c r="AK67"/>
  <c r="AM67" s="1"/>
  <c r="AK66"/>
  <c r="AM66" s="1"/>
  <c r="AK65"/>
  <c r="AM65" s="1"/>
  <c r="AK64"/>
  <c r="AM64" s="1"/>
  <c r="AK61"/>
  <c r="AM61" s="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AE115" i="16" l="1"/>
  <c r="AE116"/>
  <c r="AD33" i="2"/>
  <c r="AL80" i="23"/>
  <c r="AE120" i="16"/>
  <c r="AE113"/>
  <c r="AL79" i="23"/>
  <c r="AE119" i="16"/>
  <c r="AL71" i="23"/>
  <c r="AE111" i="16"/>
  <c r="AL81" i="23"/>
  <c r="AE121" i="16"/>
  <c r="I48" i="8"/>
  <c r="T26" i="11"/>
  <c r="T27" s="1"/>
  <c r="AM82" i="20"/>
  <c r="AK84"/>
  <c r="J53" i="3"/>
  <c r="J57" s="1"/>
  <c r="J61" s="1"/>
  <c r="AE86" i="21"/>
  <c r="AK83"/>
  <c r="AK111" i="20"/>
  <c r="AM111" s="1"/>
  <c r="AE114"/>
  <c r="AE118" s="1"/>
  <c r="AD48" i="2"/>
  <c r="AI48" s="1"/>
  <c r="AG94" i="23"/>
  <c r="AG77"/>
  <c r="AG84" s="1"/>
  <c r="AK60" i="21"/>
  <c r="AM60" s="1"/>
  <c r="AE70"/>
  <c r="R30" i="11" s="1"/>
  <c r="G30" i="10" l="1"/>
  <c r="I30" s="1"/>
  <c r="I35" s="1"/>
  <c r="I39" s="1"/>
  <c r="I42" s="1"/>
  <c r="R35" i="11"/>
  <c r="AE117" i="16"/>
  <c r="AM86" i="21"/>
  <c r="AK86"/>
  <c r="T30" i="11"/>
  <c r="T35" s="1"/>
  <c r="C43" i="7"/>
  <c r="AK114" i="20"/>
  <c r="AK118" s="1"/>
  <c r="AM118" s="1"/>
  <c r="I39" i="11"/>
  <c r="G39"/>
  <c r="AM114" i="20"/>
  <c r="AE77" i="21"/>
  <c r="AM77" s="1"/>
  <c r="AK70"/>
  <c r="AM70"/>
  <c r="AG87" i="23"/>
  <c r="G29" i="7" l="1"/>
  <c r="I29" s="1"/>
  <c r="AG99" i="23"/>
  <c r="K35" i="10"/>
  <c r="K39" s="1"/>
  <c r="K42" s="1"/>
  <c r="G35"/>
  <c r="G39" s="1"/>
  <c r="G42" s="1"/>
  <c r="C34" i="7"/>
  <c r="C47" s="1"/>
  <c r="C50" s="1"/>
  <c r="T39" i="11"/>
  <c r="R39"/>
  <c r="AK77" i="21"/>
  <c r="AE80"/>
  <c r="AD38" i="2"/>
  <c r="AD37"/>
  <c r="AD36"/>
  <c r="AD32"/>
  <c r="AD31"/>
  <c r="AD30"/>
  <c r="AD29"/>
  <c r="AD28"/>
  <c r="AD26"/>
  <c r="AD25"/>
  <c r="AD18"/>
  <c r="G34" i="7" l="1"/>
  <c r="AE90" i="21"/>
  <c r="AM90" s="1"/>
  <c r="AM80"/>
  <c r="AG101" i="23"/>
  <c r="C37" i="7"/>
  <c r="AD19" i="2"/>
  <c r="AA23" i="3"/>
  <c r="AA48" s="1"/>
  <c r="R42" i="11"/>
  <c r="G42"/>
  <c r="I42"/>
  <c r="AK80" i="21"/>
  <c r="AK90" s="1"/>
  <c r="L51" i="2"/>
  <c r="AD24"/>
  <c r="L42"/>
  <c r="L20"/>
  <c r="J15" i="6"/>
  <c r="AA57" i="3" l="1"/>
  <c r="AA61" s="1"/>
  <c r="V42" i="11"/>
  <c r="T42"/>
  <c r="L45" i="2"/>
  <c r="L55" s="1"/>
  <c r="AC14" i="19"/>
  <c r="J57" i="2" s="1"/>
  <c r="AA13" i="29"/>
  <c r="AD15" i="23"/>
  <c r="R57" i="2" s="1"/>
  <c r="C133" i="16"/>
  <c r="E82" i="23"/>
  <c r="E90"/>
  <c r="P51" i="2" s="1"/>
  <c r="E81" i="23"/>
  <c r="E80"/>
  <c r="E79"/>
  <c r="E76"/>
  <c r="E75"/>
  <c r="E74"/>
  <c r="E73"/>
  <c r="E72"/>
  <c r="E71"/>
  <c r="E69"/>
  <c r="E68"/>
  <c r="E67"/>
  <c r="E61"/>
  <c r="D83" i="19"/>
  <c r="D104"/>
  <c r="D103"/>
  <c r="D102"/>
  <c r="D101"/>
  <c r="D98"/>
  <c r="D97"/>
  <c r="D96"/>
  <c r="D95"/>
  <c r="D94"/>
  <c r="D93"/>
  <c r="D91"/>
  <c r="D90"/>
  <c r="D89"/>
  <c r="E63" i="23" l="1"/>
  <c r="P20" i="2"/>
  <c r="D85" i="19"/>
  <c r="C101" i="16"/>
  <c r="C111"/>
  <c r="C115"/>
  <c r="C121"/>
  <c r="C109"/>
  <c r="C114"/>
  <c r="C120"/>
  <c r="C108"/>
  <c r="C113"/>
  <c r="C119"/>
  <c r="C124"/>
  <c r="C107"/>
  <c r="C112"/>
  <c r="C116"/>
  <c r="AG13" i="29"/>
  <c r="AI13" s="1"/>
  <c r="AA38"/>
  <c r="AG38" s="1"/>
  <c r="AI38" s="1"/>
  <c r="D99" i="19"/>
  <c r="D106" s="1"/>
  <c r="AD67" i="23"/>
  <c r="AJ67" s="1"/>
  <c r="AL67" s="1"/>
  <c r="E77"/>
  <c r="E84" s="1"/>
  <c r="AD72"/>
  <c r="AJ72" s="1"/>
  <c r="AL72" s="1"/>
  <c r="AD76"/>
  <c r="AJ76" s="1"/>
  <c r="AL76" s="1"/>
  <c r="AD90"/>
  <c r="AJ90" s="1"/>
  <c r="E94"/>
  <c r="AD61"/>
  <c r="AD75"/>
  <c r="AJ75" s="1"/>
  <c r="AL75" s="1"/>
  <c r="AD92"/>
  <c r="AL59"/>
  <c r="AD69"/>
  <c r="AD74"/>
  <c r="AJ74" s="1"/>
  <c r="AL74" s="1"/>
  <c r="AD80"/>
  <c r="AJ80" s="1"/>
  <c r="AD91"/>
  <c r="AJ91" s="1"/>
  <c r="AL91" s="1"/>
  <c r="AD71"/>
  <c r="AJ71" s="1"/>
  <c r="AD81"/>
  <c r="AJ81" s="1"/>
  <c r="AD68"/>
  <c r="AJ68" s="1"/>
  <c r="AL68" s="1"/>
  <c r="AD73"/>
  <c r="AJ73" s="1"/>
  <c r="AD79"/>
  <c r="AJ79" s="1"/>
  <c r="AD82"/>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I113"/>
  <c r="AK113" s="1"/>
  <c r="AC93"/>
  <c r="AB51" i="2"/>
  <c r="AB34"/>
  <c r="AB42" s="1"/>
  <c r="AB20"/>
  <c r="X57"/>
  <c r="V48"/>
  <c r="K15" i="30"/>
  <c r="K16"/>
  <c r="K17"/>
  <c r="K18"/>
  <c r="K19"/>
  <c r="K20"/>
  <c r="K21"/>
  <c r="K14"/>
  <c r="I23"/>
  <c r="G23"/>
  <c r="E23"/>
  <c r="C23"/>
  <c r="Z134" i="18"/>
  <c r="X134"/>
  <c r="V134"/>
  <c r="T134"/>
  <c r="R134"/>
  <c r="P134"/>
  <c r="N134"/>
  <c r="L134"/>
  <c r="J134"/>
  <c r="H134"/>
  <c r="F134"/>
  <c r="AI93" i="19" l="1"/>
  <c r="AK93" s="1"/>
  <c r="AC99"/>
  <c r="C103" i="16"/>
  <c r="AB101"/>
  <c r="AJ92" i="23"/>
  <c r="AL92" s="1"/>
  <c r="AD63"/>
  <c r="AK101" i="19"/>
  <c r="AI83"/>
  <c r="AJ61" i="23"/>
  <c r="AI57" i="2"/>
  <c r="AK81" i="19"/>
  <c r="AI112"/>
  <c r="AK112" s="1"/>
  <c r="AC115"/>
  <c r="AI115" s="1"/>
  <c r="AK115" s="1"/>
  <c r="D109"/>
  <c r="D119" s="1"/>
  <c r="D121" s="1"/>
  <c r="F14" s="1"/>
  <c r="H57" i="2" s="1"/>
  <c r="E87" i="23"/>
  <c r="E99" s="1"/>
  <c r="E101" s="1"/>
  <c r="AI89" i="19"/>
  <c r="AJ82" i="23"/>
  <c r="AL82" s="1"/>
  <c r="AD77"/>
  <c r="AD84" s="1"/>
  <c r="AJ69"/>
  <c r="AL69" s="1"/>
  <c r="AD94"/>
  <c r="AJ94" s="1"/>
  <c r="AL94" s="1"/>
  <c r="P34" i="2"/>
  <c r="H51"/>
  <c r="H34"/>
  <c r="H42" s="1"/>
  <c r="H20"/>
  <c r="AG57"/>
  <c r="K23" i="30"/>
  <c r="AB45" i="2"/>
  <c r="AB55" s="1"/>
  <c r="AB59" s="1"/>
  <c r="D134" i="18"/>
  <c r="D136" s="1"/>
  <c r="G15" i="23" l="1"/>
  <c r="P57" i="2" s="1"/>
  <c r="F14" i="18"/>
  <c r="F136" s="1"/>
  <c r="H136" s="1"/>
  <c r="P42" i="2"/>
  <c r="P45" s="1"/>
  <c r="P55" s="1"/>
  <c r="AJ77" i="23"/>
  <c r="AL77" s="1"/>
  <c r="AI99" i="19"/>
  <c r="AK89"/>
  <c r="AI85"/>
  <c r="AK83"/>
  <c r="K101" i="23"/>
  <c r="J136" i="18"/>
  <c r="AL61" i="23"/>
  <c r="AJ63"/>
  <c r="AL63" s="1"/>
  <c r="F121" i="19"/>
  <c r="H45" i="2"/>
  <c r="H55" s="1"/>
  <c r="AC106" i="19"/>
  <c r="D34" i="2"/>
  <c r="D42" s="1"/>
  <c r="AD87" i="23"/>
  <c r="AD99" s="1"/>
  <c r="AJ99" s="1"/>
  <c r="AL99" s="1"/>
  <c r="D20" i="2"/>
  <c r="G101" i="23" l="1"/>
  <c r="I101" s="1"/>
  <c r="AK85" i="19"/>
  <c r="AI106"/>
  <c r="AK106" s="1"/>
  <c r="AK99"/>
  <c r="M101" i="23"/>
  <c r="O101" s="1"/>
  <c r="Q101" s="1"/>
  <c r="S101" s="1"/>
  <c r="U101" s="1"/>
  <c r="L136" i="18"/>
  <c r="N136" s="1"/>
  <c r="P136" s="1"/>
  <c r="R136" s="1"/>
  <c r="T136" s="1"/>
  <c r="V136" s="1"/>
  <c r="X136" s="1"/>
  <c r="Z136" s="1"/>
  <c r="AC109" i="19"/>
  <c r="H121"/>
  <c r="D45" i="2"/>
  <c r="D55" s="1"/>
  <c r="AI65" i="25"/>
  <c r="AI68" s="1"/>
  <c r="AK14" i="19"/>
  <c r="AI14"/>
  <c r="AN68" i="25" l="1"/>
  <c r="AL68"/>
  <c r="D61" i="3"/>
  <c r="W101" i="23"/>
  <c r="AI109" i="19"/>
  <c r="AK109" s="1"/>
  <c r="D59" i="2"/>
  <c r="J121" i="19"/>
  <c r="AI78" i="25"/>
  <c r="AL65"/>
  <c r="AN65"/>
  <c r="AC119" i="19"/>
  <c r="AC121" s="1"/>
  <c r="AN78" i="25" l="1"/>
  <c r="AL78"/>
  <c r="Y101" i="23"/>
  <c r="L121" i="19"/>
  <c r="AI119"/>
  <c r="AK119" s="1"/>
  <c r="AI121"/>
  <c r="AK121" s="1"/>
  <c r="P59" i="2" l="1"/>
  <c r="AA101" i="23"/>
  <c r="N121" i="19"/>
  <c r="P121" l="1"/>
  <c r="V40" i="2"/>
  <c r="R121" i="19" l="1"/>
  <c r="B26" i="6"/>
  <c r="B29" s="1"/>
  <c r="B39" s="1"/>
  <c r="B42" s="1"/>
  <c r="T121" i="19" l="1"/>
  <c r="C98" i="30"/>
  <c r="C152" s="1"/>
  <c r="H59" i="2" l="1"/>
  <c r="V121" i="19"/>
  <c r="X121" s="1"/>
  <c r="Z121" s="1"/>
  <c r="E98" i="30"/>
  <c r="E152" s="1"/>
  <c r="I98"/>
  <c r="I152" s="1"/>
  <c r="G98"/>
  <c r="G152" s="1"/>
  <c r="K98" l="1"/>
  <c r="K152" s="1"/>
  <c r="E43" i="7" l="1"/>
  <c r="E34"/>
  <c r="E37" l="1"/>
  <c r="E47"/>
  <c r="E50" s="1"/>
  <c r="AD51" i="2" l="1"/>
  <c r="AD20"/>
  <c r="AD34"/>
  <c r="AE133" i="16"/>
  <c r="AE103" l="1"/>
  <c r="AD42" i="2"/>
  <c r="AE136" i="16"/>
  <c r="P19" i="6"/>
  <c r="H41"/>
  <c r="D41"/>
  <c r="L41" l="1"/>
  <c r="S41" s="1"/>
  <c r="U41" s="1"/>
  <c r="P26"/>
  <c r="P29" s="1"/>
  <c r="AD45" i="2"/>
  <c r="AD55" s="1"/>
  <c r="AD59" s="1"/>
  <c r="P39" i="6" l="1"/>
  <c r="P42" s="1"/>
  <c r="H25"/>
  <c r="H18"/>
  <c r="H19" s="1"/>
  <c r="H23" l="1"/>
  <c r="H26" s="1"/>
  <c r="H29" s="1"/>
  <c r="H39" s="1"/>
  <c r="H42" s="1"/>
  <c r="D25" l="1"/>
  <c r="L25" s="1"/>
  <c r="S25" s="1"/>
  <c r="U25" s="1"/>
  <c r="D24"/>
  <c r="D23"/>
  <c r="D18"/>
  <c r="D19" l="1"/>
  <c r="L18"/>
  <c r="S18" s="1"/>
  <c r="D26"/>
  <c r="U18" l="1"/>
  <c r="S19"/>
  <c r="U19" s="1"/>
  <c r="D29"/>
  <c r="D39" s="1"/>
  <c r="D42" s="1"/>
  <c r="W29" i="27"/>
  <c r="AJ15" i="23" l="1"/>
  <c r="AL15" s="1"/>
  <c r="AJ101" l="1"/>
  <c r="R48" i="2"/>
  <c r="R30"/>
  <c r="R37"/>
  <c r="R36"/>
  <c r="R28"/>
  <c r="R38"/>
  <c r="R50"/>
  <c r="R41"/>
  <c r="R33"/>
  <c r="R32"/>
  <c r="R31"/>
  <c r="R29"/>
  <c r="R26"/>
  <c r="R24"/>
  <c r="R19"/>
  <c r="R18"/>
  <c r="R20" l="1"/>
  <c r="X48"/>
  <c r="R49"/>
  <c r="R51" s="1"/>
  <c r="R25"/>
  <c r="R34" s="1"/>
  <c r="R42" s="1"/>
  <c r="AB132" i="16" l="1"/>
  <c r="R45" i="2"/>
  <c r="R55" s="1"/>
  <c r="R59" s="1"/>
  <c r="AJ84" i="23"/>
  <c r="AL84" s="1"/>
  <c r="AD101"/>
  <c r="AL101" s="1"/>
  <c r="AH132" i="16" l="1"/>
  <c r="I40" i="7"/>
  <c r="I43" s="1"/>
  <c r="AJ87" i="23"/>
  <c r="AL87" s="1"/>
  <c r="N50" i="2" l="1"/>
  <c r="N52" i="3" s="1"/>
  <c r="N49" i="2"/>
  <c r="N51" i="3" s="1"/>
  <c r="N40" i="2"/>
  <c r="N37"/>
  <c r="N40" i="3" s="1"/>
  <c r="N19" i="2"/>
  <c r="N22" i="3" s="1"/>
  <c r="N18" i="2"/>
  <c r="N21" i="3" s="1"/>
  <c r="T21" s="1"/>
  <c r="N20"/>
  <c r="N18"/>
  <c r="N17"/>
  <c r="N23" l="1"/>
  <c r="G24" i="8"/>
  <c r="AD21" i="3"/>
  <c r="AF21" s="1"/>
  <c r="X40" i="2"/>
  <c r="N43" i="3"/>
  <c r="T43" s="1"/>
  <c r="T51"/>
  <c r="N53"/>
  <c r="N42" i="2"/>
  <c r="N51"/>
  <c r="N20"/>
  <c r="I24" i="8" l="1"/>
  <c r="N45" i="3"/>
  <c r="N48" s="1"/>
  <c r="N57" s="1"/>
  <c r="N61" s="1"/>
  <c r="AI40" i="2"/>
  <c r="AG40"/>
  <c r="G40" i="8"/>
  <c r="AD51" i="3"/>
  <c r="G32" i="8"/>
  <c r="AD43" i="3"/>
  <c r="AF43" s="1"/>
  <c r="N45" i="2"/>
  <c r="N55" s="1"/>
  <c r="N59" s="1"/>
  <c r="I40" i="8" l="1"/>
  <c r="I32"/>
  <c r="AF51" i="3"/>
  <c r="V49" i="2" l="1"/>
  <c r="V50"/>
  <c r="V51" l="1"/>
  <c r="I136" i="16"/>
  <c r="G136"/>
  <c r="E136"/>
  <c r="J50" i="2"/>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0" i="2"/>
  <c r="F52" i="3" s="1"/>
  <c r="I31" i="8" l="1"/>
  <c r="AG33" i="2"/>
  <c r="AI28"/>
  <c r="AI29"/>
  <c r="AI31"/>
  <c r="AI36"/>
  <c r="AI30"/>
  <c r="AI32"/>
  <c r="AI37"/>
  <c r="AD18" i="3"/>
  <c r="AF18" s="1"/>
  <c r="G21" i="8"/>
  <c r="F53" i="3"/>
  <c r="T52"/>
  <c r="AD52" s="1"/>
  <c r="AD53" s="1"/>
  <c r="T27"/>
  <c r="AD20"/>
  <c r="AF20" s="1"/>
  <c r="G23" i="8"/>
  <c r="AG37" i="2"/>
  <c r="AD22" i="3"/>
  <c r="AF22" s="1"/>
  <c r="G25" i="8"/>
  <c r="F19" i="3"/>
  <c r="T19" s="1"/>
  <c r="AD39"/>
  <c r="AF39" s="1"/>
  <c r="G30" i="8"/>
  <c r="F51" i="2"/>
  <c r="X24"/>
  <c r="AI24" s="1"/>
  <c r="AI19"/>
  <c r="AG19"/>
  <c r="X50"/>
  <c r="AI50" s="1"/>
  <c r="X49"/>
  <c r="AI38"/>
  <c r="AG38"/>
  <c r="X25"/>
  <c r="AG18"/>
  <c r="AI18"/>
  <c r="AI17"/>
  <c r="AG17"/>
  <c r="X16"/>
  <c r="AG15"/>
  <c r="AI15"/>
  <c r="F26"/>
  <c r="AI49" l="1"/>
  <c r="X51"/>
  <c r="I23" i="8"/>
  <c r="I30"/>
  <c r="I25"/>
  <c r="I21"/>
  <c r="I31" i="9"/>
  <c r="I47" s="1"/>
  <c r="I50" s="1"/>
  <c r="AD27" i="3"/>
  <c r="F34" i="2"/>
  <c r="F29" i="3"/>
  <c r="G22" i="8"/>
  <c r="AD19" i="3"/>
  <c r="AF19" s="1"/>
  <c r="G41" i="8"/>
  <c r="T53" i="3"/>
  <c r="AG24" i="2"/>
  <c r="AG50"/>
  <c r="AG49"/>
  <c r="X26"/>
  <c r="AG25"/>
  <c r="AI25"/>
  <c r="AC134" i="18"/>
  <c r="AC136" s="1"/>
  <c r="AI16" i="2"/>
  <c r="AG16"/>
  <c r="K42" i="8" l="1"/>
  <c r="I41"/>
  <c r="I42" s="1"/>
  <c r="I22"/>
  <c r="G42"/>
  <c r="AF52" i="3"/>
  <c r="AF53"/>
  <c r="F42" i="2"/>
  <c r="AF27" i="3"/>
  <c r="T29"/>
  <c r="F37"/>
  <c r="F45" s="1"/>
  <c r="AG26" i="2"/>
  <c r="AG34" s="1"/>
  <c r="AG42" s="1"/>
  <c r="AI26"/>
  <c r="X34"/>
  <c r="AE126" i="16"/>
  <c r="AE129" s="1"/>
  <c r="AB16"/>
  <c r="AH16" s="1"/>
  <c r="AJ16" s="1"/>
  <c r="K34" i="7" l="1"/>
  <c r="K37" s="1"/>
  <c r="AD29" i="3"/>
  <c r="T37"/>
  <c r="G43" i="9"/>
  <c r="G47" s="1"/>
  <c r="AI34" i="2"/>
  <c r="X42"/>
  <c r="AE140" i="16" l="1"/>
  <c r="AE142" s="1"/>
  <c r="K47" i="7"/>
  <c r="K50" s="1"/>
  <c r="AF29" i="3"/>
  <c r="AD37"/>
  <c r="AD45" s="1"/>
  <c r="G29" i="8"/>
  <c r="T45" i="3"/>
  <c r="J25" i="6"/>
  <c r="L24"/>
  <c r="S24" s="1"/>
  <c r="U24" s="1"/>
  <c r="J24"/>
  <c r="L23"/>
  <c r="S23" s="1"/>
  <c r="J23"/>
  <c r="L19"/>
  <c r="J18"/>
  <c r="J19" s="1"/>
  <c r="L15"/>
  <c r="H15"/>
  <c r="L14"/>
  <c r="H14"/>
  <c r="P14" s="1"/>
  <c r="U23" l="1"/>
  <c r="S26"/>
  <c r="U26" s="1"/>
  <c r="I29" i="8"/>
  <c r="I34" s="1"/>
  <c r="K34"/>
  <c r="AF37" i="3"/>
  <c r="AF45"/>
  <c r="G34" i="8"/>
  <c r="J26" i="6"/>
  <c r="J29" s="1"/>
  <c r="J39" s="1"/>
  <c r="J42" s="1"/>
  <c r="L26"/>
  <c r="L29" s="1"/>
  <c r="S29" s="1"/>
  <c r="U29" s="1"/>
  <c r="L39" l="1"/>
  <c r="L42" l="1"/>
  <c r="S39"/>
  <c r="U39" s="1"/>
  <c r="AB134" i="16"/>
  <c r="AB136" s="1"/>
  <c r="AG48" i="2"/>
  <c r="AB124" i="16"/>
  <c r="AB123"/>
  <c r="AB121"/>
  <c r="AB120"/>
  <c r="AB119"/>
  <c r="AI42" i="2"/>
  <c r="AH115" i="16"/>
  <c r="AJ115" s="1"/>
  <c r="AH114"/>
  <c r="AJ114" s="1"/>
  <c r="AH113"/>
  <c r="AJ113" s="1"/>
  <c r="AH112"/>
  <c r="AJ112" s="1"/>
  <c r="AH111"/>
  <c r="AJ111" s="1"/>
  <c r="AH109"/>
  <c r="AJ109" s="1"/>
  <c r="AH108"/>
  <c r="AJ108" s="1"/>
  <c r="V12" i="2"/>
  <c r="P12"/>
  <c r="N12"/>
  <c r="L12"/>
  <c r="J12"/>
  <c r="H12"/>
  <c r="AD11"/>
  <c r="AA14" i="3" s="1"/>
  <c r="X11" i="2"/>
  <c r="N11"/>
  <c r="J11"/>
  <c r="R11" s="1"/>
  <c r="S42" i="6" l="1"/>
  <c r="U42" s="1"/>
  <c r="AG51" i="2"/>
  <c r="AI51" s="1"/>
  <c r="C136" i="16"/>
  <c r="AB116"/>
  <c r="C117"/>
  <c r="C126" s="1"/>
  <c r="AH101"/>
  <c r="AJ101" s="1"/>
  <c r="AH121"/>
  <c r="AJ121" s="1"/>
  <c r="AH120"/>
  <c r="AJ120" s="1"/>
  <c r="AH123"/>
  <c r="AJ123" s="1"/>
  <c r="AH124"/>
  <c r="AJ124" s="1"/>
  <c r="AH119"/>
  <c r="AJ119" s="1"/>
  <c r="AH134"/>
  <c r="AJ134" s="1"/>
  <c r="AH107"/>
  <c r="R12" i="2"/>
  <c r="AB117" i="16" l="1"/>
  <c r="AB126" s="1"/>
  <c r="AJ107"/>
  <c r="AH133"/>
  <c r="AH116"/>
  <c r="AJ116" s="1"/>
  <c r="AJ133" l="1"/>
  <c r="AH136"/>
  <c r="AJ136" s="1"/>
  <c r="AH117"/>
  <c r="AJ117" s="1"/>
  <c r="AH126"/>
  <c r="AJ126" s="1"/>
  <c r="I34" i="7" l="1"/>
  <c r="I47" s="1"/>
  <c r="I50" s="1"/>
  <c r="F14" i="2"/>
  <c r="F17" i="3" l="1"/>
  <c r="X14" i="2"/>
  <c r="F20"/>
  <c r="F45" s="1"/>
  <c r="F55" s="1"/>
  <c r="F59" s="1"/>
  <c r="AI134" i="18"/>
  <c r="AK134" s="1"/>
  <c r="F23" i="3" l="1"/>
  <c r="F48" s="1"/>
  <c r="F57" s="1"/>
  <c r="F61" s="1"/>
  <c r="T17"/>
  <c r="AG14" i="2"/>
  <c r="AG20" s="1"/>
  <c r="AI14"/>
  <c r="C129" i="16"/>
  <c r="C140" s="1"/>
  <c r="C142" s="1"/>
  <c r="AB103"/>
  <c r="X20" i="2"/>
  <c r="X45" s="1"/>
  <c r="G47" i="7"/>
  <c r="G50" s="1"/>
  <c r="AI136" i="18"/>
  <c r="AK136" s="1"/>
  <c r="AI45" i="2" l="1"/>
  <c r="AG45"/>
  <c r="AG55" s="1"/>
  <c r="AG59" s="1"/>
  <c r="E16" i="16"/>
  <c r="E142" s="1"/>
  <c r="G142" s="1"/>
  <c r="I142" s="1"/>
  <c r="K142" s="1"/>
  <c r="M142" s="1"/>
  <c r="O142" s="1"/>
  <c r="Q142" s="1"/>
  <c r="S142" s="1"/>
  <c r="U142" s="1"/>
  <c r="W142" s="1"/>
  <c r="Y142" s="1"/>
  <c r="AB129"/>
  <c r="AB140" s="1"/>
  <c r="AB142" s="1"/>
  <c r="G20" i="8"/>
  <c r="G26" s="1"/>
  <c r="AD17" i="3"/>
  <c r="T23"/>
  <c r="T48" s="1"/>
  <c r="T57" s="1"/>
  <c r="T61" s="1"/>
  <c r="AI20" i="2"/>
  <c r="X55"/>
  <c r="G37" i="7"/>
  <c r="X59" i="2" l="1"/>
  <c r="AI59" s="1"/>
  <c r="AI55"/>
  <c r="K26" i="8"/>
  <c r="I20"/>
  <c r="I26" s="1"/>
  <c r="I37" i="7"/>
  <c r="G50" i="9"/>
  <c r="G46" i="8"/>
  <c r="G49" s="1"/>
  <c r="AF17" i="3"/>
  <c r="AD23"/>
  <c r="AD48" s="1"/>
  <c r="AF48" s="1"/>
  <c r="AD57" l="1"/>
  <c r="K46" i="8"/>
  <c r="K49" s="1"/>
  <c r="K37"/>
  <c r="AH103" i="16"/>
  <c r="AJ103" s="1"/>
  <c r="AF23" i="3"/>
  <c r="G37" i="8"/>
  <c r="AH129" i="16"/>
  <c r="AJ129" s="1"/>
  <c r="I46" i="8" l="1"/>
  <c r="I49" s="1"/>
  <c r="I37"/>
  <c r="AH140" i="16"/>
  <c r="AJ140" s="1"/>
  <c r="AF57" i="3" l="1"/>
  <c r="AD61"/>
  <c r="AF61" s="1"/>
  <c r="AH142" i="16"/>
  <c r="AJ142" s="1"/>
  <c r="B47" i="22"/>
  <c r="B58" s="1"/>
  <c r="B70" s="1"/>
  <c r="B73" s="1"/>
  <c r="D12" l="1"/>
  <c r="L57" i="2" s="1"/>
  <c r="L73" i="22"/>
  <c r="D73" l="1"/>
  <c r="F73" s="1"/>
  <c r="H73" s="1"/>
  <c r="J73" s="1"/>
  <c r="N73"/>
  <c r="P73" s="1"/>
  <c r="R73" l="1"/>
  <c r="T73" l="1"/>
  <c r="V73" l="1"/>
  <c r="X73" l="1"/>
  <c r="V57" i="2"/>
  <c r="V59" s="1"/>
  <c r="L59" l="1"/>
  <c r="L59" i="3"/>
  <c r="R59" s="1"/>
  <c r="L61" l="1"/>
  <c r="R61"/>
</calcChain>
</file>

<file path=xl/sharedStrings.xml><?xml version="1.0" encoding="utf-8"?>
<sst xmlns="http://schemas.openxmlformats.org/spreadsheetml/2006/main" count="3927" uniqueCount="1635">
  <si>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</si>
  <si>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</si>
  <si>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</si>
  <si>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</si>
  <si>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</si>
  <si>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</si>
  <si>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</si>
  <si>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</si>
  <si>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</si>
  <si>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</si>
  <si>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</si>
  <si>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</si>
  <si>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</si>
  <si>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</si>
  <si>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</si>
  <si>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</si>
  <si>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</si>
  <si>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</si>
  <si>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</si>
  <si>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</si>
  <si>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</si>
  <si>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</si>
  <si>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</si>
  <si>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</si>
  <si>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</si>
  <si>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</si>
  <si>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</si>
  <si>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</si>
  <si>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</si>
  <si>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</si>
  <si>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</si>
  <si>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</si>
  <si>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</si>
  <si>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</si>
  <si>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</si>
  <si>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</si>
  <si>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</si>
  <si>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</si>
  <si>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</si>
  <si>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</si>
  <si>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</si>
  <si>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</si>
  <si>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</si>
  <si>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</si>
  <si>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</si>
  <si>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</si>
  <si>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</si>
  <si>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</si>
  <si>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</si>
  <si>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</si>
  <si>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</si>
  <si>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</si>
  <si>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</si>
  <si>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</si>
  <si>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</si>
  <si>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</si>
  <si>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</si>
  <si>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</si>
  <si>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</si>
  <si>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</si>
  <si>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</si>
  <si>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</si>
  <si>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</si>
  <si>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</si>
  <si>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</si>
  <si>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</si>
  <si>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</si>
  <si>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</si>
  <si>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</si>
  <si>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</si>
  <si>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</si>
  <si>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</si>
  <si>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</si>
  <si>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</si>
  <si>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</si>
  <si>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</si>
  <si>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</si>
  <si>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</si>
  <si>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</si>
  <si>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</si>
  <si>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</si>
  <si>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</si>
  <si>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</si>
  <si>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</si>
  <si>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</si>
  <si>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</si>
  <si>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</si>
  <si>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</si>
  <si>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</si>
  <si>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</si>
  <si>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</si>
  <si>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</si>
  <si>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</si>
  <si>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</si>
  <si>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</si>
  <si>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</si>
  <si>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</si>
  <si>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</si>
  <si>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</si>
  <si>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</si>
  <si>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</si>
  <si>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</si>
  <si>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</si>
  <si>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</si>
  <si>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</si>
  <si>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</si>
  <si>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</si>
  <si>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</si>
  <si>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</si>
  <si>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</si>
  <si>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</si>
  <si>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</si>
  <si>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</si>
  <si>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</si>
  <si>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</si>
  <si>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</si>
  <si>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</si>
  <si>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</si>
  <si>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</si>
  <si>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</si>
  <si>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</si>
  <si>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</si>
  <si>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</si>
  <si>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</si>
  <si>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</si>
  <si>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</si>
  <si>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</si>
  <si>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</si>
  <si>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</si>
  <si>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</si>
  <si>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</si>
  <si>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</si>
  <si>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</si>
  <si>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</si>
  <si>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</si>
  <si>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</si>
  <si>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</si>
  <si>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</si>
  <si>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</si>
  <si>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</si>
  <si>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</si>
  <si>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</si>
  <si>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</si>
  <si>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</si>
  <si>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</si>
  <si>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</si>
  <si>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</si>
  <si>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</si>
  <si>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</si>
  <si>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</si>
  <si>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</si>
  <si>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</si>
  <si>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</si>
  <si>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</si>
  <si>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</si>
  <si>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</si>
  <si>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</si>
  <si>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</si>
  <si>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</si>
  <si>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</si>
  <si>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</si>
  <si>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</si>
  <si>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</si>
  <si>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</si>
  <si>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</si>
  <si>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</si>
  <si>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</si>
  <si>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</si>
  <si>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</si>
  <si>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</si>
  <si>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</si>
  <si>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</si>
  <si>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</si>
  <si>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</si>
  <si>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</si>
  <si>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</si>
  <si>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</si>
  <si>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</si>
  <si>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</si>
  <si>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</si>
  <si>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</si>
  <si>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</si>
  <si>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</si>
  <si>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</si>
  <si>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</si>
  <si>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</si>
  <si>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</si>
  <si>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</si>
  <si>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</si>
  <si>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</si>
  <si>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</si>
  <si>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</si>
  <si>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</si>
  <si>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</si>
  <si>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</si>
  <si>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</si>
  <si>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</si>
  <si>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</si>
  <si>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</si>
  <si>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</si>
  <si>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</si>
  <si>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</si>
  <si>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</si>
  <si>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</si>
  <si>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</si>
  <si>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</si>
  <si>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</si>
  <si>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</si>
  <si>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</si>
  <si>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</si>
  <si>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</si>
  <si>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</si>
  <si>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</si>
  <si>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</si>
  <si>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</si>
  <si>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</si>
  <si>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</si>
  <si>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</si>
  <si>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</si>
  <si>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</si>
  <si>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</si>
  <si>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</si>
  <si>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</si>
  <si>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</si>
  <si>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</si>
  <si>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</si>
  <si>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</si>
  <si>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</si>
  <si>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</si>
  <si>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</si>
  <si>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</si>
  <si>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</si>
  <si>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</si>
  <si>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</si>
  <si>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</si>
  <si>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</si>
  <si>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</si>
  <si>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</si>
  <si>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</si>
  <si>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</si>
  <si>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</si>
  <si>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</si>
  <si>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</si>
  <si>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</si>
  <si>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</si>
  <si>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</si>
  <si>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</si>
  <si>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</si>
  <si>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</si>
  <si>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</si>
  <si>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</si>
  <si>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</si>
  <si>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</si>
  <si>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</si>
  <si>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</si>
  <si>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</si>
  <si>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</si>
  <si>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</si>
  <si>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</si>
  <si>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</si>
  <si>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</si>
  <si>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</si>
  <si>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</si>
  <si>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</si>
  <si>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</si>
  <si>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</si>
  <si>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</si>
  <si>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</si>
  <si>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</si>
  <si>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</si>
  <si>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</si>
  <si>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</si>
  <si>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</si>
  <si>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</si>
  <si>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</si>
  <si>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</si>
  <si>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</si>
  <si>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</si>
  <si>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</si>
  <si>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</si>
  <si>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</si>
  <si>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</si>
  <si>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</si>
  <si>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</si>
  <si>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</si>
  <si>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</si>
  <si>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</si>
  <si>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</si>
  <si>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</si>
  <si>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</si>
  <si>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</si>
  <si>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</si>
  <si>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</si>
  <si>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</si>
  <si>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</si>
  <si>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</si>
  <si>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</si>
  <si>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</si>
  <si>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</si>
  <si>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</si>
  <si>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</si>
  <si>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</si>
  <si>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</si>
  <si>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</si>
  <si>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</si>
  <si>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</si>
  <si>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</si>
  <si>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</si>
  <si>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</si>
  <si>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</si>
  <si>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</si>
  <si>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</si>
  <si>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</si>
  <si>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</si>
  <si>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</si>
  <si>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</si>
  <si>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</si>
  <si>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</si>
  <si>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</si>
  <si>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</si>
  <si>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</si>
  <si>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</si>
  <si>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</si>
  <si>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</si>
  <si>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</si>
  <si>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</si>
  <si>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</si>
  <si>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</si>
  <si>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</si>
  <si>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</si>
  <si>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</si>
  <si>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</si>
  <si>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</si>
  <si>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</si>
  <si>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</si>
  <si>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</si>
  <si>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</si>
  <si>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</si>
  <si>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</si>
  <si>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</si>
  <si>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</si>
  <si>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</si>
  <si>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</si>
  <si>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</si>
  <si>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</si>
  <si>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</si>
  <si>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</si>
  <si>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</si>
  <si>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</si>
  <si>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</si>
  <si>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</si>
  <si>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</si>
  <si>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</si>
  <si>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</si>
  <si>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</si>
  <si>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</si>
  <si>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</si>
  <si>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</si>
  <si>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</si>
  <si>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</si>
  <si>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</si>
  <si>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</si>
  <si>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</si>
  <si>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</si>
  <si>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</si>
  <si>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</si>
  <si>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</si>
  <si>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</si>
  <si>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</si>
  <si>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</si>
  <si>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</si>
  <si>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</si>
  <si>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</si>
  <si>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</si>
  <si>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</si>
  <si>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</si>
  <si>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</si>
  <si>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</si>
  <si>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</si>
  <si>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</si>
  <si>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</si>
  <si>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</si>
  <si>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</si>
  <si>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</si>
  <si>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</si>
  <si>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</si>
  <si>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</si>
  <si>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</si>
  <si>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</si>
  <si>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</si>
  <si>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</si>
  <si>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</si>
  <si>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</si>
  <si>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</si>
  <si>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</si>
  <si>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</si>
  <si>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</si>
  <si>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</si>
  <si>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</si>
  <si>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</si>
  <si>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</si>
  <si>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</si>
  <si>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</si>
  <si>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</si>
  <si>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</si>
  <si>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</si>
  <si>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</si>
  <si>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</si>
  <si>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</si>
  <si>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</si>
  <si>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</si>
  <si>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</si>
  <si>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</si>
  <si>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</si>
  <si>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</si>
  <si>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</si>
  <si>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</si>
  <si>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</si>
  <si>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</si>
  <si>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</si>
  <si>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</si>
  <si>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</si>
  <si>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</si>
  <si>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</si>
  <si>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</si>
  <si>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</si>
  <si>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</si>
  <si>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</si>
  <si>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</si>
  <si>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</si>
  <si>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</si>
  <si>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</si>
  <si>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</si>
  <si>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</si>
  <si>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</si>
  <si>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</si>
  <si>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</si>
  <si>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</si>
  <si>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</si>
  <si>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</si>
  <si>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</si>
  <si>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</si>
  <si>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</si>
  <si>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</si>
  <si>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</si>
  <si>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</si>
  <si>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</si>
  <si>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</si>
  <si>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</si>
  <si>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</si>
  <si>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</si>
  <si>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</si>
  <si>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</si>
  <si>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</si>
  <si>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</si>
  <si>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</si>
  <si>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</si>
  <si>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</si>
  <si>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</si>
  <si>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</si>
  <si>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</si>
  <si>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</si>
  <si>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</si>
  <si>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</si>
  <si>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</si>
  <si>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</si>
  <si>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</si>
  <si>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</si>
  <si>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</si>
  <si>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</si>
  <si>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</si>
  <si>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</si>
  <si>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</si>
  <si>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</si>
  <si>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</si>
  <si>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</si>
  <si>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</si>
  <si>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</si>
  <si>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</si>
  <si>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</si>
  <si>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</si>
  <si>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</si>
  <si>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</si>
  <si>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</si>
  <si>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</si>
  <si>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</si>
  <si>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</si>
  <si>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</si>
  <si>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</si>
  <si>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</si>
  <si>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</si>
  <si>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</si>
  <si>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</si>
  <si>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</si>
  <si>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</si>
  <si>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</si>
  <si>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</si>
  <si>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</si>
  <si>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</si>
  <si>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</si>
  <si>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</si>
  <si>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</si>
  <si>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</si>
  <si>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</si>
  <si>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</si>
  <si>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</si>
  <si>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</si>
  <si>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</si>
  <si>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</si>
  <si>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</si>
  <si>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</si>
  <si>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</si>
  <si>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</si>
  <si>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</si>
  <si>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</si>
  <si>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</si>
  <si>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</si>
  <si>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</si>
  <si>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</si>
  <si>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</si>
  <si>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</si>
  <si>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</si>
  <si>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</si>
  <si>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</si>
  <si>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</si>
  <si>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</si>
  <si>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</si>
  <si>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</si>
  <si>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</si>
  <si>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</si>
  <si>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</si>
  <si>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</si>
  <si>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</si>
  <si>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</si>
  <si>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</si>
  <si>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</si>
  <si>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</si>
  <si>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</si>
  <si>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</si>
  <si>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</si>
  <si>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</si>
  <si>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</si>
  <si>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</si>
  <si>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</si>
  <si>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</si>
  <si>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</si>
  <si>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</si>
  <si>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</si>
  <si>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</si>
  <si>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</si>
  <si>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</si>
  <si>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</si>
  <si>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</si>
  <si>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</si>
  <si>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</si>
  <si>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</si>
  <si>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</si>
  <si>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</si>
  <si>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</si>
  <si>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</si>
  <si>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</si>
  <si>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</si>
  <si>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</si>
  <si>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</si>
  <si>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</si>
  <si>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</si>
  <si>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</si>
  <si>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</si>
  <si>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</si>
  <si>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</si>
  <si>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</si>
  <si>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</si>
  <si>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</si>
  <si>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</si>
  <si>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</si>
  <si>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</si>
  <si>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</si>
  <si>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</si>
  <si>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</si>
  <si>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</si>
  <si>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</si>
  <si>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</si>
  <si>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</si>
  <si>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</si>
  <si>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</si>
  <si>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</si>
  <si>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</si>
  <si>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</si>
  <si>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</si>
  <si>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</si>
  <si>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</si>
  <si>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</si>
  <si>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</si>
  <si>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</si>
  <si>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</si>
  <si>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</si>
  <si>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</si>
  <si>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</si>
  <si>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</si>
  <si>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</si>
  <si>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</si>
  <si>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</si>
  <si>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</si>
  <si>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</si>
  <si>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</si>
  <si>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</si>
  <si>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</si>
  <si>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</si>
  <si>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</si>
  <si>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</si>
  <si>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</si>
  <si>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</si>
  <si>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</si>
  <si>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</si>
  <si>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</si>
  <si>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</si>
  <si>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</si>
  <si>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</si>
  <si>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</si>
  <si>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</si>
  <si>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</si>
  <si>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</si>
  <si>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</si>
  <si>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</si>
  <si>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</si>
  <si>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</si>
  <si>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</si>
  <si>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</si>
  <si>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</si>
  <si>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</si>
  <si>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</si>
  <si>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</si>
  <si>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</si>
  <si>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</si>
  <si>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</si>
  <si>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</si>
  <si>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</si>
  <si>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</si>
  <si>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</si>
  <si>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</si>
  <si>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</si>
  <si>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</si>
  <si>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</si>
  <si>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</si>
  <si>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</si>
  <si>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</si>
  <si>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</si>
  <si>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</si>
  <si>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</si>
  <si>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</si>
  <si>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</si>
  <si>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</si>
  <si>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</si>
  <si>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</si>
  <si>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Electricity Delivery and Energy Reliability, Research, Development and Analysis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</si>
  <si>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</si>
  <si>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</si>
  <si>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</si>
  <si>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</si>
  <si>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</si>
  <si>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</si>
  <si>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</si>
  <si>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</si>
  <si>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</si>
  <si>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</si>
  <si>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</si>
  <si>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</si>
  <si>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</si>
  <si>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</si>
  <si>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</si>
  <si>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</si>
  <si>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</si>
  <si>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</si>
  <si>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</si>
  <si>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</si>
  <si>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</si>
  <si>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</si>
  <si>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</si>
  <si>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</si>
  <si>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</si>
  <si>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</si>
  <si>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</si>
  <si>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</si>
  <si>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</si>
  <si>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</si>
  <si>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</si>
  <si>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</si>
  <si>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</si>
  <si>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</si>
  <si>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</si>
  <si>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</si>
  <si>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</si>
  <si>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</si>
  <si>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</si>
  <si>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</si>
  <si>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</si>
  <si>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</si>
  <si>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</si>
  <si>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</si>
  <si>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</si>
  <si>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</si>
  <si>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</si>
  <si>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</si>
  <si>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</si>
  <si>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</si>
  <si>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</si>
  <si>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</si>
  <si>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</si>
  <si>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</si>
  <si>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</si>
  <si>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</si>
  <si>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</si>
  <si>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</si>
  <si>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</si>
  <si>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</si>
  <si>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</si>
  <si>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</si>
  <si>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</si>
  <si>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</si>
  <si>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</si>
  <si>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</si>
  <si>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</si>
  <si>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</si>
  <si>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</si>
  <si>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</si>
  <si>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</si>
  <si>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</si>
  <si>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</si>
  <si>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</si>
  <si>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</si>
  <si>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</si>
  <si>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</si>
  <si>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</si>
  <si>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</si>
  <si>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</si>
  <si>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</si>
  <si>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</si>
  <si>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</si>
  <si>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</si>
  <si>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</si>
  <si>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</si>
  <si>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</si>
  <si>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</si>
  <si>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</si>
  <si>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</si>
  <si>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</si>
  <si>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</si>
  <si>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</si>
  <si>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</si>
  <si>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</si>
  <si>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</si>
  <si>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</si>
  <si>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</si>
  <si>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</si>
  <si>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</si>
  <si>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</si>
  <si>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</si>
  <si>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</si>
  <si>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</si>
  <si>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</si>
  <si>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</si>
  <si>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</si>
  <si>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</si>
  <si>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</si>
  <si>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</si>
  <si>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</si>
  <si>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</si>
  <si>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</si>
  <si>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</si>
  <si>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</si>
  <si>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</si>
  <si>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</si>
  <si>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</si>
  <si>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</si>
  <si>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</si>
  <si>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</si>
  <si>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</si>
  <si>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</si>
  <si>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</si>
  <si>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</si>
  <si>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</si>
  <si>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</si>
  <si>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</si>
  <si>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</si>
  <si>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</si>
  <si>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</si>
  <si>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</si>
  <si>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</si>
  <si>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</si>
  <si>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</si>
  <si>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</si>
  <si>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</si>
  <si>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</si>
  <si>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</si>
  <si>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</si>
  <si>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</si>
  <si>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</si>
  <si>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</si>
  <si>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</si>
  <si>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</si>
  <si>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</si>
  <si>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</si>
  <si>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</si>
  <si>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</si>
  <si>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</si>
  <si>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</si>
  <si>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</si>
  <si>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</si>
  <si>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</si>
  <si>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</si>
  <si>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</si>
  <si>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</si>
  <si>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</si>
  <si>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</si>
  <si>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</si>
  <si>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</si>
  <si>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</si>
  <si>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</si>
  <si>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</si>
  <si>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</si>
  <si>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</si>
  <si>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</si>
  <si>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</si>
  <si>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</si>
  <si>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</si>
  <si>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</si>
  <si>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</si>
  <si>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</si>
  <si>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</si>
  <si>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</si>
  <si>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</si>
  <si>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</si>
  <si>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</si>
  <si>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</si>
  <si>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</si>
  <si>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</si>
  <si>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</si>
  <si>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</si>
  <si>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</si>
  <si>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</si>
  <si>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</si>
  <si>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</si>
  <si>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</si>
  <si>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</si>
  <si>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</si>
  <si>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</si>
  <si>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</si>
  <si>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</si>
  <si>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</si>
  <si>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</si>
  <si>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</si>
  <si>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</si>
  <si>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</si>
  <si>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</si>
  <si>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</si>
  <si>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</si>
  <si>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</si>
  <si>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</si>
  <si>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</si>
  <si>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</si>
  <si>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</si>
  <si>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</si>
  <si>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</si>
  <si>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HOSPITAL BASED GRANTS PROGRAM</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</si>
  <si>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</si>
  <si>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</si>
  <si>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</si>
  <si>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</si>
  <si>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</si>
  <si>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</si>
  <si>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</si>
  <si>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</si>
  <si>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</si>
  <si>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</si>
  <si>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ENCON CONSERVATIONIST MAGAZINE ACCT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</si>
  <si>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</si>
  <si>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</si>
  <si>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</si>
  <si>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</si>
  <si>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</si>
  <si>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</si>
  <si>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</si>
  <si>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</si>
  <si>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</si>
  <si>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</si>
  <si>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</si>
  <si>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</si>
  <si>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</si>
  <si>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</si>
  <si>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</si>
  <si>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</si>
  <si>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</si>
  <si>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</si>
  <si>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CYBER SECURITY UPGRADE</t>
  </si>
  <si>
    <t xml:space="preserve">SU DORM INCOME REIMBURSE </t>
  </si>
  <si>
    <t>ENERGY RESEARCH ACCOUNT</t>
  </si>
  <si>
    <t>CRIMINAL JUSTICE IMPROVEMENT</t>
  </si>
  <si>
    <t>ENV LAB REF FEE</t>
  </si>
  <si>
    <t>CLINICAL LAB FEE</t>
  </si>
  <si>
    <t>PUBLIC EMP REL BOARD</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</si>
  <si>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</si>
  <si>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</si>
  <si>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</si>
  <si>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</si>
  <si>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</si>
  <si>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</si>
  <si>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</si>
  <si>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</si>
  <si>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</si>
  <si>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</si>
  <si>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</si>
  <si>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</si>
  <si>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</si>
  <si>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</si>
  <si>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</si>
  <si>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</si>
  <si>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</si>
  <si>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</si>
  <si>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</si>
  <si>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</si>
  <si>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</si>
  <si>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</si>
  <si>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</si>
  <si>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</si>
  <si>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</si>
  <si>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</si>
  <si>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</si>
  <si>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</si>
  <si>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</si>
  <si>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</si>
  <si>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</si>
  <si>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</si>
  <si>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</si>
  <si>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</si>
  <si>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</si>
  <si>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</si>
  <si>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</si>
  <si>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</si>
  <si>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</si>
  <si>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</si>
  <si>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</si>
  <si>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</si>
  <si>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</si>
  <si>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</si>
  <si>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</si>
  <si>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</si>
  <si>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</si>
  <si>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</si>
  <si>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</si>
  <si>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</si>
  <si>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</si>
  <si>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</si>
  <si>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</si>
  <si>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</si>
  <si>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</si>
  <si>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</si>
  <si>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</si>
  <si>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</si>
  <si>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</si>
  <si>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</si>
  <si>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</si>
  <si>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</si>
  <si>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</si>
  <si>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</si>
  <si>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</si>
  <si>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</si>
  <si>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</si>
  <si>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</si>
  <si>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</si>
  <si>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</si>
  <si>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</si>
  <si>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</si>
  <si>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</si>
  <si>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</si>
  <si>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</si>
  <si>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</si>
  <si>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</si>
  <si>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</si>
  <si>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</si>
  <si>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</si>
  <si>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</si>
  <si>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</si>
  <si>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</si>
  <si>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</si>
  <si>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</si>
  <si>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</si>
  <si>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</si>
  <si>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</si>
  <si>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</si>
  <si>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</si>
  <si>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</si>
  <si>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HUMAN SVCE TELECOM ACCT</t>
  </si>
  <si>
    <t>CYBER SECURITY INTRUSION ACCT</t>
  </si>
  <si>
    <t>DOMESTIC VIOLENCE GRANT</t>
  </si>
  <si>
    <t>CENTRALIZED TECHNOLOGY SERVICES</t>
  </si>
  <si>
    <t>JOINT LABOR MANAGEMENT ADMIN</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</si>
  <si>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</si>
  <si>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</si>
  <si>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</si>
  <si>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</si>
  <si>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</si>
  <si>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</si>
  <si>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</si>
  <si>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</si>
  <si>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</si>
  <si>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</si>
  <si>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</si>
  <si>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</si>
  <si>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</si>
  <si>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</si>
  <si>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</si>
  <si>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</si>
  <si>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</si>
  <si>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</si>
  <si>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</si>
  <si>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</si>
  <si>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</si>
  <si>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</si>
  <si>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</si>
  <si>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</si>
  <si>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</si>
  <si>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State Capital Projects Fund</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</si>
  <si>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</si>
  <si>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</si>
  <si>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</si>
  <si>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</si>
  <si>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</si>
  <si>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</si>
  <si>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</si>
  <si>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</si>
  <si>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</si>
  <si>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</si>
  <si>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</si>
  <si>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</si>
  <si>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</si>
  <si>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</si>
  <si>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</si>
  <si>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</si>
  <si>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</si>
  <si>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</si>
  <si>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</si>
  <si>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</si>
  <si>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</si>
  <si>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</si>
  <si>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</si>
  <si>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</si>
  <si>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</si>
  <si>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</si>
  <si>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</si>
  <si>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</si>
  <si>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</si>
  <si>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</si>
  <si>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</si>
  <si>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</si>
  <si>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</si>
  <si>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</si>
  <si>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</si>
  <si>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</si>
  <si>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</si>
  <si>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</si>
  <si>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</si>
  <si>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</si>
  <si>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</si>
  <si>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</si>
  <si>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</si>
  <si>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</si>
  <si>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</si>
  <si>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</si>
  <si>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</si>
  <si>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</si>
  <si>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</si>
  <si>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</si>
  <si>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</si>
  <si>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</si>
  <si>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</si>
  <si>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</si>
  <si>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</si>
  <si>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</si>
  <si>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</si>
  <si>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</si>
  <si>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</si>
  <si>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</si>
  <si>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</si>
  <si>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</si>
  <si>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</si>
  <si>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</si>
  <si>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</si>
  <si>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</si>
  <si>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</si>
  <si>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</si>
  <si>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</si>
  <si>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</si>
  <si>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</si>
  <si>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</si>
  <si>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</si>
  <si>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</si>
  <si>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</si>
  <si>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</si>
  <si>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</si>
  <si>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</si>
  <si>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</si>
  <si>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</si>
  <si>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</si>
  <si>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</si>
  <si>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</si>
  <si>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</si>
  <si>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</si>
  <si>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</si>
  <si>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</si>
  <si>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</si>
  <si>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</si>
  <si>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</si>
  <si>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</si>
  <si>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</si>
  <si>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</si>
  <si>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</si>
  <si>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</si>
  <si>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</si>
  <si>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</si>
  <si>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</si>
  <si>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</si>
  <si>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</si>
  <si>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</si>
  <si>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</si>
  <si>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</si>
  <si>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</si>
  <si>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</si>
  <si>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</si>
  <si>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</si>
  <si>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</si>
  <si>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</si>
  <si>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</si>
  <si>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</si>
  <si>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</si>
  <si>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</si>
  <si>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</si>
  <si>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</si>
  <si>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</si>
  <si>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</si>
  <si>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</si>
  <si>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</si>
  <si>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</si>
  <si>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</si>
  <si>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</si>
  <si>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</si>
  <si>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</si>
  <si>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</si>
  <si>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</si>
  <si>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</si>
  <si>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</si>
  <si>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</si>
  <si>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</si>
  <si>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</si>
  <si>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</si>
  <si>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</si>
  <si>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</si>
  <si>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</si>
  <si>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</si>
  <si>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</si>
  <si>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</si>
  <si>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</si>
  <si>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</si>
  <si>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</si>
  <si>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</si>
  <si>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</si>
  <si>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</si>
  <si>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</si>
  <si>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</si>
  <si>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</si>
  <si>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</si>
  <si>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</si>
  <si>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</si>
  <si>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</si>
  <si>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</si>
  <si>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</si>
  <si>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</si>
  <si>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</si>
  <si>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</si>
  <si>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</si>
  <si>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</si>
  <si>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</si>
  <si>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</si>
  <si>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</si>
  <si>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</si>
  <si>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</si>
  <si>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</si>
  <si>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</si>
  <si>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</si>
  <si>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</si>
  <si>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</si>
  <si>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</si>
  <si>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</si>
  <si>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</si>
  <si>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</si>
  <si>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</si>
  <si>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</si>
  <si>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</si>
  <si>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</si>
  <si>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</si>
  <si>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</si>
  <si>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</si>
  <si>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</si>
  <si>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</si>
  <si>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</si>
  <si>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</si>
  <si>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</si>
  <si>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</si>
  <si>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Except for DOT-Highways see note (**), temporary loans to federal funds are typically reimbursed within 2-3 days.  Such loans are made pursuant to federal</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</si>
  <si>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</si>
  <si>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</si>
  <si>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</si>
  <si>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</si>
  <si>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</si>
  <si>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</si>
  <si>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</si>
  <si>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</si>
  <si>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</si>
  <si>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</si>
  <si>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</si>
  <si>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</si>
  <si>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</si>
  <si>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</si>
  <si>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</si>
  <si>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</si>
  <si>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</si>
  <si>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</si>
  <si>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</si>
  <si>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</si>
  <si>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</si>
  <si>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</si>
  <si>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</si>
  <si>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</si>
  <si>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</si>
  <si>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</si>
  <si>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</si>
  <si>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</si>
  <si>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</si>
  <si>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</si>
  <si>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</si>
  <si>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</si>
  <si>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</si>
  <si>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</si>
  <si>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</si>
  <si>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</si>
  <si>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</si>
  <si>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</si>
  <si>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</si>
  <si>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</si>
  <si>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</si>
  <si>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</si>
  <si>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</si>
  <si>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</si>
  <si>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</si>
  <si>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</si>
  <si>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</si>
  <si>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</si>
  <si>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</si>
  <si>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</si>
  <si>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</si>
  <si>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</si>
  <si>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</si>
  <si>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</si>
  <si>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</si>
  <si>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</si>
  <si>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</si>
  <si>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</si>
  <si>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</si>
  <si>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</si>
  <si>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</si>
  <si>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</si>
  <si>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</si>
  <si>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</si>
  <si>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</si>
  <si>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</si>
  <si>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</si>
  <si>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</si>
  <si>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</si>
  <si>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</si>
  <si>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</si>
  <si>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</si>
  <si>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</si>
  <si>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</si>
  <si>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</si>
  <si>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</si>
  <si>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</si>
  <si>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</si>
  <si>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</si>
  <si>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</si>
  <si>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</si>
  <si>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</si>
  <si>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</si>
  <si>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</si>
  <si>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</si>
  <si>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</si>
  <si>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</si>
  <si>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</si>
  <si>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</si>
  <si>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</si>
  <si>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</si>
  <si>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</si>
  <si>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</si>
  <si>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</si>
  <si>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</si>
  <si>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</si>
  <si>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</si>
  <si>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</si>
  <si>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</si>
  <si>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</si>
  <si>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</si>
  <si>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</si>
  <si>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</si>
  <si>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</si>
  <si>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</si>
  <si>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</si>
  <si>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</si>
  <si>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</si>
  <si>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</si>
  <si>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</si>
  <si>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</si>
  <si>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</si>
  <si>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</si>
  <si>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</si>
  <si>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</si>
  <si>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</si>
  <si>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</si>
  <si>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</si>
  <si>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</si>
  <si>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</si>
  <si>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</si>
  <si>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</si>
  <si>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</si>
  <si>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</si>
  <si>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</si>
  <si>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</si>
  <si>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</si>
  <si>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</si>
  <si>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</si>
  <si>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</si>
  <si>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</si>
  <si>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</si>
  <si>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</si>
  <si>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</si>
  <si>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</si>
  <si>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</si>
  <si>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</si>
  <si>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</si>
  <si>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</si>
  <si>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</si>
  <si>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</si>
  <si>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</si>
  <si>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</si>
  <si>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</si>
  <si>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</si>
  <si>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</si>
  <si>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</si>
  <si>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</si>
  <si>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</si>
  <si>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</si>
  <si>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</si>
  <si>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</si>
  <si>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</si>
  <si>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</si>
  <si>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</si>
  <si>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</si>
  <si>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</si>
  <si>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</si>
  <si>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</si>
  <si>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</si>
  <si>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</si>
  <si>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</si>
  <si>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</si>
  <si>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</si>
  <si>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</si>
  <si>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</si>
  <si>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</si>
  <si>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</si>
  <si>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</si>
  <si>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</si>
  <si>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</si>
  <si>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</si>
  <si>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</si>
  <si>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</si>
  <si>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</si>
  <si>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</si>
  <si>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</si>
  <si>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</si>
  <si>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</si>
  <si>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</si>
  <si>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</si>
  <si>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</si>
  <si>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</si>
  <si>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</si>
  <si>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</si>
  <si>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</si>
  <si>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</si>
  <si>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</si>
  <si>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</si>
  <si>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</si>
  <si>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</si>
  <si>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</si>
  <si>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</si>
  <si>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</si>
  <si>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</si>
  <si>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</si>
  <si>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</si>
  <si>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</si>
  <si>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</si>
  <si>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</si>
  <si>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</si>
  <si>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</si>
  <si>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</si>
  <si>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</si>
  <si>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</si>
  <si>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</si>
  <si>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</si>
  <si>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</si>
  <si>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</si>
  <si>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</si>
  <si>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</si>
  <si>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</si>
  <si>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</si>
  <si>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</si>
  <si>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</si>
  <si>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</si>
  <si>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</si>
  <si>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</si>
  <si>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</si>
  <si>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</si>
  <si>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</si>
  <si>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</si>
  <si>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</si>
  <si>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</si>
  <si>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</si>
  <si>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</si>
  <si>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</si>
  <si>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</si>
  <si>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</si>
  <si>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</si>
  <si>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</si>
  <si>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</si>
  <si>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</si>
  <si>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</si>
  <si>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</si>
  <si>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</si>
  <si>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</si>
  <si>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</si>
  <si>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</si>
  <si>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</si>
  <si>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</si>
  <si>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</si>
  <si>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</si>
  <si>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</si>
  <si>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</si>
  <si>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</si>
  <si>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regulations which require the State to disburse funds prior to making a reimbursement claim from the U.S. Treasury.</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</si>
  <si>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</si>
  <si>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</si>
  <si>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</si>
  <si>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</si>
  <si>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</si>
  <si>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</si>
  <si>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</si>
  <si>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</si>
  <si>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</si>
  <si>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</si>
  <si>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</si>
  <si>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</si>
  <si>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</si>
  <si>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</si>
  <si>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</si>
  <si>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</si>
  <si>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</si>
  <si>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</si>
  <si>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</si>
  <si>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</si>
  <si>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</si>
  <si>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</si>
  <si>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</si>
  <si>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62000-62049-SSP SSI Payment Escrow</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</si>
  <si>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</si>
  <si>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</si>
  <si>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</si>
  <si>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</si>
  <si>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</si>
  <si>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t xml:space="preserve">            Patient/Client Care Reimbursement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</si>
  <si>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</si>
  <si>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</si>
  <si>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</si>
  <si>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</si>
  <si>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</si>
  <si>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</si>
  <si>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</si>
  <si>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ELDERLY PHARMACEUTICAL INSURANCE COV</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</si>
  <si>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</si>
  <si>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</si>
  <si>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</si>
  <si>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</si>
  <si>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</si>
  <si>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</si>
  <si>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</si>
  <si>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</si>
  <si>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</si>
  <si>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</si>
  <si>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</si>
  <si>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</si>
  <si>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</si>
  <si>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</si>
  <si>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</si>
  <si>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</si>
  <si>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</si>
  <si>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</si>
  <si>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</si>
  <si>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</si>
  <si>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</si>
  <si>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</si>
  <si>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</si>
  <si>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</si>
  <si>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</si>
  <si>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</si>
  <si>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</si>
  <si>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</si>
  <si>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</si>
  <si>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</si>
  <si>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</si>
  <si>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</si>
  <si>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</si>
  <si>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</si>
  <si>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</si>
  <si>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</si>
  <si>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</si>
  <si>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</si>
  <si>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</si>
  <si>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A total of $16.3 million was transferred to the Highway and Bridge Capital Fund (30051) in March 2015.  This was the final transfer of costs that were previously disallowed by the Federal Highway Administration.</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</si>
  <si>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</si>
  <si>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</si>
  <si>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</si>
  <si>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</si>
  <si>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</si>
  <si>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</si>
  <si>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</si>
  <si>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</si>
  <si>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</si>
  <si>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</si>
  <si>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</si>
  <si>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</si>
  <si>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</si>
  <si>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</si>
  <si>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</si>
  <si>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</si>
  <si>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</si>
  <si>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</si>
  <si>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Medical Marihuana Health Operation and Oversight</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</si>
  <si>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</si>
  <si>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</si>
  <si>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</si>
  <si>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</si>
  <si>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</si>
  <si>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</si>
  <si>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</si>
  <si>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</si>
  <si>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</si>
  <si>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</si>
  <si>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</si>
  <si>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operated Health and Mental Hygiene facilities. </t>
  </si>
  <si>
    <t xml:space="preserve">Pursuant to a settlement agreement between New York State Department of Health and the Centers for Medicare </t>
  </si>
  <si>
    <t xml:space="preserve">  Plan </t>
  </si>
  <si>
    <t xml:space="preserve">(**)    Includes transfers to the Department of Health Income Fund, the State University Income Fund and the Mental Hygiene Program Account representing payments </t>
  </si>
  <si>
    <t>(*****)</t>
  </si>
  <si>
    <t>Temporary Loan authorized pursuant to Subdivision 5 of Section 4 of the State Finance Law and Chapter 55, Part I, Section 1 and 1A, of the Laws of 2014-15.</t>
  </si>
  <si>
    <t>(*)      Source:  2015-16 Enacted Budget dated May 13, 2015.</t>
  </si>
  <si>
    <t>(*)     Source:  2015-16 Enacted Budget dated May 13, 2015.</t>
  </si>
  <si>
    <t xml:space="preserve">  Transfers from Other Funds(**)</t>
  </si>
  <si>
    <t xml:space="preserve">  Transfers to Other Funds(**)</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</si>
  <si>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</si>
  <si>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</si>
  <si>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</si>
  <si>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(2),(5)</t>
  </si>
  <si>
    <t>April</t>
  </si>
  <si>
    <t xml:space="preserve">(*) Includes amounts appropriated in SFY 2015-16, as well as prior year appropriations that were reappropriated. </t>
  </si>
  <si>
    <t xml:space="preserve">    Plan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</si>
  <si>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</si>
  <si>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</si>
  <si>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</si>
  <si>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</si>
  <si>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</si>
  <si>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</si>
  <si>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</si>
  <si>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</si>
  <si>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Actual reported transfer amounts include eliminations between Special Revenue - State and Federal Funds.  The Financial Plan reported</t>
  </si>
  <si>
    <t xml:space="preserve">          transfer amounts do not include eliminations.</t>
  </si>
  <si>
    <t>May 31, 2015</t>
  </si>
  <si>
    <t>FOR TWO MONTHS ENDED MAY 31, 2015</t>
  </si>
  <si>
    <t>Fund Balances (Deficits) at May 31, 2015</t>
  </si>
  <si>
    <t>2 Months Ended May 31</t>
  </si>
  <si>
    <t>MAY 2015</t>
  </si>
  <si>
    <t>2 MOS. ENDED</t>
  </si>
  <si>
    <t>MAY 31, 2015</t>
  </si>
  <si>
    <t xml:space="preserve">                                   2 Months Ended May 31</t>
  </si>
  <si>
    <t>MAY 2014</t>
  </si>
  <si>
    <t>MAY 31, 2014</t>
  </si>
  <si>
    <t>MAY 1, 2015</t>
  </si>
  <si>
    <t>FOR THE MONTH OF MAY 2015</t>
  </si>
  <si>
    <t xml:space="preserve">the current fiscal quarter.  As of May 31, 2015 - pursuant to a certification of the Budget Director - </t>
  </si>
  <si>
    <t>the reserve amount is ($48.5m), which was funded by a transfer from the General Fund.</t>
  </si>
  <si>
    <t>May 2015</t>
  </si>
  <si>
    <t>FOR THE TWO MONTHS ENDED MAY 31, 2015</t>
  </si>
  <si>
    <t>2 MONTHS ENDED MAY 31</t>
  </si>
  <si>
    <t>2 MONTHS ENDED</t>
  </si>
  <si>
    <t xml:space="preserve">As of May 31, 2015, $8,957,128.35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</si>
  <si>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SCHEDULE OF DISBURSEMENTS OF FEDERAL AWARDS - May 2015</t>
  </si>
  <si>
    <t>May</t>
  </si>
  <si>
    <t>2 Months Ended</t>
  </si>
  <si>
    <t>26000-26049</t>
  </si>
  <si>
    <t>HEALTH-SPARCS</t>
  </si>
  <si>
    <t>MTA Operating Assistance Fund</t>
  </si>
  <si>
    <t>Mental Hygiene Program Fund</t>
  </si>
  <si>
    <t>Environmental Protection Fund</t>
  </si>
  <si>
    <t xml:space="preserve">operated Health, Mental Hygiene and State University facilities to Debt Service funds ($2.2m), the </t>
  </si>
  <si>
    <t>State University Income Fund ($16.2m), the Mental Hygiene Program Account ($992.1m) and</t>
  </si>
  <si>
    <t>($158.7m) representing the federal share of Medicaid payments for patients residing in State-</t>
  </si>
  <si>
    <t>Chemical Dependence Service Fund</t>
  </si>
  <si>
    <t xml:space="preserve">of Health ($14.8m) and Mental Hygiene ($207.2m). </t>
  </si>
  <si>
    <r>
      <t>Capital Projects Funds</t>
    </r>
    <r>
      <rPr>
        <sz val="9"/>
        <rFont val="Arial"/>
        <family val="2"/>
      </rPr>
      <t xml:space="preserve"> “Transfers To Other Funds” includes transfers to the General Fund ($1.8m), and the  </t>
    </r>
  </si>
  <si>
    <t>General Debt Service Fund ($148.1m).</t>
  </si>
  <si>
    <t>A portion of Personal Income Tax receipts is transferred to the State Special Revenue School Tax Relief (STAR)</t>
  </si>
  <si>
    <t>Fund to be used to reimburse school districts for the STAR property tax exemptions for homeowners and payments</t>
  </si>
  <si>
    <t>6.</t>
  </si>
  <si>
    <t>in May.</t>
  </si>
  <si>
    <t>2 Months Ended
May 31, 2015 (**)</t>
  </si>
  <si>
    <t xml:space="preserve">COMPARATIVE SCHEDULE OF TAX RECEIPTS    </t>
  </si>
  <si>
    <t>Miscellaneous State Special Revenue Account ($0.1m).</t>
  </si>
  <si>
    <t>to homeowners for the STAR Property Rebate Program.  Local Assistance Education grant payments were ($0.7m)</t>
  </si>
  <si>
    <t xml:space="preserve">     TOTAL PRIVATE PURPOSE TRUST FUNDS       </t>
  </si>
  <si>
    <t xml:space="preserve">ELDERLY PHARMACEUTICAL INS COVERAGE PRG         </t>
  </si>
  <si>
    <t xml:space="preserve">Excess (Deficiency) of Receipts over Disbursements       </t>
  </si>
</sst>
</file>

<file path=xl/styles.xml><?xml version="1.0" encoding="utf-8"?>
<styleSheet xmlns="http://schemas.openxmlformats.org/spreadsheetml/2006/main">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sz val="7.5"/>
      <color rgb="FFFF0000"/>
      <name val="Arial"/>
      <family val="2"/>
    </font>
    <font>
      <sz val="12"/>
      <color rgb="FFFF0000"/>
      <name val="Arial"/>
      <family val="2"/>
    </font>
    <font>
      <sz val="9"/>
      <color rgb="FFFF0000"/>
      <name val="Arial"/>
      <family val="2"/>
    </font>
    <font>
      <b/>
      <sz val="7.5"/>
      <name val="Arial"/>
      <family val="2"/>
    </font>
    <font>
      <b/>
      <sz val="12"/>
      <name val="Arial"/>
      <family val="2"/>
    </font>
    <font>
      <sz val="9"/>
      <name val="Arial"/>
      <family val="2"/>
    </font>
    <font>
      <sz val="12"/>
      <color theme="0"/>
      <name val="Arial"/>
      <family val="2"/>
    </font>
    <font>
      <sz val="12"/>
      <name val="Arial"/>
      <family val="2"/>
    </font>
    <font>
      <u/>
      <sz val="9"/>
      <color indexed="8"/>
      <name val="Arial"/>
      <family val="2"/>
    </font>
    <font>
      <b/>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25861">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9"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62">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70" fontId="38" fillId="0" borderId="20" xfId="2" quotePrefix="1"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78" fontId="66" fillId="0" borderId="0" xfId="836" applyNumberFormat="1" applyFont="1" applyBorder="1" applyAlignment="1">
      <alignment horizontal="right"/>
    </xf>
    <xf numFmtId="178" fontId="66" fillId="0" borderId="0" xfId="836" applyNumberFormat="1" applyFont="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78" fontId="61" fillId="0" borderId="0" xfId="836" applyNumberFormat="1" applyFont="1" applyBorder="1" applyAlignment="1">
      <alignment horizontal="right"/>
    </xf>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0" fontId="48" fillId="0" borderId="0" xfId="8" quotePrefix="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189" fontId="48" fillId="0" borderId="0" xfId="8" quotePrefix="1" applyNumberFormat="1" applyFont="1" applyAlignment="1">
      <alignment horizontal="right"/>
    </xf>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Border="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41" fontId="174" fillId="0" borderId="0" xfId="0" applyNumberFormat="1" applyFont="1" applyFill="1" applyBorder="1" applyAlignment="1">
      <alignment horizontal="righ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110" fillId="0" borderId="0" xfId="0" applyNumberFormat="1" applyFont="1" applyFill="1" applyAlignment="1">
      <alignment horizontal="center"/>
    </xf>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0" fontId="41" fillId="0" borderId="0" xfId="0" applyNumberFormat="1" applyFont="1" applyFill="1" applyAlignment="1">
      <alignment horizontal="left" vertical="top" wrapText="1"/>
    </xf>
    <xf numFmtId="0" fontId="41" fillId="0" borderId="0" xfId="0" applyNumberFormat="1" applyFont="1" applyFill="1" applyBorder="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43" fontId="38" fillId="0" borderId="0" xfId="2" applyNumberFormat="1" applyFont="1" applyFill="1" applyAlignment="1"/>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0" fontId="43" fillId="0" borderId="68" xfId="2" applyNumberFormat="1" applyFont="1" applyBorder="1" applyAlignment="1">
      <alignment horizontal="right"/>
    </xf>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43" fontId="36" fillId="0" borderId="0" xfId="0" applyNumberFormat="1" applyFont="1"/>
    <xf numFmtId="43" fontId="36" fillId="0" borderId="0" xfId="1776" applyNumberFormat="1" applyFont="1" applyBorder="1" applyAlignment="1">
      <alignment horizontal="right"/>
    </xf>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0" fontId="0" fillId="0" borderId="0" xfId="0" applyNumberFormat="1"/>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3" fillId="0" borderId="0" xfId="0" applyNumberFormat="1" applyFont="1" applyAlignment="1">
      <alignment horizontal="center" vertical="top"/>
    </xf>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164" fontId="43" fillId="0" borderId="10" xfId="2" applyNumberFormat="1" applyFont="1" applyBorder="1" applyProtection="1"/>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0" fontId="144" fillId="0" borderId="0" xfId="8" quotePrefix="1" applyNumberFormat="1" applyFont="1" applyAlignment="1"/>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42" fontId="163" fillId="0" borderId="0" xfId="6248" applyNumberFormat="1" applyFont="1" applyFill="1" applyAlignment="1">
      <alignment horizontal="right"/>
    </xf>
    <xf numFmtId="41" fontId="163" fillId="0" borderId="0" xfId="6248" applyNumberFormat="1" applyFont="1" applyFill="1" applyAlignment="1">
      <alignment horizontal="center"/>
    </xf>
    <xf numFmtId="41" fontId="163" fillId="0" borderId="0" xfId="6248" applyNumberFormat="1" applyFont="1" applyFill="1" applyAlignment="1">
      <alignment horizontal="right"/>
    </xf>
    <xf numFmtId="41" fontId="163" fillId="0" borderId="0" xfId="6248" applyNumberFormat="1" applyFont="1" applyFill="1" applyAlignment="1"/>
    <xf numFmtId="41" fontId="163" fillId="0" borderId="0" xfId="6248" applyNumberFormat="1" applyFont="1" applyFill="1" applyAlignment="1">
      <alignment horizontal="center" vertical="top"/>
    </xf>
    <xf numFmtId="41" fontId="163" fillId="0" borderId="0" xfId="6248" applyNumberFormat="1" applyFont="1" applyFill="1" applyBorder="1" applyAlignment="1">
      <alignment horizontal="right"/>
    </xf>
    <xf numFmtId="41" fontId="163" fillId="0" borderId="0" xfId="6248" applyNumberFormat="1" applyFont="1" applyFill="1" applyBorder="1" applyAlignment="1">
      <alignment horizontal="center"/>
    </xf>
    <xf numFmtId="41" fontId="163" fillId="0" borderId="0" xfId="6248" applyNumberFormat="1" applyFont="1" applyFill="1" applyBorder="1" applyAlignment="1"/>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42" fontId="110" fillId="0" borderId="0" xfId="1773" applyNumberFormat="1" applyFont="1" applyFill="1"/>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202" fillId="0" borderId="0" xfId="8" applyFont="1"/>
    <xf numFmtId="0" fontId="203" fillId="0" borderId="0" xfId="8" applyFont="1"/>
    <xf numFmtId="0" fontId="204"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5" fillId="0" borderId="0" xfId="8" applyFont="1"/>
    <xf numFmtId="42" fontId="199" fillId="0" borderId="90" xfId="8" applyNumberFormat="1" applyFont="1" applyBorder="1"/>
    <xf numFmtId="0" fontId="206" fillId="0" borderId="0" xfId="8" applyFont="1"/>
    <xf numFmtId="42" fontId="199" fillId="0" borderId="90" xfId="8" applyNumberFormat="1" applyFont="1" applyBorder="1" applyAlignment="1"/>
    <xf numFmtId="37" fontId="43" fillId="0" borderId="0" xfId="1028" applyNumberFormat="1" applyFont="1" applyFill="1" applyAlignment="1">
      <alignment horizontal="right"/>
    </xf>
    <xf numFmtId="4" fontId="43" fillId="0" borderId="0" xfId="1028" applyNumberFormat="1" applyFont="1" applyFill="1" applyBorder="1" applyAlignment="1" applyProtection="1">
      <alignment horizontal="left"/>
    </xf>
    <xf numFmtId="37" fontId="43" fillId="0" borderId="0" xfId="1028" applyNumberFormat="1" applyFont="1" applyFill="1" applyBorder="1" applyAlignment="1" applyProtection="1">
      <alignment horizontal="right"/>
    </xf>
    <xf numFmtId="37" fontId="0" fillId="0" borderId="0" xfId="0" applyNumberFormat="1" applyFill="1"/>
    <xf numFmtId="4" fontId="0" fillId="0" borderId="0" xfId="0" applyNumberFormat="1" applyFill="1" applyAlignment="1">
      <alignment horizontal="left"/>
    </xf>
    <xf numFmtId="164" fontId="97" fillId="0" borderId="0" xfId="1028" applyNumberFormat="1" applyFont="1" applyFill="1" applyBorder="1" applyAlignment="1" applyProtection="1"/>
    <xf numFmtId="164" fontId="97" fillId="0" borderId="0" xfId="0" applyNumberFormat="1" applyFont="1" applyFill="1" applyAlignment="1"/>
    <xf numFmtId="0" fontId="120" fillId="0" borderId="0" xfId="841" applyFont="1" applyFill="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207" fillId="0" borderId="0" xfId="8" applyFont="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8" fillId="0" borderId="0" xfId="2" applyNumberFormat="1" applyFont="1" applyBorder="1" applyAlignment="1"/>
    <xf numFmtId="174" fontId="208" fillId="0" borderId="0" xfId="2" applyNumberFormat="1" applyFont="1"/>
    <xf numFmtId="174" fontId="47" fillId="0" borderId="0" xfId="2" applyNumberFormat="1" applyFont="1" applyAlignme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0" fontId="153" fillId="0" borderId="0" xfId="2" quotePrefix="1" applyNumberFormat="1" applyFont="1" applyBorder="1" applyAlignment="1">
      <alignment horizontal="center"/>
    </xf>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170" fontId="47" fillId="0" borderId="68" xfId="2" applyNumberFormat="1" applyFont="1" applyBorder="1" applyAlignment="1"/>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3" fontId="84" fillId="0" borderId="0" xfId="831" quotePrefix="1" applyNumberFormat="1" applyFont="1" applyAlignment="1">
      <alignment horizontal="left"/>
    </xf>
    <xf numFmtId="37" fontId="84" fillId="0" borderId="0" xfId="831" quotePrefix="1" applyNumberFormat="1" applyFont="1" applyFill="1" applyAlignment="1">
      <alignment horizontal="left"/>
    </xf>
    <xf numFmtId="49" fontId="84" fillId="0" borderId="0" xfId="831" applyNumberFormat="1" applyFont="1" applyFill="1" applyAlignment="1"/>
    <xf numFmtId="49" fontId="84" fillId="0" borderId="0" xfId="831" applyNumberFormat="1" applyFont="1" applyFill="1" applyAlignment="1">
      <alignment horizontal="left"/>
    </xf>
    <xf numFmtId="37" fontId="113" fillId="0" borderId="0" xfId="831" applyNumberFormat="1" applyFont="1" applyFill="1" applyBorder="1" applyAlignment="1">
      <alignment horizontal="center"/>
    </xf>
    <xf numFmtId="4" fontId="84" fillId="0" borderId="0" xfId="831" applyNumberFormat="1" applyFont="1" applyFill="1" applyAlignment="1">
      <alignment horizontal="center"/>
    </xf>
    <xf numFmtId="37" fontId="84" fillId="0" borderId="0" xfId="831" applyNumberFormat="1" applyFont="1" applyFill="1" applyAlignment="1">
      <alignment horizontal="center"/>
    </xf>
    <xf numFmtId="0" fontId="159" fillId="0" borderId="0" xfId="831" applyFont="1"/>
    <xf numFmtId="0" fontId="114" fillId="0" borderId="0" xfId="831" applyFont="1"/>
    <xf numFmtId="4" fontId="114" fillId="0" borderId="0" xfId="831" applyNumberFormat="1" applyFont="1"/>
    <xf numFmtId="49" fontId="113" fillId="0" borderId="0" xfId="831" applyNumberFormat="1" applyFont="1" applyAlignment="1">
      <alignment horizontal="center"/>
    </xf>
    <xf numFmtId="0" fontId="113" fillId="0" borderId="0" xfId="831" applyFont="1" applyAlignment="1">
      <alignment horizontal="center"/>
    </xf>
    <xf numFmtId="37" fontId="113" fillId="0" borderId="0" xfId="831" applyNumberFormat="1" applyFont="1" applyFill="1" applyAlignment="1">
      <alignment horizontal="center"/>
    </xf>
    <xf numFmtId="4" fontId="114" fillId="0" borderId="0" xfId="831" applyNumberFormat="1" applyFont="1" applyAlignment="1">
      <alignment horizontal="center"/>
    </xf>
    <xf numFmtId="49" fontId="113" fillId="0" borderId="51" xfId="831" applyNumberFormat="1" applyFont="1" applyBorder="1" applyAlignment="1">
      <alignment horizontal="center"/>
    </xf>
    <xf numFmtId="49" fontId="113" fillId="0" borderId="0" xfId="831" applyNumberFormat="1" applyFont="1" applyBorder="1" applyAlignment="1">
      <alignment horizontal="center"/>
    </xf>
    <xf numFmtId="0" fontId="113" fillId="0" borderId="51" xfId="831" applyFont="1" applyBorder="1" applyAlignment="1">
      <alignment horizontal="center"/>
    </xf>
    <xf numFmtId="0" fontId="113" fillId="0" borderId="0" xfId="831" applyFont="1" applyBorder="1" applyAlignment="1">
      <alignment horizontal="center"/>
    </xf>
    <xf numFmtId="4" fontId="113" fillId="0" borderId="51" xfId="831" applyNumberFormat="1" applyFont="1" applyFill="1" applyBorder="1" applyAlignment="1">
      <alignment horizontal="center"/>
    </xf>
    <xf numFmtId="4" fontId="113" fillId="0" borderId="0" xfId="831" applyNumberFormat="1" applyFont="1" applyBorder="1" applyAlignment="1">
      <alignment horizontal="center"/>
    </xf>
    <xf numFmtId="37" fontId="113" fillId="0" borderId="51" xfId="831" applyNumberFormat="1" applyFont="1" applyBorder="1" applyAlignment="1">
      <alignment horizontal="center"/>
    </xf>
    <xf numFmtId="0" fontId="115" fillId="0" borderId="0" xfId="831" applyFont="1"/>
    <xf numFmtId="0" fontId="114" fillId="0" borderId="0" xfId="831" applyFont="1" applyAlignment="1">
      <alignment horizontal="right"/>
    </xf>
    <xf numFmtId="177" fontId="114" fillId="0" borderId="0" xfId="831" applyNumberFormat="1" applyFont="1" applyAlignment="1">
      <alignment horizontal="center" vertical="top"/>
    </xf>
    <xf numFmtId="0" fontId="114" fillId="0" borderId="0" xfId="831" applyFont="1" applyAlignment="1">
      <alignment vertical="top"/>
    </xf>
    <xf numFmtId="0" fontId="114" fillId="0" borderId="0" xfId="831" applyFont="1" applyAlignment="1">
      <alignment vertical="top" wrapText="1"/>
    </xf>
    <xf numFmtId="0" fontId="116" fillId="0" borderId="0" xfId="831" applyFont="1" applyFill="1" applyBorder="1" applyAlignment="1">
      <alignment horizontal="right" vertical="top"/>
    </xf>
    <xf numFmtId="44" fontId="116" fillId="0" borderId="0" xfId="831" applyNumberFormat="1" applyFont="1" applyFill="1" applyBorder="1" applyAlignment="1">
      <alignment horizontal="right" vertical="top"/>
    </xf>
    <xf numFmtId="4" fontId="116" fillId="0" borderId="0" xfId="831" applyNumberFormat="1" applyFont="1" applyFill="1" applyBorder="1" applyAlignment="1">
      <alignment horizontal="right" vertical="top"/>
    </xf>
    <xf numFmtId="177" fontId="114" fillId="0" borderId="0" xfId="831" applyNumberFormat="1" applyFont="1" applyAlignment="1">
      <alignment horizontal="center"/>
    </xf>
    <xf numFmtId="0" fontId="114" fillId="0" borderId="0" xfId="831" applyFont="1" applyAlignment="1"/>
    <xf numFmtId="0" fontId="114" fillId="0" borderId="0" xfId="831" applyFont="1" applyAlignment="1">
      <alignment wrapText="1"/>
    </xf>
    <xf numFmtId="4" fontId="114" fillId="0" borderId="0" xfId="831" applyNumberFormat="1" applyFont="1" applyFill="1" applyAlignment="1"/>
    <xf numFmtId="4" fontId="114" fillId="0" borderId="0" xfId="831" applyNumberFormat="1" applyFont="1" applyFill="1"/>
    <xf numFmtId="0" fontId="113" fillId="0" borderId="0" xfId="831" applyFont="1" applyAlignment="1">
      <alignment horizontal="right"/>
    </xf>
    <xf numFmtId="0" fontId="115" fillId="0" borderId="0" xfId="831" applyFont="1" applyAlignment="1"/>
    <xf numFmtId="49" fontId="114" fillId="0" borderId="0" xfId="831" applyNumberFormat="1" applyFont="1"/>
    <xf numFmtId="177" fontId="114" fillId="0" borderId="0" xfId="831" applyNumberFormat="1" applyFont="1"/>
    <xf numFmtId="43" fontId="114" fillId="0" borderId="0" xfId="831" applyNumberFormat="1" applyFont="1" applyFill="1"/>
    <xf numFmtId="4" fontId="114" fillId="0" borderId="0" xfId="831" applyNumberFormat="1" applyFont="1" applyFill="1" applyAlignment="1">
      <alignment vertical="top"/>
    </xf>
    <xf numFmtId="49" fontId="114" fillId="0" borderId="0" xfId="831" applyNumberFormat="1" applyFont="1" applyAlignment="1">
      <alignment horizontal="center"/>
    </xf>
    <xf numFmtId="49" fontId="114" fillId="0" borderId="0" xfId="831" applyNumberFormat="1" applyFont="1" applyAlignment="1">
      <alignment horizontal="center" vertical="top"/>
    </xf>
    <xf numFmtId="0" fontId="116" fillId="0" borderId="0" xfId="831" applyFont="1" applyFill="1" applyAlignment="1">
      <alignment vertical="top"/>
    </xf>
    <xf numFmtId="0" fontId="115" fillId="0" borderId="0" xfId="831" applyFont="1" applyAlignment="1">
      <alignment vertical="top"/>
    </xf>
    <xf numFmtId="177" fontId="115" fillId="0" borderId="0" xfId="831" applyNumberFormat="1" applyFont="1" applyAlignment="1"/>
    <xf numFmtId="43" fontId="114" fillId="0" borderId="0" xfId="831" applyNumberFormat="1" applyFont="1" applyFill="1" applyBorder="1"/>
    <xf numFmtId="4" fontId="114" fillId="0" borderId="0" xfId="831" applyNumberFormat="1" applyFont="1" applyFill="1" applyBorder="1"/>
    <xf numFmtId="0" fontId="116" fillId="0" borderId="0" xfId="831" applyFont="1" applyFill="1" applyAlignment="1">
      <alignment horizontal="right"/>
    </xf>
    <xf numFmtId="44" fontId="116" fillId="0" borderId="0" xfId="831" applyNumberFormat="1" applyFont="1" applyFill="1" applyBorder="1" applyAlignment="1">
      <alignment horizontal="right"/>
    </xf>
    <xf numFmtId="4" fontId="116" fillId="0" borderId="0" xfId="831" applyNumberFormat="1" applyFont="1" applyFill="1" applyAlignment="1">
      <alignment horizontal="right"/>
    </xf>
    <xf numFmtId="0" fontId="48" fillId="0" borderId="0" xfId="831" applyFont="1" applyAlignment="1">
      <alignment horizontal="left"/>
    </xf>
    <xf numFmtId="0" fontId="114" fillId="0" borderId="0" xfId="831" applyNumberFormat="1" applyFont="1" applyAlignment="1"/>
    <xf numFmtId="37" fontId="114" fillId="0" borderId="0" xfId="831" applyNumberFormat="1" applyFont="1" applyFill="1" applyAlignment="1"/>
    <xf numFmtId="4" fontId="114" fillId="0" borderId="0" xfId="831" applyNumberFormat="1" applyFont="1" applyAlignment="1"/>
    <xf numFmtId="0" fontId="210" fillId="0" borderId="0" xfId="831" applyNumberFormat="1" applyFont="1" applyAlignment="1">
      <alignment horizontal="left" wrapText="1"/>
    </xf>
    <xf numFmtId="0" fontId="114" fillId="0" borderId="0" xfId="831" applyNumberFormat="1" applyFont="1" applyAlignment="1">
      <alignment horizontal="left" wrapText="1"/>
    </xf>
    <xf numFmtId="37" fontId="114" fillId="0" borderId="0" xfId="831" applyNumberFormat="1" applyFont="1" applyFill="1" applyAlignment="1">
      <alignment horizontal="left" wrapText="1"/>
    </xf>
    <xf numFmtId="4" fontId="114" fillId="0" borderId="0" xfId="831" applyNumberFormat="1" applyFont="1" applyAlignment="1">
      <alignment horizontal="left" wrapText="1"/>
    </xf>
    <xf numFmtId="165" fontId="47" fillId="0" borderId="0" xfId="0" applyNumberFormat="1" applyFont="1" applyProtection="1">
      <protection locked="0"/>
    </xf>
    <xf numFmtId="0" fontId="42" fillId="0" borderId="0" xfId="0" applyNumberFormat="1" applyFont="1"/>
    <xf numFmtId="41" fontId="42" fillId="0" borderId="0" xfId="0" applyNumberFormat="1" applyFont="1" applyFill="1"/>
    <xf numFmtId="41" fontId="42"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49" fontId="42" fillId="0" borderId="68" xfId="0" applyNumberFormat="1" applyFont="1" applyFill="1" applyBorder="1" applyAlignment="1">
      <alignment horizontal="center" wrapText="1"/>
    </xf>
    <xf numFmtId="41" fontId="42" fillId="0" borderId="68" xfId="0" applyNumberFormat="1" applyFont="1" applyFill="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43" fontId="174" fillId="0" borderId="0" xfId="0" applyNumberFormat="1" applyFont="1" applyFill="1"/>
    <xf numFmtId="191" fontId="41" fillId="0" borderId="0" xfId="0" applyNumberFormat="1" applyFont="1" applyFill="1"/>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41" fontId="110" fillId="0" borderId="0" xfId="0" applyNumberFormat="1" applyFont="1" applyFill="1" applyAlignment="1">
      <alignment horizontal="center" vertical="top"/>
    </xf>
    <xf numFmtId="43" fontId="174" fillId="0" borderId="0" xfId="0" applyNumberFormat="1" applyFont="1"/>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quotePrefix="1" applyNumberFormat="1" applyFont="1" applyFill="1" applyAlignment="1">
      <alignment horizontal="right"/>
    </xf>
    <xf numFmtId="49" fontId="174" fillId="0" borderId="0" xfId="0" applyNumberFormat="1" applyFont="1" applyAlignment="1">
      <alignment vertical="top" wrapText="1"/>
    </xf>
    <xf numFmtId="41" fontId="41" fillId="0" borderId="0" xfId="0" applyNumberFormat="1" applyFont="1" applyAlignment="1">
      <alignment horizontal="right" vertical="center"/>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90" xfId="0" applyNumberFormat="1" applyFont="1" applyFill="1" applyBorder="1" applyAlignment="1">
      <alignment horizontal="right" vertical="top"/>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0" fontId="174" fillId="0" borderId="0" xfId="0" applyNumberFormat="1" applyFont="1" applyFill="1" applyAlignment="1">
      <alignment horizontal="left" vertical="top" wrapText="1"/>
    </xf>
    <xf numFmtId="41" fontId="174" fillId="0" borderId="0" xfId="0" applyNumberFormat="1" applyFont="1" applyFill="1" applyBorder="1" applyAlignment="1"/>
    <xf numFmtId="41" fontId="174" fillId="0" borderId="0" xfId="0" quotePrefix="1" applyNumberFormat="1" applyFont="1" applyFill="1" applyAlignment="1">
      <alignment horizontal="right"/>
    </xf>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174" fillId="0" borderId="0" xfId="0" applyNumberFormat="1" applyFont="1" applyFill="1" applyBorder="1" applyAlignment="1">
      <alignment horizontal="left" vertical="top" wrapText="1"/>
    </xf>
    <xf numFmtId="41" fontId="174" fillId="0" borderId="0" xfId="0" applyNumberFormat="1" applyFont="1" applyFill="1" applyBorder="1" applyAlignment="1">
      <alignment horizontal="right" vertical="top"/>
    </xf>
    <xf numFmtId="0" fontId="41" fillId="0" borderId="0" xfId="0" applyNumberFormat="1" applyFont="1" applyBorder="1" applyAlignment="1">
      <alignment horizontal="left"/>
    </xf>
    <xf numFmtId="41" fontId="174" fillId="0" borderId="0" xfId="0" applyNumberFormat="1" applyFont="1" applyFill="1" applyAlignment="1">
      <alignment horizontal="right" vertical="center"/>
    </xf>
    <xf numFmtId="41" fontId="174" fillId="0" borderId="0" xfId="0" quotePrefix="1" applyNumberFormat="1" applyFont="1" applyFill="1" applyBorder="1" applyAlignment="1">
      <alignment horizontal="center"/>
    </xf>
    <xf numFmtId="41" fontId="174" fillId="0" borderId="0" xfId="0" applyNumberFormat="1" applyFont="1" applyBorder="1" applyAlignment="1">
      <alignment horizontal="right"/>
    </xf>
    <xf numFmtId="4" fontId="174" fillId="0" borderId="0" xfId="0" applyNumberFormat="1" applyFont="1"/>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0" fontId="43" fillId="0" borderId="0" xfId="2" applyNumberFormat="1" applyFont="1" applyAlignment="1">
      <alignment horizontal="left"/>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3" fontId="43" fillId="0" borderId="90" xfId="17924" applyFont="1" applyFill="1" applyBorder="1" applyAlignment="1" applyProtection="1">
      <alignment horizontal="right"/>
    </xf>
    <xf numFmtId="43" fontId="43" fillId="0" borderId="90" xfId="1767" applyNumberFormat="1" applyFont="1" applyFill="1" applyBorder="1" applyAlignment="1" applyProtection="1">
      <alignment horizontal="right"/>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39" fontId="41" fillId="0" borderId="0" xfId="0" quotePrefix="1" applyNumberFormat="1" applyFont="1" applyFill="1" applyAlignment="1">
      <alignment horizontal="right"/>
    </xf>
    <xf numFmtId="43" fontId="0" fillId="0" borderId="0" xfId="0" applyNumberFormat="1" applyFill="1" applyAlignment="1">
      <alignment horizontal="right"/>
    </xf>
    <xf numFmtId="0" fontId="43" fillId="0" borderId="10" xfId="2" quotePrefix="1" applyNumberFormat="1" applyFont="1" applyBorder="1" applyAlignment="1">
      <alignment horizontal="center"/>
    </xf>
    <xf numFmtId="164" fontId="66" fillId="0" borderId="68" xfId="1940" applyNumberFormat="1" applyFont="1" applyBorder="1" applyAlignment="1"/>
    <xf numFmtId="164" fontId="43" fillId="0" borderId="0" xfId="1940" applyNumberFormat="1" applyFont="1" applyBorder="1" applyAlignment="1"/>
    <xf numFmtId="0" fontId="43" fillId="0" borderId="10" xfId="2" quotePrefix="1" applyNumberFormat="1" applyFont="1" applyBorder="1" applyAlignment="1">
      <alignment horizontal="center"/>
    </xf>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91" fontId="110" fillId="0" borderId="0" xfId="24945" applyNumberFormat="1" applyFont="1" applyFill="1"/>
    <xf numFmtId="191" fontId="174" fillId="0" borderId="0" xfId="24945" applyNumberFormat="1" applyFont="1" applyFill="1"/>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74" fontId="43" fillId="0" borderId="0" xfId="0" applyNumberFormat="1" applyFont="1" applyAlignment="1" applyProtection="1">
      <alignment horizontal="center"/>
    </xf>
    <xf numFmtId="174" fontId="43" fillId="0" borderId="0" xfId="0" applyNumberFormat="1" applyFont="1" applyBorder="1" applyAlignment="1" applyProtection="1"/>
    <xf numFmtId="164" fontId="211" fillId="0" borderId="68" xfId="2" applyNumberFormat="1" applyFont="1" applyBorder="1"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1">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94" customWidth="1"/>
    <col min="2" max="2" width="22.77734375" style="1094" customWidth="1"/>
    <col min="3" max="3" width="6" style="1094" customWidth="1"/>
    <col min="4" max="4" width="24.109375" style="1094" customWidth="1"/>
    <col min="5" max="6" width="12.44140625" style="1094" customWidth="1"/>
    <col min="7" max="7" width="4" style="1094" customWidth="1"/>
    <col min="8" max="8" width="12.44140625" style="1094" customWidth="1"/>
    <col min="9" max="9" width="12" style="1094" customWidth="1"/>
    <col min="10" max="10" width="3.88671875" style="1094" customWidth="1"/>
    <col min="11" max="11" width="28.44140625" style="1094" customWidth="1"/>
    <col min="12" max="16384" width="8.88671875" style="1094"/>
  </cols>
  <sheetData>
    <row r="1" spans="1:10" s="1091" customFormat="1">
      <c r="A1" s="1089"/>
      <c r="B1" s="1089"/>
      <c r="C1" s="1089"/>
      <c r="D1" s="1089"/>
      <c r="E1" s="1089"/>
      <c r="F1" s="1089"/>
      <c r="G1" s="1089"/>
      <c r="H1" s="1089"/>
      <c r="I1" s="1089"/>
      <c r="J1" s="1090"/>
    </row>
    <row r="2" spans="1:10" s="1091" customFormat="1">
      <c r="A2" s="1089"/>
      <c r="B2" s="1089"/>
      <c r="C2" s="1089"/>
      <c r="D2" s="1089"/>
      <c r="E2" s="1089"/>
      <c r="F2" s="1089"/>
      <c r="G2" s="1089"/>
      <c r="H2" s="1089"/>
      <c r="I2" s="1089"/>
      <c r="J2" s="1090"/>
    </row>
    <row r="3" spans="1:10" s="1091" customFormat="1">
      <c r="A3" s="1089"/>
      <c r="B3" s="1089"/>
      <c r="C3" s="1089"/>
      <c r="D3" s="1089"/>
      <c r="E3" s="1089"/>
      <c r="F3" s="1089"/>
      <c r="G3" s="1089"/>
      <c r="H3" s="1089"/>
      <c r="I3" s="1089"/>
      <c r="J3" s="1090"/>
    </row>
    <row r="4" spans="1:10" s="1091" customFormat="1">
      <c r="A4" s="1089" t="s">
        <v>1185</v>
      </c>
      <c r="B4" s="1089"/>
      <c r="C4" s="1089"/>
      <c r="D4" s="1089"/>
      <c r="E4" s="1089"/>
      <c r="F4" s="1089"/>
      <c r="G4" s="1089"/>
      <c r="H4" s="1089"/>
      <c r="I4" s="1567" t="s">
        <v>1181</v>
      </c>
      <c r="J4" s="1090"/>
    </row>
    <row r="5" spans="1:10" ht="18">
      <c r="A5" s="1089" t="s">
        <v>1183</v>
      </c>
      <c r="B5" s="1092"/>
      <c r="C5" s="1092"/>
      <c r="D5" s="1092"/>
      <c r="E5" s="1092"/>
      <c r="F5" s="1092"/>
      <c r="G5" s="1092"/>
      <c r="H5" s="1092"/>
      <c r="I5" s="1567" t="s">
        <v>1182</v>
      </c>
      <c r="J5" s="1093"/>
    </row>
    <row r="6" spans="1:10" ht="18">
      <c r="A6" s="1089" t="s">
        <v>1037</v>
      </c>
      <c r="B6" s="1092"/>
      <c r="C6" s="1092"/>
      <c r="D6" s="1092"/>
      <c r="E6" s="1092"/>
      <c r="F6" s="1092"/>
      <c r="G6" s="1092"/>
      <c r="H6" s="1092"/>
      <c r="I6" s="1092"/>
      <c r="J6" s="1093"/>
    </row>
    <row r="7" spans="1:10" ht="18">
      <c r="A7" s="1089" t="s">
        <v>1038</v>
      </c>
      <c r="B7" s="1092"/>
      <c r="C7" s="1092"/>
      <c r="D7" s="1092"/>
      <c r="E7" s="1092"/>
      <c r="F7" s="1092"/>
      <c r="G7" s="1092"/>
      <c r="H7" s="1092"/>
      <c r="I7" s="1092"/>
      <c r="J7" s="1093"/>
    </row>
    <row r="8" spans="1:10" ht="18.75" thickBot="1">
      <c r="A8" s="1092"/>
      <c r="B8" s="1092"/>
      <c r="C8" s="1092"/>
      <c r="D8" s="1092"/>
      <c r="E8" s="1092"/>
      <c r="F8" s="1092"/>
      <c r="G8" s="1092"/>
      <c r="H8" s="1092"/>
      <c r="I8" s="1092"/>
      <c r="J8" s="1093"/>
    </row>
    <row r="9" spans="1:10" ht="18.75" thickTop="1">
      <c r="A9" s="1095" t="s">
        <v>1039</v>
      </c>
      <c r="B9" s="1096"/>
      <c r="C9" s="1096"/>
      <c r="D9" s="1096"/>
      <c r="E9" s="1096"/>
      <c r="F9" s="1096"/>
      <c r="G9" s="1096"/>
      <c r="H9" s="1096"/>
      <c r="I9" s="1096"/>
      <c r="J9" s="1097"/>
    </row>
    <row r="10" spans="1:10" ht="18.75" thickBot="1">
      <c r="A10" s="3208" t="s">
        <v>1590</v>
      </c>
      <c r="B10" s="1092"/>
      <c r="C10" s="1092"/>
      <c r="D10" s="1092"/>
      <c r="E10" s="1092"/>
      <c r="F10" s="1092"/>
      <c r="G10" s="1092"/>
      <c r="H10" s="1092"/>
      <c r="I10" s="1092"/>
      <c r="J10" s="1097"/>
    </row>
    <row r="11" spans="1:10" ht="18.75" thickTop="1">
      <c r="A11" s="1098"/>
      <c r="B11" s="1099"/>
      <c r="C11" s="1099"/>
      <c r="D11" s="1099"/>
      <c r="E11" s="1099"/>
      <c r="F11" s="1099"/>
      <c r="G11" s="1099"/>
      <c r="H11" s="1099"/>
      <c r="I11" s="1099"/>
      <c r="J11" s="1100"/>
    </row>
    <row r="12" spans="1:10">
      <c r="A12" s="1089" t="s">
        <v>1040</v>
      </c>
      <c r="B12" s="1092"/>
      <c r="C12" s="1092"/>
      <c r="D12" s="1092"/>
      <c r="E12" s="1089"/>
      <c r="F12" s="1089"/>
      <c r="G12" s="1089"/>
      <c r="H12" s="1092"/>
      <c r="I12" s="1092"/>
      <c r="J12" s="1101"/>
    </row>
    <row r="13" spans="1:10">
      <c r="A13" s="1091"/>
      <c r="J13" s="1101"/>
    </row>
    <row r="14" spans="1:10">
      <c r="A14" s="1091" t="s">
        <v>1041</v>
      </c>
      <c r="B14" s="1104"/>
      <c r="J14" s="1102"/>
    </row>
    <row r="15" spans="1:10">
      <c r="A15" s="1091"/>
      <c r="B15" s="1210"/>
      <c r="J15" s="1102"/>
    </row>
    <row r="16" spans="1:10">
      <c r="A16" s="1091"/>
      <c r="B16" s="2712" t="s">
        <v>1074</v>
      </c>
      <c r="D16" s="1103" t="s">
        <v>1042</v>
      </c>
      <c r="F16" s="1104"/>
      <c r="J16" s="1211">
        <v>2</v>
      </c>
    </row>
    <row r="17" spans="1:255">
      <c r="A17" s="1091"/>
      <c r="B17" s="2712" t="s">
        <v>1075</v>
      </c>
      <c r="D17" s="1094" t="s">
        <v>1458</v>
      </c>
      <c r="E17" s="1106"/>
      <c r="F17" s="1107"/>
      <c r="G17" s="1106"/>
      <c r="H17" s="1106"/>
      <c r="I17" s="1106"/>
      <c r="J17" s="1211">
        <v>3</v>
      </c>
      <c r="M17" s="1108"/>
    </row>
    <row r="18" spans="1:255">
      <c r="A18" s="1109"/>
      <c r="B18" s="2707" t="s">
        <v>1076</v>
      </c>
      <c r="D18" s="1111" t="s">
        <v>1229</v>
      </c>
      <c r="E18" s="1103"/>
      <c r="F18" s="1103"/>
      <c r="G18" s="1103"/>
      <c r="H18" s="1103"/>
      <c r="I18" s="1103"/>
      <c r="J18" s="1211">
        <v>4</v>
      </c>
    </row>
    <row r="19" spans="1:255">
      <c r="A19" s="1091"/>
      <c r="B19" s="2707" t="s">
        <v>1077</v>
      </c>
      <c r="D19" s="1110" t="s">
        <v>1043</v>
      </c>
      <c r="E19" s="1110"/>
      <c r="F19" s="1110"/>
      <c r="G19" s="1110"/>
      <c r="H19" s="1110"/>
      <c r="I19" s="1110"/>
      <c r="J19" s="1211">
        <v>5</v>
      </c>
      <c r="M19" s="1108"/>
    </row>
    <row r="20" spans="1:255">
      <c r="A20" s="1091"/>
      <c r="B20" s="2707" t="s">
        <v>1078</v>
      </c>
      <c r="D20" s="1110" t="s">
        <v>1044</v>
      </c>
      <c r="E20" s="1110"/>
      <c r="F20" s="1110"/>
      <c r="G20" s="1110"/>
      <c r="H20" s="1110"/>
      <c r="I20" s="1110"/>
      <c r="J20" s="1211">
        <v>6</v>
      </c>
      <c r="M20" s="1108"/>
    </row>
    <row r="21" spans="1:255">
      <c r="A21" s="1091"/>
      <c r="B21" s="2707" t="s">
        <v>1417</v>
      </c>
      <c r="D21" s="1111" t="s">
        <v>1459</v>
      </c>
      <c r="E21" s="1110"/>
      <c r="F21" s="1110"/>
      <c r="G21" s="1110"/>
      <c r="H21" s="1110"/>
      <c r="I21" s="1110"/>
      <c r="J21" s="1211">
        <v>7</v>
      </c>
      <c r="M21" s="1108"/>
    </row>
    <row r="22" spans="1:255">
      <c r="A22" s="1091"/>
      <c r="B22" s="2707" t="s">
        <v>1418</v>
      </c>
      <c r="D22" s="1111" t="s">
        <v>1460</v>
      </c>
      <c r="E22" s="1110"/>
      <c r="F22" s="1110"/>
      <c r="G22" s="1110"/>
      <c r="H22" s="1110"/>
      <c r="I22" s="1110"/>
      <c r="J22" s="1211">
        <v>8</v>
      </c>
      <c r="M22" s="1108"/>
    </row>
    <row r="23" spans="1:255">
      <c r="A23" s="1091"/>
      <c r="B23" s="2707" t="s">
        <v>1419</v>
      </c>
      <c r="D23" s="1111" t="s">
        <v>1467</v>
      </c>
      <c r="E23" s="1110"/>
      <c r="F23" s="1110"/>
      <c r="G23" s="1110"/>
      <c r="H23" s="1110"/>
      <c r="I23" s="1110"/>
      <c r="J23" s="1211">
        <v>9</v>
      </c>
      <c r="M23" s="1108"/>
    </row>
    <row r="24" spans="1:255">
      <c r="A24" s="1091"/>
      <c r="B24" s="2707" t="s">
        <v>1420</v>
      </c>
      <c r="D24" s="1111" t="s">
        <v>1461</v>
      </c>
      <c r="E24" s="1110"/>
      <c r="F24" s="1110"/>
      <c r="G24" s="1110"/>
      <c r="H24" s="1110"/>
      <c r="I24" s="1110"/>
      <c r="J24" s="1211">
        <v>10</v>
      </c>
      <c r="M24" s="1108"/>
    </row>
    <row r="25" spans="1:255">
      <c r="A25" s="1091"/>
      <c r="B25" s="2707" t="s">
        <v>1421</v>
      </c>
      <c r="D25" s="1111" t="s">
        <v>1462</v>
      </c>
      <c r="E25" s="1110"/>
      <c r="F25" s="1110"/>
      <c r="G25" s="1110"/>
      <c r="H25" s="1110"/>
      <c r="I25" s="1110"/>
      <c r="J25" s="1211">
        <v>11</v>
      </c>
      <c r="M25" s="1108"/>
    </row>
    <row r="26" spans="1:255">
      <c r="A26" s="1091"/>
      <c r="B26" s="2707" t="s">
        <v>1422</v>
      </c>
      <c r="D26" s="1111" t="s">
        <v>1463</v>
      </c>
      <c r="E26" s="1110"/>
      <c r="F26" s="1110"/>
      <c r="G26" s="1110"/>
      <c r="H26" s="1110"/>
      <c r="I26" s="1110"/>
      <c r="J26" s="1211">
        <v>12</v>
      </c>
      <c r="M26" s="1108"/>
    </row>
    <row r="27" spans="1:255">
      <c r="A27" s="1091"/>
      <c r="B27" s="2707" t="s">
        <v>1423</v>
      </c>
      <c r="D27" s="1111" t="s">
        <v>1464</v>
      </c>
      <c r="E27" s="1110"/>
      <c r="F27" s="1110"/>
      <c r="G27" s="1110"/>
      <c r="H27" s="1110"/>
      <c r="I27" s="1110"/>
      <c r="J27" s="1211">
        <v>13</v>
      </c>
      <c r="M27" s="1108"/>
    </row>
    <row r="28" spans="1:255">
      <c r="A28" s="1091"/>
      <c r="B28" s="2707" t="s">
        <v>1424</v>
      </c>
      <c r="D28" s="1111" t="s">
        <v>1465</v>
      </c>
      <c r="E28" s="1110"/>
      <c r="F28" s="1110"/>
      <c r="G28" s="1110"/>
      <c r="H28" s="1110"/>
      <c r="I28" s="1110"/>
      <c r="J28" s="1211">
        <v>14</v>
      </c>
      <c r="M28" s="1108"/>
    </row>
    <row r="29" spans="1:255">
      <c r="A29" s="1091"/>
      <c r="B29" s="2707" t="s">
        <v>1079</v>
      </c>
      <c r="D29" s="1112" t="s">
        <v>1045</v>
      </c>
      <c r="E29" s="1110"/>
      <c r="F29" s="1110"/>
      <c r="G29" s="1110"/>
      <c r="H29" s="1110"/>
      <c r="I29" s="1110"/>
      <c r="J29" s="1211">
        <v>15</v>
      </c>
      <c r="M29" s="1108"/>
    </row>
    <row r="30" spans="1:255">
      <c r="A30" s="1091"/>
      <c r="B30" s="2712" t="s">
        <v>1102</v>
      </c>
      <c r="D30" s="1111" t="s">
        <v>1466</v>
      </c>
      <c r="E30" s="1111"/>
      <c r="F30" s="1111"/>
      <c r="G30" s="1111"/>
      <c r="H30" s="1111"/>
      <c r="I30" s="1111"/>
      <c r="J30" s="1211">
        <v>16</v>
      </c>
      <c r="K30" s="1091"/>
      <c r="L30" s="1091"/>
      <c r="M30" s="1091"/>
      <c r="N30" s="1091"/>
      <c r="O30" s="1091"/>
      <c r="P30" s="1091"/>
      <c r="Q30" s="1091"/>
      <c r="R30" s="1091"/>
      <c r="S30" s="1091"/>
      <c r="T30" s="1091"/>
      <c r="U30" s="1091"/>
      <c r="V30" s="1091"/>
      <c r="W30" s="1091"/>
      <c r="X30" s="1091"/>
      <c r="Y30" s="1091"/>
      <c r="Z30" s="1091"/>
      <c r="AA30" s="1091"/>
      <c r="AB30" s="1091"/>
      <c r="AC30" s="1091"/>
      <c r="AD30" s="1091"/>
      <c r="AE30" s="1091"/>
      <c r="AF30" s="1091"/>
      <c r="AG30" s="1091"/>
      <c r="AH30" s="1091"/>
      <c r="AI30" s="1091"/>
      <c r="AJ30" s="1091"/>
      <c r="AK30" s="1091"/>
      <c r="AL30" s="1091"/>
      <c r="AM30" s="1091"/>
      <c r="AN30" s="1091"/>
      <c r="AO30" s="1091"/>
      <c r="AP30" s="1091"/>
      <c r="AQ30" s="1091"/>
      <c r="AR30" s="1091"/>
      <c r="AS30" s="1091"/>
      <c r="AT30" s="1091"/>
      <c r="AU30" s="1091"/>
      <c r="AV30" s="1091"/>
      <c r="AW30" s="1091"/>
      <c r="AX30" s="1091"/>
      <c r="AY30" s="1091"/>
      <c r="AZ30" s="1091"/>
      <c r="BA30" s="1091"/>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091"/>
      <c r="CP30" s="1091"/>
      <c r="CQ30" s="1091"/>
      <c r="CR30" s="1091"/>
      <c r="CS30" s="1091"/>
      <c r="CT30" s="1091"/>
      <c r="CU30" s="1091"/>
      <c r="CV30" s="1091"/>
      <c r="CW30" s="1091"/>
      <c r="CX30" s="1091"/>
      <c r="CY30" s="1091"/>
      <c r="CZ30" s="1091"/>
      <c r="DA30" s="1091"/>
      <c r="DB30" s="1091"/>
      <c r="DC30" s="1091"/>
      <c r="DD30" s="1091"/>
      <c r="DE30" s="1091"/>
      <c r="DF30" s="1091"/>
      <c r="DG30" s="1091"/>
      <c r="DH30" s="1091"/>
      <c r="DI30" s="1091"/>
      <c r="DJ30" s="1091"/>
      <c r="DK30" s="1091"/>
      <c r="DL30" s="1091"/>
      <c r="DM30" s="1091"/>
      <c r="DN30" s="1091"/>
      <c r="DO30" s="1091"/>
      <c r="DP30" s="1091"/>
      <c r="DQ30" s="1091"/>
      <c r="DR30" s="1091"/>
      <c r="DS30" s="1091"/>
      <c r="DT30" s="1091"/>
      <c r="DU30" s="1091"/>
      <c r="DV30" s="1091"/>
      <c r="DW30" s="1091"/>
      <c r="DX30" s="1091"/>
      <c r="DY30" s="1091"/>
      <c r="DZ30" s="1091"/>
      <c r="EA30" s="1091"/>
      <c r="EB30" s="1091"/>
      <c r="EC30" s="1091"/>
      <c r="ED30" s="1091"/>
      <c r="EE30" s="1091"/>
      <c r="EF30" s="1091"/>
      <c r="EG30" s="1091"/>
      <c r="EH30" s="1091"/>
      <c r="EI30" s="1091"/>
      <c r="EJ30" s="1091"/>
      <c r="EK30" s="1091"/>
      <c r="EL30" s="1091"/>
      <c r="EM30" s="1091"/>
      <c r="EN30" s="1091"/>
      <c r="EO30" s="1091"/>
      <c r="EP30" s="1091"/>
      <c r="EQ30" s="1091"/>
      <c r="ER30" s="1091"/>
      <c r="ES30" s="1091"/>
      <c r="ET30" s="1091"/>
      <c r="EU30" s="1091"/>
      <c r="EV30" s="1091"/>
      <c r="EW30" s="1091"/>
      <c r="EX30" s="1091"/>
      <c r="EY30" s="1091"/>
      <c r="EZ30" s="1091"/>
      <c r="FA30" s="1091"/>
      <c r="FB30" s="1091"/>
      <c r="FC30" s="1091"/>
      <c r="FD30" s="1091"/>
      <c r="FE30" s="1091"/>
      <c r="FF30" s="1091"/>
      <c r="FG30" s="1091"/>
      <c r="FH30" s="1091"/>
      <c r="FI30" s="1091"/>
      <c r="FJ30" s="1091"/>
      <c r="FK30" s="1091"/>
      <c r="FL30" s="1091"/>
      <c r="FM30" s="1091"/>
      <c r="FN30" s="1091"/>
      <c r="FO30" s="1091"/>
      <c r="FP30" s="1091"/>
      <c r="FQ30" s="1091"/>
      <c r="FR30" s="1091"/>
      <c r="FS30" s="1091"/>
      <c r="FT30" s="1091"/>
      <c r="FU30" s="1091"/>
      <c r="FV30" s="1091"/>
      <c r="FW30" s="1091"/>
      <c r="FX30" s="1091"/>
      <c r="FY30" s="1091"/>
      <c r="FZ30" s="1091"/>
      <c r="GA30" s="1091"/>
      <c r="GB30" s="1091"/>
      <c r="GC30" s="1091"/>
      <c r="GD30" s="1091"/>
      <c r="GE30" s="1091"/>
      <c r="GF30" s="1091"/>
      <c r="GG30" s="1091"/>
      <c r="GH30" s="1091"/>
      <c r="GI30" s="1091"/>
      <c r="GJ30" s="1091"/>
      <c r="GK30" s="1091"/>
      <c r="GL30" s="1091"/>
      <c r="GM30" s="1091"/>
      <c r="GN30" s="1091"/>
      <c r="GO30" s="1091"/>
      <c r="GP30" s="1091"/>
      <c r="GQ30" s="1091"/>
      <c r="GR30" s="1091"/>
      <c r="GS30" s="1091"/>
      <c r="GT30" s="1091"/>
      <c r="GU30" s="1091"/>
      <c r="GV30" s="1091"/>
      <c r="GW30" s="1091"/>
      <c r="GX30" s="1091"/>
      <c r="GY30" s="1091"/>
      <c r="GZ30" s="1091"/>
      <c r="HA30" s="1091"/>
      <c r="HB30" s="1091"/>
      <c r="HC30" s="1091"/>
      <c r="HD30" s="1091"/>
      <c r="HE30" s="1091"/>
      <c r="HF30" s="1091"/>
      <c r="HG30" s="1091"/>
      <c r="HH30" s="1091"/>
      <c r="HI30" s="1091"/>
      <c r="HJ30" s="1091"/>
      <c r="HK30" s="1091"/>
      <c r="HL30" s="1091"/>
      <c r="HM30" s="1091"/>
      <c r="HN30" s="1091"/>
      <c r="HO30" s="1091"/>
      <c r="HP30" s="1091"/>
      <c r="HQ30" s="1091"/>
      <c r="HR30" s="1091"/>
      <c r="HS30" s="1091"/>
      <c r="HT30" s="1091"/>
      <c r="HU30" s="1091"/>
      <c r="HV30" s="1091"/>
      <c r="HW30" s="1091"/>
      <c r="HX30" s="1091"/>
      <c r="HY30" s="1091"/>
      <c r="HZ30" s="1091"/>
      <c r="IA30" s="1091"/>
      <c r="IB30" s="1091"/>
      <c r="IC30" s="1091"/>
      <c r="ID30" s="1091"/>
      <c r="IE30" s="1091"/>
      <c r="IF30" s="1091"/>
      <c r="IG30" s="1091"/>
      <c r="IH30" s="1091"/>
      <c r="II30" s="1091"/>
      <c r="IJ30" s="1091"/>
      <c r="IK30" s="1091"/>
      <c r="IL30" s="1091"/>
      <c r="IM30" s="1091"/>
      <c r="IN30" s="1091"/>
      <c r="IO30" s="1091"/>
      <c r="IP30" s="1091"/>
      <c r="IQ30" s="1091"/>
      <c r="IR30" s="1091"/>
      <c r="IS30" s="1091"/>
      <c r="IT30" s="1091"/>
      <c r="IU30" s="1091"/>
    </row>
    <row r="31" spans="1:255">
      <c r="A31" s="1091"/>
      <c r="B31" s="2707" t="s">
        <v>1425</v>
      </c>
      <c r="D31" s="1111" t="s">
        <v>1458</v>
      </c>
      <c r="E31" s="1106"/>
      <c r="F31" s="1106"/>
      <c r="G31" s="1106"/>
      <c r="H31" s="1106"/>
      <c r="I31" s="1106"/>
      <c r="J31" s="1211">
        <v>18</v>
      </c>
      <c r="K31" s="1091"/>
      <c r="L31" s="1091"/>
      <c r="M31" s="1091"/>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c r="BP31" s="1091"/>
      <c r="BQ31" s="1091"/>
      <c r="BR31" s="1091"/>
      <c r="BS31" s="1091"/>
      <c r="BT31" s="1091"/>
      <c r="BU31" s="1091"/>
      <c r="BV31" s="1091"/>
      <c r="BW31" s="1091"/>
      <c r="BX31" s="1091"/>
      <c r="BY31" s="1091"/>
      <c r="BZ31" s="1091"/>
      <c r="CA31" s="1091"/>
      <c r="CB31" s="1091"/>
      <c r="CC31" s="1091"/>
      <c r="CD31" s="1091"/>
      <c r="CE31" s="1091"/>
      <c r="CF31" s="1091"/>
      <c r="CG31" s="1091"/>
      <c r="CH31" s="1091"/>
      <c r="CI31" s="1091"/>
      <c r="CJ31" s="1091"/>
      <c r="CK31" s="1091"/>
      <c r="CL31" s="1091"/>
      <c r="CM31" s="1091"/>
      <c r="CN31" s="1091"/>
      <c r="CO31" s="1091"/>
      <c r="CP31" s="1091"/>
      <c r="CQ31" s="1091"/>
      <c r="CR31" s="1091"/>
      <c r="CS31" s="1091"/>
      <c r="CT31" s="1091"/>
      <c r="CU31" s="1091"/>
      <c r="CV31" s="1091"/>
      <c r="CW31" s="1091"/>
      <c r="CX31" s="1091"/>
      <c r="CY31" s="1091"/>
      <c r="CZ31" s="1091"/>
      <c r="DA31" s="1091"/>
      <c r="DB31" s="1091"/>
      <c r="DC31" s="1091"/>
      <c r="DD31" s="1091"/>
      <c r="DE31" s="1091"/>
      <c r="DF31" s="1091"/>
      <c r="DG31" s="1091"/>
      <c r="DH31" s="1091"/>
      <c r="DI31" s="1091"/>
      <c r="DJ31" s="1091"/>
      <c r="DK31" s="1091"/>
      <c r="DL31" s="1091"/>
      <c r="DM31" s="1091"/>
      <c r="DN31" s="1091"/>
      <c r="DO31" s="1091"/>
      <c r="DP31" s="1091"/>
      <c r="DQ31" s="1091"/>
      <c r="DR31" s="1091"/>
      <c r="DS31" s="1091"/>
      <c r="DT31" s="1091"/>
      <c r="DU31" s="1091"/>
      <c r="DV31" s="1091"/>
      <c r="DW31" s="1091"/>
      <c r="DX31" s="1091"/>
      <c r="DY31" s="1091"/>
      <c r="DZ31" s="1091"/>
      <c r="EA31" s="1091"/>
      <c r="EB31" s="1091"/>
      <c r="EC31" s="1091"/>
      <c r="ED31" s="1091"/>
      <c r="EE31" s="1091"/>
      <c r="EF31" s="1091"/>
      <c r="EG31" s="1091"/>
      <c r="EH31" s="1091"/>
      <c r="EI31" s="1091"/>
      <c r="EJ31" s="1091"/>
      <c r="EK31" s="1091"/>
      <c r="EL31" s="1091"/>
      <c r="EM31" s="1091"/>
      <c r="EN31" s="1091"/>
      <c r="EO31" s="1091"/>
      <c r="EP31" s="1091"/>
      <c r="EQ31" s="1091"/>
      <c r="ER31" s="1091"/>
      <c r="ES31" s="1091"/>
      <c r="ET31" s="1091"/>
      <c r="EU31" s="1091"/>
      <c r="EV31" s="1091"/>
      <c r="EW31" s="1091"/>
      <c r="EX31" s="1091"/>
      <c r="EY31" s="1091"/>
      <c r="EZ31" s="1091"/>
      <c r="FA31" s="1091"/>
      <c r="FB31" s="1091"/>
      <c r="FC31" s="1091"/>
      <c r="FD31" s="1091"/>
      <c r="FE31" s="1091"/>
      <c r="FF31" s="1091"/>
      <c r="FG31" s="1091"/>
      <c r="FH31" s="1091"/>
      <c r="FI31" s="1091"/>
      <c r="FJ31" s="1091"/>
      <c r="FK31" s="1091"/>
      <c r="FL31" s="1091"/>
      <c r="FM31" s="1091"/>
      <c r="FN31" s="1091"/>
      <c r="FO31" s="1091"/>
      <c r="FP31" s="1091"/>
      <c r="FQ31" s="1091"/>
      <c r="FR31" s="1091"/>
      <c r="FS31" s="1091"/>
      <c r="FT31" s="1091"/>
      <c r="FU31" s="1091"/>
      <c r="FV31" s="1091"/>
      <c r="FW31" s="1091"/>
      <c r="FX31" s="1091"/>
      <c r="FY31" s="1091"/>
      <c r="FZ31" s="1091"/>
      <c r="GA31" s="1091"/>
      <c r="GB31" s="1091"/>
      <c r="GC31" s="1091"/>
      <c r="GD31" s="1091"/>
      <c r="GE31" s="1091"/>
      <c r="GF31" s="1091"/>
      <c r="GG31" s="1091"/>
      <c r="GH31" s="1091"/>
      <c r="GI31" s="1091"/>
      <c r="GJ31" s="1091"/>
      <c r="GK31" s="1091"/>
      <c r="GL31" s="1091"/>
      <c r="GM31" s="1091"/>
      <c r="GN31" s="1091"/>
      <c r="GO31" s="1091"/>
      <c r="GP31" s="1091"/>
      <c r="GQ31" s="1091"/>
      <c r="GR31" s="1091"/>
      <c r="GS31" s="1091"/>
      <c r="GT31" s="1091"/>
      <c r="GU31" s="1091"/>
      <c r="GV31" s="1091"/>
      <c r="GW31" s="1091"/>
      <c r="GX31" s="1091"/>
      <c r="GY31" s="1091"/>
      <c r="GZ31" s="1091"/>
      <c r="HA31" s="1091"/>
      <c r="HB31" s="1091"/>
      <c r="HC31" s="1091"/>
      <c r="HD31" s="1091"/>
      <c r="HE31" s="1091"/>
      <c r="HF31" s="1091"/>
      <c r="HG31" s="1091"/>
      <c r="HH31" s="1091"/>
      <c r="HI31" s="1091"/>
      <c r="HJ31" s="1091"/>
      <c r="HK31" s="1091"/>
      <c r="HL31" s="1091"/>
      <c r="HM31" s="1091"/>
      <c r="HN31" s="1091"/>
      <c r="HO31" s="1091"/>
      <c r="HP31" s="1091"/>
      <c r="HQ31" s="1091"/>
      <c r="HR31" s="1091"/>
      <c r="HS31" s="1091"/>
      <c r="HT31" s="1091"/>
      <c r="HU31" s="1091"/>
      <c r="HV31" s="1091"/>
      <c r="HW31" s="1091"/>
      <c r="HX31" s="1091"/>
      <c r="HY31" s="1091"/>
      <c r="HZ31" s="1091"/>
      <c r="IA31" s="1091"/>
      <c r="IB31" s="1091"/>
      <c r="IC31" s="1091"/>
      <c r="ID31" s="1091"/>
      <c r="IE31" s="1091"/>
      <c r="IF31" s="1091"/>
      <c r="IG31" s="1091"/>
      <c r="IH31" s="1091"/>
      <c r="II31" s="1091"/>
      <c r="IJ31" s="1091"/>
      <c r="IK31" s="1091"/>
      <c r="IL31" s="1091"/>
      <c r="IM31" s="1091"/>
      <c r="IN31" s="1091"/>
      <c r="IO31" s="1091"/>
      <c r="IP31" s="1091"/>
      <c r="IQ31" s="1091"/>
      <c r="IR31" s="1091"/>
      <c r="IS31" s="1091"/>
      <c r="IT31" s="1091"/>
      <c r="IU31" s="1091"/>
    </row>
    <row r="32" spans="1:255">
      <c r="A32" s="1091"/>
      <c r="B32" s="2707"/>
      <c r="D32" s="1113"/>
      <c r="E32" s="1113"/>
      <c r="F32" s="1113"/>
      <c r="G32" s="1113"/>
      <c r="H32" s="1113"/>
      <c r="I32" s="1113"/>
      <c r="J32" s="121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091"/>
      <c r="CP32" s="1091"/>
      <c r="CQ32" s="1091"/>
      <c r="CR32" s="1091"/>
      <c r="CS32" s="1091"/>
      <c r="CT32" s="1091"/>
      <c r="CU32" s="1091"/>
      <c r="CV32" s="1091"/>
      <c r="CW32" s="1091"/>
      <c r="CX32" s="1091"/>
      <c r="CY32" s="1091"/>
      <c r="CZ32" s="1091"/>
      <c r="DA32" s="1091"/>
      <c r="DB32" s="1091"/>
      <c r="DC32" s="1091"/>
      <c r="DD32" s="1091"/>
      <c r="DE32" s="1091"/>
      <c r="DF32" s="1091"/>
      <c r="DG32" s="1091"/>
      <c r="DH32" s="1091"/>
      <c r="DI32" s="1091"/>
      <c r="DJ32" s="1091"/>
      <c r="DK32" s="1091"/>
      <c r="DL32" s="1091"/>
      <c r="DM32" s="1091"/>
      <c r="DN32" s="1091"/>
      <c r="DO32" s="1091"/>
      <c r="DP32" s="1091"/>
      <c r="DQ32" s="1091"/>
      <c r="DR32" s="1091"/>
      <c r="DS32" s="1091"/>
      <c r="DT32" s="1091"/>
      <c r="DU32" s="1091"/>
      <c r="DV32" s="1091"/>
      <c r="DW32" s="1091"/>
      <c r="DX32" s="1091"/>
      <c r="DY32" s="1091"/>
      <c r="DZ32" s="1091"/>
      <c r="EA32" s="1091"/>
      <c r="EB32" s="1091"/>
      <c r="EC32" s="1091"/>
      <c r="ED32" s="1091"/>
      <c r="EE32" s="1091"/>
      <c r="EF32" s="1091"/>
      <c r="EG32" s="1091"/>
      <c r="EH32" s="1091"/>
      <c r="EI32" s="1091"/>
      <c r="EJ32" s="1091"/>
      <c r="EK32" s="1091"/>
      <c r="EL32" s="1091"/>
      <c r="EM32" s="1091"/>
      <c r="EN32" s="1091"/>
      <c r="EO32" s="1091"/>
      <c r="EP32" s="1091"/>
      <c r="EQ32" s="1091"/>
      <c r="ER32" s="1091"/>
      <c r="ES32" s="1091"/>
      <c r="ET32" s="1091"/>
      <c r="EU32" s="1091"/>
      <c r="EV32" s="1091"/>
      <c r="EW32" s="1091"/>
      <c r="EX32" s="1091"/>
      <c r="EY32" s="1091"/>
      <c r="EZ32" s="1091"/>
      <c r="FA32" s="1091"/>
      <c r="FB32" s="1091"/>
      <c r="FC32" s="1091"/>
      <c r="FD32" s="1091"/>
      <c r="FE32" s="1091"/>
      <c r="FF32" s="1091"/>
      <c r="FG32" s="1091"/>
      <c r="FH32" s="1091"/>
      <c r="FI32" s="1091"/>
      <c r="FJ32" s="1091"/>
      <c r="FK32" s="1091"/>
      <c r="FL32" s="1091"/>
      <c r="FM32" s="1091"/>
      <c r="FN32" s="1091"/>
      <c r="FO32" s="1091"/>
      <c r="FP32" s="1091"/>
      <c r="FQ32" s="1091"/>
      <c r="FR32" s="1091"/>
      <c r="FS32" s="1091"/>
      <c r="FT32" s="1091"/>
      <c r="FU32" s="1091"/>
      <c r="FV32" s="1091"/>
      <c r="FW32" s="1091"/>
      <c r="FX32" s="1091"/>
      <c r="FY32" s="1091"/>
      <c r="FZ32" s="1091"/>
      <c r="GA32" s="1091"/>
      <c r="GB32" s="1091"/>
      <c r="GC32" s="1091"/>
      <c r="GD32" s="1091"/>
      <c r="GE32" s="1091"/>
      <c r="GF32" s="1091"/>
      <c r="GG32" s="1091"/>
      <c r="GH32" s="1091"/>
      <c r="GI32" s="1091"/>
      <c r="GJ32" s="1091"/>
      <c r="GK32" s="1091"/>
      <c r="GL32" s="1091"/>
      <c r="GM32" s="1091"/>
      <c r="GN32" s="1091"/>
      <c r="GO32" s="1091"/>
      <c r="GP32" s="1091"/>
      <c r="GQ32" s="1091"/>
      <c r="GR32" s="1091"/>
      <c r="GS32" s="1091"/>
      <c r="GT32" s="1091"/>
      <c r="GU32" s="1091"/>
      <c r="GV32" s="1091"/>
      <c r="GW32" s="1091"/>
      <c r="GX32" s="1091"/>
      <c r="GY32" s="1091"/>
      <c r="GZ32" s="1091"/>
      <c r="HA32" s="1091"/>
      <c r="HB32" s="1091"/>
      <c r="HC32" s="1091"/>
      <c r="HD32" s="1091"/>
      <c r="HE32" s="1091"/>
      <c r="HF32" s="1091"/>
      <c r="HG32" s="1091"/>
      <c r="HH32" s="1091"/>
      <c r="HI32" s="1091"/>
      <c r="HJ32" s="1091"/>
      <c r="HK32" s="1091"/>
      <c r="HL32" s="1091"/>
      <c r="HM32" s="1091"/>
      <c r="HN32" s="1091"/>
      <c r="HO32" s="1091"/>
      <c r="HP32" s="1091"/>
      <c r="HQ32" s="1091"/>
      <c r="HR32" s="1091"/>
      <c r="HS32" s="1091"/>
      <c r="HT32" s="1091"/>
      <c r="HU32" s="1091"/>
      <c r="HV32" s="1091"/>
      <c r="HW32" s="1091"/>
      <c r="HX32" s="1091"/>
      <c r="HY32" s="1091"/>
      <c r="HZ32" s="1091"/>
      <c r="IA32" s="1091"/>
      <c r="IB32" s="1091"/>
      <c r="IC32" s="1091"/>
      <c r="ID32" s="1091"/>
      <c r="IE32" s="1091"/>
      <c r="IF32" s="1091"/>
      <c r="IG32" s="1091"/>
      <c r="IH32" s="1091"/>
      <c r="II32" s="1091"/>
      <c r="IJ32" s="1091"/>
      <c r="IK32" s="1091"/>
      <c r="IL32" s="1091"/>
      <c r="IM32" s="1091"/>
      <c r="IN32" s="1091"/>
      <c r="IO32" s="1091"/>
      <c r="IP32" s="1091"/>
      <c r="IQ32" s="1091"/>
      <c r="IR32" s="1091"/>
      <c r="IS32" s="1091"/>
      <c r="IT32" s="1091"/>
      <c r="IU32" s="1091"/>
    </row>
    <row r="33" spans="1:255">
      <c r="A33" s="1091"/>
      <c r="B33" s="2708"/>
      <c r="D33" s="1113"/>
      <c r="E33" s="1113"/>
      <c r="F33" s="1113"/>
      <c r="G33" s="1113"/>
      <c r="H33" s="1113"/>
      <c r="I33" s="1113"/>
      <c r="J33" s="1211"/>
      <c r="M33" s="1108"/>
    </row>
    <row r="34" spans="1:255">
      <c r="A34" s="1091" t="s">
        <v>1046</v>
      </c>
      <c r="B34" s="2709"/>
      <c r="C34" s="1091"/>
      <c r="D34" s="1091"/>
      <c r="E34" s="1091"/>
      <c r="F34" s="1091"/>
      <c r="G34" s="1091"/>
      <c r="H34" s="1091"/>
      <c r="I34" s="1091"/>
      <c r="J34" s="1212"/>
      <c r="M34" s="1108"/>
    </row>
    <row r="35" spans="1:255">
      <c r="A35" s="1091"/>
      <c r="B35" s="2709"/>
      <c r="C35" s="1091"/>
      <c r="D35" s="1114"/>
      <c r="E35" s="1114"/>
      <c r="F35" s="1114"/>
      <c r="G35" s="1114"/>
      <c r="H35" s="1114"/>
      <c r="I35" s="1114"/>
      <c r="J35" s="1213"/>
      <c r="M35" s="1108"/>
    </row>
    <row r="36" spans="1:255">
      <c r="A36" s="1091"/>
      <c r="B36" s="2707" t="s">
        <v>1080</v>
      </c>
      <c r="D36" s="1103" t="s">
        <v>1107</v>
      </c>
      <c r="E36" s="1103"/>
      <c r="F36" s="1103"/>
      <c r="G36" s="1103"/>
      <c r="H36" s="1103"/>
      <c r="I36" s="1103"/>
      <c r="J36" s="1211">
        <v>20</v>
      </c>
      <c r="M36" s="1108"/>
    </row>
    <row r="37" spans="1:255">
      <c r="A37" s="1091"/>
      <c r="B37" s="2712" t="s">
        <v>1047</v>
      </c>
      <c r="D37" s="1113" t="s">
        <v>1099</v>
      </c>
      <c r="E37" s="1113"/>
      <c r="F37" s="1113"/>
      <c r="G37" s="1113"/>
      <c r="H37" s="1113"/>
      <c r="I37" s="1113"/>
      <c r="J37" s="1211">
        <v>22</v>
      </c>
      <c r="M37" s="1108"/>
    </row>
    <row r="38" spans="1:255">
      <c r="A38" s="1091"/>
      <c r="B38" s="2712" t="s">
        <v>1081</v>
      </c>
      <c r="D38" s="1110" t="s">
        <v>1048</v>
      </c>
      <c r="E38" s="1110"/>
      <c r="F38" s="1110"/>
      <c r="G38" s="1110"/>
      <c r="H38" s="1110"/>
      <c r="I38" s="1110"/>
      <c r="J38" s="1211">
        <v>24</v>
      </c>
      <c r="M38" s="1108"/>
    </row>
    <row r="39" spans="1:255">
      <c r="A39" s="1091"/>
      <c r="B39" s="2712" t="s">
        <v>1082</v>
      </c>
      <c r="D39" s="1110" t="s">
        <v>1100</v>
      </c>
      <c r="E39" s="1110"/>
      <c r="F39" s="1110"/>
      <c r="G39" s="1110"/>
      <c r="H39" s="1110"/>
      <c r="I39" s="1110"/>
      <c r="J39" s="1211">
        <v>26</v>
      </c>
      <c r="M39" s="1108"/>
    </row>
    <row r="40" spans="1:255">
      <c r="A40" s="1091"/>
      <c r="B40" s="2707" t="s">
        <v>1049</v>
      </c>
      <c r="D40" s="1110" t="s">
        <v>1303</v>
      </c>
      <c r="E40" s="1110"/>
      <c r="F40" s="1110"/>
      <c r="G40" s="1110"/>
      <c r="H40" s="1110"/>
      <c r="I40" s="1110"/>
      <c r="J40" s="1211">
        <v>28</v>
      </c>
      <c r="M40" s="1108"/>
    </row>
    <row r="41" spans="1:255">
      <c r="A41" s="1091"/>
      <c r="B41" s="2712" t="s">
        <v>1050</v>
      </c>
      <c r="D41" s="1110" t="s">
        <v>1249</v>
      </c>
      <c r="E41" s="1110"/>
      <c r="F41" s="1110"/>
      <c r="G41" s="1110"/>
      <c r="H41" s="1110"/>
      <c r="I41" s="1110"/>
      <c r="J41" s="1211">
        <v>29</v>
      </c>
      <c r="M41" s="1108"/>
    </row>
    <row r="42" spans="1:255">
      <c r="A42" s="1091"/>
      <c r="B42" s="2707" t="s">
        <v>1083</v>
      </c>
      <c r="D42" s="1110" t="s">
        <v>1101</v>
      </c>
      <c r="E42" s="1110"/>
      <c r="F42" s="1110"/>
      <c r="G42" s="1110"/>
      <c r="H42" s="1110"/>
      <c r="I42" s="1110"/>
      <c r="J42" s="1211">
        <v>31</v>
      </c>
      <c r="M42" s="1108"/>
    </row>
    <row r="43" spans="1:255">
      <c r="A43" s="1091"/>
      <c r="B43" s="2712" t="s">
        <v>1084</v>
      </c>
      <c r="D43" s="1110" t="s">
        <v>1103</v>
      </c>
      <c r="E43" s="1110"/>
      <c r="F43" s="1110"/>
      <c r="G43" s="1110"/>
      <c r="H43" s="1110"/>
      <c r="I43" s="1110"/>
      <c r="J43" s="1211">
        <v>33</v>
      </c>
      <c r="M43" s="1108"/>
    </row>
    <row r="44" spans="1:255">
      <c r="A44" s="1091"/>
      <c r="B44" s="2707" t="s">
        <v>1051</v>
      </c>
      <c r="D44" s="1110" t="s">
        <v>1108</v>
      </c>
      <c r="E44" s="1110"/>
      <c r="F44" s="1110"/>
      <c r="G44" s="1110"/>
      <c r="H44" s="1110"/>
      <c r="I44" s="1110"/>
      <c r="J44" s="1211">
        <v>34</v>
      </c>
      <c r="M44" s="1108"/>
    </row>
    <row r="45" spans="1:255">
      <c r="A45" s="1091"/>
      <c r="B45" s="2707" t="s">
        <v>1052</v>
      </c>
      <c r="D45" s="1110" t="s">
        <v>1104</v>
      </c>
      <c r="E45" s="1110"/>
      <c r="F45" s="1110"/>
      <c r="G45" s="1110"/>
      <c r="H45" s="1110"/>
      <c r="I45" s="1110"/>
      <c r="J45" s="1211">
        <v>35</v>
      </c>
      <c r="M45" s="1108"/>
    </row>
    <row r="46" spans="1:255">
      <c r="A46" s="1091"/>
      <c r="B46" s="2707" t="s">
        <v>1053</v>
      </c>
      <c r="D46" s="1110" t="s">
        <v>1105</v>
      </c>
      <c r="E46" s="1110"/>
      <c r="F46" s="1110"/>
      <c r="G46" s="1110"/>
      <c r="H46" s="1110"/>
      <c r="I46" s="1110"/>
      <c r="J46" s="1211">
        <v>36</v>
      </c>
      <c r="M46" s="1108"/>
    </row>
    <row r="47" spans="1:255">
      <c r="A47" s="1091"/>
      <c r="B47" s="2707" t="s">
        <v>1054</v>
      </c>
      <c r="D47" s="1111" t="s">
        <v>1106</v>
      </c>
      <c r="E47" s="1111"/>
      <c r="F47" s="1111"/>
      <c r="G47" s="1111"/>
      <c r="H47" s="1111"/>
      <c r="I47" s="1111"/>
      <c r="J47" s="1211">
        <v>37</v>
      </c>
      <c r="K47" s="1091"/>
      <c r="L47" s="1091"/>
      <c r="M47" s="1091"/>
      <c r="N47" s="1091"/>
      <c r="O47" s="1091"/>
      <c r="P47" s="1091"/>
      <c r="Q47" s="1091"/>
      <c r="R47" s="1091"/>
      <c r="S47" s="1091"/>
      <c r="T47" s="1091"/>
      <c r="U47" s="1091"/>
      <c r="V47" s="1091"/>
      <c r="W47" s="1091"/>
      <c r="X47" s="1091"/>
      <c r="Y47" s="1091"/>
      <c r="Z47" s="1091"/>
      <c r="AA47" s="1091"/>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BL47" s="1091"/>
      <c r="BM47" s="1091"/>
      <c r="BN47" s="1091"/>
      <c r="BO47" s="1091"/>
      <c r="BP47" s="1091"/>
      <c r="BQ47" s="1091"/>
      <c r="BR47" s="1091"/>
      <c r="BS47" s="1091"/>
      <c r="BT47" s="1091"/>
      <c r="BU47" s="1091"/>
      <c r="BV47" s="1091"/>
      <c r="BW47" s="1091"/>
      <c r="BX47" s="1091"/>
      <c r="BY47" s="1091"/>
      <c r="BZ47" s="1091"/>
      <c r="CA47" s="1091"/>
      <c r="CB47" s="1091"/>
      <c r="CC47" s="1091"/>
      <c r="CD47" s="1091"/>
      <c r="CE47" s="1091"/>
      <c r="CF47" s="1091"/>
      <c r="CG47" s="1091"/>
      <c r="CH47" s="1091"/>
      <c r="CI47" s="1091"/>
      <c r="CJ47" s="1091"/>
      <c r="CK47" s="1091"/>
      <c r="CL47" s="1091"/>
      <c r="CM47" s="1091"/>
      <c r="CN47" s="1091"/>
      <c r="CO47" s="1091"/>
      <c r="CP47" s="1091"/>
      <c r="CQ47" s="1091"/>
      <c r="CR47" s="1091"/>
      <c r="CS47" s="1091"/>
      <c r="CT47" s="1091"/>
      <c r="CU47" s="1091"/>
      <c r="CV47" s="1091"/>
      <c r="CW47" s="1091"/>
      <c r="CX47" s="1091"/>
      <c r="CY47" s="1091"/>
      <c r="CZ47" s="1091"/>
      <c r="DA47" s="1091"/>
      <c r="DB47" s="1091"/>
      <c r="DC47" s="1091"/>
      <c r="DD47" s="1091"/>
      <c r="DE47" s="1091"/>
      <c r="DF47" s="1091"/>
      <c r="DG47" s="1091"/>
      <c r="DH47" s="1091"/>
      <c r="DI47" s="1091"/>
      <c r="DJ47" s="1091"/>
      <c r="DK47" s="1091"/>
      <c r="DL47" s="1091"/>
      <c r="DM47" s="1091"/>
      <c r="DN47" s="1091"/>
      <c r="DO47" s="1091"/>
      <c r="DP47" s="1091"/>
      <c r="DQ47" s="1091"/>
      <c r="DR47" s="1091"/>
      <c r="DS47" s="1091"/>
      <c r="DT47" s="1091"/>
      <c r="DU47" s="1091"/>
      <c r="DV47" s="1091"/>
      <c r="DW47" s="1091"/>
      <c r="DX47" s="1091"/>
      <c r="DY47" s="1091"/>
      <c r="DZ47" s="1091"/>
      <c r="EA47" s="1091"/>
      <c r="EB47" s="1091"/>
      <c r="EC47" s="1091"/>
      <c r="ED47" s="1091"/>
      <c r="EE47" s="1091"/>
      <c r="EF47" s="1091"/>
      <c r="EG47" s="1091"/>
      <c r="EH47" s="1091"/>
      <c r="EI47" s="1091"/>
      <c r="EJ47" s="1091"/>
      <c r="EK47" s="1091"/>
      <c r="EL47" s="1091"/>
      <c r="EM47" s="1091"/>
      <c r="EN47" s="1091"/>
      <c r="EO47" s="1091"/>
      <c r="EP47" s="1091"/>
      <c r="EQ47" s="1091"/>
      <c r="ER47" s="1091"/>
      <c r="ES47" s="1091"/>
      <c r="ET47" s="1091"/>
      <c r="EU47" s="1091"/>
      <c r="EV47" s="1091"/>
      <c r="EW47" s="1091"/>
      <c r="EX47" s="1091"/>
      <c r="EY47" s="1091"/>
      <c r="EZ47" s="1091"/>
      <c r="FA47" s="1091"/>
      <c r="FB47" s="1091"/>
      <c r="FC47" s="1091"/>
      <c r="FD47" s="1091"/>
      <c r="FE47" s="1091"/>
      <c r="FF47" s="1091"/>
      <c r="FG47" s="1091"/>
      <c r="FH47" s="1091"/>
      <c r="FI47" s="1091"/>
      <c r="FJ47" s="1091"/>
      <c r="FK47" s="1091"/>
      <c r="FL47" s="1091"/>
      <c r="FM47" s="1091"/>
      <c r="FN47" s="1091"/>
      <c r="FO47" s="1091"/>
      <c r="FP47" s="1091"/>
      <c r="FQ47" s="1091"/>
      <c r="FR47" s="1091"/>
      <c r="FS47" s="1091"/>
      <c r="FT47" s="1091"/>
      <c r="FU47" s="1091"/>
      <c r="FV47" s="1091"/>
      <c r="FW47" s="1091"/>
      <c r="FX47" s="1091"/>
      <c r="FY47" s="1091"/>
      <c r="FZ47" s="1091"/>
      <c r="GA47" s="1091"/>
      <c r="GB47" s="1091"/>
      <c r="GC47" s="1091"/>
      <c r="GD47" s="1091"/>
      <c r="GE47" s="1091"/>
      <c r="GF47" s="1091"/>
      <c r="GG47" s="1091"/>
      <c r="GH47" s="1091"/>
      <c r="GI47" s="1091"/>
      <c r="GJ47" s="1091"/>
      <c r="GK47" s="1091"/>
      <c r="GL47" s="1091"/>
      <c r="GM47" s="1091"/>
      <c r="GN47" s="1091"/>
      <c r="GO47" s="1091"/>
      <c r="GP47" s="1091"/>
      <c r="GQ47" s="1091"/>
      <c r="GR47" s="1091"/>
      <c r="GS47" s="1091"/>
      <c r="GT47" s="1091"/>
      <c r="GU47" s="1091"/>
      <c r="GV47" s="1091"/>
      <c r="GW47" s="1091"/>
      <c r="GX47" s="1091"/>
      <c r="GY47" s="1091"/>
      <c r="GZ47" s="1091"/>
      <c r="HA47" s="1091"/>
      <c r="HB47" s="1091"/>
      <c r="HC47" s="1091"/>
      <c r="HD47" s="1091"/>
      <c r="HE47" s="1091"/>
      <c r="HF47" s="1091"/>
      <c r="HG47" s="1091"/>
      <c r="HH47" s="1091"/>
      <c r="HI47" s="1091"/>
      <c r="HJ47" s="1091"/>
      <c r="HK47" s="1091"/>
      <c r="HL47" s="1091"/>
      <c r="HM47" s="1091"/>
      <c r="HN47" s="1091"/>
      <c r="HO47" s="1091"/>
      <c r="HP47" s="1091"/>
      <c r="HQ47" s="1091"/>
      <c r="HR47" s="1091"/>
      <c r="HS47" s="1091"/>
      <c r="HT47" s="1091"/>
      <c r="HU47" s="1091"/>
      <c r="HV47" s="1091"/>
      <c r="HW47" s="1091"/>
      <c r="HX47" s="1091"/>
      <c r="HY47" s="1091"/>
      <c r="HZ47" s="1091"/>
      <c r="IA47" s="1091"/>
      <c r="IB47" s="1091"/>
      <c r="IC47" s="1091"/>
      <c r="ID47" s="1091"/>
      <c r="IE47" s="1091"/>
      <c r="IF47" s="1091"/>
      <c r="IG47" s="1091"/>
      <c r="IH47" s="1091"/>
      <c r="II47" s="1091"/>
      <c r="IJ47" s="1091"/>
      <c r="IK47" s="1091"/>
      <c r="IL47" s="1091"/>
      <c r="IM47" s="1091"/>
      <c r="IN47" s="1091"/>
      <c r="IO47" s="1091"/>
      <c r="IP47" s="1091"/>
      <c r="IQ47" s="1091"/>
      <c r="IR47" s="1091"/>
      <c r="IS47" s="1091"/>
      <c r="IT47" s="1091"/>
      <c r="IU47" s="1091"/>
    </row>
    <row r="48" spans="1:255">
      <c r="A48" s="1091"/>
      <c r="B48" s="2708"/>
      <c r="D48" s="1113"/>
      <c r="E48" s="1113"/>
      <c r="F48" s="1113"/>
      <c r="G48" s="1113"/>
      <c r="H48" s="1113"/>
      <c r="I48" s="1113"/>
      <c r="J48" s="1211"/>
      <c r="M48" s="1108"/>
    </row>
    <row r="49" spans="1:13">
      <c r="A49" s="1091" t="s">
        <v>1055</v>
      </c>
      <c r="B49" s="2708"/>
      <c r="D49" s="1113"/>
      <c r="E49" s="1113"/>
      <c r="F49" s="1113"/>
      <c r="G49" s="1113"/>
      <c r="H49" s="1113"/>
      <c r="I49" s="1113"/>
      <c r="J49" s="1211"/>
      <c r="M49" s="1108"/>
    </row>
    <row r="50" spans="1:13">
      <c r="A50" s="1091"/>
      <c r="B50" s="2709"/>
      <c r="C50" s="1091"/>
      <c r="D50" s="1114"/>
      <c r="E50" s="1114"/>
      <c r="F50" s="1114"/>
      <c r="G50" s="1114"/>
      <c r="H50" s="1114"/>
      <c r="I50" s="1114"/>
      <c r="J50" s="1212"/>
      <c r="M50" s="1108"/>
    </row>
    <row r="51" spans="1:13">
      <c r="A51" s="1091"/>
      <c r="B51" s="2707" t="s">
        <v>1056</v>
      </c>
      <c r="D51" s="1113" t="s">
        <v>1109</v>
      </c>
      <c r="E51" s="1113"/>
      <c r="F51" s="1113"/>
      <c r="G51" s="1113"/>
      <c r="H51" s="1113"/>
      <c r="I51" s="1113"/>
      <c r="J51" s="1211">
        <v>38</v>
      </c>
      <c r="M51" s="1108"/>
    </row>
    <row r="52" spans="1:13">
      <c r="A52" s="1091"/>
      <c r="B52" s="2707" t="s">
        <v>1057</v>
      </c>
      <c r="D52" s="1110" t="s">
        <v>1110</v>
      </c>
      <c r="E52" s="1110"/>
      <c r="F52" s="1110"/>
      <c r="G52" s="1110"/>
      <c r="H52" s="1110"/>
      <c r="I52" s="1110"/>
      <c r="J52" s="1211">
        <v>41</v>
      </c>
      <c r="M52" s="1108"/>
    </row>
    <row r="53" spans="1:13">
      <c r="A53" s="1091"/>
      <c r="B53" s="2707" t="s">
        <v>1058</v>
      </c>
      <c r="D53" s="1110" t="s">
        <v>1111</v>
      </c>
      <c r="E53" s="1110"/>
      <c r="F53" s="1110"/>
      <c r="G53" s="1110"/>
      <c r="H53" s="1110"/>
      <c r="I53" s="1110"/>
      <c r="J53" s="1211">
        <v>42</v>
      </c>
      <c r="M53" s="1108"/>
    </row>
    <row r="54" spans="1:13">
      <c r="A54" s="1091"/>
      <c r="B54" s="2707" t="s">
        <v>1059</v>
      </c>
      <c r="D54" s="1110" t="s">
        <v>1114</v>
      </c>
      <c r="E54" s="1110"/>
      <c r="F54" s="1110"/>
      <c r="G54" s="1110"/>
      <c r="H54" s="1110"/>
      <c r="I54" s="1110"/>
      <c r="J54" s="1211">
        <v>43</v>
      </c>
      <c r="M54" s="1108"/>
    </row>
    <row r="55" spans="1:13">
      <c r="A55" s="1091"/>
      <c r="B55" s="2707" t="s">
        <v>1060</v>
      </c>
      <c r="D55" s="1110" t="s">
        <v>1112</v>
      </c>
      <c r="E55" s="1110"/>
      <c r="F55" s="1110"/>
      <c r="G55" s="1110"/>
      <c r="H55" s="1110"/>
      <c r="I55" s="1110"/>
      <c r="J55" s="1211">
        <v>44</v>
      </c>
      <c r="K55" s="1115"/>
      <c r="M55" s="1108"/>
    </row>
    <row r="56" spans="1:13">
      <c r="A56" s="1091"/>
      <c r="B56" s="2707" t="s">
        <v>1061</v>
      </c>
      <c r="D56" s="1110" t="s">
        <v>1113</v>
      </c>
      <c r="E56" s="1110"/>
      <c r="F56" s="1110"/>
      <c r="G56" s="1110"/>
      <c r="H56" s="1110"/>
      <c r="I56" s="1110"/>
      <c r="J56" s="1211">
        <v>45</v>
      </c>
      <c r="K56" s="1101"/>
    </row>
    <row r="57" spans="1:13">
      <c r="A57" s="1091"/>
      <c r="B57" s="2707" t="s">
        <v>1062</v>
      </c>
      <c r="D57" s="1111" t="s">
        <v>1063</v>
      </c>
      <c r="E57" s="1111"/>
      <c r="F57" s="1111"/>
      <c r="G57" s="1111"/>
      <c r="H57" s="1111"/>
      <c r="I57" s="1111"/>
      <c r="J57" s="1211">
        <v>46</v>
      </c>
      <c r="K57" s="1101"/>
    </row>
    <row r="58" spans="1:13">
      <c r="A58" s="1091"/>
      <c r="B58" s="2710" t="s">
        <v>1085</v>
      </c>
      <c r="D58" s="1103" t="s">
        <v>1064</v>
      </c>
      <c r="E58" s="1103"/>
      <c r="F58" s="1103"/>
      <c r="G58" s="1103"/>
      <c r="H58" s="1103"/>
      <c r="I58" s="1103"/>
      <c r="J58" s="1211">
        <v>47</v>
      </c>
      <c r="K58" s="1101"/>
      <c r="M58" s="1108"/>
    </row>
    <row r="59" spans="1:13">
      <c r="A59" s="1091"/>
      <c r="B59" s="2711" t="s">
        <v>1086</v>
      </c>
      <c r="D59" s="1106" t="s">
        <v>1065</v>
      </c>
      <c r="E59" s="1106"/>
      <c r="F59" s="1106"/>
      <c r="G59" s="1106"/>
      <c r="H59" s="1106"/>
      <c r="I59" s="1106"/>
      <c r="J59" s="1211">
        <v>48</v>
      </c>
      <c r="K59" s="1101"/>
      <c r="M59" s="1108"/>
    </row>
    <row r="60" spans="1:13">
      <c r="A60" s="1091"/>
      <c r="B60" s="2711" t="s">
        <v>1087</v>
      </c>
      <c r="D60" s="1106" t="s">
        <v>1115</v>
      </c>
      <c r="E60" s="1106"/>
      <c r="F60" s="1106"/>
      <c r="G60" s="1106"/>
      <c r="H60" s="1106"/>
      <c r="I60" s="1106"/>
      <c r="J60" s="1211">
        <v>50</v>
      </c>
      <c r="K60" s="1101"/>
      <c r="M60" s="1108"/>
    </row>
    <row r="61" spans="1:13">
      <c r="A61" s="1091"/>
      <c r="B61" s="2711" t="s">
        <v>1088</v>
      </c>
      <c r="D61" s="1116" t="s">
        <v>1066</v>
      </c>
      <c r="E61" s="1106"/>
      <c r="F61" s="1116"/>
      <c r="G61" s="1106"/>
      <c r="H61" s="1106"/>
      <c r="I61" s="1106"/>
      <c r="J61" s="1211">
        <v>52</v>
      </c>
      <c r="K61" s="1101"/>
      <c r="M61" s="1108"/>
    </row>
    <row r="62" spans="1:13">
      <c r="A62" s="1091"/>
      <c r="B62" s="2711" t="s">
        <v>1089</v>
      </c>
      <c r="D62" s="1106" t="s">
        <v>1067</v>
      </c>
      <c r="E62" s="1106"/>
      <c r="F62" s="1106"/>
      <c r="G62" s="1106"/>
      <c r="H62" s="1106"/>
      <c r="I62" s="1106"/>
      <c r="J62" s="1211">
        <v>53</v>
      </c>
      <c r="K62" s="1113"/>
      <c r="M62" s="1108"/>
    </row>
    <row r="63" spans="1:13">
      <c r="A63" s="1091"/>
      <c r="B63" s="2711" t="s">
        <v>1090</v>
      </c>
      <c r="D63" s="1106" t="s">
        <v>1228</v>
      </c>
      <c r="E63" s="1106"/>
      <c r="F63" s="1106"/>
      <c r="G63" s="1106"/>
      <c r="H63" s="1107"/>
      <c r="I63" s="1106"/>
      <c r="J63" s="1211">
        <v>54</v>
      </c>
      <c r="K63" s="1113"/>
      <c r="M63" s="1108"/>
    </row>
    <row r="64" spans="1:13">
      <c r="A64" s="1091"/>
      <c r="B64" s="2711" t="s">
        <v>1091</v>
      </c>
      <c r="D64" s="1106" t="s">
        <v>1068</v>
      </c>
      <c r="E64" s="1106"/>
      <c r="F64" s="1106"/>
      <c r="G64" s="1106"/>
      <c r="H64" s="1107"/>
      <c r="I64" s="1106"/>
      <c r="J64" s="1211">
        <v>55</v>
      </c>
      <c r="K64" s="1113"/>
      <c r="M64" s="1108"/>
    </row>
    <row r="65" spans="1:13">
      <c r="A65" s="1091"/>
      <c r="B65" s="1117"/>
      <c r="D65" s="1118"/>
      <c r="E65" s="1118"/>
      <c r="F65" s="1118"/>
      <c r="G65" s="1118"/>
      <c r="H65" s="1118"/>
      <c r="I65" s="1118"/>
      <c r="J65" s="1105"/>
      <c r="K65" s="1113"/>
      <c r="M65" s="1108"/>
    </row>
    <row r="66" spans="1:13" ht="12.95" customHeight="1">
      <c r="A66" s="1091"/>
      <c r="B66" s="1117"/>
      <c r="D66" s="1118"/>
      <c r="E66" s="1118"/>
      <c r="F66" s="1118"/>
      <c r="G66" s="1118"/>
      <c r="H66" s="1118"/>
      <c r="I66" s="1118"/>
      <c r="J66" s="1105"/>
      <c r="K66" s="1113"/>
      <c r="M66" s="1108"/>
    </row>
    <row r="67" spans="1:13" ht="12.95" customHeight="1">
      <c r="A67" s="1091"/>
      <c r="B67" s="1117"/>
      <c r="D67" s="1118"/>
      <c r="E67" s="1118"/>
      <c r="F67" s="1118"/>
      <c r="G67" s="1118"/>
      <c r="H67" s="1118"/>
      <c r="I67" s="1118"/>
      <c r="J67" s="1105"/>
      <c r="K67" s="1113"/>
      <c r="M67" s="1108"/>
    </row>
    <row r="68" spans="1:13" ht="12.95" customHeight="1">
      <c r="A68" s="1091"/>
      <c r="B68" s="1117"/>
      <c r="D68" s="1118"/>
      <c r="E68" s="1118"/>
      <c r="F68" s="1118"/>
      <c r="G68" s="1118"/>
      <c r="H68" s="1118"/>
      <c r="I68" s="1118"/>
      <c r="J68" s="1105"/>
      <c r="K68" s="1113"/>
      <c r="M68" s="1108"/>
    </row>
    <row r="69" spans="1:13" ht="12.95" customHeight="1">
      <c r="A69" s="1091"/>
      <c r="B69" s="1117"/>
      <c r="D69" s="1118"/>
      <c r="E69" s="1118"/>
      <c r="F69" s="1118"/>
      <c r="G69" s="1118"/>
      <c r="H69" s="1118"/>
      <c r="I69" s="1118"/>
      <c r="J69" s="1105"/>
      <c r="K69" s="1113"/>
      <c r="M69" s="1108"/>
    </row>
    <row r="70" spans="1:13" ht="12.95" customHeight="1">
      <c r="A70" s="1091"/>
      <c r="B70" s="1117"/>
      <c r="D70" s="1118"/>
      <c r="E70" s="1118"/>
      <c r="F70" s="1118"/>
      <c r="G70" s="1118"/>
      <c r="H70" s="1118"/>
      <c r="I70" s="1118"/>
      <c r="J70" s="1105"/>
      <c r="K70" s="1113"/>
      <c r="M70" s="1108"/>
    </row>
    <row r="71" spans="1:13" ht="12.95" customHeight="1">
      <c r="A71" s="1091"/>
      <c r="B71" s="1117"/>
      <c r="D71" s="1118"/>
      <c r="E71" s="1118"/>
      <c r="F71" s="1118"/>
      <c r="G71" s="1118"/>
      <c r="H71" s="1118"/>
      <c r="I71" s="1118"/>
      <c r="J71" s="1105"/>
      <c r="K71" s="1113"/>
      <c r="M71" s="1108"/>
    </row>
    <row r="72" spans="1:13" ht="12.95" customHeight="1">
      <c r="A72" s="1091"/>
      <c r="B72" s="1117"/>
      <c r="D72" s="1118"/>
      <c r="E72" s="1118"/>
      <c r="F72" s="1118"/>
      <c r="G72" s="1118"/>
      <c r="H72" s="1118"/>
      <c r="I72" s="1118"/>
      <c r="J72" s="1105"/>
      <c r="K72" s="1113"/>
      <c r="M72" s="1108"/>
    </row>
    <row r="73" spans="1:13" ht="12.95" customHeight="1">
      <c r="A73" s="1091"/>
      <c r="B73" s="1117"/>
      <c r="D73" s="1118"/>
      <c r="E73" s="1118"/>
      <c r="F73" s="1118"/>
      <c r="G73" s="1118"/>
      <c r="H73" s="1118"/>
      <c r="I73" s="1118"/>
      <c r="J73" s="1105"/>
      <c r="K73" s="1113"/>
      <c r="M73" s="1108"/>
    </row>
    <row r="74" spans="1:13" ht="12.95" customHeight="1">
      <c r="A74" s="1091"/>
      <c r="B74" s="1117"/>
      <c r="D74" s="1118"/>
      <c r="E74" s="1118"/>
      <c r="F74" s="1118"/>
      <c r="G74" s="1118"/>
      <c r="H74" s="1118"/>
      <c r="I74" s="1118"/>
      <c r="J74" s="1105"/>
      <c r="K74" s="1113"/>
      <c r="M74" s="1108"/>
    </row>
    <row r="75" spans="1:13" ht="12.95" customHeight="1">
      <c r="A75" s="1091"/>
      <c r="B75" s="1117"/>
      <c r="D75" s="1118"/>
      <c r="E75" s="1118"/>
      <c r="F75" s="1118"/>
      <c r="G75" s="1118"/>
      <c r="H75" s="1118"/>
      <c r="I75" s="1118"/>
      <c r="J75" s="1105"/>
      <c r="K75" s="1113"/>
      <c r="M75" s="1108"/>
    </row>
    <row r="76" spans="1:13" ht="12.95" customHeight="1">
      <c r="A76" s="1091"/>
      <c r="B76" s="1117"/>
      <c r="D76" s="1118"/>
      <c r="E76" s="1118"/>
      <c r="F76" s="1118"/>
      <c r="G76" s="1118"/>
      <c r="H76" s="1118"/>
      <c r="I76" s="1118"/>
      <c r="J76" s="1105"/>
      <c r="K76" s="1113"/>
      <c r="M76" s="1108"/>
    </row>
    <row r="77" spans="1:13" ht="12.95" customHeight="1">
      <c r="A77" s="1091"/>
      <c r="B77" s="1117"/>
      <c r="D77" s="1118"/>
      <c r="E77" s="1118"/>
      <c r="F77" s="1118"/>
      <c r="G77" s="1118"/>
      <c r="H77" s="1118"/>
      <c r="I77" s="1118"/>
      <c r="J77" s="1105"/>
      <c r="K77" s="1113"/>
      <c r="M77" s="1108"/>
    </row>
    <row r="78" spans="1:13" ht="12.95" customHeight="1">
      <c r="A78" s="1091"/>
      <c r="B78" s="1117"/>
      <c r="D78" s="1118"/>
      <c r="E78" s="1118"/>
      <c r="F78" s="1118"/>
      <c r="G78" s="1118"/>
      <c r="H78" s="1118"/>
      <c r="I78" s="1118"/>
      <c r="J78" s="1105"/>
      <c r="K78" s="1113"/>
      <c r="M78" s="1108"/>
    </row>
    <row r="79" spans="1:13" ht="12.95" customHeight="1">
      <c r="A79" s="1091"/>
      <c r="B79" s="1117"/>
      <c r="D79" s="1118"/>
      <c r="E79" s="1118"/>
      <c r="F79" s="1118"/>
      <c r="G79" s="1118"/>
      <c r="H79" s="1118"/>
      <c r="I79" s="1118"/>
      <c r="J79" s="1105"/>
      <c r="K79" s="1113"/>
      <c r="M79" s="1108"/>
    </row>
    <row r="80" spans="1:13" ht="12.95" customHeight="1">
      <c r="A80" s="1091"/>
      <c r="B80" s="1117"/>
      <c r="D80" s="1118"/>
      <c r="E80" s="1118"/>
      <c r="F80" s="1118"/>
      <c r="G80" s="1118"/>
      <c r="H80" s="1118"/>
      <c r="I80" s="1118"/>
      <c r="J80" s="1105"/>
      <c r="K80" s="1113"/>
      <c r="M80" s="1108"/>
    </row>
    <row r="81" spans="1:13" ht="12.95" customHeight="1">
      <c r="A81" s="1091"/>
      <c r="B81" s="1117"/>
      <c r="D81" s="1118"/>
      <c r="E81" s="1118"/>
      <c r="F81" s="1118"/>
      <c r="G81" s="1118"/>
      <c r="H81" s="1118"/>
      <c r="I81" s="1118"/>
      <c r="J81" s="1105"/>
      <c r="K81" s="1113"/>
      <c r="M81" s="1108"/>
    </row>
    <row r="82" spans="1:13" ht="12.95" customHeight="1">
      <c r="A82" s="1091"/>
      <c r="B82" s="1117"/>
      <c r="D82" s="1118"/>
      <c r="E82" s="1118"/>
      <c r="F82" s="1118"/>
      <c r="G82" s="1118"/>
      <c r="H82" s="1118"/>
      <c r="I82" s="1118"/>
      <c r="J82" s="1105"/>
      <c r="K82" s="1113"/>
      <c r="M82" s="1108"/>
    </row>
    <row r="83" spans="1:13" ht="12.95" customHeight="1">
      <c r="A83" s="1091"/>
      <c r="B83" s="1117"/>
      <c r="D83" s="1118"/>
      <c r="E83" s="1118"/>
      <c r="F83" s="1118"/>
      <c r="G83" s="1118"/>
      <c r="H83" s="1118"/>
      <c r="I83" s="1118"/>
      <c r="J83" s="1105"/>
      <c r="K83" s="1113"/>
      <c r="M83" s="1108"/>
    </row>
    <row r="84" spans="1:13" ht="12.95" customHeight="1">
      <c r="A84" s="1091"/>
      <c r="B84" s="1117"/>
      <c r="D84" s="1118"/>
      <c r="E84" s="1118"/>
      <c r="F84" s="1118"/>
      <c r="G84" s="1118"/>
      <c r="H84" s="1118"/>
      <c r="I84" s="1118"/>
      <c r="J84" s="1105"/>
      <c r="K84" s="1113"/>
      <c r="M84" s="1108"/>
    </row>
    <row r="85" spans="1:13" ht="12.95" customHeight="1">
      <c r="A85" s="1091"/>
      <c r="B85" s="1117"/>
      <c r="D85" s="1118"/>
      <c r="E85" s="1118"/>
      <c r="F85" s="1118"/>
      <c r="G85" s="1118"/>
      <c r="H85" s="1118"/>
      <c r="I85" s="1118"/>
      <c r="J85" s="1105"/>
      <c r="K85" s="1113"/>
      <c r="M85" s="1108"/>
    </row>
    <row r="86" spans="1:13" ht="12.95" customHeight="1">
      <c r="A86" s="1091"/>
      <c r="B86" s="1117"/>
      <c r="D86" s="1118"/>
      <c r="E86" s="1118"/>
      <c r="F86" s="1118"/>
      <c r="G86" s="1118"/>
      <c r="H86" s="1118"/>
      <c r="I86" s="1118"/>
      <c r="J86" s="1105"/>
      <c r="K86" s="1113"/>
      <c r="M86" s="1108"/>
    </row>
    <row r="87" spans="1:13" ht="12.95" customHeight="1">
      <c r="A87" s="1091"/>
      <c r="B87" s="1117"/>
      <c r="D87" s="1118"/>
      <c r="E87" s="1118"/>
      <c r="F87" s="1118"/>
      <c r="G87" s="1118"/>
      <c r="H87" s="1118"/>
      <c r="I87" s="1118"/>
      <c r="J87" s="1105"/>
      <c r="K87" s="1113"/>
      <c r="M87" s="1108"/>
    </row>
    <row r="88" spans="1:13" ht="12.95" customHeight="1">
      <c r="A88" s="1091"/>
      <c r="B88" s="1117"/>
      <c r="D88" s="1118"/>
      <c r="E88" s="1118"/>
      <c r="F88" s="1118"/>
      <c r="G88" s="1118"/>
      <c r="H88" s="1118"/>
      <c r="I88" s="1118"/>
      <c r="J88" s="1105"/>
      <c r="K88" s="1113"/>
      <c r="M88" s="1108"/>
    </row>
    <row r="89" spans="1:13" ht="12.95" customHeight="1">
      <c r="A89" s="1091"/>
      <c r="B89" s="1117"/>
      <c r="D89" s="1118"/>
      <c r="E89" s="1118"/>
      <c r="F89" s="1118"/>
      <c r="G89" s="1118"/>
      <c r="H89" s="1118"/>
      <c r="I89" s="1118"/>
      <c r="J89" s="1105"/>
      <c r="K89" s="1113"/>
      <c r="M89" s="1108"/>
    </row>
    <row r="90" spans="1:13" ht="12.95" customHeight="1">
      <c r="A90" s="1091"/>
      <c r="B90" s="1117"/>
      <c r="D90" s="1118"/>
      <c r="E90" s="1118"/>
      <c r="F90" s="1118"/>
      <c r="G90" s="1118"/>
      <c r="H90" s="1118"/>
      <c r="I90" s="1118"/>
      <c r="J90" s="1105"/>
      <c r="K90" s="1113"/>
      <c r="M90" s="1108"/>
    </row>
    <row r="91" spans="1:13" ht="12.95" customHeight="1">
      <c r="A91" s="1091"/>
      <c r="B91" s="1117"/>
      <c r="D91" s="1118"/>
      <c r="E91" s="1118"/>
      <c r="F91" s="1118"/>
      <c r="G91" s="1118"/>
      <c r="H91" s="1118"/>
      <c r="I91" s="1118"/>
      <c r="J91" s="1105"/>
      <c r="K91" s="1113"/>
      <c r="M91" s="1108"/>
    </row>
    <row r="92" spans="1:13" ht="12.95" customHeight="1">
      <c r="A92" s="1091"/>
      <c r="B92" s="1117"/>
      <c r="D92" s="1118"/>
      <c r="E92" s="1118"/>
      <c r="F92" s="1118"/>
      <c r="G92" s="1118"/>
      <c r="H92" s="1118"/>
      <c r="I92" s="1118"/>
      <c r="J92" s="1105"/>
      <c r="K92" s="1113"/>
      <c r="M92" s="1108"/>
    </row>
    <row r="93" spans="1:13" ht="12.95" customHeight="1">
      <c r="A93" s="1091"/>
      <c r="B93" s="1117"/>
      <c r="D93" s="1118"/>
      <c r="E93" s="1118"/>
      <c r="F93" s="1118"/>
      <c r="G93" s="1118"/>
      <c r="H93" s="1118"/>
      <c r="I93" s="1118"/>
      <c r="J93" s="1105"/>
      <c r="M93" s="1108"/>
    </row>
    <row r="94" spans="1:13" ht="12.95" customHeight="1">
      <c r="A94" s="1091"/>
      <c r="B94" s="1117"/>
      <c r="D94" s="1118"/>
      <c r="E94" s="1118"/>
      <c r="F94" s="1118"/>
      <c r="G94" s="1118"/>
      <c r="H94" s="1118"/>
      <c r="I94" s="1118"/>
      <c r="J94" s="1105"/>
      <c r="M94" s="1108"/>
    </row>
    <row r="95" spans="1:13" ht="12.95" customHeight="1">
      <c r="A95" s="1091"/>
      <c r="B95" s="1117"/>
      <c r="D95" s="1118"/>
      <c r="E95" s="1118"/>
      <c r="F95" s="1118"/>
      <c r="G95" s="1118"/>
      <c r="H95" s="1118"/>
      <c r="I95" s="1118"/>
      <c r="J95" s="1105"/>
      <c r="M95" s="1108"/>
    </row>
    <row r="96" spans="1:13" ht="12.95" customHeight="1">
      <c r="A96" s="1091"/>
      <c r="B96" s="1117"/>
      <c r="D96" s="1118"/>
      <c r="E96" s="1118"/>
      <c r="F96" s="1118"/>
      <c r="G96" s="1118"/>
      <c r="H96" s="1118"/>
      <c r="I96" s="1118"/>
      <c r="J96" s="1105"/>
      <c r="M96" s="1108"/>
    </row>
    <row r="97" spans="1:13" ht="12.95" customHeight="1">
      <c r="A97" s="1091"/>
      <c r="B97" s="1117"/>
      <c r="D97" s="1118"/>
      <c r="E97" s="1118"/>
      <c r="F97" s="1118"/>
      <c r="G97" s="1118"/>
      <c r="H97" s="1118"/>
      <c r="I97" s="1118"/>
      <c r="J97" s="1105"/>
      <c r="M97" s="1108"/>
    </row>
    <row r="98" spans="1:13" ht="12.95" customHeight="1">
      <c r="A98" s="1091"/>
      <c r="B98" s="1117"/>
      <c r="D98" s="1118"/>
      <c r="E98" s="1118"/>
      <c r="F98" s="1118"/>
      <c r="G98" s="1118"/>
      <c r="H98" s="1118"/>
      <c r="I98" s="1118"/>
      <c r="J98" s="1105"/>
      <c r="M98" s="1108"/>
    </row>
    <row r="99" spans="1:13" ht="12.95" customHeight="1">
      <c r="A99" s="1091"/>
      <c r="B99" s="1117"/>
      <c r="D99" s="1118"/>
      <c r="E99" s="1118"/>
      <c r="F99" s="1118"/>
      <c r="G99" s="1118"/>
      <c r="H99" s="1118"/>
      <c r="I99" s="1118"/>
      <c r="J99" s="1105"/>
      <c r="M99" s="1108"/>
    </row>
    <row r="100" spans="1:13" ht="12.95" customHeight="1">
      <c r="A100" s="1091"/>
      <c r="B100" s="1117"/>
      <c r="D100" s="1118"/>
      <c r="E100" s="1118"/>
      <c r="F100" s="1118"/>
      <c r="G100" s="1118"/>
      <c r="H100" s="1118"/>
      <c r="I100" s="1118"/>
      <c r="J100" s="1105"/>
      <c r="M100" s="1108"/>
    </row>
    <row r="101" spans="1:13" ht="12.95" customHeight="1">
      <c r="A101" s="1091"/>
      <c r="B101" s="1117"/>
      <c r="D101" s="1118"/>
      <c r="E101" s="1118"/>
      <c r="F101" s="1118"/>
      <c r="G101" s="1118"/>
      <c r="H101" s="1118"/>
      <c r="I101" s="1118"/>
      <c r="J101" s="1105"/>
      <c r="M101" s="1108"/>
    </row>
    <row r="102" spans="1:13">
      <c r="A102" s="1113"/>
      <c r="B102" s="1119"/>
      <c r="C102" s="1113"/>
      <c r="D102" s="1113"/>
      <c r="E102" s="1113"/>
      <c r="F102" s="1113"/>
      <c r="G102" s="1113"/>
      <c r="H102" s="1113"/>
      <c r="I102" s="1113"/>
      <c r="J102" s="1121"/>
    </row>
    <row r="103" spans="1:13">
      <c r="B103" s="1117"/>
      <c r="J103" s="1120"/>
    </row>
    <row r="104" spans="1:13">
      <c r="B104" s="1117"/>
      <c r="J104" s="1120"/>
    </row>
    <row r="105" spans="1:13">
      <c r="B105" s="1117"/>
    </row>
    <row r="106" spans="1:13">
      <c r="B106" s="1117"/>
    </row>
    <row r="107" spans="1:13">
      <c r="B107" s="1117"/>
    </row>
    <row r="108" spans="1:13">
      <c r="B108" s="1117"/>
    </row>
    <row r="109" spans="1:13">
      <c r="B109" s="1117"/>
    </row>
    <row r="110" spans="1:13">
      <c r="B110" s="111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dimension ref="A1:AD51"/>
  <sheetViews>
    <sheetView showGridLines="0" zoomScale="70" zoomScaleNormal="70" workbookViewId="0"/>
  </sheetViews>
  <sheetFormatPr defaultRowHeight="15"/>
  <cols>
    <col min="1" max="1" width="50.33203125" style="1909" customWidth="1"/>
    <col min="2" max="2" width="3.6640625" style="1155" customWidth="1"/>
    <col min="3" max="3" width="16.6640625" style="1155" customWidth="1"/>
    <col min="4" max="4" width="4.77734375" style="1155" customWidth="1"/>
    <col min="5" max="5" width="16.44140625" style="792" customWidth="1"/>
    <col min="6" max="6" width="4.77734375" style="1913" customWidth="1"/>
    <col min="7" max="7" width="14.33203125" style="1913" customWidth="1"/>
    <col min="8" max="8" width="4.77734375" style="1913" customWidth="1"/>
    <col min="9" max="9" width="16.109375" style="1913" customWidth="1"/>
    <col min="10" max="10" width="4.77734375" style="1155" customWidth="1"/>
    <col min="11" max="11" width="12.5546875" style="1155" customWidth="1"/>
    <col min="12" max="12" width="11.44140625" style="1155" customWidth="1"/>
    <col min="13" max="13" width="1.88671875" style="1155" customWidth="1"/>
    <col min="14" max="14" width="11.6640625" style="1155" customWidth="1"/>
    <col min="15" max="15" width="2.109375" style="1155" customWidth="1"/>
    <col min="16" max="16" width="11.44140625" style="1155" customWidth="1"/>
    <col min="17" max="17" width="0.5546875" style="1155" customWidth="1"/>
    <col min="18" max="18" width="2.33203125" style="1155" customWidth="1"/>
    <col min="19" max="19" width="10.5546875" style="1155" customWidth="1"/>
    <col min="20" max="20" width="11.109375" style="1155" customWidth="1"/>
    <col min="21" max="21" width="2.21875" style="1155" customWidth="1"/>
    <col min="22" max="22" width="11.109375" style="1155" customWidth="1"/>
    <col min="23" max="23" width="2.109375" style="1155" customWidth="1"/>
    <col min="24" max="24" width="12.44140625" style="1155" customWidth="1"/>
    <col min="25" max="29" width="8.88671875" style="1155"/>
    <col min="30" max="30" width="8.88671875" style="1913"/>
    <col min="31" max="16384" width="8.88671875" style="1909"/>
  </cols>
  <sheetData>
    <row r="1" spans="1:24">
      <c r="A1" s="1190" t="s">
        <v>1231</v>
      </c>
      <c r="B1" s="389"/>
      <c r="C1" s="389"/>
      <c r="D1" s="389"/>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9"/>
      <c r="F3" s="345"/>
      <c r="G3" s="345"/>
      <c r="H3" s="345"/>
      <c r="I3" s="1736"/>
      <c r="J3" s="345"/>
      <c r="K3" s="1736" t="s">
        <v>86</v>
      </c>
      <c r="L3" s="359"/>
      <c r="M3" s="359"/>
      <c r="N3" s="359"/>
      <c r="O3" s="359"/>
      <c r="P3" s="359"/>
      <c r="Q3" s="359"/>
      <c r="R3" s="359"/>
      <c r="S3" s="359"/>
      <c r="T3" s="359"/>
      <c r="U3" s="359"/>
      <c r="V3" s="359"/>
      <c r="W3" s="359"/>
      <c r="X3" s="395"/>
    </row>
    <row r="4" spans="1:24" ht="21.75" customHeight="1">
      <c r="A4" s="394" t="s">
        <v>85</v>
      </c>
      <c r="B4" s="359"/>
      <c r="C4" s="359"/>
      <c r="D4" s="359"/>
      <c r="E4" s="789"/>
      <c r="F4" s="345"/>
      <c r="G4" s="345"/>
      <c r="H4" s="345"/>
      <c r="I4" s="1737"/>
      <c r="J4" s="345"/>
      <c r="K4" s="1737" t="s">
        <v>107</v>
      </c>
      <c r="L4" s="359"/>
      <c r="M4" s="359"/>
      <c r="N4" s="359"/>
      <c r="O4" s="359"/>
      <c r="P4" s="359"/>
      <c r="Q4" s="359"/>
      <c r="R4" s="359"/>
      <c r="S4" s="359"/>
      <c r="T4" s="359"/>
      <c r="U4" s="359"/>
      <c r="V4" s="359"/>
      <c r="W4" s="359"/>
      <c r="X4" s="359"/>
    </row>
    <row r="5" spans="1:24" ht="21.75" customHeight="1">
      <c r="A5" s="3258" t="s">
        <v>1543</v>
      </c>
      <c r="B5" s="359"/>
      <c r="C5" s="359"/>
      <c r="D5" s="359"/>
      <c r="E5" s="789"/>
      <c r="F5" s="345"/>
      <c r="G5" s="345"/>
      <c r="H5" s="345"/>
      <c r="I5" s="345"/>
      <c r="J5" s="345"/>
      <c r="K5" s="359"/>
      <c r="L5" s="359"/>
      <c r="M5" s="359"/>
      <c r="N5" s="359"/>
      <c r="O5" s="359"/>
      <c r="P5" s="359"/>
      <c r="Q5" s="359"/>
      <c r="R5" s="359"/>
      <c r="S5" s="359"/>
      <c r="T5" s="359"/>
      <c r="U5" s="359"/>
      <c r="V5" s="359"/>
      <c r="W5" s="359"/>
      <c r="X5" s="359"/>
    </row>
    <row r="6" spans="1:24" ht="17.25" customHeight="1">
      <c r="A6" s="2893" t="str">
        <f>+'Exh D-Governmental  '!A6</f>
        <v>FOR TWO MONTHS ENDED MAY 31, 2015</v>
      </c>
      <c r="B6" s="359"/>
      <c r="C6" s="359"/>
      <c r="D6" s="359"/>
      <c r="E6" s="789"/>
      <c r="F6" s="345"/>
      <c r="G6" s="345"/>
      <c r="H6" s="345"/>
      <c r="I6" s="345"/>
      <c r="J6" s="345"/>
      <c r="K6" s="359"/>
      <c r="L6" s="359"/>
      <c r="M6" s="359"/>
      <c r="N6" s="359"/>
      <c r="O6" s="359"/>
      <c r="P6" s="359"/>
      <c r="Q6" s="359"/>
      <c r="R6" s="359"/>
      <c r="S6" s="359"/>
      <c r="T6" s="359"/>
      <c r="U6" s="359"/>
      <c r="V6" s="359"/>
      <c r="W6" s="359"/>
      <c r="X6" s="359"/>
    </row>
    <row r="7" spans="1:24" ht="18">
      <c r="A7" s="394" t="s">
        <v>1117</v>
      </c>
      <c r="B7" s="359"/>
      <c r="C7" s="359"/>
      <c r="D7" s="359"/>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9"/>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9"/>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5"/>
      <c r="C11" s="2362"/>
      <c r="D11" s="2362"/>
      <c r="E11" s="2396" t="s">
        <v>1431</v>
      </c>
      <c r="F11" s="2369"/>
      <c r="G11" s="2369"/>
      <c r="H11" s="2369"/>
      <c r="I11" s="2369"/>
      <c r="J11" s="2372"/>
      <c r="K11" s="2361"/>
      <c r="L11" s="397"/>
      <c r="M11" s="397"/>
      <c r="N11" s="397"/>
      <c r="O11" s="397"/>
      <c r="P11" s="397"/>
      <c r="Q11" s="397"/>
      <c r="R11" s="354"/>
      <c r="S11" s="397"/>
      <c r="T11" s="398"/>
      <c r="U11" s="397"/>
      <c r="V11" s="397"/>
      <c r="W11" s="397"/>
      <c r="X11" s="397"/>
    </row>
    <row r="12" spans="1:24" ht="15.75">
      <c r="A12" s="1365"/>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5"/>
      <c r="E13" s="793"/>
      <c r="F13" s="399"/>
      <c r="G13" s="400"/>
      <c r="H13" s="399"/>
      <c r="I13" s="402" t="s">
        <v>1124</v>
      </c>
      <c r="J13" s="354"/>
      <c r="K13" s="402" t="s">
        <v>1124</v>
      </c>
      <c r="L13" s="397"/>
      <c r="M13" s="397"/>
      <c r="N13" s="397"/>
      <c r="O13" s="397"/>
      <c r="P13" s="397"/>
      <c r="Q13" s="397"/>
      <c r="R13" s="354"/>
      <c r="S13" s="397"/>
      <c r="T13" s="398"/>
      <c r="U13" s="397"/>
      <c r="V13" s="397"/>
      <c r="W13" s="397"/>
      <c r="X13" s="397"/>
    </row>
    <row r="14" spans="1:24" ht="15.75">
      <c r="A14" s="1365"/>
      <c r="B14" s="354"/>
      <c r="C14" s="357" t="s">
        <v>1370</v>
      </c>
      <c r="D14" s="354"/>
      <c r="E14" s="356" t="s">
        <v>1371</v>
      </c>
      <c r="F14" s="401"/>
      <c r="G14" s="401"/>
      <c r="H14" s="401"/>
      <c r="I14" s="356" t="s">
        <v>88</v>
      </c>
      <c r="J14" s="354"/>
      <c r="K14" s="356" t="s">
        <v>88</v>
      </c>
      <c r="L14" s="354"/>
      <c r="M14" s="354"/>
      <c r="N14" s="354"/>
      <c r="O14" s="354"/>
      <c r="P14" s="403"/>
      <c r="Q14" s="404"/>
      <c r="R14" s="354"/>
      <c r="S14" s="354"/>
      <c r="T14" s="354"/>
      <c r="U14" s="354"/>
      <c r="V14" s="354"/>
      <c r="W14" s="354"/>
      <c r="X14" s="403"/>
    </row>
    <row r="15" spans="1:24" ht="15.75">
      <c r="A15" s="1365"/>
      <c r="B15" s="405"/>
      <c r="C15" s="356" t="s">
        <v>1414</v>
      </c>
      <c r="D15" s="405"/>
      <c r="E15" s="356" t="s">
        <v>1414</v>
      </c>
      <c r="F15" s="355"/>
      <c r="G15" s="355"/>
      <c r="H15" s="355"/>
      <c r="I15" s="356" t="s">
        <v>1370</v>
      </c>
      <c r="J15" s="354"/>
      <c r="K15" s="356" t="s">
        <v>1371</v>
      </c>
      <c r="L15" s="404"/>
      <c r="M15" s="354"/>
      <c r="N15" s="354"/>
      <c r="O15" s="354"/>
      <c r="P15" s="403"/>
      <c r="Q15" s="404"/>
      <c r="R15" s="354"/>
      <c r="S15" s="403"/>
      <c r="T15" s="404"/>
      <c r="U15" s="354"/>
      <c r="V15" s="354"/>
      <c r="W15" s="354"/>
      <c r="X15" s="403"/>
    </row>
    <row r="16" spans="1:24" ht="15.75">
      <c r="A16" s="1365"/>
      <c r="B16" s="404"/>
      <c r="C16" s="2371" t="s">
        <v>1415</v>
      </c>
      <c r="D16" s="404"/>
      <c r="E16" s="356" t="s">
        <v>1565</v>
      </c>
      <c r="F16" s="355"/>
      <c r="G16" s="357" t="s">
        <v>87</v>
      </c>
      <c r="H16" s="355"/>
      <c r="I16" s="356" t="s">
        <v>89</v>
      </c>
      <c r="J16" s="354"/>
      <c r="K16" s="2371"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75">
      <c r="A18" s="221" t="s">
        <v>15</v>
      </c>
      <c r="B18" s="1901"/>
      <c r="C18" s="1901"/>
      <c r="D18" s="1901"/>
      <c r="E18" s="1257"/>
      <c r="F18" s="1257"/>
      <c r="G18" s="1257"/>
      <c r="H18" s="1257"/>
      <c r="I18" s="1257"/>
      <c r="J18" s="1901"/>
      <c r="K18" s="1901"/>
      <c r="L18" s="1901"/>
      <c r="M18" s="1901"/>
      <c r="N18" s="1901"/>
      <c r="O18" s="1901"/>
      <c r="P18" s="1901"/>
      <c r="Q18" s="1901"/>
      <c r="R18" s="1901"/>
      <c r="S18" s="1901"/>
      <c r="T18" s="1901"/>
      <c r="U18" s="1901"/>
      <c r="V18" s="1901"/>
      <c r="W18" s="1901"/>
      <c r="X18" s="1901"/>
    </row>
    <row r="19" spans="1:24">
      <c r="A19" s="1727" t="s">
        <v>90</v>
      </c>
      <c r="B19" s="1902"/>
      <c r="C19" s="1902"/>
      <c r="D19" s="1902"/>
      <c r="E19" s="1257"/>
      <c r="F19" s="1257"/>
      <c r="G19" s="1257"/>
      <c r="H19" s="1902"/>
      <c r="I19" s="1257"/>
      <c r="J19" s="1901"/>
      <c r="K19" s="3268"/>
      <c r="L19" s="1901"/>
      <c r="M19" s="1901"/>
      <c r="N19" s="1901"/>
      <c r="O19" s="1901"/>
      <c r="P19" s="1901"/>
      <c r="Q19" s="1901"/>
      <c r="R19" s="1901"/>
      <c r="S19" s="1901"/>
      <c r="T19" s="1901"/>
      <c r="U19" s="1901"/>
      <c r="V19" s="1901"/>
      <c r="W19" s="1901"/>
      <c r="X19" s="1901"/>
    </row>
    <row r="20" spans="1:24">
      <c r="A20" s="1727" t="s">
        <v>91</v>
      </c>
      <c r="B20" s="1902"/>
      <c r="C20" s="1919">
        <f>+'Exh D Special Revenue State Fed'!C20</f>
        <v>3</v>
      </c>
      <c r="D20" s="1902"/>
      <c r="E20" s="1919">
        <f>+'Exh D Special Revenue State Fed'!E20</f>
        <v>0</v>
      </c>
      <c r="F20" s="1260"/>
      <c r="G20" s="1919">
        <f>+'Exh D Special Revenue State Fed'!G20</f>
        <v>3.1</v>
      </c>
      <c r="H20" s="1260"/>
      <c r="I20" s="1258">
        <f>ROUND(SUM(G20)-SUM(C20),1)</f>
        <v>0.1</v>
      </c>
      <c r="J20" s="1901"/>
      <c r="K20" s="3270">
        <v>0</v>
      </c>
      <c r="L20" s="1901"/>
      <c r="M20" s="1901"/>
      <c r="N20" s="1901"/>
      <c r="O20" s="1901"/>
      <c r="P20" s="1901"/>
      <c r="Q20" s="1901"/>
      <c r="R20" s="1901"/>
      <c r="S20" s="1901"/>
      <c r="T20" s="1901"/>
      <c r="U20" s="1901"/>
      <c r="V20" s="1901"/>
      <c r="W20" s="1901"/>
      <c r="X20" s="1901"/>
    </row>
    <row r="21" spans="1:24">
      <c r="A21" s="1727" t="s">
        <v>92</v>
      </c>
      <c r="B21" s="1901"/>
      <c r="C21" s="1177">
        <f>+'Exh D Special Revenue State Fed'!C21</f>
        <v>352</v>
      </c>
      <c r="D21" s="1901"/>
      <c r="E21" s="1177">
        <f>+'Exh D Special Revenue State Fed'!E21</f>
        <v>0</v>
      </c>
      <c r="F21" s="1177"/>
      <c r="G21" s="1177">
        <f>+'Exh D Special Revenue State Fed'!G21</f>
        <v>350.4</v>
      </c>
      <c r="H21" s="1177"/>
      <c r="I21" s="1177">
        <f>ROUND(SUM(G21)-SUM(C21),1)</f>
        <v>-1.6</v>
      </c>
      <c r="J21" s="1921"/>
      <c r="K21" s="3271">
        <v>0</v>
      </c>
      <c r="L21" s="1901"/>
      <c r="M21" s="1901"/>
      <c r="N21" s="1901"/>
      <c r="O21" s="1901"/>
      <c r="P21" s="1901"/>
      <c r="Q21" s="1901"/>
      <c r="R21" s="1901"/>
      <c r="S21" s="1901"/>
      <c r="T21" s="1901"/>
      <c r="U21" s="1901"/>
      <c r="V21" s="1901"/>
      <c r="W21" s="1901"/>
      <c r="X21" s="1901"/>
    </row>
    <row r="22" spans="1:24">
      <c r="A22" s="1727" t="s">
        <v>93</v>
      </c>
      <c r="B22" s="1902"/>
      <c r="C22" s="1177">
        <f>+'Exh D Special Revenue State Fed'!C22</f>
        <v>118</v>
      </c>
      <c r="D22" s="1902"/>
      <c r="E22" s="1177">
        <f>+'Exh D Special Revenue State Fed'!E22</f>
        <v>0</v>
      </c>
      <c r="F22" s="1333"/>
      <c r="G22" s="1177">
        <f>+'Exh D Special Revenue State Fed'!G22</f>
        <v>104</v>
      </c>
      <c r="H22" s="1333"/>
      <c r="I22" s="1177">
        <f>ROUND(SUM(G22)-SUM(C22),1)</f>
        <v>-14</v>
      </c>
      <c r="J22" s="1922"/>
      <c r="K22" s="3271">
        <v>0</v>
      </c>
      <c r="L22" s="1901"/>
      <c r="M22" s="1923"/>
      <c r="N22" s="1901"/>
      <c r="O22" s="1923"/>
      <c r="P22" s="1901"/>
      <c r="Q22" s="1901"/>
      <c r="R22" s="1923"/>
      <c r="S22" s="1901"/>
      <c r="T22" s="1901"/>
      <c r="U22" s="1923"/>
      <c r="V22" s="406"/>
      <c r="W22" s="1923"/>
      <c r="X22" s="1901"/>
    </row>
    <row r="23" spans="1:24">
      <c r="A23" s="1727" t="s">
        <v>94</v>
      </c>
      <c r="B23" s="1901"/>
      <c r="C23" s="1177">
        <f>+'Exh D Special Revenue State Fed'!C23</f>
        <v>219</v>
      </c>
      <c r="D23" s="1901"/>
      <c r="E23" s="1177">
        <f>+'Exh D Special Revenue State Fed'!E23</f>
        <v>0</v>
      </c>
      <c r="F23" s="1177"/>
      <c r="G23" s="1177">
        <f>+'Exh D Special Revenue State Fed'!G23</f>
        <v>219.9</v>
      </c>
      <c r="H23" s="1177"/>
      <c r="I23" s="1177">
        <f>ROUND(SUM(G23)-SUM(C23),1)</f>
        <v>0.9</v>
      </c>
      <c r="J23" s="1921"/>
      <c r="K23" s="3271">
        <v>0</v>
      </c>
      <c r="L23" s="1901"/>
      <c r="M23" s="1901"/>
      <c r="N23" s="1901"/>
      <c r="O23" s="1901"/>
      <c r="P23" s="1901"/>
      <c r="Q23" s="1901"/>
      <c r="R23" s="1901"/>
      <c r="S23" s="1901"/>
      <c r="T23" s="1901"/>
      <c r="U23" s="1901"/>
      <c r="V23" s="1901"/>
      <c r="W23" s="1901"/>
      <c r="X23" s="1901"/>
    </row>
    <row r="24" spans="1:24" ht="15" customHeight="1">
      <c r="A24" s="1727" t="s">
        <v>21</v>
      </c>
      <c r="B24" s="1901"/>
      <c r="C24" s="1177">
        <f>+'Exh D Special Revenue State Fed'!C24+'Exh D Special Revenue State Fed'!N24</f>
        <v>2207</v>
      </c>
      <c r="D24" s="1901"/>
      <c r="E24" s="1177">
        <f>+'Exh D Special Revenue State Fed'!E24+'Exh D Special Revenue State Fed'!P24</f>
        <v>0</v>
      </c>
      <c r="F24" s="1177"/>
      <c r="G24" s="1177">
        <f>+'Exh D Special Revenue State Fed'!G24+'Exh D Special Revenue State Fed'!R24</f>
        <v>2054.8000000000002</v>
      </c>
      <c r="H24" s="1177"/>
      <c r="I24" s="1177">
        <f>ROUND(SUM(G24)-SUM(C24),1)</f>
        <v>-152.19999999999999</v>
      </c>
      <c r="J24" s="1921"/>
      <c r="K24" s="3271">
        <v>0</v>
      </c>
      <c r="L24" s="1901"/>
      <c r="M24" s="1901"/>
      <c r="N24" s="1901"/>
      <c r="O24" s="1901"/>
      <c r="P24" s="1901"/>
      <c r="Q24" s="1901"/>
      <c r="R24" s="1901"/>
      <c r="S24" s="1901"/>
      <c r="T24" s="1901"/>
      <c r="U24" s="1901"/>
      <c r="V24" s="1901"/>
      <c r="W24" s="1901"/>
      <c r="X24" s="1901"/>
    </row>
    <row r="25" spans="1:24" ht="15" customHeight="1">
      <c r="A25" s="1727" t="s">
        <v>22</v>
      </c>
      <c r="B25" s="1901"/>
      <c r="C25" s="1177">
        <f>+'Exh D Special Revenue State Fed'!C25+'Exh D Special Revenue State Fed'!N25</f>
        <v>6379</v>
      </c>
      <c r="D25" s="1901"/>
      <c r="E25" s="1177">
        <f>+'Exh D Special Revenue State Fed'!E25+'Exh D Special Revenue State Fed'!P25</f>
        <v>0</v>
      </c>
      <c r="F25" s="1177"/>
      <c r="G25" s="1177">
        <f>+'Exh D Special Revenue State Fed'!G25+'Exh D Special Revenue State Fed'!R25</f>
        <v>6207.6</v>
      </c>
      <c r="H25" s="1177"/>
      <c r="I25" s="1177">
        <f t="shared" ref="I25:I26" si="0">ROUND(SUM(G25)-SUM(C25),1)</f>
        <v>-171.4</v>
      </c>
      <c r="J25" s="1921"/>
      <c r="K25" s="3271">
        <v>0</v>
      </c>
      <c r="L25" s="1926"/>
      <c r="M25" s="1901"/>
      <c r="N25" s="1926"/>
      <c r="O25" s="1901"/>
      <c r="P25" s="1926"/>
      <c r="Q25" s="1927"/>
      <c r="R25" s="1901"/>
      <c r="S25" s="1901"/>
      <c r="T25" s="1901"/>
      <c r="U25" s="1901"/>
      <c r="V25" s="1901"/>
      <c r="W25" s="1901"/>
      <c r="X25" s="1901"/>
    </row>
    <row r="26" spans="1:24">
      <c r="A26" s="1727" t="s">
        <v>1571</v>
      </c>
      <c r="B26" s="1926"/>
      <c r="C26" s="1906">
        <f>+'Exh D Special Revenue State Fed'!C26</f>
        <v>2763</v>
      </c>
      <c r="D26" s="1926"/>
      <c r="E26" s="1906">
        <f>+'Exh D Special Revenue State Fed'!E26</f>
        <v>0</v>
      </c>
      <c r="F26" s="1177"/>
      <c r="G26" s="1906">
        <f>+'Exh D Special Revenue State Fed'!G26</f>
        <v>2629.1</v>
      </c>
      <c r="H26" s="1177"/>
      <c r="I26" s="1907">
        <f t="shared" si="0"/>
        <v>-133.9</v>
      </c>
      <c r="J26" s="1921"/>
      <c r="K26" s="3281">
        <v>0</v>
      </c>
      <c r="L26" s="1926"/>
      <c r="M26" s="1901"/>
      <c r="N26" s="1926"/>
      <c r="O26" s="1901"/>
      <c r="P26" s="1926"/>
      <c r="Q26" s="1927"/>
      <c r="R26" s="1901"/>
      <c r="S26" s="1901"/>
      <c r="T26" s="1901"/>
      <c r="U26" s="1901"/>
      <c r="V26" s="1901"/>
      <c r="W26" s="1901"/>
      <c r="X26" s="1901"/>
    </row>
    <row r="27" spans="1:24" ht="18" customHeight="1">
      <c r="A27" s="2258" t="s">
        <v>113</v>
      </c>
      <c r="B27" s="354"/>
      <c r="C27" s="1745">
        <f>ROUND(SUM(C20:C26),1)</f>
        <v>12041</v>
      </c>
      <c r="D27" s="354"/>
      <c r="E27" s="1745">
        <f>ROUND(SUM(E20:E26),1)</f>
        <v>0</v>
      </c>
      <c r="F27" s="1899"/>
      <c r="G27" s="1745">
        <f>ROUND(SUM(G20:G26),1)</f>
        <v>11568.9</v>
      </c>
      <c r="H27" s="1899"/>
      <c r="I27" s="1745">
        <f>ROUND(SUM(I20:I26),1)</f>
        <v>-472.1</v>
      </c>
      <c r="J27" s="273"/>
      <c r="K27" s="3272">
        <f>ROUND(SUM(K20:K26),1)</f>
        <v>0</v>
      </c>
      <c r="L27" s="354"/>
      <c r="M27" s="354"/>
      <c r="N27" s="354"/>
      <c r="O27" s="354"/>
      <c r="P27" s="354"/>
      <c r="Q27" s="354"/>
      <c r="R27" s="354"/>
      <c r="S27" s="354"/>
      <c r="T27" s="354"/>
      <c r="U27" s="354"/>
      <c r="V27" s="354"/>
      <c r="W27" s="354"/>
      <c r="X27" s="354"/>
    </row>
    <row r="28" spans="1:24">
      <c r="A28" s="1365"/>
      <c r="B28" s="1901"/>
      <c r="C28" s="1921"/>
      <c r="D28" s="1901"/>
      <c r="E28" s="1363"/>
      <c r="F28" s="1177"/>
      <c r="G28" s="1363"/>
      <c r="H28" s="1177"/>
      <c r="I28" s="1363"/>
      <c r="J28" s="1921"/>
      <c r="K28" s="1363"/>
      <c r="L28" s="1901"/>
      <c r="M28" s="1901"/>
      <c r="N28" s="1901"/>
      <c r="O28" s="1901"/>
      <c r="P28" s="1901"/>
      <c r="Q28" s="1901"/>
      <c r="R28" s="1901"/>
      <c r="S28" s="1901"/>
      <c r="T28" s="1901"/>
      <c r="U28" s="1901"/>
      <c r="V28" s="1901"/>
      <c r="W28" s="1901"/>
      <c r="X28" s="1901"/>
    </row>
    <row r="29" spans="1:24" ht="15.75">
      <c r="A29" s="221" t="s">
        <v>24</v>
      </c>
      <c r="B29" s="1901"/>
      <c r="C29" s="1921"/>
      <c r="D29" s="1901"/>
      <c r="E29" s="1177"/>
      <c r="F29" s="1177"/>
      <c r="G29" s="1177"/>
      <c r="H29" s="1177"/>
      <c r="I29" s="1177"/>
      <c r="J29" s="1921"/>
      <c r="K29" s="3271"/>
      <c r="L29" s="1901"/>
      <c r="M29" s="1901"/>
      <c r="N29" s="1901"/>
      <c r="O29" s="1901"/>
      <c r="P29" s="1901"/>
      <c r="Q29" s="1901"/>
      <c r="R29" s="1901"/>
      <c r="S29" s="1901"/>
      <c r="T29" s="1901"/>
      <c r="U29" s="1901"/>
      <c r="V29" s="1901"/>
      <c r="W29" s="1901"/>
      <c r="X29" s="1901"/>
    </row>
    <row r="30" spans="1:24">
      <c r="A30" s="1727" t="s">
        <v>96</v>
      </c>
      <c r="B30" s="1923"/>
      <c r="C30" s="1333">
        <f>+'Exh D Special Revenue State Fed'!C30+'Exh D Special Revenue State Fed'!N30</f>
        <v>7839</v>
      </c>
      <c r="D30" s="1923"/>
      <c r="E30" s="1333">
        <f>+'Exh D Special Revenue State Fed'!E30+'Exh D Special Revenue State Fed'!P30</f>
        <v>0</v>
      </c>
      <c r="F30" s="1177"/>
      <c r="G30" s="1333">
        <f>+'Exh D Special Revenue State Fed'!G30+'Exh D Special Revenue State Fed'!R30</f>
        <v>7489.2</v>
      </c>
      <c r="H30" s="1177"/>
      <c r="I30" s="1177">
        <f>ROUND(SUM(G30)-SUM(C30),1)</f>
        <v>-349.8</v>
      </c>
      <c r="J30" s="1921"/>
      <c r="K30" s="3271">
        <v>0</v>
      </c>
      <c r="L30" s="1926"/>
      <c r="M30" s="1901"/>
      <c r="N30" s="1926"/>
      <c r="O30" s="1901"/>
      <c r="P30" s="1926"/>
      <c r="Q30" s="1927"/>
      <c r="R30" s="1901"/>
      <c r="S30" s="1901"/>
      <c r="T30" s="1901"/>
      <c r="U30" s="1901"/>
      <c r="V30" s="1901"/>
      <c r="W30" s="1901"/>
      <c r="X30" s="1901"/>
    </row>
    <row r="31" spans="1:24">
      <c r="A31" s="1727" t="s">
        <v>97</v>
      </c>
      <c r="B31" s="1923"/>
      <c r="C31" s="1333">
        <f>+'Exh D Special Revenue State Fed'!C31+'Exh D Special Revenue State Fed'!N31</f>
        <v>1897</v>
      </c>
      <c r="D31" s="1923"/>
      <c r="E31" s="1333">
        <f>+'Exh D Special Revenue State Fed'!E31+'Exh D Special Revenue State Fed'!P31</f>
        <v>0</v>
      </c>
      <c r="F31" s="1177"/>
      <c r="G31" s="1333">
        <f>+'Exh D Special Revenue State Fed'!G31+'Exh D Special Revenue State Fed'!R31</f>
        <v>1870.5</v>
      </c>
      <c r="H31" s="1177"/>
      <c r="I31" s="1177">
        <f>ROUND(SUM(G31)-SUM(C31),1)</f>
        <v>-26.5</v>
      </c>
      <c r="J31" s="1921"/>
      <c r="K31" s="3271">
        <v>0</v>
      </c>
      <c r="L31" s="1923"/>
      <c r="M31" s="1901"/>
      <c r="N31" s="1923"/>
      <c r="O31" s="1901"/>
      <c r="P31" s="1926"/>
      <c r="Q31" s="1901"/>
      <c r="R31" s="1901"/>
      <c r="S31" s="1926"/>
      <c r="T31" s="1926"/>
      <c r="U31" s="1901"/>
      <c r="V31" s="1926"/>
      <c r="W31" s="1901"/>
      <c r="X31" s="1926"/>
    </row>
    <row r="32" spans="1:24">
      <c r="A32" s="1727" t="s">
        <v>72</v>
      </c>
      <c r="B32" s="1923"/>
      <c r="C32" s="1333">
        <f>+'Exh D Special Revenue State Fed'!C32+'Exh D Special Revenue State Fed'!N32</f>
        <v>286</v>
      </c>
      <c r="D32" s="1923"/>
      <c r="E32" s="1358">
        <f>+'Exh D Special Revenue State Fed'!E32+'Exh D Special Revenue State Fed'!P32</f>
        <v>0</v>
      </c>
      <c r="F32" s="1177"/>
      <c r="G32" s="1333">
        <f>+'Exh D Special Revenue State Fed'!G32+'Exh D Special Revenue State Fed'!R32</f>
        <v>291</v>
      </c>
      <c r="H32" s="1177"/>
      <c r="I32" s="1177">
        <f>ROUND(SUM(G32)-SUM(C32),1)</f>
        <v>5</v>
      </c>
      <c r="J32" s="1921"/>
      <c r="K32" s="3271">
        <v>0</v>
      </c>
      <c r="L32" s="1926"/>
      <c r="M32" s="1901"/>
      <c r="N32" s="1926"/>
      <c r="O32" s="1901"/>
      <c r="P32" s="1926"/>
      <c r="Q32" s="1927"/>
      <c r="R32" s="1901"/>
      <c r="S32" s="1926"/>
      <c r="T32" s="1926"/>
      <c r="U32" s="1901"/>
      <c r="V32" s="1926"/>
      <c r="W32" s="1901"/>
      <c r="X32" s="1926"/>
    </row>
    <row r="33" spans="1:24">
      <c r="A33" s="1727" t="s">
        <v>43</v>
      </c>
      <c r="B33" s="1923"/>
      <c r="C33" s="1361">
        <f>+'Exh D Special Revenue State Fed'!C33+'Exh D Special Revenue State Fed'!N33</f>
        <v>0</v>
      </c>
      <c r="D33" s="1923"/>
      <c r="E33" s="1361">
        <f>+'Exh D Special Revenue State Fed'!E33+'Exh D Special Revenue State Fed'!P33</f>
        <v>0</v>
      </c>
      <c r="F33" s="1177"/>
      <c r="G33" s="1361">
        <f>+'Exh D Special Revenue State Fed'!G33+'Exh D Special Revenue State Fed'!R33</f>
        <v>0.2</v>
      </c>
      <c r="H33" s="1177"/>
      <c r="I33" s="1177">
        <f>ROUND(SUM(G33)-SUM(C33),1)</f>
        <v>0.2</v>
      </c>
      <c r="J33" s="1921"/>
      <c r="K33" s="3271">
        <v>0</v>
      </c>
      <c r="L33" s="1926"/>
      <c r="M33" s="1901"/>
      <c r="N33" s="1926"/>
      <c r="O33" s="1901"/>
      <c r="P33" s="1926"/>
      <c r="Q33" s="1927"/>
      <c r="R33" s="1901"/>
      <c r="S33" s="1901"/>
      <c r="T33" s="1901"/>
      <c r="U33" s="1901"/>
      <c r="V33" s="1901"/>
      <c r="W33" s="1901"/>
      <c r="X33" s="1901"/>
    </row>
    <row r="34" spans="1:24">
      <c r="A34" s="1727" t="s">
        <v>1572</v>
      </c>
      <c r="B34" s="1923"/>
      <c r="C34" s="1333">
        <f>+'Exh D Special Revenue State Fed'!C34+'Exh D Special Revenue State Fed'!N34</f>
        <v>540</v>
      </c>
      <c r="D34" s="1923"/>
      <c r="E34" s="1333">
        <f>+'Exh D Special Revenue State Fed'!E34+'Exh D Special Revenue State Fed'!P34</f>
        <v>0</v>
      </c>
      <c r="F34" s="1177"/>
      <c r="G34" s="1333">
        <f>+'Exh D Special Revenue State Fed'!G34+'Exh D Special Revenue State Fed'!R34</f>
        <v>474.70000000000005</v>
      </c>
      <c r="H34" s="1177"/>
      <c r="I34" s="1177">
        <f>ROUND(SUM(G34)-SUM(C34),1)</f>
        <v>-65.3</v>
      </c>
      <c r="J34" s="1921"/>
      <c r="K34" s="3271">
        <v>0</v>
      </c>
      <c r="L34" s="1926"/>
      <c r="M34" s="1901"/>
      <c r="N34" s="1926"/>
      <c r="O34" s="1901"/>
      <c r="P34" s="1926"/>
      <c r="Q34" s="1927"/>
      <c r="R34" s="1901"/>
      <c r="S34" s="1901"/>
      <c r="T34" s="1901"/>
      <c r="U34" s="1901"/>
      <c r="V34" s="1901"/>
      <c r="W34" s="1901"/>
      <c r="X34" s="1901"/>
    </row>
    <row r="35" spans="1:24" ht="18" customHeight="1">
      <c r="A35" s="3263" t="s">
        <v>16</v>
      </c>
      <c r="B35" s="354"/>
      <c r="C35" s="546">
        <f>ROUND(SUM(C30:C34),1)</f>
        <v>10562</v>
      </c>
      <c r="D35" s="354"/>
      <c r="E35" s="421">
        <f>ROUND(SUM(E30:E34),1)</f>
        <v>0</v>
      </c>
      <c r="F35" s="1899"/>
      <c r="G35" s="421">
        <f>ROUND(SUM(G30:G34),1)</f>
        <v>10125.6</v>
      </c>
      <c r="H35" s="1899"/>
      <c r="I35" s="421">
        <f>ROUND(SUM(I30:I34),1)</f>
        <v>-436.4</v>
      </c>
      <c r="J35" s="273"/>
      <c r="K35" s="3274">
        <f>ROUND(SUM(K30:K34),1)</f>
        <v>0</v>
      </c>
      <c r="L35" s="354"/>
      <c r="M35" s="354"/>
      <c r="N35" s="354"/>
      <c r="O35" s="354"/>
      <c r="P35" s="354"/>
      <c r="Q35" s="354"/>
      <c r="R35" s="354"/>
      <c r="S35" s="354"/>
      <c r="T35" s="354"/>
      <c r="U35" s="354"/>
      <c r="V35" s="354"/>
      <c r="W35" s="354"/>
      <c r="X35" s="354"/>
    </row>
    <row r="36" spans="1:24">
      <c r="A36" s="1365"/>
      <c r="B36" s="1901"/>
      <c r="C36" s="1921"/>
      <c r="D36" s="1901"/>
      <c r="E36" s="1363"/>
      <c r="F36" s="1177"/>
      <c r="G36" s="1363"/>
      <c r="H36" s="1177"/>
      <c r="I36" s="1363"/>
      <c r="J36" s="1921"/>
      <c r="K36" s="3273"/>
      <c r="L36" s="1901"/>
      <c r="M36" s="1901"/>
      <c r="N36" s="1901"/>
      <c r="O36" s="1901"/>
      <c r="P36" s="1901"/>
      <c r="Q36" s="1901"/>
      <c r="R36" s="1901"/>
      <c r="S36" s="1901"/>
      <c r="T36" s="1901"/>
      <c r="U36" s="1901"/>
      <c r="V36" s="1901"/>
      <c r="W36" s="1901"/>
      <c r="X36" s="1901"/>
    </row>
    <row r="37" spans="1:24" ht="15.75">
      <c r="A37" s="221" t="s">
        <v>123</v>
      </c>
      <c r="B37" s="1901"/>
      <c r="C37" s="1921"/>
      <c r="D37" s="1901"/>
      <c r="E37" s="1177"/>
      <c r="F37" s="1177"/>
      <c r="G37" s="1177"/>
      <c r="H37" s="1177"/>
      <c r="I37" s="1177"/>
      <c r="J37" s="1921"/>
      <c r="K37" s="3271"/>
      <c r="L37" s="1901"/>
      <c r="M37" s="1901"/>
      <c r="N37" s="1901"/>
      <c r="O37" s="1901"/>
      <c r="P37" s="1901"/>
      <c r="Q37" s="1901"/>
      <c r="R37" s="1901"/>
      <c r="S37" s="1901"/>
      <c r="T37" s="1901"/>
      <c r="U37" s="1901"/>
      <c r="V37" s="1901"/>
      <c r="W37" s="1901"/>
      <c r="X37" s="1901"/>
    </row>
    <row r="38" spans="1:24" ht="15.75">
      <c r="A38" s="221" t="s">
        <v>124</v>
      </c>
      <c r="B38" s="1901"/>
      <c r="C38" s="1921"/>
      <c r="D38" s="1901"/>
      <c r="E38" s="1177"/>
      <c r="F38" s="1177"/>
      <c r="G38" s="1177"/>
      <c r="H38" s="1177"/>
      <c r="I38" s="1177"/>
      <c r="J38" s="1921"/>
      <c r="K38" s="3271"/>
      <c r="L38" s="1901"/>
      <c r="M38" s="1901"/>
      <c r="N38" s="1901"/>
      <c r="O38" s="1901"/>
      <c r="P38" s="1901"/>
      <c r="Q38" s="1901"/>
      <c r="R38" s="1901"/>
      <c r="S38" s="1901"/>
      <c r="T38" s="1901"/>
      <c r="U38" s="1901"/>
      <c r="V38" s="1901"/>
      <c r="W38" s="1901"/>
      <c r="X38" s="1901"/>
    </row>
    <row r="39" spans="1:24" ht="15.75">
      <c r="A39" s="2258" t="s">
        <v>105</v>
      </c>
      <c r="B39" s="378"/>
      <c r="C39" s="273">
        <f>ROUND(SUM(C27)-SUM(C35),1)</f>
        <v>1479</v>
      </c>
      <c r="D39" s="378"/>
      <c r="E39" s="273">
        <f>ROUND(SUM(E27)-SUM(E35),1)</f>
        <v>0</v>
      </c>
      <c r="F39" s="284"/>
      <c r="G39" s="273">
        <f>ROUND(SUM(G27)-SUM(G35),1)</f>
        <v>1443.3</v>
      </c>
      <c r="H39" s="284"/>
      <c r="I39" s="273">
        <f>ROUND(SUM(I27)-SUM(I35),1)</f>
        <v>-35.700000000000003</v>
      </c>
      <c r="J39" s="744"/>
      <c r="K39" s="3275">
        <f>ROUND(SUM(K27)-SUM(K35),1)</f>
        <v>0</v>
      </c>
      <c r="L39" s="354"/>
      <c r="M39" s="377"/>
      <c r="N39" s="354"/>
      <c r="O39" s="377"/>
      <c r="P39" s="354"/>
      <c r="Q39" s="354"/>
      <c r="R39" s="377"/>
      <c r="S39" s="354"/>
      <c r="T39" s="354"/>
      <c r="U39" s="377"/>
      <c r="V39" s="354"/>
      <c r="W39" s="377"/>
      <c r="X39" s="354"/>
    </row>
    <row r="40" spans="1:24" ht="15" customHeight="1">
      <c r="C40" s="1275"/>
      <c r="E40" s="1275"/>
      <c r="F40" s="1910"/>
      <c r="G40" s="1275"/>
      <c r="H40" s="1910"/>
      <c r="I40" s="1275"/>
      <c r="J40" s="1275"/>
      <c r="K40" s="3276"/>
    </row>
    <row r="41" spans="1:24" ht="15.75">
      <c r="A41" s="2258" t="str">
        <f>+'Exh D-Governmental  '!A49</f>
        <v>Fund Balances (Deficits) at April 1</v>
      </c>
      <c r="C41" s="273">
        <v>2661</v>
      </c>
      <c r="E41" s="273">
        <v>0</v>
      </c>
      <c r="F41" s="1910"/>
      <c r="G41" s="3195">
        <f>+'Exh D Special Revenue State Fed'!G41+'Exh D Special Revenue State Fed'!R41</f>
        <v>2661.8</v>
      </c>
      <c r="H41" s="1910"/>
      <c r="I41" s="281">
        <f>ROUND(SUM(G41-C41),1)</f>
        <v>0.8</v>
      </c>
      <c r="J41" s="1275"/>
      <c r="K41" s="3277">
        <v>0</v>
      </c>
    </row>
    <row r="42" spans="1:24" ht="18" customHeight="1" thickBot="1">
      <c r="A42" s="2641" t="str">
        <f>+'Exh D-Governmental  '!A50</f>
        <v>Fund Balances (Deficits) at May 31, 2015</v>
      </c>
      <c r="B42" s="378"/>
      <c r="C42" s="299">
        <f>ROUND(SUM(C39:C41),1)</f>
        <v>4140</v>
      </c>
      <c r="D42" s="378"/>
      <c r="E42" s="299">
        <f>ROUND(SUM(E39:E41),1)</f>
        <v>0</v>
      </c>
      <c r="F42" s="384"/>
      <c r="G42" s="299">
        <f>ROUND(SUM(G39:G41),1)</f>
        <v>4105.1000000000004</v>
      </c>
      <c r="H42" s="384"/>
      <c r="I42" s="299">
        <f>ROUND(SUM(I39:I41),1)</f>
        <v>-34.9</v>
      </c>
      <c r="K42" s="3278">
        <f>ROUND(SUM(K39:K41),1)</f>
        <v>0</v>
      </c>
    </row>
    <row r="43" spans="1:24" ht="15" customHeight="1" thickTop="1">
      <c r="A43" s="358"/>
      <c r="E43" s="1364"/>
      <c r="F43" s="1929"/>
      <c r="G43" s="1929"/>
      <c r="H43" s="1929"/>
      <c r="I43" s="1929"/>
      <c r="K43" s="3269"/>
    </row>
    <row r="44" spans="1:24">
      <c r="A44" s="1914" t="str">
        <f>+'Exh D Special Revenue State Fed'!A44</f>
        <v>(*)      Source:  2015-16 Enacted Budget dated May 13, 2015.</v>
      </c>
    </row>
    <row r="45" spans="1:24">
      <c r="A45" s="3038" t="s">
        <v>1588</v>
      </c>
    </row>
    <row r="46" spans="1:24">
      <c r="A46" s="3038" t="s">
        <v>1589</v>
      </c>
    </row>
    <row r="47" spans="1:24">
      <c r="A47" s="1930"/>
    </row>
    <row r="48" spans="1:24">
      <c r="A48" s="1930"/>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49"/>
  <sheetViews>
    <sheetView showGridLines="0" zoomScale="80" zoomScaleNormal="70" workbookViewId="0"/>
  </sheetViews>
  <sheetFormatPr defaultRowHeight="15"/>
  <cols>
    <col min="1" max="1" width="53.109375" style="1909" customWidth="1"/>
    <col min="2" max="2" width="0.77734375" style="1155" customWidth="1"/>
    <col min="3" max="3" width="15.77734375" style="792" customWidth="1"/>
    <col min="4" max="4" width="0.77734375" style="1913" customWidth="1"/>
    <col min="5" max="5" width="15.77734375" style="792" customWidth="1"/>
    <col min="6" max="6" width="0.77734375" style="1913" customWidth="1"/>
    <col min="7" max="7" width="15.77734375" style="1913" customWidth="1"/>
    <col min="8" max="8" width="0.6640625" style="1913" customWidth="1"/>
    <col min="9" max="9" width="15.77734375" style="1913" customWidth="1"/>
    <col min="10" max="10" width="0.77734375" style="1913" customWidth="1"/>
    <col min="11" max="11" width="15.77734375" style="1913" customWidth="1"/>
    <col min="12" max="12" width="1.6640625" style="1155" customWidth="1"/>
    <col min="13" max="13" width="0.6640625" style="1155" customWidth="1"/>
    <col min="14" max="14" width="15.77734375" style="1155" customWidth="1"/>
    <col min="15" max="15" width="1.33203125" style="1155" customWidth="1"/>
    <col min="16" max="16" width="15.77734375" style="1155" customWidth="1"/>
    <col min="17" max="17" width="1.33203125" style="1155" customWidth="1"/>
    <col min="18" max="18" width="15.77734375" style="1155" customWidth="1"/>
    <col min="19" max="19" width="0.5546875" style="1155" customWidth="1"/>
    <col min="20" max="20" width="15.77734375" style="1155" customWidth="1"/>
    <col min="21" max="21" width="1.33203125" style="1155" customWidth="1"/>
    <col min="22" max="22" width="15.77734375" style="792" customWidth="1"/>
    <col min="23" max="23" width="1" style="1155" customWidth="1"/>
    <col min="24" max="24" width="3.6640625" style="792" customWidth="1"/>
    <col min="25" max="25" width="1" style="1155" customWidth="1"/>
    <col min="26" max="26" width="15.77734375" style="1155" customWidth="1"/>
    <col min="27" max="27" width="0.77734375" style="1155" customWidth="1"/>
    <col min="28" max="28" width="15.77734375" style="1155" customWidth="1"/>
    <col min="29" max="29" width="0.33203125" style="1155" customWidth="1"/>
    <col min="30" max="30" width="11.88671875" style="1155" customWidth="1"/>
    <col min="31" max="31" width="11.44140625" style="1155" customWidth="1"/>
    <col min="32" max="32" width="1.88671875" style="1155" customWidth="1"/>
    <col min="33" max="33" width="11.6640625" style="1155" customWidth="1"/>
    <col min="34" max="34" width="2.109375" style="1155" customWidth="1"/>
    <col min="35" max="35" width="11.44140625" style="1155" customWidth="1"/>
    <col min="36" max="36" width="0.5546875" style="1155" customWidth="1"/>
    <col min="37" max="37" width="2.33203125" style="1155" customWidth="1"/>
    <col min="38" max="38" width="10.5546875" style="1155" customWidth="1"/>
    <col min="39" max="39" width="11.109375" style="1155" customWidth="1"/>
    <col min="40" max="40" width="2.21875" style="1155" customWidth="1"/>
    <col min="41" max="41" width="11.109375" style="1155" customWidth="1"/>
    <col min="42" max="42" width="2.109375" style="1155" customWidth="1"/>
    <col min="43" max="43" width="12.44140625" style="1155" customWidth="1"/>
    <col min="44" max="48" width="8.88671875" style="1155"/>
    <col min="49" max="49" width="8.88671875" style="1913"/>
    <col min="50" max="16384" width="8.88671875" style="1909"/>
  </cols>
  <sheetData>
    <row r="1" spans="1:49">
      <c r="A1" s="1915" t="s">
        <v>1231</v>
      </c>
      <c r="B1" s="389"/>
      <c r="C1" s="786"/>
      <c r="D1" s="390"/>
      <c r="E1" s="786"/>
      <c r="F1" s="390"/>
      <c r="G1" s="390"/>
      <c r="H1" s="390"/>
      <c r="I1" s="390"/>
      <c r="J1" s="390"/>
      <c r="K1" s="390"/>
      <c r="L1" s="389"/>
      <c r="M1" s="389"/>
      <c r="N1" s="389"/>
      <c r="O1" s="389"/>
      <c r="P1" s="389"/>
      <c r="Q1" s="389"/>
      <c r="R1" s="389"/>
      <c r="S1" s="389"/>
      <c r="T1" s="389"/>
      <c r="U1" s="389"/>
      <c r="V1" s="2373"/>
      <c r="W1" s="389"/>
      <c r="X1" s="2373"/>
      <c r="Y1" s="389"/>
      <c r="Z1" s="389"/>
      <c r="AA1" s="389"/>
      <c r="AB1" s="389"/>
      <c r="AC1" s="390"/>
      <c r="AD1" s="389"/>
      <c r="AE1" s="389"/>
      <c r="AF1" s="389"/>
      <c r="AG1" s="389"/>
      <c r="AH1" s="389"/>
      <c r="AI1" s="389"/>
      <c r="AJ1" s="389"/>
      <c r="AK1" s="389"/>
      <c r="AL1" s="389"/>
      <c r="AM1" s="389"/>
      <c r="AN1" s="389"/>
      <c r="AO1" s="389"/>
      <c r="AP1" s="389"/>
      <c r="AQ1" s="389"/>
      <c r="AR1" s="1909"/>
      <c r="AS1" s="1909"/>
      <c r="AT1" s="1909"/>
      <c r="AU1" s="1909"/>
      <c r="AV1" s="1909"/>
      <c r="AW1" s="1909"/>
    </row>
    <row r="2" spans="1:49" ht="17.25" customHeight="1">
      <c r="A2" s="391"/>
      <c r="B2" s="392"/>
      <c r="C2" s="787"/>
      <c r="D2" s="390"/>
      <c r="E2" s="787"/>
      <c r="F2" s="390"/>
      <c r="G2" s="390"/>
      <c r="H2" s="390"/>
      <c r="I2" s="390"/>
      <c r="J2" s="390"/>
      <c r="K2" s="390"/>
      <c r="L2" s="389"/>
      <c r="M2" s="389"/>
      <c r="N2" s="389"/>
      <c r="O2" s="389"/>
      <c r="P2" s="389"/>
      <c r="Q2" s="389"/>
      <c r="R2" s="389"/>
      <c r="S2" s="389"/>
      <c r="T2" s="389"/>
      <c r="U2" s="389"/>
      <c r="V2" s="2373"/>
      <c r="W2" s="389"/>
      <c r="X2" s="2373"/>
      <c r="Y2" s="389"/>
      <c r="Z2" s="2374"/>
      <c r="AA2" s="389"/>
      <c r="AB2" s="389"/>
      <c r="AC2" s="390"/>
      <c r="AD2" s="389"/>
      <c r="AE2" s="389"/>
      <c r="AF2" s="389"/>
      <c r="AG2" s="389"/>
      <c r="AH2" s="389"/>
      <c r="AI2" s="389"/>
      <c r="AJ2" s="389"/>
      <c r="AK2" s="389"/>
      <c r="AL2" s="389"/>
      <c r="AM2" s="389"/>
      <c r="AN2" s="389"/>
      <c r="AO2" s="389"/>
      <c r="AP2" s="389"/>
      <c r="AQ2" s="389"/>
      <c r="AR2" s="1909"/>
      <c r="AS2" s="1909"/>
      <c r="AT2" s="1909"/>
      <c r="AU2" s="1909"/>
      <c r="AV2" s="1909"/>
      <c r="AW2" s="1909"/>
    </row>
    <row r="3" spans="1:49" ht="21" customHeight="1">
      <c r="A3" s="394" t="s">
        <v>0</v>
      </c>
      <c r="B3" s="351"/>
      <c r="C3" s="788"/>
      <c r="D3" s="345"/>
      <c r="E3" s="788"/>
      <c r="F3" s="345"/>
      <c r="G3" s="345"/>
      <c r="H3" s="345"/>
      <c r="I3" s="345"/>
      <c r="J3" s="345"/>
      <c r="K3" s="345"/>
      <c r="L3" s="359"/>
      <c r="M3" s="359"/>
      <c r="N3" s="359"/>
      <c r="O3" s="359"/>
      <c r="P3" s="359"/>
      <c r="Q3" s="359"/>
      <c r="R3" s="359"/>
      <c r="S3" s="359"/>
      <c r="T3" s="1736"/>
      <c r="U3" s="359"/>
      <c r="V3" s="1736" t="s">
        <v>86</v>
      </c>
      <c r="W3" s="359"/>
      <c r="X3" s="2375"/>
      <c r="Y3" s="359"/>
      <c r="Z3" s="359"/>
      <c r="AA3" s="359"/>
      <c r="AB3" s="2376"/>
      <c r="AC3" s="345"/>
      <c r="AD3" s="359"/>
      <c r="AE3" s="359"/>
      <c r="AF3" s="359"/>
      <c r="AG3" s="359"/>
      <c r="AH3" s="359"/>
      <c r="AI3" s="359"/>
      <c r="AJ3" s="359"/>
      <c r="AK3" s="359"/>
      <c r="AL3" s="359"/>
      <c r="AM3" s="359"/>
      <c r="AN3" s="359"/>
      <c r="AO3" s="359"/>
      <c r="AP3" s="359"/>
      <c r="AQ3" s="395"/>
      <c r="AR3" s="1909"/>
      <c r="AS3" s="1909"/>
      <c r="AT3" s="1909"/>
      <c r="AU3" s="1909"/>
      <c r="AV3" s="1909"/>
      <c r="AW3" s="1909"/>
    </row>
    <row r="4" spans="1:49" ht="21.75" customHeight="1">
      <c r="A4" s="394" t="s">
        <v>85</v>
      </c>
      <c r="B4" s="351"/>
      <c r="C4" s="788"/>
      <c r="D4" s="345"/>
      <c r="E4" s="788"/>
      <c r="F4" s="345"/>
      <c r="G4" s="345"/>
      <c r="H4" s="345"/>
      <c r="I4" s="345"/>
      <c r="J4" s="345"/>
      <c r="K4" s="345"/>
      <c r="L4" s="359"/>
      <c r="M4" s="359"/>
      <c r="N4" s="359"/>
      <c r="O4" s="359"/>
      <c r="P4" s="359"/>
      <c r="Q4" s="359"/>
      <c r="R4" s="359"/>
      <c r="S4" s="359"/>
      <c r="T4" s="1737"/>
      <c r="U4" s="359"/>
      <c r="V4" s="1737" t="s">
        <v>107</v>
      </c>
      <c r="W4" s="359"/>
      <c r="X4" s="2375"/>
      <c r="Y4" s="359"/>
      <c r="Z4" s="359"/>
      <c r="AA4" s="359"/>
      <c r="AB4" s="2377"/>
      <c r="AC4" s="345"/>
      <c r="AD4" s="359"/>
      <c r="AE4" s="359"/>
      <c r="AF4" s="359"/>
      <c r="AG4" s="359"/>
      <c r="AH4" s="359"/>
      <c r="AI4" s="359"/>
      <c r="AJ4" s="359"/>
      <c r="AK4" s="359"/>
      <c r="AL4" s="359"/>
      <c r="AM4" s="359"/>
      <c r="AN4" s="359"/>
      <c r="AO4" s="359"/>
      <c r="AP4" s="359"/>
      <c r="AQ4" s="359"/>
      <c r="AR4" s="1909"/>
      <c r="AS4" s="1909"/>
      <c r="AT4" s="1909"/>
      <c r="AU4" s="1909"/>
      <c r="AV4" s="1909"/>
      <c r="AW4" s="1909"/>
    </row>
    <row r="5" spans="1:49" ht="21.75" customHeight="1">
      <c r="A5" s="3508" t="s">
        <v>1543</v>
      </c>
      <c r="B5" s="3509"/>
      <c r="C5" s="3509"/>
      <c r="D5" s="3509"/>
      <c r="E5" s="3509"/>
      <c r="F5" s="345"/>
      <c r="G5" s="1721"/>
      <c r="H5" s="345"/>
      <c r="I5" s="345"/>
      <c r="J5" s="345"/>
      <c r="K5" s="345"/>
      <c r="L5" s="359"/>
      <c r="M5" s="359"/>
      <c r="N5" s="359"/>
      <c r="O5" s="359"/>
      <c r="P5" s="359"/>
      <c r="Q5" s="359"/>
      <c r="R5" s="359"/>
      <c r="S5" s="359"/>
      <c r="T5" s="359"/>
      <c r="U5" s="359"/>
      <c r="V5" s="2375"/>
      <c r="W5" s="359"/>
      <c r="X5" s="2375"/>
      <c r="Y5" s="359"/>
      <c r="Z5" s="359"/>
      <c r="AA5" s="359"/>
      <c r="AB5" s="359"/>
      <c r="AC5" s="345"/>
      <c r="AD5" s="359"/>
      <c r="AE5" s="359"/>
      <c r="AF5" s="359"/>
      <c r="AG5" s="359"/>
      <c r="AH5" s="359"/>
      <c r="AI5" s="359"/>
      <c r="AJ5" s="359"/>
      <c r="AK5" s="359"/>
      <c r="AL5" s="359"/>
      <c r="AM5" s="359"/>
      <c r="AN5" s="359"/>
      <c r="AO5" s="359"/>
      <c r="AP5" s="359"/>
      <c r="AQ5" s="359"/>
      <c r="AR5" s="1909"/>
      <c r="AS5" s="1909"/>
      <c r="AT5" s="1909"/>
      <c r="AU5" s="1909"/>
      <c r="AV5" s="1909"/>
      <c r="AW5" s="1909"/>
    </row>
    <row r="6" spans="1:49" ht="17.25" customHeight="1">
      <c r="A6" s="349" t="str">
        <f>'Exh D-Governmental  '!A6</f>
        <v>FOR TWO MONTHS ENDED MAY 31, 2015</v>
      </c>
      <c r="B6" s="350"/>
      <c r="C6" s="788"/>
      <c r="D6" s="345"/>
      <c r="E6" s="788"/>
      <c r="F6" s="345"/>
      <c r="G6" s="345"/>
      <c r="H6" s="345"/>
      <c r="I6" s="345"/>
      <c r="J6" s="345"/>
      <c r="K6" s="345"/>
      <c r="L6" s="359"/>
      <c r="M6" s="359"/>
      <c r="N6" s="359"/>
      <c r="O6" s="359"/>
      <c r="P6" s="359"/>
      <c r="Q6" s="359"/>
      <c r="R6" s="359"/>
      <c r="S6" s="359"/>
      <c r="T6" s="359"/>
      <c r="U6" s="359"/>
      <c r="V6" s="2375"/>
      <c r="W6" s="359"/>
      <c r="X6" s="2375"/>
      <c r="Y6" s="359"/>
      <c r="Z6" s="359"/>
      <c r="AA6" s="359"/>
      <c r="AB6" s="359"/>
      <c r="AC6" s="345"/>
      <c r="AD6" s="359"/>
      <c r="AE6" s="359"/>
      <c r="AF6" s="359"/>
      <c r="AG6" s="359"/>
      <c r="AH6" s="359"/>
      <c r="AI6" s="359"/>
      <c r="AJ6" s="359"/>
      <c r="AK6" s="359"/>
      <c r="AL6" s="359"/>
      <c r="AM6" s="359"/>
      <c r="AN6" s="359"/>
      <c r="AO6" s="359"/>
      <c r="AP6" s="359"/>
      <c r="AQ6" s="359"/>
      <c r="AR6" s="1909"/>
      <c r="AS6" s="1909"/>
      <c r="AT6" s="1909"/>
      <c r="AU6" s="1909"/>
      <c r="AV6" s="1909"/>
      <c r="AW6" s="1909"/>
    </row>
    <row r="7" spans="1:49" ht="18">
      <c r="A7" s="394" t="s">
        <v>1117</v>
      </c>
      <c r="B7" s="351"/>
      <c r="C7" s="788"/>
      <c r="D7" s="345"/>
      <c r="E7" s="788"/>
      <c r="F7" s="345"/>
      <c r="G7" s="345"/>
      <c r="H7" s="345"/>
      <c r="I7" s="345"/>
      <c r="J7" s="345"/>
      <c r="K7" s="345"/>
      <c r="L7" s="359"/>
      <c r="M7" s="359"/>
      <c r="N7" s="359"/>
      <c r="O7" s="359"/>
      <c r="P7" s="359"/>
      <c r="Q7" s="359"/>
      <c r="R7" s="359"/>
      <c r="S7" s="359"/>
      <c r="T7" s="359"/>
      <c r="U7" s="359"/>
      <c r="V7" s="2375"/>
      <c r="W7" s="359"/>
      <c r="X7" s="2375"/>
      <c r="Y7" s="359"/>
      <c r="Z7" s="359"/>
      <c r="AA7" s="359"/>
      <c r="AB7" s="359"/>
      <c r="AC7" s="345"/>
      <c r="AD7" s="359"/>
      <c r="AE7" s="359"/>
      <c r="AF7" s="359"/>
      <c r="AG7" s="359"/>
      <c r="AH7" s="359"/>
      <c r="AI7" s="359"/>
      <c r="AJ7" s="359"/>
      <c r="AK7" s="359"/>
      <c r="AL7" s="359"/>
      <c r="AM7" s="359"/>
      <c r="AN7" s="359"/>
      <c r="AO7" s="359"/>
      <c r="AP7" s="359"/>
      <c r="AQ7" s="359"/>
      <c r="AR7" s="1909"/>
      <c r="AS7" s="1909"/>
      <c r="AT7" s="1909"/>
      <c r="AU7" s="1909"/>
      <c r="AV7" s="1909"/>
      <c r="AW7" s="1909"/>
    </row>
    <row r="8" spans="1:49" ht="15" customHeight="1">
      <c r="A8" s="396"/>
      <c r="B8" s="350"/>
      <c r="C8" s="788"/>
      <c r="D8" s="345"/>
      <c r="E8" s="788"/>
      <c r="F8" s="345"/>
      <c r="G8" s="345"/>
      <c r="H8" s="345"/>
      <c r="I8" s="345"/>
      <c r="J8" s="345"/>
      <c r="K8" s="345"/>
      <c r="L8" s="359"/>
      <c r="M8" s="359"/>
      <c r="N8" s="359"/>
      <c r="O8" s="359"/>
      <c r="P8" s="359"/>
      <c r="Q8" s="359"/>
      <c r="R8" s="359"/>
      <c r="S8" s="359"/>
      <c r="T8" s="359"/>
      <c r="U8" s="359"/>
      <c r="V8" s="2375"/>
      <c r="W8" s="359"/>
      <c r="X8" s="2375"/>
      <c r="Y8" s="359"/>
      <c r="Z8" s="359"/>
      <c r="AA8" s="359"/>
      <c r="AB8" s="359"/>
      <c r="AC8" s="345"/>
      <c r="AD8" s="359"/>
      <c r="AE8" s="359"/>
      <c r="AF8" s="359"/>
      <c r="AG8" s="359"/>
      <c r="AH8" s="359"/>
      <c r="AI8" s="359"/>
      <c r="AJ8" s="359"/>
      <c r="AK8" s="359"/>
      <c r="AL8" s="359"/>
      <c r="AM8" s="359"/>
      <c r="AN8" s="359"/>
      <c r="AO8" s="359"/>
      <c r="AP8" s="359"/>
      <c r="AQ8" s="359"/>
      <c r="AR8" s="1909"/>
      <c r="AS8" s="1909"/>
      <c r="AT8" s="1909"/>
      <c r="AU8" s="1909"/>
      <c r="AV8" s="1909"/>
      <c r="AW8" s="1909"/>
    </row>
    <row r="9" spans="1:49">
      <c r="A9" s="353"/>
      <c r="B9" s="359"/>
      <c r="C9" s="789"/>
      <c r="D9" s="345"/>
      <c r="E9" s="789"/>
      <c r="F9" s="345"/>
      <c r="G9" s="345"/>
      <c r="H9" s="345"/>
      <c r="I9" s="345"/>
      <c r="J9" s="345"/>
      <c r="K9" s="345"/>
      <c r="L9" s="359"/>
      <c r="M9" s="359"/>
      <c r="N9" s="359"/>
      <c r="O9" s="359"/>
      <c r="P9" s="359"/>
      <c r="Q9" s="359"/>
      <c r="R9" s="359"/>
      <c r="S9" s="359"/>
      <c r="T9" s="359"/>
      <c r="U9" s="359"/>
      <c r="V9" s="2375"/>
      <c r="W9" s="359"/>
      <c r="X9" s="2375"/>
      <c r="Y9" s="359"/>
      <c r="Z9" s="359"/>
      <c r="AA9" s="359"/>
      <c r="AB9" s="359"/>
      <c r="AC9" s="345"/>
      <c r="AD9" s="359"/>
      <c r="AE9" s="359"/>
      <c r="AF9" s="359"/>
      <c r="AG9" s="359"/>
      <c r="AH9" s="359"/>
      <c r="AI9" s="359"/>
      <c r="AJ9" s="359"/>
      <c r="AK9" s="359"/>
      <c r="AL9" s="359"/>
      <c r="AM9" s="359"/>
      <c r="AN9" s="359"/>
      <c r="AO9" s="359"/>
      <c r="AP9" s="359"/>
      <c r="AQ9" s="359"/>
      <c r="AR9" s="1909"/>
      <c r="AS9" s="1909"/>
      <c r="AT9" s="1909"/>
      <c r="AU9" s="1909"/>
      <c r="AV9" s="1909"/>
      <c r="AW9" s="1909"/>
    </row>
    <row r="10" spans="1:49">
      <c r="A10" s="353"/>
      <c r="B10" s="359"/>
      <c r="C10" s="789"/>
      <c r="D10" s="345"/>
      <c r="E10" s="789"/>
      <c r="F10" s="345"/>
      <c r="G10" s="345"/>
      <c r="H10" s="345"/>
      <c r="I10" s="345"/>
      <c r="J10" s="345"/>
      <c r="K10" s="345"/>
      <c r="L10" s="359"/>
      <c r="M10" s="359"/>
      <c r="N10" s="359"/>
      <c r="O10" s="359"/>
      <c r="P10" s="359"/>
      <c r="Q10" s="359"/>
      <c r="R10" s="359"/>
      <c r="S10" s="359"/>
      <c r="T10" s="359"/>
      <c r="U10" s="359"/>
      <c r="V10" s="1981"/>
      <c r="W10" s="350"/>
      <c r="X10" s="1981"/>
      <c r="Y10" s="350"/>
      <c r="Z10" s="350"/>
      <c r="AA10" s="350"/>
      <c r="AB10" s="350"/>
      <c r="AC10" s="345"/>
      <c r="AD10" s="359"/>
      <c r="AE10" s="359"/>
      <c r="AF10" s="359"/>
      <c r="AG10" s="359"/>
      <c r="AH10" s="359"/>
      <c r="AI10" s="359"/>
      <c r="AJ10" s="359"/>
      <c r="AK10" s="359"/>
      <c r="AL10" s="359"/>
      <c r="AM10" s="359"/>
      <c r="AN10" s="359"/>
      <c r="AO10" s="359"/>
      <c r="AP10" s="359"/>
      <c r="AQ10" s="359"/>
      <c r="AR10" s="1909"/>
      <c r="AS10" s="1909"/>
      <c r="AT10" s="1909"/>
      <c r="AU10" s="1909"/>
      <c r="AV10" s="1909"/>
      <c r="AW10" s="1909"/>
    </row>
    <row r="11" spans="1:49" ht="15.75">
      <c r="A11" s="1365"/>
      <c r="C11" s="3511" t="s">
        <v>1427</v>
      </c>
      <c r="D11" s="3511"/>
      <c r="E11" s="3511"/>
      <c r="F11" s="3511"/>
      <c r="G11" s="3511"/>
      <c r="H11" s="3511"/>
      <c r="I11" s="3511"/>
      <c r="J11" s="2369"/>
      <c r="K11" s="2369"/>
      <c r="L11" s="399"/>
      <c r="M11" s="397"/>
      <c r="N11" s="3511" t="s">
        <v>1428</v>
      </c>
      <c r="O11" s="3511"/>
      <c r="P11" s="3511"/>
      <c r="Q11" s="3511"/>
      <c r="R11" s="3511"/>
      <c r="S11" s="3511"/>
      <c r="T11" s="3511"/>
      <c r="U11" s="2378"/>
      <c r="V11" s="2816"/>
      <c r="W11" s="2842"/>
      <c r="X11" s="2842"/>
      <c r="Y11" s="2842"/>
      <c r="Z11" s="2842"/>
      <c r="AA11" s="2842"/>
      <c r="AB11" s="2842"/>
      <c r="AC11" s="354"/>
      <c r="AD11" s="397"/>
      <c r="AE11" s="397"/>
      <c r="AF11" s="397"/>
      <c r="AG11" s="397"/>
      <c r="AH11" s="397"/>
      <c r="AI11" s="397"/>
      <c r="AJ11" s="397"/>
      <c r="AK11" s="354"/>
      <c r="AL11" s="397"/>
      <c r="AM11" s="398"/>
      <c r="AN11" s="397"/>
      <c r="AO11" s="397"/>
      <c r="AP11" s="397"/>
      <c r="AQ11" s="397"/>
      <c r="AR11" s="1909"/>
      <c r="AS11" s="1909"/>
      <c r="AT11" s="1909"/>
      <c r="AU11" s="1909"/>
      <c r="AV11" s="1909"/>
      <c r="AW11" s="1909"/>
    </row>
    <row r="12" spans="1:49" ht="15.75">
      <c r="A12" s="1365"/>
      <c r="C12" s="790"/>
      <c r="D12" s="399"/>
      <c r="E12" s="790"/>
      <c r="F12" s="399"/>
      <c r="G12" s="400"/>
      <c r="H12" s="399"/>
      <c r="I12" s="399" t="s">
        <v>87</v>
      </c>
      <c r="J12" s="399"/>
      <c r="K12" s="399" t="s">
        <v>87</v>
      </c>
      <c r="L12" s="399"/>
      <c r="M12" s="2405"/>
      <c r="N12" s="790"/>
      <c r="O12" s="399"/>
      <c r="P12" s="790"/>
      <c r="Q12" s="399"/>
      <c r="R12" s="400"/>
      <c r="S12" s="399"/>
      <c r="T12" s="399" t="s">
        <v>87</v>
      </c>
      <c r="U12" s="397"/>
      <c r="V12" s="399" t="s">
        <v>87</v>
      </c>
      <c r="W12" s="399"/>
      <c r="X12" s="793"/>
      <c r="Y12" s="399"/>
      <c r="Z12" s="400"/>
      <c r="AA12" s="399"/>
      <c r="AB12" s="399"/>
      <c r="AC12" s="354"/>
      <c r="AD12" s="397"/>
      <c r="AE12" s="397"/>
      <c r="AF12" s="397"/>
      <c r="AG12" s="397"/>
      <c r="AH12" s="397"/>
      <c r="AI12" s="397"/>
      <c r="AJ12" s="397"/>
      <c r="AK12" s="354"/>
      <c r="AL12" s="397"/>
      <c r="AM12" s="398"/>
      <c r="AN12" s="397"/>
      <c r="AO12" s="397"/>
      <c r="AP12" s="397"/>
      <c r="AQ12" s="397"/>
      <c r="AR12" s="1909"/>
      <c r="AS12" s="1909"/>
      <c r="AT12" s="1909"/>
      <c r="AU12" s="1909"/>
      <c r="AV12" s="1909"/>
      <c r="AW12" s="1909"/>
    </row>
    <row r="13" spans="1:49" ht="15.75">
      <c r="A13" s="1365"/>
      <c r="B13" s="354"/>
      <c r="C13" s="791"/>
      <c r="D13" s="401"/>
      <c r="E13" s="791"/>
      <c r="F13" s="401"/>
      <c r="G13" s="401"/>
      <c r="H13" s="401"/>
      <c r="I13" s="402" t="s">
        <v>1124</v>
      </c>
      <c r="J13" s="402"/>
      <c r="K13" s="402" t="s">
        <v>1124</v>
      </c>
      <c r="L13" s="1984"/>
      <c r="M13" s="2406"/>
      <c r="N13" s="791"/>
      <c r="O13" s="401"/>
      <c r="P13" s="791"/>
      <c r="Q13" s="401"/>
      <c r="R13" s="401"/>
      <c r="S13" s="401"/>
      <c r="T13" s="402" t="s">
        <v>1124</v>
      </c>
      <c r="U13" s="404"/>
      <c r="V13" s="402" t="s">
        <v>1124</v>
      </c>
      <c r="W13" s="1983"/>
      <c r="X13" s="1982"/>
      <c r="Y13" s="1983"/>
      <c r="Z13" s="1983"/>
      <c r="AA13" s="1983"/>
      <c r="AB13" s="1984"/>
      <c r="AC13" s="354"/>
      <c r="AD13" s="354"/>
      <c r="AE13" s="354"/>
      <c r="AF13" s="354"/>
      <c r="AG13" s="354"/>
      <c r="AH13" s="354"/>
      <c r="AI13" s="403"/>
      <c r="AJ13" s="404"/>
      <c r="AK13" s="354"/>
      <c r="AL13" s="354"/>
      <c r="AM13" s="354"/>
      <c r="AN13" s="354"/>
      <c r="AO13" s="354"/>
      <c r="AP13" s="354"/>
      <c r="AQ13" s="403"/>
      <c r="AR13" s="1909"/>
      <c r="AS13" s="1909"/>
      <c r="AT13" s="1909"/>
      <c r="AU13" s="1909"/>
      <c r="AV13" s="1909"/>
      <c r="AW13" s="1909"/>
    </row>
    <row r="14" spans="1:49" ht="15.75">
      <c r="A14" s="1365"/>
      <c r="B14" s="405"/>
      <c r="C14" s="357" t="s">
        <v>1370</v>
      </c>
      <c r="D14" s="1909"/>
      <c r="E14" s="356" t="s">
        <v>1371</v>
      </c>
      <c r="F14" s="355"/>
      <c r="G14" s="355"/>
      <c r="H14" s="355"/>
      <c r="I14" s="356" t="s">
        <v>88</v>
      </c>
      <c r="J14" s="356"/>
      <c r="K14" s="356" t="s">
        <v>88</v>
      </c>
      <c r="L14" s="404"/>
      <c r="M14" s="2406"/>
      <c r="N14" s="357" t="s">
        <v>1370</v>
      </c>
      <c r="O14" s="1909"/>
      <c r="P14" s="356" t="s">
        <v>1371</v>
      </c>
      <c r="Q14" s="355"/>
      <c r="R14" s="355"/>
      <c r="S14" s="355"/>
      <c r="T14" s="356" t="s">
        <v>88</v>
      </c>
      <c r="U14" s="404"/>
      <c r="V14" s="356" t="s">
        <v>88</v>
      </c>
      <c r="W14" s="1370"/>
      <c r="X14" s="404"/>
      <c r="Y14" s="354"/>
      <c r="Z14" s="354"/>
      <c r="AA14" s="354"/>
      <c r="AB14" s="404"/>
      <c r="AC14" s="354"/>
      <c r="AD14" s="403"/>
      <c r="AE14" s="404"/>
      <c r="AF14" s="354"/>
      <c r="AG14" s="354"/>
      <c r="AH14" s="354"/>
      <c r="AI14" s="403"/>
      <c r="AJ14" s="404"/>
      <c r="AK14" s="354"/>
      <c r="AL14" s="403"/>
      <c r="AM14" s="404"/>
      <c r="AN14" s="354"/>
      <c r="AO14" s="354"/>
      <c r="AP14" s="354"/>
      <c r="AQ14" s="403"/>
      <c r="AR14" s="1909"/>
      <c r="AS14" s="1909"/>
      <c r="AT14" s="1909"/>
      <c r="AU14" s="1909"/>
      <c r="AV14" s="1909"/>
      <c r="AW14" s="1909"/>
    </row>
    <row r="15" spans="1:49" ht="15.75">
      <c r="A15" s="1365"/>
      <c r="B15" s="405"/>
      <c r="C15" s="356" t="s">
        <v>1414</v>
      </c>
      <c r="D15" s="355"/>
      <c r="E15" s="356" t="s">
        <v>1414</v>
      </c>
      <c r="F15" s="355"/>
      <c r="G15" s="355"/>
      <c r="H15" s="355"/>
      <c r="I15" s="356" t="s">
        <v>1370</v>
      </c>
      <c r="J15" s="356"/>
      <c r="K15" s="356" t="s">
        <v>1371</v>
      </c>
      <c r="L15" s="404"/>
      <c r="M15" s="2406"/>
      <c r="N15" s="356" t="s">
        <v>1414</v>
      </c>
      <c r="O15" s="355"/>
      <c r="P15" s="356" t="s">
        <v>1414</v>
      </c>
      <c r="Q15" s="355"/>
      <c r="R15" s="355"/>
      <c r="S15" s="355"/>
      <c r="T15" s="356" t="s">
        <v>1370</v>
      </c>
      <c r="U15" s="404"/>
      <c r="V15" s="356" t="s">
        <v>1371</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909"/>
      <c r="AS15" s="1909"/>
      <c r="AT15" s="1909"/>
      <c r="AU15" s="1909"/>
      <c r="AV15" s="1909"/>
      <c r="AW15" s="1909"/>
    </row>
    <row r="16" spans="1:49" ht="15.75">
      <c r="A16" s="1365"/>
      <c r="B16" s="404"/>
      <c r="C16" s="356" t="s">
        <v>1415</v>
      </c>
      <c r="D16" s="355"/>
      <c r="E16" s="356" t="s">
        <v>1565</v>
      </c>
      <c r="F16" s="355"/>
      <c r="G16" s="357" t="s">
        <v>87</v>
      </c>
      <c r="H16" s="355"/>
      <c r="I16" s="356" t="s">
        <v>89</v>
      </c>
      <c r="J16" s="404"/>
      <c r="K16" s="356" t="s">
        <v>89</v>
      </c>
      <c r="L16" s="404"/>
      <c r="M16" s="2413"/>
      <c r="N16" s="2414" t="s">
        <v>1415</v>
      </c>
      <c r="O16" s="355"/>
      <c r="P16" s="356" t="s">
        <v>1565</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909"/>
      <c r="AS16" s="1909"/>
      <c r="AT16" s="1909"/>
      <c r="AU16" s="1909"/>
      <c r="AV16" s="1909"/>
      <c r="AW16" s="1909"/>
    </row>
    <row r="17" spans="1:49">
      <c r="A17" s="358"/>
      <c r="B17" s="359"/>
      <c r="C17" s="360"/>
      <c r="D17" s="345"/>
      <c r="E17" s="360"/>
      <c r="F17" s="345"/>
      <c r="G17" s="360"/>
      <c r="H17" s="345"/>
      <c r="I17" s="360"/>
      <c r="J17" s="359"/>
      <c r="K17" s="360"/>
      <c r="L17" s="359"/>
      <c r="M17" s="2407"/>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909"/>
      <c r="AS17" s="1909"/>
      <c r="AT17" s="1909"/>
      <c r="AU17" s="1909"/>
      <c r="AV17" s="1909"/>
      <c r="AW17" s="1909"/>
    </row>
    <row r="18" spans="1:49" ht="15.75">
      <c r="A18" s="221" t="s">
        <v>15</v>
      </c>
      <c r="B18" s="1901"/>
      <c r="C18" s="1257"/>
      <c r="D18" s="1257"/>
      <c r="E18" s="1257"/>
      <c r="F18" s="1257"/>
      <c r="G18" s="1257"/>
      <c r="H18" s="1257"/>
      <c r="I18" s="1901"/>
      <c r="J18" s="1257"/>
      <c r="K18" s="1901"/>
      <c r="L18" s="1901"/>
      <c r="M18" s="2408"/>
      <c r="N18" s="1257"/>
      <c r="O18" s="1257"/>
      <c r="P18" s="1257"/>
      <c r="Q18" s="1257"/>
      <c r="R18" s="1257"/>
      <c r="S18" s="1257"/>
      <c r="T18" s="1257"/>
      <c r="U18" s="1901"/>
      <c r="V18" s="1901"/>
      <c r="W18" s="1901"/>
      <c r="X18" s="1901"/>
      <c r="Y18" s="1901"/>
      <c r="Z18" s="1901"/>
      <c r="AA18" s="1901"/>
      <c r="AB18" s="1901"/>
      <c r="AC18" s="1901"/>
      <c r="AD18" s="1901"/>
      <c r="AE18" s="1901"/>
      <c r="AF18" s="1901"/>
      <c r="AG18" s="1901"/>
      <c r="AH18" s="1901"/>
      <c r="AI18" s="1901"/>
      <c r="AJ18" s="1901"/>
      <c r="AK18" s="1901"/>
      <c r="AL18" s="1901"/>
      <c r="AM18" s="1901"/>
      <c r="AN18" s="1901"/>
      <c r="AO18" s="1901"/>
      <c r="AP18" s="1901"/>
      <c r="AQ18" s="1901"/>
      <c r="AR18" s="1909"/>
      <c r="AS18" s="1909"/>
      <c r="AT18" s="1909"/>
      <c r="AU18" s="1909"/>
      <c r="AV18" s="1909"/>
      <c r="AW18" s="1909"/>
    </row>
    <row r="19" spans="1:49">
      <c r="A19" s="1727" t="s">
        <v>90</v>
      </c>
      <c r="B19" s="1902"/>
      <c r="C19" s="1257"/>
      <c r="D19" s="1902"/>
      <c r="E19" s="1257"/>
      <c r="F19" s="1902"/>
      <c r="G19" s="1257"/>
      <c r="H19" s="1902"/>
      <c r="I19" s="1901"/>
      <c r="J19" s="1257"/>
      <c r="K19" s="1901"/>
      <c r="L19" s="1901"/>
      <c r="M19" s="2408"/>
      <c r="N19" s="1257"/>
      <c r="O19" s="1902"/>
      <c r="P19" s="1257"/>
      <c r="Q19" s="1902"/>
      <c r="R19" s="1257"/>
      <c r="S19" s="1902"/>
      <c r="T19" s="1257"/>
      <c r="U19" s="1901"/>
      <c r="V19" s="1901"/>
      <c r="W19" s="1901"/>
      <c r="X19" s="1901"/>
      <c r="Y19" s="1901"/>
      <c r="Z19" s="1901"/>
      <c r="AA19" s="1923"/>
      <c r="AB19" s="1901"/>
      <c r="AC19" s="1901"/>
      <c r="AD19" s="1901"/>
      <c r="AE19" s="1901"/>
      <c r="AF19" s="1901"/>
      <c r="AG19" s="1901"/>
      <c r="AH19" s="1901"/>
      <c r="AI19" s="1901"/>
      <c r="AJ19" s="1901"/>
      <c r="AK19" s="1901"/>
      <c r="AL19" s="1901"/>
      <c r="AM19" s="1901"/>
      <c r="AN19" s="1901"/>
      <c r="AO19" s="1901"/>
      <c r="AP19" s="1901"/>
      <c r="AQ19" s="1901"/>
      <c r="AR19" s="1909"/>
      <c r="AS19" s="1909"/>
      <c r="AT19" s="1909"/>
      <c r="AU19" s="1909"/>
      <c r="AV19" s="1909"/>
      <c r="AW19" s="1909"/>
    </row>
    <row r="20" spans="1:49">
      <c r="A20" s="1727" t="s">
        <v>91</v>
      </c>
      <c r="B20" s="1902" t="s">
        <v>16</v>
      </c>
      <c r="C20" s="1258">
        <v>3</v>
      </c>
      <c r="D20" s="1260"/>
      <c r="E20" s="1258">
        <v>0</v>
      </c>
      <c r="F20" s="1260"/>
      <c r="G20" s="1258">
        <f>'Exhibit G state'!AE16</f>
        <v>3.1</v>
      </c>
      <c r="H20" s="1260"/>
      <c r="I20" s="1988">
        <f t="shared" ref="I20:I26" si="0">ROUND(SUM(G20)-SUM(C20),1)</f>
        <v>0.1</v>
      </c>
      <c r="J20" s="1258"/>
      <c r="K20" s="1988">
        <v>0</v>
      </c>
      <c r="L20" s="1988"/>
      <c r="M20" s="2408"/>
      <c r="N20" s="1258">
        <v>0</v>
      </c>
      <c r="O20" s="1260"/>
      <c r="P20" s="1258">
        <v>0</v>
      </c>
      <c r="Q20" s="1260"/>
      <c r="R20" s="1258">
        <v>0</v>
      </c>
      <c r="S20" s="1260"/>
      <c r="T20" s="1258">
        <f t="shared" ref="T20:T26" si="1">ROUND(SUM(R20)-SUM(N20),1)</f>
        <v>0</v>
      </c>
      <c r="U20" s="1901"/>
      <c r="V20" s="1988">
        <v>0</v>
      </c>
      <c r="W20" s="1986"/>
      <c r="X20" s="1989"/>
      <c r="Y20" s="1986"/>
      <c r="Z20" s="1987"/>
      <c r="AA20" s="1986"/>
      <c r="AB20" s="1988"/>
      <c r="AC20" s="1901"/>
      <c r="AD20" s="1901"/>
      <c r="AE20" s="1901"/>
      <c r="AF20" s="1901"/>
      <c r="AG20" s="1901"/>
      <c r="AH20" s="1901"/>
      <c r="AI20" s="1901"/>
      <c r="AJ20" s="1901"/>
      <c r="AK20" s="1901"/>
      <c r="AL20" s="1901"/>
      <c r="AM20" s="1901"/>
      <c r="AN20" s="1901"/>
      <c r="AO20" s="1901"/>
      <c r="AP20" s="1901"/>
      <c r="AQ20" s="1901"/>
      <c r="AR20" s="1909"/>
      <c r="AS20" s="1909"/>
      <c r="AT20" s="1909"/>
      <c r="AU20" s="1909"/>
      <c r="AV20" s="1909"/>
      <c r="AW20" s="1909"/>
    </row>
    <row r="21" spans="1:49">
      <c r="A21" s="1727" t="s">
        <v>92</v>
      </c>
      <c r="B21" s="1901" t="s">
        <v>16</v>
      </c>
      <c r="C21" s="1920">
        <v>352</v>
      </c>
      <c r="D21" s="1177"/>
      <c r="E21" s="1920">
        <v>0</v>
      </c>
      <c r="F21" s="1177"/>
      <c r="G21" s="1177">
        <f>'Exhibit G state'!AE27</f>
        <v>350.4</v>
      </c>
      <c r="H21" s="1177"/>
      <c r="I21" s="1921">
        <f t="shared" si="0"/>
        <v>-1.6</v>
      </c>
      <c r="J21" s="1177"/>
      <c r="K21" s="1921">
        <v>0</v>
      </c>
      <c r="L21" s="1921"/>
      <c r="M21" s="2408"/>
      <c r="N21" s="1920">
        <v>0</v>
      </c>
      <c r="O21" s="1177"/>
      <c r="P21" s="1920">
        <v>0</v>
      </c>
      <c r="Q21" s="1177"/>
      <c r="R21" s="1177">
        <v>0</v>
      </c>
      <c r="S21" s="1177"/>
      <c r="T21" s="1177">
        <f t="shared" si="1"/>
        <v>0</v>
      </c>
      <c r="U21" s="1901"/>
      <c r="V21" s="1921">
        <v>0</v>
      </c>
      <c r="W21" s="1921"/>
      <c r="X21" s="1989"/>
      <c r="Y21" s="1921"/>
      <c r="Z21" s="1921"/>
      <c r="AA21" s="1921"/>
      <c r="AB21" s="1921"/>
      <c r="AC21" s="1921"/>
      <c r="AD21" s="1921"/>
      <c r="AE21" s="1901"/>
      <c r="AF21" s="1901"/>
      <c r="AG21" s="1901"/>
      <c r="AH21" s="1901"/>
      <c r="AI21" s="1901"/>
      <c r="AJ21" s="1901"/>
      <c r="AK21" s="1901"/>
      <c r="AL21" s="1901"/>
      <c r="AM21" s="1901"/>
      <c r="AN21" s="1901"/>
      <c r="AO21" s="1901"/>
      <c r="AP21" s="1901"/>
      <c r="AQ21" s="1901"/>
      <c r="AR21" s="1909"/>
      <c r="AS21" s="1909"/>
      <c r="AT21" s="1909"/>
      <c r="AU21" s="1909"/>
      <c r="AV21" s="1909"/>
      <c r="AW21" s="1909"/>
    </row>
    <row r="22" spans="1:49">
      <c r="A22" s="1727" t="s">
        <v>93</v>
      </c>
      <c r="B22" s="1902" t="s">
        <v>16</v>
      </c>
      <c r="C22" s="1920">
        <v>118</v>
      </c>
      <c r="D22" s="1333"/>
      <c r="E22" s="1920">
        <v>0</v>
      </c>
      <c r="F22" s="1333"/>
      <c r="G22" s="1177">
        <f>'Exhibit G state'!AE34</f>
        <v>104</v>
      </c>
      <c r="H22" s="1333"/>
      <c r="I22" s="1921">
        <f t="shared" si="0"/>
        <v>-14</v>
      </c>
      <c r="J22" s="1177"/>
      <c r="K22" s="1921">
        <v>0</v>
      </c>
      <c r="L22" s="1921"/>
      <c r="M22" s="2408"/>
      <c r="N22" s="1920">
        <v>0</v>
      </c>
      <c r="O22" s="1333"/>
      <c r="P22" s="1920">
        <v>0</v>
      </c>
      <c r="Q22" s="1333"/>
      <c r="R22" s="1910">
        <v>0</v>
      </c>
      <c r="S22" s="1333"/>
      <c r="T22" s="1177">
        <f t="shared" si="1"/>
        <v>0</v>
      </c>
      <c r="U22" s="1901"/>
      <c r="V22" s="1921">
        <v>0</v>
      </c>
      <c r="W22" s="1922"/>
      <c r="X22" s="1989"/>
      <c r="Y22" s="1922"/>
      <c r="Z22" s="1921"/>
      <c r="AA22" s="1922"/>
      <c r="AB22" s="1921"/>
      <c r="AC22" s="1922"/>
      <c r="AD22" s="1921"/>
      <c r="AE22" s="1901"/>
      <c r="AF22" s="1923"/>
      <c r="AG22" s="1901"/>
      <c r="AH22" s="1923"/>
      <c r="AI22" s="1901"/>
      <c r="AJ22" s="1901"/>
      <c r="AK22" s="1923"/>
      <c r="AL22" s="1901"/>
      <c r="AM22" s="1901"/>
      <c r="AN22" s="1923"/>
      <c r="AO22" s="406"/>
      <c r="AP22" s="1923"/>
      <c r="AQ22" s="1901"/>
      <c r="AR22" s="1909"/>
      <c r="AS22" s="1909"/>
      <c r="AT22" s="1909"/>
      <c r="AU22" s="1909"/>
      <c r="AV22" s="1909"/>
      <c r="AW22" s="1909"/>
    </row>
    <row r="23" spans="1:49">
      <c r="A23" s="1727" t="s">
        <v>94</v>
      </c>
      <c r="B23" s="1901" t="s">
        <v>16</v>
      </c>
      <c r="C23" s="1920">
        <v>219</v>
      </c>
      <c r="D23" s="1177"/>
      <c r="E23" s="1920">
        <v>0</v>
      </c>
      <c r="F23" s="1177"/>
      <c r="G23" s="1177">
        <f>'Exhibit G state'!AE37</f>
        <v>219.9</v>
      </c>
      <c r="H23" s="1177"/>
      <c r="I23" s="1921">
        <f t="shared" si="0"/>
        <v>0.9</v>
      </c>
      <c r="J23" s="1177"/>
      <c r="K23" s="1921">
        <v>0</v>
      </c>
      <c r="L23" s="1921"/>
      <c r="M23" s="2408"/>
      <c r="N23" s="1920">
        <v>0</v>
      </c>
      <c r="O23" s="1177"/>
      <c r="P23" s="1920">
        <v>0</v>
      </c>
      <c r="Q23" s="1177"/>
      <c r="R23" s="1177">
        <v>0</v>
      </c>
      <c r="S23" s="1177"/>
      <c r="T23" s="1177">
        <f t="shared" si="1"/>
        <v>0</v>
      </c>
      <c r="U23" s="1901"/>
      <c r="V23" s="1921">
        <v>0</v>
      </c>
      <c r="W23" s="1921"/>
      <c r="X23" s="1989"/>
      <c r="Y23" s="1921"/>
      <c r="Z23" s="1921"/>
      <c r="AA23" s="1921"/>
      <c r="AB23" s="1921"/>
      <c r="AC23" s="1921"/>
      <c r="AD23" s="1921"/>
      <c r="AE23" s="1901"/>
      <c r="AF23" s="1901"/>
      <c r="AG23" s="1901"/>
      <c r="AH23" s="1901"/>
      <c r="AI23" s="1901"/>
      <c r="AJ23" s="1901"/>
      <c r="AK23" s="1901"/>
      <c r="AL23" s="1901"/>
      <c r="AM23" s="1901"/>
      <c r="AN23" s="1901"/>
      <c r="AO23" s="1901"/>
      <c r="AP23" s="1901"/>
      <c r="AQ23" s="1901"/>
      <c r="AR23" s="1909"/>
      <c r="AS23" s="1909"/>
      <c r="AT23" s="1909"/>
      <c r="AU23" s="1909"/>
      <c r="AV23" s="1909"/>
      <c r="AW23" s="1909"/>
    </row>
    <row r="24" spans="1:49" ht="15" customHeight="1">
      <c r="A24" s="1727" t="s">
        <v>21</v>
      </c>
      <c r="B24" s="1901" t="s">
        <v>16</v>
      </c>
      <c r="C24" s="1920">
        <v>2196</v>
      </c>
      <c r="D24" s="1920"/>
      <c r="E24" s="1920">
        <v>0</v>
      </c>
      <c r="F24" s="1920"/>
      <c r="G24" s="1177">
        <f>+'Exhibit G state'!AE80</f>
        <v>1991.3</v>
      </c>
      <c r="H24" s="1177"/>
      <c r="I24" s="1921">
        <f t="shared" si="0"/>
        <v>-204.7</v>
      </c>
      <c r="J24" s="1177"/>
      <c r="K24" s="1921">
        <v>0</v>
      </c>
      <c r="L24" s="1921"/>
      <c r="M24" s="2408"/>
      <c r="N24" s="1920">
        <v>11</v>
      </c>
      <c r="O24" s="1920"/>
      <c r="P24" s="1920">
        <v>0</v>
      </c>
      <c r="Q24" s="1920"/>
      <c r="R24" s="1361">
        <f>+'Exhibit G Federal'!AE52</f>
        <v>63.5</v>
      </c>
      <c r="S24" s="1177"/>
      <c r="T24" s="1177">
        <f t="shared" si="1"/>
        <v>52.5</v>
      </c>
      <c r="U24" s="1901"/>
      <c r="V24" s="1921">
        <v>0</v>
      </c>
      <c r="W24" s="1921"/>
      <c r="X24" s="1989"/>
      <c r="Y24" s="1921"/>
      <c r="Z24" s="1921"/>
      <c r="AA24" s="1921"/>
      <c r="AB24" s="1921"/>
      <c r="AC24" s="1921"/>
      <c r="AD24" s="1921"/>
      <c r="AE24" s="1901"/>
      <c r="AF24" s="1901"/>
      <c r="AG24" s="1901"/>
      <c r="AH24" s="1901"/>
      <c r="AI24" s="1901"/>
      <c r="AJ24" s="1901"/>
      <c r="AK24" s="1901"/>
      <c r="AL24" s="1901"/>
      <c r="AM24" s="1901"/>
      <c r="AN24" s="1901"/>
      <c r="AO24" s="1901"/>
      <c r="AP24" s="1901"/>
      <c r="AQ24" s="1901"/>
      <c r="AR24" s="1909"/>
      <c r="AS24" s="1909"/>
      <c r="AT24" s="1909"/>
      <c r="AU24" s="1909"/>
      <c r="AV24" s="1909"/>
      <c r="AW24" s="1909"/>
    </row>
    <row r="25" spans="1:49" ht="15" customHeight="1">
      <c r="A25" s="1727" t="s">
        <v>22</v>
      </c>
      <c r="B25" s="1901" t="s">
        <v>16</v>
      </c>
      <c r="C25" s="1259">
        <v>0</v>
      </c>
      <c r="D25" s="1177"/>
      <c r="E25" s="1259">
        <v>0</v>
      </c>
      <c r="F25" s="1177"/>
      <c r="G25" s="1361">
        <f>+'Exhibit G state'!AE82</f>
        <v>0</v>
      </c>
      <c r="H25" s="1177"/>
      <c r="I25" s="1921">
        <f t="shared" si="0"/>
        <v>0</v>
      </c>
      <c r="J25" s="1177"/>
      <c r="K25" s="1921">
        <v>0</v>
      </c>
      <c r="L25" s="1921"/>
      <c r="M25" s="2408"/>
      <c r="N25" s="1259">
        <v>6379</v>
      </c>
      <c r="O25" s="1177"/>
      <c r="P25" s="1362">
        <v>0</v>
      </c>
      <c r="Q25" s="1177"/>
      <c r="R25" s="1361">
        <f>+'Exhibit G Federal'!AE54</f>
        <v>6207.6</v>
      </c>
      <c r="S25" s="1177"/>
      <c r="T25" s="1177">
        <f t="shared" si="1"/>
        <v>-171.4</v>
      </c>
      <c r="U25" s="1901"/>
      <c r="V25" s="1921">
        <v>0</v>
      </c>
      <c r="W25" s="1921"/>
      <c r="X25" s="1989"/>
      <c r="Y25" s="1921"/>
      <c r="Z25" s="1921"/>
      <c r="AA25" s="1921"/>
      <c r="AB25" s="1921"/>
      <c r="AC25" s="1921"/>
      <c r="AD25" s="1925"/>
      <c r="AE25" s="1926"/>
      <c r="AF25" s="1901"/>
      <c r="AG25" s="1926"/>
      <c r="AH25" s="1901"/>
      <c r="AI25" s="1926"/>
      <c r="AJ25" s="1927"/>
      <c r="AK25" s="1901"/>
      <c r="AL25" s="1901"/>
      <c r="AM25" s="1901"/>
      <c r="AN25" s="1901"/>
      <c r="AO25" s="1901"/>
      <c r="AP25" s="1901"/>
      <c r="AQ25" s="1901"/>
      <c r="AR25" s="1909"/>
      <c r="AS25" s="1909"/>
      <c r="AT25" s="1909"/>
      <c r="AU25" s="1909"/>
      <c r="AV25" s="1909"/>
      <c r="AW25" s="1909"/>
    </row>
    <row r="26" spans="1:49">
      <c r="A26" s="1727" t="s">
        <v>1571</v>
      </c>
      <c r="B26" s="1927" t="s">
        <v>16</v>
      </c>
      <c r="C26" s="1921">
        <v>2763</v>
      </c>
      <c r="D26" s="1921"/>
      <c r="E26" s="1921">
        <v>0</v>
      </c>
      <c r="F26" s="1921"/>
      <c r="G26" s="2066">
        <f>+'Exhibit G state'!AE111</f>
        <v>2629.1</v>
      </c>
      <c r="H26" s="1177"/>
      <c r="I26" s="1921">
        <f t="shared" si="0"/>
        <v>-133.9</v>
      </c>
      <c r="J26" s="1921"/>
      <c r="K26" s="1921">
        <v>0</v>
      </c>
      <c r="L26" s="1921"/>
      <c r="M26" s="2409"/>
      <c r="N26" s="1921">
        <v>0</v>
      </c>
      <c r="O26" s="1177"/>
      <c r="P26" s="1921">
        <v>0</v>
      </c>
      <c r="Q26" s="1921"/>
      <c r="R26" s="2066">
        <f>+'Exhibit G Federal'!AE83</f>
        <v>0</v>
      </c>
      <c r="S26" s="1177"/>
      <c r="T26" s="1177">
        <f t="shared" si="1"/>
        <v>0</v>
      </c>
      <c r="U26" s="1927"/>
      <c r="V26" s="1921">
        <v>0</v>
      </c>
      <c r="W26" s="1921"/>
      <c r="X26" s="1989"/>
      <c r="Y26" s="1921"/>
      <c r="Z26" s="1922"/>
      <c r="AA26" s="1921"/>
      <c r="AB26" s="1921"/>
      <c r="AC26" s="1921"/>
      <c r="AD26" s="1925"/>
      <c r="AE26" s="1926"/>
      <c r="AF26" s="1901"/>
      <c r="AG26" s="1926"/>
      <c r="AH26" s="1901"/>
      <c r="AI26" s="1926"/>
      <c r="AJ26" s="1927"/>
      <c r="AK26" s="1901"/>
      <c r="AL26" s="1901"/>
      <c r="AM26" s="1901"/>
      <c r="AN26" s="1901"/>
      <c r="AO26" s="1901"/>
      <c r="AP26" s="1901"/>
      <c r="AQ26" s="1901"/>
      <c r="AR26" s="1909"/>
      <c r="AS26" s="1909"/>
      <c r="AT26" s="1909"/>
      <c r="AU26" s="1909"/>
      <c r="AV26" s="1909"/>
      <c r="AW26" s="1909"/>
    </row>
    <row r="27" spans="1:49" ht="18" customHeight="1">
      <c r="A27" s="376" t="s">
        <v>113</v>
      </c>
      <c r="B27" s="354" t="s">
        <v>16</v>
      </c>
      <c r="C27" s="421">
        <f>ROUND(SUM(C20:C26),1)</f>
        <v>5651</v>
      </c>
      <c r="D27" s="1899"/>
      <c r="E27" s="421">
        <f>ROUND(SUM(E20:E26),1)</f>
        <v>0</v>
      </c>
      <c r="F27" s="1899"/>
      <c r="G27" s="421">
        <f>ROUND(SUM(G20:G26),1)</f>
        <v>5297.8</v>
      </c>
      <c r="H27" s="1899"/>
      <c r="I27" s="3264">
        <f>ROUND(SUM(I20:I26),1)</f>
        <v>-353.2</v>
      </c>
      <c r="J27" s="273"/>
      <c r="K27" s="3264">
        <f>ROUND(SUM(K20:K26),1)</f>
        <v>0</v>
      </c>
      <c r="L27" s="273"/>
      <c r="M27" s="2408"/>
      <c r="N27" s="3264">
        <f>ROUND(SUM(N20:N26),1)</f>
        <v>6390</v>
      </c>
      <c r="O27" s="1899"/>
      <c r="P27" s="421">
        <f>ROUND(SUM(P20:P26),1)</f>
        <v>0</v>
      </c>
      <c r="Q27" s="1899"/>
      <c r="R27" s="546">
        <f>ROUND(SUM(R20:R26),1)</f>
        <v>6271.1</v>
      </c>
      <c r="S27" s="1899"/>
      <c r="T27" s="546">
        <f>ROUND(SUM(T20:T26),1)</f>
        <v>-118.9</v>
      </c>
      <c r="U27" s="354"/>
      <c r="V27" s="546">
        <f>ROUND(SUM(V20:V26),1)</f>
        <v>0</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909"/>
      <c r="AS27" s="1909"/>
      <c r="AT27" s="1909"/>
      <c r="AU27" s="1909"/>
      <c r="AV27" s="1909"/>
      <c r="AW27" s="1909"/>
    </row>
    <row r="28" spans="1:49">
      <c r="A28" s="1365"/>
      <c r="B28" s="1901"/>
      <c r="C28" s="1363"/>
      <c r="D28" s="1177"/>
      <c r="E28" s="1363"/>
      <c r="F28" s="1177"/>
      <c r="G28" s="1363"/>
      <c r="H28" s="1177"/>
      <c r="I28" s="1921"/>
      <c r="J28" s="1921"/>
      <c r="K28" s="1921"/>
      <c r="L28" s="1921"/>
      <c r="M28" s="2408"/>
      <c r="N28" s="1921"/>
      <c r="O28" s="1177"/>
      <c r="P28" s="1363"/>
      <c r="Q28" s="1177"/>
      <c r="R28" s="1363"/>
      <c r="S28" s="1177"/>
      <c r="T28" s="1921"/>
      <c r="U28" s="1901"/>
      <c r="V28" s="1921"/>
      <c r="W28" s="1921"/>
      <c r="X28" s="1921"/>
      <c r="Y28" s="1921"/>
      <c r="Z28" s="1921"/>
      <c r="AA28" s="1921"/>
      <c r="AB28" s="1921"/>
      <c r="AC28" s="1921"/>
      <c r="AD28" s="1921"/>
      <c r="AE28" s="1901"/>
      <c r="AF28" s="1901"/>
      <c r="AG28" s="1901"/>
      <c r="AH28" s="1901"/>
      <c r="AI28" s="1901"/>
      <c r="AJ28" s="1901"/>
      <c r="AK28" s="1901"/>
      <c r="AL28" s="1901"/>
      <c r="AM28" s="1901"/>
      <c r="AN28" s="1901"/>
      <c r="AO28" s="1901"/>
      <c r="AP28" s="1901"/>
      <c r="AQ28" s="1901"/>
      <c r="AR28" s="1909"/>
      <c r="AS28" s="1909"/>
      <c r="AT28" s="1909"/>
      <c r="AU28" s="1909"/>
      <c r="AV28" s="1909"/>
      <c r="AW28" s="1909"/>
    </row>
    <row r="29" spans="1:49" ht="15.75">
      <c r="A29" s="221" t="s">
        <v>24</v>
      </c>
      <c r="B29" s="1901"/>
      <c r="C29" s="1177"/>
      <c r="D29" s="1177"/>
      <c r="E29" s="1177"/>
      <c r="F29" s="1177"/>
      <c r="G29" s="1177"/>
      <c r="H29" s="1177"/>
      <c r="I29" s="1921"/>
      <c r="J29" s="1921"/>
      <c r="K29" s="1921"/>
      <c r="L29" s="1921"/>
      <c r="M29" s="2408"/>
      <c r="N29" s="1177"/>
      <c r="O29" s="1177"/>
      <c r="P29" s="1177"/>
      <c r="Q29" s="1177"/>
      <c r="R29" s="1177"/>
      <c r="S29" s="1177"/>
      <c r="T29" s="1177"/>
      <c r="U29" s="1901"/>
      <c r="V29" s="1921"/>
      <c r="W29" s="1921"/>
      <c r="X29" s="1921"/>
      <c r="Y29" s="1921"/>
      <c r="Z29" s="1921"/>
      <c r="AA29" s="1921"/>
      <c r="AB29" s="1921"/>
      <c r="AC29" s="1921"/>
      <c r="AD29" s="1921"/>
      <c r="AE29" s="1901"/>
      <c r="AF29" s="1901"/>
      <c r="AG29" s="1901"/>
      <c r="AH29" s="1901"/>
      <c r="AI29" s="1901"/>
      <c r="AJ29" s="1901"/>
      <c r="AK29" s="1901"/>
      <c r="AL29" s="1901"/>
      <c r="AM29" s="1901"/>
      <c r="AN29" s="1901"/>
      <c r="AO29" s="1901"/>
      <c r="AP29" s="1901"/>
      <c r="AQ29" s="1901"/>
      <c r="AR29" s="1909"/>
      <c r="AS29" s="1909"/>
      <c r="AT29" s="1909"/>
      <c r="AU29" s="1909"/>
      <c r="AV29" s="1909"/>
      <c r="AW29" s="1909"/>
    </row>
    <row r="30" spans="1:49">
      <c r="A30" s="1727" t="s">
        <v>96</v>
      </c>
      <c r="B30" s="1923" t="s">
        <v>16</v>
      </c>
      <c r="C30" s="1333">
        <v>1760</v>
      </c>
      <c r="D30" s="1177"/>
      <c r="E30" s="1333">
        <v>0</v>
      </c>
      <c r="F30" s="1177"/>
      <c r="G30" s="1333">
        <f>+'Exhibit G state'!AE98</f>
        <v>1531</v>
      </c>
      <c r="H30" s="1177"/>
      <c r="I30" s="1921">
        <f t="shared" ref="I30:I34" si="2">ROUND(SUM(G30)-SUM(C30),1)</f>
        <v>-229</v>
      </c>
      <c r="J30" s="1921"/>
      <c r="K30" s="1921">
        <v>0</v>
      </c>
      <c r="L30" s="1921"/>
      <c r="M30" s="2408"/>
      <c r="N30" s="1333">
        <v>6079</v>
      </c>
      <c r="O30" s="1177"/>
      <c r="P30" s="1333">
        <v>0</v>
      </c>
      <c r="Q30" s="1177"/>
      <c r="R30" s="1333">
        <f>+'Exhibit G Federal'!AE70</f>
        <v>5958.2</v>
      </c>
      <c r="S30" s="1177"/>
      <c r="T30" s="1177">
        <f t="shared" ref="T30:T34" si="3">ROUND(SUM(R30)-SUM(N30),1)</f>
        <v>-120.8</v>
      </c>
      <c r="U30" s="1901"/>
      <c r="V30" s="1921">
        <v>0</v>
      </c>
      <c r="W30" s="1921"/>
      <c r="X30" s="1989"/>
      <c r="Y30" s="1921"/>
      <c r="Z30" s="1921"/>
      <c r="AA30" s="1921"/>
      <c r="AB30" s="1921"/>
      <c r="AC30" s="1921"/>
      <c r="AD30" s="1925"/>
      <c r="AE30" s="1926"/>
      <c r="AF30" s="1901"/>
      <c r="AG30" s="1926"/>
      <c r="AH30" s="1901"/>
      <c r="AI30" s="1926"/>
      <c r="AJ30" s="1927"/>
      <c r="AK30" s="1901"/>
      <c r="AL30" s="1901"/>
      <c r="AM30" s="1901"/>
      <c r="AN30" s="1901"/>
      <c r="AO30" s="1901"/>
      <c r="AP30" s="1901"/>
      <c r="AQ30" s="1901"/>
      <c r="AR30" s="1909"/>
      <c r="AS30" s="1909"/>
      <c r="AT30" s="1909"/>
      <c r="AU30" s="1909"/>
      <c r="AV30" s="1909"/>
      <c r="AW30" s="1909"/>
    </row>
    <row r="31" spans="1:49">
      <c r="A31" s="1727" t="s">
        <v>97</v>
      </c>
      <c r="B31" s="1923" t="s">
        <v>16</v>
      </c>
      <c r="C31" s="1333">
        <v>1675</v>
      </c>
      <c r="D31" s="1177"/>
      <c r="E31" s="1333">
        <v>0</v>
      </c>
      <c r="F31" s="1177"/>
      <c r="G31" s="1333">
        <f>+'Exhibit G state'!AE101+'Exhibit G state'!AE100</f>
        <v>1639.1000000000001</v>
      </c>
      <c r="H31" s="1177"/>
      <c r="I31" s="1921">
        <f t="shared" si="2"/>
        <v>-35.9</v>
      </c>
      <c r="J31" s="1921"/>
      <c r="K31" s="1921">
        <v>0</v>
      </c>
      <c r="L31" s="1921"/>
      <c r="M31" s="2408"/>
      <c r="N31" s="1333">
        <v>222</v>
      </c>
      <c r="O31" s="1177"/>
      <c r="P31" s="1333">
        <v>0</v>
      </c>
      <c r="Q31" s="1177"/>
      <c r="R31" s="1333">
        <f>+'Exhibit G Federal'!AE72+'Exhibit G Federal'!AE73</f>
        <v>231.39999999999998</v>
      </c>
      <c r="S31" s="1177"/>
      <c r="T31" s="1177">
        <f t="shared" si="3"/>
        <v>9.4</v>
      </c>
      <c r="U31" s="1901"/>
      <c r="V31" s="1921">
        <v>0</v>
      </c>
      <c r="W31" s="1921"/>
      <c r="X31" s="1989"/>
      <c r="Y31" s="1921"/>
      <c r="Z31" s="1921"/>
      <c r="AA31" s="1921"/>
      <c r="AB31" s="1921"/>
      <c r="AC31" s="1921"/>
      <c r="AD31" s="1922"/>
      <c r="AE31" s="1923"/>
      <c r="AF31" s="1901"/>
      <c r="AG31" s="1923"/>
      <c r="AH31" s="1901"/>
      <c r="AI31" s="1926"/>
      <c r="AJ31" s="1901"/>
      <c r="AK31" s="1901"/>
      <c r="AL31" s="1926"/>
      <c r="AM31" s="1926"/>
      <c r="AN31" s="1901"/>
      <c r="AO31" s="1926"/>
      <c r="AP31" s="1901"/>
      <c r="AQ31" s="1926"/>
      <c r="AR31" s="1909"/>
      <c r="AS31" s="1909"/>
      <c r="AT31" s="1909"/>
      <c r="AU31" s="1909"/>
      <c r="AV31" s="1909"/>
      <c r="AW31" s="1909"/>
    </row>
    <row r="32" spans="1:49">
      <c r="A32" s="1727" t="s">
        <v>72</v>
      </c>
      <c r="B32" s="1923" t="s">
        <v>16</v>
      </c>
      <c r="C32" s="1333">
        <v>241</v>
      </c>
      <c r="D32" s="1177"/>
      <c r="E32" s="1333">
        <v>0</v>
      </c>
      <c r="F32" s="1177"/>
      <c r="G32" s="1333">
        <f>+'Exhibit G state'!AE102</f>
        <v>233.5</v>
      </c>
      <c r="H32" s="1177"/>
      <c r="I32" s="1921">
        <f t="shared" si="2"/>
        <v>-7.5</v>
      </c>
      <c r="J32" s="1921"/>
      <c r="K32" s="1921">
        <v>0</v>
      </c>
      <c r="L32" s="1921"/>
      <c r="M32" s="2408"/>
      <c r="N32" s="1333">
        <v>45</v>
      </c>
      <c r="O32" s="1177"/>
      <c r="P32" s="1333">
        <v>0</v>
      </c>
      <c r="Q32" s="1177"/>
      <c r="R32" s="1333">
        <f>+'Exhibit G Federal'!AE74</f>
        <v>57.5</v>
      </c>
      <c r="S32" s="1177"/>
      <c r="T32" s="1177">
        <f t="shared" si="3"/>
        <v>12.5</v>
      </c>
      <c r="U32" s="1901"/>
      <c r="V32" s="1921">
        <v>0</v>
      </c>
      <c r="W32" s="1921"/>
      <c r="X32" s="1989"/>
      <c r="Y32" s="1921"/>
      <c r="Z32" s="1921"/>
      <c r="AA32" s="1921"/>
      <c r="AB32" s="1921"/>
      <c r="AC32" s="1921"/>
      <c r="AD32" s="1925"/>
      <c r="AE32" s="1926"/>
      <c r="AF32" s="1901"/>
      <c r="AG32" s="1926"/>
      <c r="AH32" s="1901"/>
      <c r="AI32" s="1926"/>
      <c r="AJ32" s="1927"/>
      <c r="AK32" s="1901"/>
      <c r="AL32" s="1926"/>
      <c r="AM32" s="1926"/>
      <c r="AN32" s="1901"/>
      <c r="AO32" s="1926"/>
      <c r="AP32" s="1901"/>
      <c r="AQ32" s="1926"/>
      <c r="AR32" s="1909"/>
      <c r="AS32" s="1909"/>
      <c r="AT32" s="1909"/>
      <c r="AU32" s="1909"/>
      <c r="AV32" s="1909"/>
      <c r="AW32" s="1909"/>
    </row>
    <row r="33" spans="1:49">
      <c r="A33" s="1727" t="s">
        <v>43</v>
      </c>
      <c r="B33" s="1927" t="s">
        <v>16</v>
      </c>
      <c r="C33" s="1259">
        <v>0</v>
      </c>
      <c r="D33" s="1177"/>
      <c r="E33" s="1259">
        <v>0</v>
      </c>
      <c r="F33" s="1177"/>
      <c r="G33" s="1259">
        <f>+'Exhibit G state'!AE103</f>
        <v>0.2</v>
      </c>
      <c r="H33" s="1177"/>
      <c r="I33" s="1921">
        <f t="shared" si="2"/>
        <v>0.2</v>
      </c>
      <c r="J33" s="1921"/>
      <c r="K33" s="1921">
        <v>0</v>
      </c>
      <c r="L33" s="1921"/>
      <c r="M33" s="2409"/>
      <c r="N33" s="1259">
        <v>0</v>
      </c>
      <c r="O33" s="1177"/>
      <c r="P33" s="1259">
        <v>0</v>
      </c>
      <c r="Q33" s="1177"/>
      <c r="R33" s="1259">
        <v>0</v>
      </c>
      <c r="S33" s="1177"/>
      <c r="T33" s="1177">
        <f t="shared" si="3"/>
        <v>0</v>
      </c>
      <c r="U33" s="1927"/>
      <c r="V33" s="1921">
        <v>0</v>
      </c>
      <c r="W33" s="1921"/>
      <c r="X33" s="1989"/>
      <c r="Y33" s="1921"/>
      <c r="Z33" s="1921"/>
      <c r="AA33" s="1921"/>
      <c r="AB33" s="1921"/>
      <c r="AC33" s="1921"/>
      <c r="AD33" s="1925"/>
      <c r="AE33" s="1926"/>
      <c r="AF33" s="1901"/>
      <c r="AG33" s="1926"/>
      <c r="AH33" s="1901"/>
      <c r="AI33" s="1926"/>
      <c r="AJ33" s="1927"/>
      <c r="AK33" s="1901"/>
      <c r="AL33" s="1901"/>
      <c r="AM33" s="1901"/>
      <c r="AN33" s="1901"/>
      <c r="AO33" s="1901"/>
      <c r="AP33" s="1901"/>
      <c r="AQ33" s="1901"/>
      <c r="AR33" s="1909"/>
      <c r="AS33" s="1909"/>
      <c r="AT33" s="1909"/>
      <c r="AU33" s="1909"/>
      <c r="AV33" s="1909"/>
      <c r="AW33" s="1909"/>
    </row>
    <row r="34" spans="1:49">
      <c r="A34" s="1727" t="s">
        <v>1572</v>
      </c>
      <c r="B34" s="1927" t="s">
        <v>16</v>
      </c>
      <c r="C34" s="1361">
        <v>312</v>
      </c>
      <c r="D34" s="1177"/>
      <c r="E34" s="1361">
        <v>0</v>
      </c>
      <c r="F34" s="1177"/>
      <c r="G34" s="1361">
        <f>-'Exhibit G state'!AE112</f>
        <v>316.10000000000002</v>
      </c>
      <c r="H34" s="1177"/>
      <c r="I34" s="1921">
        <f t="shared" si="2"/>
        <v>4.0999999999999996</v>
      </c>
      <c r="J34" s="1921"/>
      <c r="K34" s="1921">
        <v>0</v>
      </c>
      <c r="L34" s="1921"/>
      <c r="M34" s="2409"/>
      <c r="N34" s="1361">
        <v>228</v>
      </c>
      <c r="O34" s="1177"/>
      <c r="P34" s="1361">
        <v>0</v>
      </c>
      <c r="Q34" s="1177"/>
      <c r="R34" s="1361">
        <f>-'Exhibit G Federal'!AE84</f>
        <v>158.6</v>
      </c>
      <c r="S34" s="1177"/>
      <c r="T34" s="1177">
        <f t="shared" si="3"/>
        <v>-69.400000000000006</v>
      </c>
      <c r="U34" s="1927"/>
      <c r="V34" s="1921">
        <v>0</v>
      </c>
      <c r="W34" s="1921"/>
      <c r="X34" s="1989"/>
      <c r="Y34" s="1921"/>
      <c r="Z34" s="1922"/>
      <c r="AA34" s="1921"/>
      <c r="AB34" s="1921"/>
      <c r="AC34" s="1921"/>
      <c r="AD34" s="1925"/>
      <c r="AE34" s="1926"/>
      <c r="AF34" s="1901"/>
      <c r="AG34" s="1926"/>
      <c r="AH34" s="1901"/>
      <c r="AI34" s="1926"/>
      <c r="AJ34" s="1927"/>
      <c r="AK34" s="1901"/>
      <c r="AL34" s="1901"/>
      <c r="AM34" s="1901"/>
      <c r="AN34" s="1901"/>
      <c r="AO34" s="1901"/>
      <c r="AP34" s="1901"/>
      <c r="AQ34" s="1901"/>
      <c r="AR34" s="1909"/>
      <c r="AS34" s="1909"/>
      <c r="AT34" s="1909"/>
      <c r="AU34" s="1909"/>
      <c r="AV34" s="1909"/>
      <c r="AW34" s="1909"/>
    </row>
    <row r="35" spans="1:49" ht="18" customHeight="1">
      <c r="A35" s="376" t="s">
        <v>122</v>
      </c>
      <c r="B35" s="354" t="s">
        <v>16</v>
      </c>
      <c r="C35" s="546">
        <f>ROUND(SUM(C30:C34),1)</f>
        <v>3988</v>
      </c>
      <c r="D35" s="1899"/>
      <c r="E35" s="546">
        <f>ROUND(SUM(E30:E34),1)</f>
        <v>0</v>
      </c>
      <c r="F35" s="1899"/>
      <c r="G35" s="546">
        <f>ROUND(SUM(G30:G34),1)</f>
        <v>3719.9</v>
      </c>
      <c r="H35" s="1899"/>
      <c r="I35" s="546">
        <f>ROUND(SUM(I30:I34),1)</f>
        <v>-268.10000000000002</v>
      </c>
      <c r="J35" s="273"/>
      <c r="K35" s="546">
        <f>ROUND(SUM(K30:K34),1)</f>
        <v>0</v>
      </c>
      <c r="L35" s="273"/>
      <c r="M35" s="2412"/>
      <c r="N35" s="546">
        <f>ROUND(SUM(N30:N34),1)</f>
        <v>6574</v>
      </c>
      <c r="O35" s="1899"/>
      <c r="P35" s="546">
        <f>ROUND(SUM(P30:P34),1)</f>
        <v>0</v>
      </c>
      <c r="Q35" s="1899"/>
      <c r="R35" s="546">
        <f>ROUND(SUM(R30:R34),1)</f>
        <v>6405.7</v>
      </c>
      <c r="S35" s="1899"/>
      <c r="T35" s="546">
        <f>ROUND(SUM(T30:T34),1)</f>
        <v>-168.3</v>
      </c>
      <c r="U35" s="354"/>
      <c r="V35" s="546">
        <f>ROUND(SUM(V30:V34),1)</f>
        <v>0</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909"/>
      <c r="AS35" s="1909"/>
      <c r="AT35" s="1909"/>
      <c r="AU35" s="1909"/>
      <c r="AV35" s="1909"/>
      <c r="AW35" s="1909"/>
    </row>
    <row r="36" spans="1:49">
      <c r="A36" s="1365"/>
      <c r="B36" s="1901"/>
      <c r="C36" s="1363"/>
      <c r="D36" s="1177"/>
      <c r="E36" s="1363"/>
      <c r="F36" s="1177"/>
      <c r="G36" s="1363"/>
      <c r="H36" s="1177"/>
      <c r="I36" s="1921"/>
      <c r="J36" s="1921"/>
      <c r="K36" s="1921"/>
      <c r="L36" s="1921"/>
      <c r="M36" s="2408"/>
      <c r="N36" s="1921"/>
      <c r="O36" s="1177"/>
      <c r="P36" s="1363"/>
      <c r="Q36" s="1177"/>
      <c r="R36" s="1363"/>
      <c r="S36" s="1177"/>
      <c r="T36" s="1921"/>
      <c r="U36" s="1901"/>
      <c r="V36" s="1921"/>
      <c r="W36" s="1921"/>
      <c r="X36" s="1921"/>
      <c r="Y36" s="1921"/>
      <c r="Z36" s="1921"/>
      <c r="AA36" s="1921"/>
      <c r="AB36" s="1921"/>
      <c r="AC36" s="1921"/>
      <c r="AD36" s="1921"/>
      <c r="AE36" s="1901"/>
      <c r="AF36" s="1901"/>
      <c r="AG36" s="1901"/>
      <c r="AH36" s="1901"/>
      <c r="AI36" s="1901"/>
      <c r="AJ36" s="1901"/>
      <c r="AK36" s="1901"/>
      <c r="AL36" s="1901"/>
      <c r="AM36" s="1901"/>
      <c r="AN36" s="1901"/>
      <c r="AO36" s="1901"/>
      <c r="AP36" s="1901"/>
      <c r="AQ36" s="1901"/>
      <c r="AR36" s="1909"/>
      <c r="AS36" s="1909"/>
      <c r="AT36" s="1909"/>
      <c r="AU36" s="1909"/>
      <c r="AV36" s="1909"/>
      <c r="AW36" s="1909"/>
    </row>
    <row r="37" spans="1:49" ht="15.75">
      <c r="A37" s="221" t="s">
        <v>123</v>
      </c>
      <c r="B37" s="1901"/>
      <c r="C37" s="1177"/>
      <c r="D37" s="1177"/>
      <c r="E37" s="1177"/>
      <c r="F37" s="1177"/>
      <c r="G37" s="1177"/>
      <c r="H37" s="1177"/>
      <c r="I37" s="1921"/>
      <c r="J37" s="1921"/>
      <c r="K37" s="1921"/>
      <c r="L37" s="1921"/>
      <c r="M37" s="2408"/>
      <c r="N37" s="1177"/>
      <c r="O37" s="1177"/>
      <c r="P37" s="1177"/>
      <c r="Q37" s="1177"/>
      <c r="R37" s="1177"/>
      <c r="S37" s="1177"/>
      <c r="T37" s="1177"/>
      <c r="U37" s="1901"/>
      <c r="V37" s="1921"/>
      <c r="W37" s="1921"/>
      <c r="X37" s="1921"/>
      <c r="Y37" s="1921"/>
      <c r="Z37" s="1921"/>
      <c r="AA37" s="1921"/>
      <c r="AB37" s="1921"/>
      <c r="AC37" s="1921"/>
      <c r="AD37" s="1921"/>
      <c r="AE37" s="1901"/>
      <c r="AF37" s="1901"/>
      <c r="AG37" s="1901"/>
      <c r="AH37" s="1901"/>
      <c r="AI37" s="1901"/>
      <c r="AJ37" s="1901"/>
      <c r="AK37" s="1901"/>
      <c r="AL37" s="1901"/>
      <c r="AM37" s="1901"/>
      <c r="AN37" s="1901"/>
      <c r="AO37" s="1901"/>
      <c r="AP37" s="1901"/>
      <c r="AQ37" s="1901"/>
      <c r="AR37" s="1909"/>
      <c r="AS37" s="1909"/>
      <c r="AT37" s="1909"/>
      <c r="AU37" s="1909"/>
      <c r="AV37" s="1909"/>
      <c r="AW37" s="1909"/>
    </row>
    <row r="38" spans="1:49" ht="15.75">
      <c r="A38" s="221" t="s">
        <v>124</v>
      </c>
      <c r="B38" s="1901"/>
      <c r="C38" s="1177"/>
      <c r="D38" s="1177"/>
      <c r="E38" s="1177"/>
      <c r="F38" s="1177"/>
      <c r="G38" s="1177"/>
      <c r="H38" s="1177"/>
      <c r="I38" s="1921"/>
      <c r="J38" s="1921"/>
      <c r="K38" s="1921"/>
      <c r="L38" s="1921"/>
      <c r="M38" s="2408"/>
      <c r="N38" s="1177"/>
      <c r="O38" s="1177"/>
      <c r="P38" s="1177"/>
      <c r="Q38" s="1177"/>
      <c r="R38" s="1177"/>
      <c r="S38" s="1177"/>
      <c r="T38" s="1177"/>
      <c r="U38" s="1901"/>
      <c r="V38" s="1921"/>
      <c r="W38" s="1921"/>
      <c r="X38" s="1921"/>
      <c r="Y38" s="1921"/>
      <c r="Z38" s="1921"/>
      <c r="AA38" s="1921"/>
      <c r="AB38" s="1921"/>
      <c r="AC38" s="1921"/>
      <c r="AD38" s="1921"/>
      <c r="AE38" s="1901"/>
      <c r="AF38" s="1901"/>
      <c r="AG38" s="1901"/>
      <c r="AH38" s="1901"/>
      <c r="AI38" s="1901"/>
      <c r="AJ38" s="1901"/>
      <c r="AK38" s="1901"/>
      <c r="AL38" s="1901"/>
      <c r="AM38" s="1901"/>
      <c r="AN38" s="1901"/>
      <c r="AO38" s="1901"/>
      <c r="AP38" s="1901"/>
      <c r="AQ38" s="1901"/>
      <c r="AR38" s="1909"/>
      <c r="AS38" s="1909"/>
      <c r="AT38" s="1909"/>
      <c r="AU38" s="1909"/>
      <c r="AV38" s="1909"/>
      <c r="AW38" s="1909"/>
    </row>
    <row r="39" spans="1:49" ht="15.75">
      <c r="A39" s="376" t="s">
        <v>105</v>
      </c>
      <c r="B39" s="1898" t="s">
        <v>16</v>
      </c>
      <c r="C39" s="273">
        <f>ROUND(SUM(C27)-SUM(C35),1)</f>
        <v>1663</v>
      </c>
      <c r="D39" s="284"/>
      <c r="E39" s="273">
        <f>ROUND(SUM(E27)-SUM(E35),1)</f>
        <v>0</v>
      </c>
      <c r="F39" s="284"/>
      <c r="G39" s="273">
        <f>ROUND(SUM(G27)-SUM(G35),1)</f>
        <v>1577.9</v>
      </c>
      <c r="H39" s="284"/>
      <c r="I39" s="273">
        <f>ROUND(SUM(I27)-SUM(I35),1)</f>
        <v>-85.1</v>
      </c>
      <c r="J39" s="273"/>
      <c r="K39" s="3195">
        <v>0</v>
      </c>
      <c r="L39" s="273"/>
      <c r="M39" s="2410"/>
      <c r="N39" s="273">
        <f>ROUND(SUM(N27)-SUM(N35),1)</f>
        <v>-184</v>
      </c>
      <c r="O39" s="284"/>
      <c r="P39" s="273">
        <f>ROUND(SUM(P27)-SUM(P35),1)</f>
        <v>0</v>
      </c>
      <c r="Q39" s="284"/>
      <c r="R39" s="273">
        <f>ROUND(SUM(R27)-SUM(R35),1)</f>
        <v>-134.6</v>
      </c>
      <c r="S39" s="284"/>
      <c r="T39" s="273">
        <f>ROUND(SUM(T27)-SUM(T35),1)</f>
        <v>49.4</v>
      </c>
      <c r="U39" s="354"/>
      <c r="V39" s="273">
        <v>0</v>
      </c>
      <c r="W39" s="744"/>
      <c r="X39" s="273"/>
      <c r="Y39" s="744"/>
      <c r="Z39" s="273"/>
      <c r="AA39" s="744"/>
      <c r="AB39" s="273"/>
      <c r="AC39" s="744"/>
      <c r="AD39" s="273"/>
      <c r="AE39" s="354"/>
      <c r="AF39" s="377"/>
      <c r="AG39" s="354"/>
      <c r="AH39" s="377"/>
      <c r="AI39" s="354"/>
      <c r="AJ39" s="354"/>
      <c r="AK39" s="377"/>
      <c r="AL39" s="354"/>
      <c r="AM39" s="354"/>
      <c r="AN39" s="377"/>
      <c r="AO39" s="354"/>
      <c r="AP39" s="377"/>
      <c r="AQ39" s="354"/>
      <c r="AR39" s="1909"/>
      <c r="AS39" s="1909"/>
      <c r="AT39" s="1909"/>
      <c r="AU39" s="1909"/>
      <c r="AV39" s="1909"/>
      <c r="AW39" s="1909"/>
    </row>
    <row r="40" spans="1:49" ht="15" customHeight="1">
      <c r="C40" s="1275"/>
      <c r="D40" s="1910"/>
      <c r="E40" s="1275"/>
      <c r="F40" s="1910"/>
      <c r="G40" s="1275"/>
      <c r="H40" s="1910"/>
      <c r="I40" s="273"/>
      <c r="J40" s="273"/>
      <c r="K40" s="3195"/>
      <c r="L40" s="273"/>
      <c r="M40" s="2410"/>
      <c r="N40" s="1275"/>
      <c r="O40" s="1910"/>
      <c r="P40" s="1275"/>
      <c r="Q40" s="1910"/>
      <c r="R40" s="1275"/>
      <c r="S40" s="1910"/>
      <c r="T40" s="273"/>
      <c r="U40" s="354"/>
      <c r="V40" s="273"/>
      <c r="W40" s="1275"/>
      <c r="X40" s="1275"/>
      <c r="Y40" s="1275"/>
      <c r="Z40" s="1275"/>
      <c r="AA40" s="1275"/>
      <c r="AB40" s="1275"/>
      <c r="AC40" s="1275"/>
      <c r="AD40" s="1275"/>
      <c r="AR40" s="1909"/>
      <c r="AS40" s="1909"/>
      <c r="AT40" s="1909"/>
      <c r="AU40" s="1909"/>
      <c r="AV40" s="1909"/>
      <c r="AW40" s="1909"/>
    </row>
    <row r="41" spans="1:49" ht="15.75">
      <c r="A41" s="376" t="str">
        <f>+'Exh D-Governmental  '!A49</f>
        <v>Fund Balances (Deficits) at April 1</v>
      </c>
      <c r="B41" s="1155" t="s">
        <v>16</v>
      </c>
      <c r="C41" s="273">
        <v>2010</v>
      </c>
      <c r="D41" s="1910"/>
      <c r="E41" s="273">
        <v>0</v>
      </c>
      <c r="F41" s="1910"/>
      <c r="G41" s="273">
        <v>2010.2</v>
      </c>
      <c r="H41" s="1910"/>
      <c r="I41" s="281">
        <f>ROUND(SUM(G41-C41),1)</f>
        <v>0.2</v>
      </c>
      <c r="J41" s="281"/>
      <c r="K41" s="281">
        <v>0</v>
      </c>
      <c r="L41" s="281"/>
      <c r="M41" s="2410"/>
      <c r="N41" s="273">
        <v>651</v>
      </c>
      <c r="O41" s="1910"/>
      <c r="P41" s="273">
        <v>0</v>
      </c>
      <c r="Q41" s="1910"/>
      <c r="R41" s="273">
        <v>651.6</v>
      </c>
      <c r="S41" s="1910"/>
      <c r="T41" s="281">
        <f>ROUND(SUM(R41-N41),1)</f>
        <v>0.6</v>
      </c>
      <c r="U41" s="354"/>
      <c r="V41" s="273">
        <v>0</v>
      </c>
      <c r="W41" s="1275"/>
      <c r="X41" s="273"/>
      <c r="Y41" s="1275"/>
      <c r="Z41" s="273"/>
      <c r="AA41" s="1275"/>
      <c r="AB41" s="281"/>
      <c r="AC41" s="1275"/>
      <c r="AD41" s="1275"/>
      <c r="AR41" s="1909"/>
      <c r="AS41" s="1909"/>
      <c r="AT41" s="1909"/>
      <c r="AU41" s="1909"/>
      <c r="AV41" s="1909"/>
      <c r="AW41" s="1909"/>
    </row>
    <row r="42" spans="1:49" ht="18" customHeight="1" thickBot="1">
      <c r="A42" s="2641" t="str">
        <f>+'Exh D-Governmental  '!A50</f>
        <v>Fund Balances (Deficits) at May 31, 2015</v>
      </c>
      <c r="B42" s="383" t="s">
        <v>16</v>
      </c>
      <c r="C42" s="299">
        <f>ROUND(SUM(C39:C41),1)</f>
        <v>3673</v>
      </c>
      <c r="D42" s="384"/>
      <c r="E42" s="299">
        <f>ROUND(SUM(E39:E41),1)</f>
        <v>0</v>
      </c>
      <c r="F42" s="384"/>
      <c r="G42" s="299">
        <f>ROUND(SUM(G39:G41),1)</f>
        <v>3588.1</v>
      </c>
      <c r="H42" s="384"/>
      <c r="I42" s="299">
        <f>ROUND(SUM(I39:I41),1)</f>
        <v>-84.9</v>
      </c>
      <c r="J42" s="425"/>
      <c r="K42" s="299">
        <f>ROUND(SUM(K39:K41),1)</f>
        <v>0</v>
      </c>
      <c r="L42" s="425"/>
      <c r="M42" s="2411"/>
      <c r="N42" s="299">
        <f>ROUND(SUM(N39:N41),1)</f>
        <v>467</v>
      </c>
      <c r="O42" s="384"/>
      <c r="P42" s="299">
        <f>ROUND(SUM(P39:P41),1)</f>
        <v>0</v>
      </c>
      <c r="Q42" s="384"/>
      <c r="R42" s="299">
        <f>ROUND(SUM(R39:R41),1)</f>
        <v>517</v>
      </c>
      <c r="S42" s="384"/>
      <c r="T42" s="299">
        <f>ROUND(SUM(T39:T41),1)</f>
        <v>50</v>
      </c>
      <c r="U42" s="354"/>
      <c r="V42" s="299">
        <f>ROUND(SUM(V39:V41),1)</f>
        <v>0</v>
      </c>
      <c r="W42" s="1992"/>
      <c r="X42" s="425"/>
      <c r="Y42" s="1992"/>
      <c r="Z42" s="425"/>
      <c r="AA42" s="1992"/>
      <c r="AB42" s="425"/>
      <c r="AR42" s="1909"/>
      <c r="AS42" s="1909"/>
      <c r="AT42" s="1909"/>
      <c r="AU42" s="1909"/>
      <c r="AV42" s="1909"/>
      <c r="AW42" s="1909"/>
    </row>
    <row r="43" spans="1:49" ht="15" customHeight="1" thickTop="1">
      <c r="A43" s="358"/>
      <c r="G43" s="1155"/>
      <c r="J43" s="1155"/>
      <c r="V43" s="1155"/>
      <c r="W43" s="1993"/>
      <c r="X43" s="1364"/>
      <c r="Y43" s="1993"/>
      <c r="Z43" s="1993"/>
      <c r="AA43" s="1993"/>
      <c r="AB43" s="1993"/>
      <c r="AR43" s="1909"/>
      <c r="AS43" s="1909"/>
      <c r="AT43" s="1909"/>
      <c r="AU43" s="1909"/>
      <c r="AV43" s="1909"/>
      <c r="AW43" s="1909"/>
    </row>
    <row r="44" spans="1:49">
      <c r="A44" s="1914" t="str">
        <f>+'Exh D General Fund  '!A52</f>
        <v>(*)      Source:  2015-16 Enacted Budget dated May 13, 2015.</v>
      </c>
      <c r="AR44" s="1909"/>
      <c r="AS44" s="1909"/>
      <c r="AT44" s="1909"/>
      <c r="AU44" s="1909"/>
      <c r="AV44" s="1909"/>
      <c r="AW44" s="1909"/>
    </row>
    <row r="45" spans="1:49">
      <c r="A45" s="3038" t="s">
        <v>1588</v>
      </c>
      <c r="B45" s="1909"/>
      <c r="C45" s="1909"/>
      <c r="D45" s="1909"/>
      <c r="E45" s="1909"/>
      <c r="F45" s="1909"/>
      <c r="G45" s="1909"/>
      <c r="H45" s="1909"/>
      <c r="I45" s="1909"/>
      <c r="J45" s="1909"/>
      <c r="K45" s="1909"/>
      <c r="L45" s="1370"/>
      <c r="M45" s="1370"/>
      <c r="N45" s="1909"/>
      <c r="O45" s="1909"/>
      <c r="P45" s="1909"/>
      <c r="Q45" s="1909"/>
      <c r="R45" s="1909"/>
      <c r="S45" s="1909"/>
      <c r="T45" s="1909"/>
      <c r="U45" s="1909"/>
      <c r="V45" s="1370"/>
      <c r="W45" s="1370"/>
      <c r="X45" s="1370"/>
      <c r="Y45" s="1370"/>
      <c r="Z45" s="1370"/>
      <c r="AA45" s="1370"/>
      <c r="AB45" s="1370"/>
      <c r="AC45" s="1909"/>
      <c r="AD45" s="1909"/>
      <c r="AE45" s="1909"/>
      <c r="AF45" s="1909"/>
      <c r="AG45" s="1909"/>
      <c r="AH45" s="1909"/>
      <c r="AI45" s="1909"/>
      <c r="AJ45" s="1909"/>
      <c r="AK45" s="1909"/>
      <c r="AL45" s="1909"/>
      <c r="AM45" s="1909"/>
      <c r="AN45" s="1909"/>
      <c r="AO45" s="1909"/>
      <c r="AP45" s="1909"/>
      <c r="AQ45" s="1909"/>
      <c r="AR45" s="1909"/>
      <c r="AS45" s="1909"/>
      <c r="AT45" s="1909"/>
      <c r="AU45" s="1909"/>
      <c r="AV45" s="1909"/>
      <c r="AW45" s="1909"/>
    </row>
    <row r="46" spans="1:49">
      <c r="A46" s="3038" t="s">
        <v>1589</v>
      </c>
      <c r="B46" s="1909"/>
      <c r="C46" s="1929"/>
      <c r="D46" s="1909"/>
      <c r="E46" s="1909"/>
      <c r="F46" s="1909"/>
      <c r="G46" s="1909"/>
      <c r="H46" s="1909"/>
      <c r="I46" s="1909"/>
      <c r="J46" s="1909"/>
      <c r="K46" s="1909"/>
      <c r="L46" s="1370"/>
      <c r="M46" s="1370"/>
      <c r="N46" s="1909"/>
      <c r="O46" s="1909"/>
      <c r="P46" s="1909"/>
      <c r="Q46" s="1909"/>
      <c r="R46" s="1909"/>
      <c r="S46" s="1909"/>
      <c r="T46" s="1909"/>
      <c r="U46" s="1909"/>
      <c r="V46" s="1370"/>
      <c r="W46" s="1370"/>
      <c r="X46" s="1370"/>
      <c r="Y46" s="1370"/>
      <c r="Z46" s="1370"/>
      <c r="AA46" s="1370"/>
      <c r="AB46" s="1370"/>
      <c r="AC46" s="1909"/>
      <c r="AD46" s="1909"/>
      <c r="AE46" s="1909"/>
      <c r="AF46" s="1909"/>
      <c r="AG46" s="1909"/>
      <c r="AH46" s="1909"/>
      <c r="AI46" s="1909"/>
      <c r="AJ46" s="1909"/>
      <c r="AK46" s="1909"/>
      <c r="AL46" s="1909"/>
      <c r="AM46" s="1909"/>
      <c r="AN46" s="1909"/>
      <c r="AO46" s="1909"/>
      <c r="AP46" s="1909"/>
      <c r="AQ46" s="1909"/>
      <c r="AR46" s="1909"/>
      <c r="AS46" s="1909"/>
      <c r="AT46" s="1909"/>
      <c r="AU46" s="1909"/>
      <c r="AV46" s="1909"/>
      <c r="AW46" s="1909"/>
    </row>
    <row r="47" spans="1:49">
      <c r="A47" s="1862"/>
    </row>
    <row r="48" spans="1:49">
      <c r="A48" s="407"/>
      <c r="B48" s="1909"/>
      <c r="C48" s="1909"/>
      <c r="D48" s="1909"/>
      <c r="E48" s="1909"/>
      <c r="F48" s="1909"/>
      <c r="G48" s="1909"/>
      <c r="H48" s="1909"/>
      <c r="I48" s="1909"/>
      <c r="J48" s="1909"/>
      <c r="K48" s="1909"/>
      <c r="L48" s="1370"/>
      <c r="M48" s="1370"/>
      <c r="N48" s="1909"/>
      <c r="O48" s="1909"/>
      <c r="P48" s="1909"/>
      <c r="Q48" s="1909"/>
      <c r="R48" s="1909"/>
      <c r="S48" s="1909"/>
      <c r="T48" s="1909"/>
      <c r="U48" s="1909"/>
      <c r="V48" s="1370"/>
      <c r="W48" s="1370"/>
      <c r="X48" s="1370"/>
      <c r="Y48" s="1370"/>
      <c r="Z48" s="1370"/>
      <c r="AA48" s="1370"/>
      <c r="AB48" s="1370"/>
      <c r="AC48" s="1909"/>
      <c r="AD48" s="1909"/>
      <c r="AE48" s="1909"/>
      <c r="AF48" s="1909"/>
      <c r="AG48" s="1909"/>
      <c r="AH48" s="1909"/>
      <c r="AI48" s="1909"/>
      <c r="AJ48" s="1909"/>
      <c r="AK48" s="1909"/>
      <c r="AL48" s="1909"/>
      <c r="AM48" s="1909"/>
      <c r="AN48" s="1909"/>
      <c r="AO48" s="1909"/>
      <c r="AP48" s="1909"/>
      <c r="AQ48" s="1909"/>
      <c r="AR48" s="1909"/>
      <c r="AS48" s="1909"/>
      <c r="AT48" s="1909"/>
      <c r="AU48" s="1909"/>
      <c r="AV48" s="1909"/>
      <c r="AW48" s="1909"/>
    </row>
    <row r="49" spans="1:49">
      <c r="A49" s="407"/>
      <c r="B49" s="1909"/>
      <c r="C49" s="1909"/>
      <c r="D49" s="1909"/>
      <c r="E49" s="1909"/>
      <c r="F49" s="1909"/>
      <c r="G49" s="1909"/>
      <c r="H49" s="1909"/>
      <c r="I49" s="1909"/>
      <c r="J49" s="1909"/>
      <c r="K49" s="1909"/>
      <c r="L49" s="1370"/>
      <c r="M49" s="1370"/>
      <c r="N49" s="1909"/>
      <c r="O49" s="1909"/>
      <c r="P49" s="1909"/>
      <c r="Q49" s="1909"/>
      <c r="R49" s="1909"/>
      <c r="S49" s="1909"/>
      <c r="T49" s="1909"/>
      <c r="U49" s="1909"/>
      <c r="V49" s="1370"/>
      <c r="W49" s="1370"/>
      <c r="X49" s="1370"/>
      <c r="Y49" s="1370"/>
      <c r="Z49" s="1370"/>
      <c r="AA49" s="1370"/>
      <c r="AB49" s="1370"/>
      <c r="AC49" s="1909"/>
      <c r="AD49" s="1909"/>
      <c r="AE49" s="1909"/>
      <c r="AF49" s="1909"/>
      <c r="AG49" s="1909"/>
      <c r="AH49" s="1909"/>
      <c r="AI49" s="1909"/>
      <c r="AJ49" s="1909"/>
      <c r="AK49" s="1909"/>
      <c r="AL49" s="1909"/>
      <c r="AM49" s="1909"/>
      <c r="AN49" s="1909"/>
      <c r="AO49" s="1909"/>
      <c r="AP49" s="1909"/>
      <c r="AQ49" s="1909"/>
      <c r="AR49" s="1909"/>
      <c r="AS49" s="1909"/>
      <c r="AT49" s="1909"/>
      <c r="AU49" s="1909"/>
      <c r="AV49" s="1909"/>
      <c r="AW49" s="1909"/>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1909" customWidth="1"/>
    <col min="2" max="2" width="2" style="1155" customWidth="1"/>
    <col min="3" max="3" width="15.77734375" style="792" customWidth="1"/>
    <col min="4" max="4" width="4.77734375" style="1913" customWidth="1"/>
    <col min="5" max="5" width="15.77734375" style="792" customWidth="1"/>
    <col min="6" max="6" width="4.77734375" style="1913" customWidth="1"/>
    <col min="7" max="7" width="15.77734375" style="1913" customWidth="1"/>
    <col min="8" max="8" width="4.77734375" style="1913" customWidth="1"/>
    <col min="9" max="9" width="15.77734375" style="1913" customWidth="1"/>
    <col min="10" max="10" width="2" style="1155" customWidth="1"/>
    <col min="11" max="11" width="11.88671875" style="1155" customWidth="1"/>
    <col min="12" max="12" width="11.44140625" style="1155" customWidth="1"/>
    <col min="13" max="13" width="1.88671875" style="1155" customWidth="1"/>
    <col min="14" max="14" width="11.6640625" style="1155" customWidth="1"/>
    <col min="15" max="15" width="2.109375" style="1155" customWidth="1"/>
    <col min="16" max="16" width="11.44140625" style="1155" customWidth="1"/>
    <col min="17" max="17" width="0.5546875" style="1155" customWidth="1"/>
    <col min="18" max="18" width="2.33203125" style="1155" customWidth="1"/>
    <col min="19" max="19" width="10.5546875" style="1155" customWidth="1"/>
    <col min="20" max="20" width="11.109375" style="1155" customWidth="1"/>
    <col min="21" max="21" width="2.21875" style="1155" customWidth="1"/>
    <col min="22" max="22" width="11.109375" style="1155" customWidth="1"/>
    <col min="23" max="23" width="2.109375" style="1155" customWidth="1"/>
    <col min="24" max="24" width="12.44140625" style="1155" customWidth="1"/>
    <col min="25" max="29" width="8.88671875" style="1155"/>
    <col min="30" max="30" width="8.88671875" style="1913"/>
    <col min="31" max="16384" width="8.88671875" style="1909"/>
  </cols>
  <sheetData>
    <row r="1" spans="1:24">
      <c r="A1" s="1915" t="s">
        <v>1231</v>
      </c>
      <c r="B1" s="389"/>
      <c r="C1" s="786"/>
      <c r="D1" s="390"/>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6"/>
      <c r="D2" s="390"/>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9"/>
      <c r="D3" s="345"/>
      <c r="E3" s="789"/>
      <c r="F3" s="345"/>
      <c r="G3" s="345"/>
      <c r="H3" s="345"/>
      <c r="I3" s="1736"/>
      <c r="J3" s="345"/>
      <c r="K3" s="1736" t="s">
        <v>86</v>
      </c>
      <c r="L3" s="359"/>
      <c r="M3" s="359"/>
      <c r="N3" s="359"/>
      <c r="O3" s="359"/>
      <c r="P3" s="359"/>
      <c r="Q3" s="359"/>
      <c r="R3" s="359"/>
      <c r="S3" s="359"/>
      <c r="T3" s="359"/>
      <c r="U3" s="359"/>
      <c r="V3" s="359"/>
      <c r="W3" s="359"/>
      <c r="X3" s="395"/>
    </row>
    <row r="4" spans="1:24" ht="21.75" customHeight="1">
      <c r="A4" s="394" t="s">
        <v>85</v>
      </c>
      <c r="B4" s="351"/>
      <c r="C4" s="789"/>
      <c r="D4" s="345"/>
      <c r="E4" s="789"/>
      <c r="F4" s="345"/>
      <c r="G4" s="345"/>
      <c r="H4" s="345"/>
      <c r="I4" s="1737"/>
      <c r="J4" s="345"/>
      <c r="K4" s="1737" t="s">
        <v>107</v>
      </c>
      <c r="L4" s="359"/>
      <c r="M4" s="359"/>
      <c r="N4" s="359"/>
      <c r="O4" s="359"/>
      <c r="P4" s="359"/>
      <c r="Q4" s="359"/>
      <c r="R4" s="359"/>
      <c r="S4" s="359"/>
      <c r="T4" s="359"/>
      <c r="U4" s="359"/>
      <c r="V4" s="359"/>
      <c r="W4" s="359"/>
      <c r="X4" s="359"/>
    </row>
    <row r="5" spans="1:24" ht="21.75" customHeight="1">
      <c r="A5" s="3508" t="s">
        <v>1543</v>
      </c>
      <c r="B5" s="3509"/>
      <c r="C5" s="789"/>
      <c r="D5" s="345"/>
      <c r="E5" s="789"/>
      <c r="F5" s="345"/>
      <c r="G5" s="345"/>
      <c r="H5" s="345"/>
      <c r="I5" s="345"/>
      <c r="J5" s="345"/>
      <c r="K5" s="359"/>
      <c r="L5" s="359"/>
      <c r="M5" s="359"/>
      <c r="N5" s="359"/>
      <c r="O5" s="359"/>
      <c r="P5" s="359"/>
      <c r="Q5" s="359"/>
      <c r="R5" s="359"/>
      <c r="S5" s="359"/>
      <c r="T5" s="359"/>
      <c r="U5" s="359"/>
      <c r="V5" s="359"/>
      <c r="W5" s="359"/>
      <c r="X5" s="359"/>
    </row>
    <row r="6" spans="1:24" ht="17.25" customHeight="1">
      <c r="A6" s="2893" t="str">
        <f>'Exh D-Governmental  '!A6</f>
        <v>FOR TWO MONTHS ENDED MAY 31, 2015</v>
      </c>
      <c r="B6" s="350"/>
      <c r="C6" s="789"/>
      <c r="D6" s="345"/>
      <c r="E6" s="789"/>
      <c r="F6" s="345"/>
      <c r="G6" s="345"/>
      <c r="H6" s="345"/>
      <c r="I6" s="345"/>
      <c r="J6" s="345"/>
      <c r="K6" s="359"/>
      <c r="L6" s="359"/>
      <c r="M6" s="359"/>
      <c r="N6" s="359"/>
      <c r="O6" s="359"/>
      <c r="P6" s="359"/>
      <c r="Q6" s="359"/>
      <c r="R6" s="359"/>
      <c r="S6" s="359"/>
      <c r="T6" s="359"/>
      <c r="U6" s="359"/>
      <c r="V6" s="359"/>
      <c r="W6" s="359"/>
      <c r="X6" s="359"/>
    </row>
    <row r="7" spans="1:24" ht="18">
      <c r="A7" s="394" t="s">
        <v>1117</v>
      </c>
      <c r="B7" s="351"/>
      <c r="C7" s="789"/>
      <c r="D7" s="345"/>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9"/>
      <c r="D8" s="345"/>
      <c r="E8" s="789"/>
      <c r="F8" s="345"/>
      <c r="G8" s="345"/>
      <c r="H8" s="345"/>
      <c r="I8" s="345"/>
      <c r="J8" s="345"/>
      <c r="K8" s="359"/>
      <c r="L8" s="359"/>
      <c r="M8" s="359"/>
      <c r="N8" s="359"/>
      <c r="O8" s="359"/>
      <c r="P8" s="359"/>
      <c r="Q8" s="359"/>
      <c r="R8" s="359"/>
      <c r="S8" s="359"/>
      <c r="T8" s="359"/>
      <c r="U8" s="359"/>
      <c r="V8" s="359"/>
      <c r="W8" s="359"/>
      <c r="X8" s="359"/>
    </row>
    <row r="9" spans="1:24">
      <c r="A9" s="353"/>
      <c r="B9" s="359"/>
      <c r="C9" s="789"/>
      <c r="D9" s="345"/>
      <c r="E9" s="789"/>
      <c r="F9" s="345"/>
      <c r="G9" s="345"/>
      <c r="H9" s="345"/>
      <c r="I9" s="345"/>
      <c r="J9" s="345"/>
      <c r="K9" s="359"/>
      <c r="L9" s="359"/>
      <c r="M9" s="359"/>
      <c r="N9" s="359"/>
      <c r="O9" s="359"/>
      <c r="P9" s="359"/>
      <c r="Q9" s="359"/>
      <c r="R9" s="359"/>
      <c r="S9" s="359"/>
      <c r="T9" s="359"/>
      <c r="U9" s="359"/>
      <c r="V9" s="359"/>
      <c r="W9" s="359"/>
      <c r="X9" s="359"/>
    </row>
    <row r="10" spans="1:24">
      <c r="A10" s="353"/>
      <c r="B10" s="359"/>
      <c r="C10" s="788"/>
      <c r="D10" s="351"/>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5"/>
      <c r="C11" s="3511" t="s">
        <v>1432</v>
      </c>
      <c r="D11" s="3511"/>
      <c r="E11" s="3511"/>
      <c r="F11" s="3511"/>
      <c r="G11" s="3511"/>
      <c r="H11" s="3511"/>
      <c r="I11" s="3511"/>
      <c r="J11" s="2385"/>
      <c r="K11" s="2386"/>
      <c r="L11" s="397"/>
      <c r="M11" s="397"/>
      <c r="N11" s="397"/>
      <c r="O11" s="397"/>
      <c r="P11" s="397"/>
      <c r="Q11" s="397"/>
      <c r="R11" s="354"/>
      <c r="S11" s="397"/>
      <c r="T11" s="398"/>
      <c r="U11" s="397"/>
      <c r="V11" s="397"/>
      <c r="W11" s="397"/>
      <c r="X11" s="397"/>
    </row>
    <row r="12" spans="1:24" ht="15.75">
      <c r="A12" s="1365"/>
      <c r="C12" s="793"/>
      <c r="D12" s="399"/>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5"/>
      <c r="B13" s="354"/>
      <c r="C13" s="791"/>
      <c r="D13" s="401"/>
      <c r="E13" s="791"/>
      <c r="F13" s="401"/>
      <c r="G13" s="401"/>
      <c r="H13" s="401"/>
      <c r="I13" s="402" t="s">
        <v>1124</v>
      </c>
      <c r="J13" s="354"/>
      <c r="K13" s="402" t="s">
        <v>1124</v>
      </c>
      <c r="L13" s="354"/>
      <c r="M13" s="354"/>
      <c r="N13" s="354"/>
      <c r="O13" s="354"/>
      <c r="P13" s="403"/>
      <c r="Q13" s="404"/>
      <c r="R13" s="354"/>
      <c r="S13" s="354"/>
      <c r="T13" s="354"/>
      <c r="U13" s="354"/>
      <c r="V13" s="354"/>
      <c r="W13" s="354"/>
      <c r="X13" s="403"/>
    </row>
    <row r="14" spans="1:24" ht="15.75">
      <c r="A14" s="1365"/>
      <c r="B14" s="405"/>
      <c r="C14" s="357" t="s">
        <v>1370</v>
      </c>
      <c r="D14" s="355"/>
      <c r="E14" s="356" t="s">
        <v>1371</v>
      </c>
      <c r="F14" s="355"/>
      <c r="G14" s="355"/>
      <c r="H14" s="355"/>
      <c r="I14" s="356" t="s">
        <v>88</v>
      </c>
      <c r="J14" s="354"/>
      <c r="K14" s="356" t="s">
        <v>88</v>
      </c>
      <c r="L14" s="404"/>
      <c r="M14" s="354"/>
      <c r="N14" s="354"/>
      <c r="O14" s="354"/>
      <c r="P14" s="403"/>
      <c r="Q14" s="404"/>
      <c r="R14" s="354"/>
      <c r="S14" s="403"/>
      <c r="T14" s="404"/>
      <c r="U14" s="354"/>
      <c r="V14" s="354"/>
      <c r="W14" s="354"/>
      <c r="X14" s="403"/>
    </row>
    <row r="15" spans="1:24" ht="15.75">
      <c r="A15" s="1365"/>
      <c r="B15" s="405"/>
      <c r="C15" s="356" t="s">
        <v>1414</v>
      </c>
      <c r="D15" s="355"/>
      <c r="E15" s="356" t="s">
        <v>1414</v>
      </c>
      <c r="F15" s="355"/>
      <c r="G15" s="355"/>
      <c r="H15" s="355"/>
      <c r="I15" s="356" t="s">
        <v>1370</v>
      </c>
      <c r="J15" s="354"/>
      <c r="K15" s="356" t="s">
        <v>1371</v>
      </c>
      <c r="L15" s="404"/>
      <c r="M15" s="354"/>
      <c r="N15" s="354"/>
      <c r="O15" s="354"/>
      <c r="P15" s="403"/>
      <c r="Q15" s="404"/>
      <c r="R15" s="354"/>
      <c r="S15" s="403"/>
      <c r="T15" s="404"/>
      <c r="U15" s="354"/>
      <c r="V15" s="354"/>
      <c r="W15" s="354"/>
      <c r="X15" s="403"/>
    </row>
    <row r="16" spans="1:24" ht="15.75">
      <c r="A16" s="1365"/>
      <c r="B16" s="404"/>
      <c r="C16" s="356" t="s">
        <v>1415</v>
      </c>
      <c r="D16" s="355"/>
      <c r="E16" s="356" t="s">
        <v>1565</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75">
      <c r="A18" s="221" t="s">
        <v>15</v>
      </c>
      <c r="B18" s="1901"/>
      <c r="C18" s="1257"/>
      <c r="D18" s="1257"/>
      <c r="E18" s="1257"/>
      <c r="F18" s="1257"/>
      <c r="G18" s="1257"/>
      <c r="H18" s="1257"/>
      <c r="I18" s="1257"/>
      <c r="J18" s="1901"/>
      <c r="K18" s="1257"/>
      <c r="L18" s="1901"/>
      <c r="M18" s="1901"/>
      <c r="N18" s="1901"/>
      <c r="O18" s="1901"/>
      <c r="P18" s="1901"/>
      <c r="Q18" s="1901"/>
      <c r="R18" s="1901"/>
      <c r="S18" s="1901"/>
      <c r="T18" s="1901"/>
      <c r="U18" s="1901"/>
      <c r="V18" s="1901"/>
      <c r="W18" s="1901"/>
      <c r="X18" s="1901"/>
    </row>
    <row r="19" spans="1:24">
      <c r="A19" s="1727" t="s">
        <v>90</v>
      </c>
      <c r="B19" s="1902"/>
      <c r="C19" s="1257"/>
      <c r="D19" s="1257"/>
      <c r="E19" s="1257"/>
      <c r="F19" s="1257"/>
      <c r="G19" s="1257"/>
      <c r="H19" s="1902"/>
      <c r="I19" s="1257"/>
      <c r="J19" s="1901"/>
      <c r="K19" s="1257"/>
      <c r="L19" s="1901"/>
      <c r="M19" s="1901"/>
      <c r="N19" s="1901"/>
      <c r="O19" s="1901"/>
      <c r="P19" s="1901"/>
      <c r="Q19" s="1901"/>
      <c r="R19" s="1901"/>
      <c r="S19" s="1901"/>
      <c r="T19" s="1901"/>
      <c r="U19" s="1901"/>
      <c r="V19" s="1901"/>
      <c r="W19" s="1901"/>
      <c r="X19" s="1901"/>
    </row>
    <row r="20" spans="1:24">
      <c r="A20" s="1727" t="s">
        <v>91</v>
      </c>
      <c r="B20" s="1902" t="s">
        <v>16</v>
      </c>
      <c r="C20" s="1260">
        <v>2218</v>
      </c>
      <c r="D20" s="1260"/>
      <c r="E20" s="1838">
        <v>0</v>
      </c>
      <c r="F20" s="1260"/>
      <c r="G20" s="2045">
        <f>+'Exhibit H'!AA16</f>
        <v>2259.8000000000002</v>
      </c>
      <c r="H20" s="1260"/>
      <c r="I20" s="1258">
        <f t="shared" ref="I20:I25" si="0">ROUND(SUM(G20)-SUM(C20),1)</f>
        <v>41.8</v>
      </c>
      <c r="J20" s="1901"/>
      <c r="K20" s="1258">
        <v>0</v>
      </c>
      <c r="L20" s="1901"/>
      <c r="M20" s="1901"/>
      <c r="N20" s="1901"/>
      <c r="O20" s="1901"/>
      <c r="P20" s="1901"/>
      <c r="Q20" s="1901"/>
      <c r="R20" s="1901"/>
      <c r="S20" s="1901"/>
      <c r="T20" s="1901"/>
      <c r="U20" s="1901"/>
      <c r="V20" s="1901"/>
      <c r="W20" s="1901"/>
      <c r="X20" s="1901"/>
    </row>
    <row r="21" spans="1:24">
      <c r="A21" s="1727" t="s">
        <v>92</v>
      </c>
      <c r="B21" s="1901" t="s">
        <v>16</v>
      </c>
      <c r="C21" s="1920">
        <v>949</v>
      </c>
      <c r="D21" s="1177"/>
      <c r="E21" s="1920">
        <v>0</v>
      </c>
      <c r="F21" s="1177"/>
      <c r="G21" s="1840">
        <f>+'Exhibit H'!AA20</f>
        <v>945.3</v>
      </c>
      <c r="H21" s="1177"/>
      <c r="I21" s="1177">
        <f t="shared" si="0"/>
        <v>-3.7</v>
      </c>
      <c r="J21" s="1921"/>
      <c r="K21" s="1177">
        <v>0</v>
      </c>
      <c r="L21" s="1901"/>
      <c r="M21" s="1901"/>
      <c r="N21" s="1901"/>
      <c r="O21" s="1901"/>
      <c r="P21" s="1901"/>
      <c r="Q21" s="1901"/>
      <c r="R21" s="1901"/>
      <c r="S21" s="1901"/>
      <c r="T21" s="1901"/>
      <c r="U21" s="1901"/>
      <c r="V21" s="1901"/>
      <c r="W21" s="1901"/>
      <c r="X21" s="1901"/>
    </row>
    <row r="22" spans="1:24">
      <c r="A22" s="1727" t="s">
        <v>94</v>
      </c>
      <c r="B22" s="1901" t="s">
        <v>16</v>
      </c>
      <c r="C22" s="1924">
        <v>162</v>
      </c>
      <c r="D22" s="1177"/>
      <c r="E22" s="1924">
        <v>0</v>
      </c>
      <c r="F22" s="1177"/>
      <c r="G22" s="1840">
        <f>+'Exhibit H'!AA23</f>
        <v>183.3</v>
      </c>
      <c r="H22" s="1177"/>
      <c r="I22" s="1177">
        <f t="shared" si="0"/>
        <v>21.3</v>
      </c>
      <c r="J22" s="1921"/>
      <c r="K22" s="1177">
        <v>0</v>
      </c>
      <c r="L22" s="1901"/>
      <c r="M22" s="1901"/>
      <c r="N22" s="1901"/>
      <c r="O22" s="1901"/>
      <c r="P22" s="1901"/>
      <c r="Q22" s="1901"/>
      <c r="R22" s="1901"/>
      <c r="S22" s="1901"/>
      <c r="T22" s="1901"/>
      <c r="U22" s="1901"/>
      <c r="V22" s="1901"/>
      <c r="W22" s="1901"/>
      <c r="X22" s="1901"/>
    </row>
    <row r="23" spans="1:24" ht="15" customHeight="1">
      <c r="A23" s="1727" t="s">
        <v>21</v>
      </c>
      <c r="B23" s="1901" t="s">
        <v>16</v>
      </c>
      <c r="C23" s="1924">
        <v>62</v>
      </c>
      <c r="D23" s="1177"/>
      <c r="E23" s="1924">
        <v>0</v>
      </c>
      <c r="F23" s="1177"/>
      <c r="G23" s="1840">
        <f>+'Exhibit H'!AA43</f>
        <v>86.4</v>
      </c>
      <c r="H23" s="1177"/>
      <c r="I23" s="1177">
        <f t="shared" si="0"/>
        <v>24.4</v>
      </c>
      <c r="J23" s="1921"/>
      <c r="K23" s="1177">
        <v>0</v>
      </c>
      <c r="L23" s="1901"/>
      <c r="M23" s="1901"/>
      <c r="N23" s="1901"/>
      <c r="O23" s="1901"/>
      <c r="P23" s="1901"/>
      <c r="Q23" s="1901"/>
      <c r="R23" s="1901"/>
      <c r="S23" s="1901"/>
      <c r="T23" s="1901"/>
      <c r="U23" s="1901"/>
      <c r="V23" s="1901"/>
      <c r="W23" s="1901"/>
      <c r="X23" s="1901"/>
    </row>
    <row r="24" spans="1:24" ht="15" customHeight="1">
      <c r="A24" s="1727" t="s">
        <v>22</v>
      </c>
      <c r="B24" s="1901" t="s">
        <v>16</v>
      </c>
      <c r="C24" s="1920">
        <v>0</v>
      </c>
      <c r="D24" s="1177"/>
      <c r="E24" s="1920">
        <v>0</v>
      </c>
      <c r="F24" s="1177"/>
      <c r="G24" s="1840">
        <f>+'Exhibit H'!AA45</f>
        <v>0</v>
      </c>
      <c r="H24" s="1177"/>
      <c r="I24" s="1177">
        <f t="shared" si="0"/>
        <v>0</v>
      </c>
      <c r="J24" s="1921"/>
      <c r="K24" s="1177">
        <v>0</v>
      </c>
      <c r="L24" s="1926"/>
      <c r="M24" s="1901"/>
      <c r="N24" s="1926"/>
      <c r="O24" s="1901"/>
      <c r="P24" s="1926"/>
      <c r="Q24" s="1927"/>
      <c r="R24" s="1901"/>
      <c r="S24" s="1901"/>
      <c r="T24" s="1901"/>
      <c r="U24" s="1901"/>
      <c r="V24" s="1901"/>
      <c r="W24" s="1901"/>
      <c r="X24" s="1901"/>
    </row>
    <row r="25" spans="1:24">
      <c r="A25" s="1727" t="s">
        <v>49</v>
      </c>
      <c r="B25" s="1927" t="s">
        <v>16</v>
      </c>
      <c r="C25" s="1928">
        <v>680</v>
      </c>
      <c r="D25" s="1177"/>
      <c r="E25" s="1928">
        <v>0</v>
      </c>
      <c r="F25" s="1177"/>
      <c r="G25" s="2929">
        <f>+'Exhibit H'!AA62</f>
        <v>603.70000000000005</v>
      </c>
      <c r="H25" s="1177"/>
      <c r="I25" s="1177">
        <f t="shared" si="0"/>
        <v>-76.3</v>
      </c>
      <c r="J25" s="1921"/>
      <c r="K25" s="1177">
        <v>0</v>
      </c>
      <c r="L25" s="1926"/>
      <c r="M25" s="1901"/>
      <c r="N25" s="1926"/>
      <c r="O25" s="1901"/>
      <c r="P25" s="1926"/>
      <c r="Q25" s="1927"/>
      <c r="R25" s="1901"/>
      <c r="S25" s="1901"/>
      <c r="T25" s="1901"/>
      <c r="U25" s="1901"/>
      <c r="V25" s="1901"/>
      <c r="W25" s="1901"/>
      <c r="X25" s="1901"/>
    </row>
    <row r="26" spans="1:24" ht="18" customHeight="1">
      <c r="A26" s="1980" t="s">
        <v>113</v>
      </c>
      <c r="B26" s="354" t="s">
        <v>16</v>
      </c>
      <c r="C26" s="421">
        <f>ROUND(SUM(C20:C25),1)</f>
        <v>4071</v>
      </c>
      <c r="D26" s="1899"/>
      <c r="E26" s="421">
        <f>ROUND(SUM(E20:E25),1)</f>
        <v>0</v>
      </c>
      <c r="F26" s="1899"/>
      <c r="G26" s="2930">
        <f>ROUND(SUM(G20:G25),1)</f>
        <v>4078.5</v>
      </c>
      <c r="H26" s="1899"/>
      <c r="I26" s="421">
        <f>ROUND(SUM(I20:I25),1)</f>
        <v>7.5</v>
      </c>
      <c r="J26" s="273"/>
      <c r="K26" s="421">
        <f>ROUND(SUM(K20:K25),1)</f>
        <v>0</v>
      </c>
      <c r="L26" s="354"/>
      <c r="M26" s="354"/>
      <c r="N26" s="354"/>
      <c r="O26" s="354"/>
      <c r="P26" s="354"/>
      <c r="Q26" s="354"/>
      <c r="R26" s="354"/>
      <c r="S26" s="354"/>
      <c r="T26" s="354"/>
      <c r="U26" s="354"/>
      <c r="V26" s="354"/>
      <c r="W26" s="354"/>
      <c r="X26" s="354"/>
    </row>
    <row r="27" spans="1:24">
      <c r="A27" s="1365"/>
      <c r="B27" s="1901"/>
      <c r="C27" s="1363"/>
      <c r="D27" s="1177"/>
      <c r="E27" s="1363"/>
      <c r="F27" s="1177"/>
      <c r="G27" s="2078"/>
      <c r="H27" s="1177"/>
      <c r="I27" s="1363"/>
      <c r="J27" s="1921"/>
      <c r="K27" s="1363"/>
      <c r="L27" s="1901"/>
      <c r="M27" s="1901"/>
      <c r="N27" s="1901"/>
      <c r="O27" s="1901"/>
      <c r="P27" s="1901"/>
      <c r="Q27" s="1901"/>
      <c r="R27" s="1901"/>
      <c r="S27" s="1901"/>
      <c r="T27" s="1901"/>
      <c r="U27" s="1901"/>
      <c r="V27" s="1901"/>
      <c r="W27" s="1901"/>
      <c r="X27" s="1901"/>
    </row>
    <row r="28" spans="1:24" ht="15.75">
      <c r="A28" s="221" t="s">
        <v>24</v>
      </c>
      <c r="B28" s="1901"/>
      <c r="C28" s="1177"/>
      <c r="D28" s="1177"/>
      <c r="E28" s="1177"/>
      <c r="F28" s="1177"/>
      <c r="G28" s="1840"/>
      <c r="H28" s="1177"/>
      <c r="I28" s="1177"/>
      <c r="J28" s="1921"/>
      <c r="K28" s="1177"/>
      <c r="L28" s="1901"/>
      <c r="M28" s="1901"/>
      <c r="N28" s="1901"/>
      <c r="O28" s="1901"/>
      <c r="P28" s="1901"/>
      <c r="Q28" s="1901"/>
      <c r="R28" s="1901"/>
      <c r="S28" s="1901"/>
      <c r="T28" s="1901"/>
      <c r="U28" s="1901"/>
      <c r="V28" s="1901"/>
      <c r="W28" s="1901"/>
      <c r="X28" s="1901"/>
    </row>
    <row r="29" spans="1:24">
      <c r="A29" s="1727" t="s">
        <v>97</v>
      </c>
      <c r="B29" s="1923" t="s">
        <v>16</v>
      </c>
      <c r="C29" s="1333">
        <v>2</v>
      </c>
      <c r="D29" s="1177"/>
      <c r="E29" s="1333">
        <v>0</v>
      </c>
      <c r="F29" s="1177"/>
      <c r="G29" s="1358">
        <f>+'Exhibit H'!AA51</f>
        <v>1.6</v>
      </c>
      <c r="H29" s="1177"/>
      <c r="I29" s="1177">
        <f>ROUND(SUM(G29)-SUM(C29),1)</f>
        <v>-0.4</v>
      </c>
      <c r="J29" s="1921"/>
      <c r="K29" s="1177">
        <v>0</v>
      </c>
      <c r="L29" s="1923"/>
      <c r="M29" s="1901"/>
      <c r="N29" s="1923"/>
      <c r="O29" s="1901"/>
      <c r="P29" s="1926"/>
      <c r="Q29" s="1901"/>
      <c r="R29" s="1901"/>
      <c r="S29" s="1926"/>
      <c r="T29" s="1926"/>
      <c r="U29" s="1901"/>
      <c r="V29" s="1926"/>
      <c r="W29" s="1901"/>
      <c r="X29" s="1926"/>
    </row>
    <row r="30" spans="1:24" ht="14.25" customHeight="1">
      <c r="A30" s="1727" t="s">
        <v>98</v>
      </c>
      <c r="B30" s="1927" t="s">
        <v>16</v>
      </c>
      <c r="C30" s="1259">
        <v>429</v>
      </c>
      <c r="D30" s="1177"/>
      <c r="E30" s="1259">
        <v>0</v>
      </c>
      <c r="F30" s="1177"/>
      <c r="G30" s="2261">
        <f>+'Exhibit H'!AA53</f>
        <v>420.5</v>
      </c>
      <c r="H30" s="1177"/>
      <c r="I30" s="1177">
        <f>ROUND(SUM(G30)-SUM(C30),1)</f>
        <v>-8.5</v>
      </c>
      <c r="J30" s="1921"/>
      <c r="K30" s="1177">
        <v>0</v>
      </c>
      <c r="L30" s="1923"/>
      <c r="M30" s="1901"/>
      <c r="N30" s="1923"/>
      <c r="O30" s="1901"/>
      <c r="P30" s="1901"/>
      <c r="Q30" s="1901"/>
      <c r="R30" s="1901"/>
      <c r="S30" s="1926"/>
      <c r="T30" s="1926"/>
      <c r="U30" s="1901"/>
      <c r="V30" s="1926"/>
      <c r="W30" s="1901"/>
      <c r="X30" s="1926"/>
    </row>
    <row r="31" spans="1:24">
      <c r="A31" s="1727" t="s">
        <v>101</v>
      </c>
      <c r="B31" s="1927" t="s">
        <v>16</v>
      </c>
      <c r="C31" s="1361">
        <v>3269</v>
      </c>
      <c r="D31" s="1177"/>
      <c r="E31" s="1361">
        <v>0</v>
      </c>
      <c r="F31" s="1177"/>
      <c r="G31" s="1358">
        <f>-'Exhibit H'!AA63</f>
        <v>3323.1</v>
      </c>
      <c r="H31" s="1177"/>
      <c r="I31" s="1177">
        <f>ROUND(SUM(G31)-SUM(C31),1)</f>
        <v>54.1</v>
      </c>
      <c r="J31" s="1921"/>
      <c r="K31" s="1177">
        <v>0</v>
      </c>
      <c r="L31" s="1926"/>
      <c r="M31" s="1901"/>
      <c r="N31" s="1926"/>
      <c r="O31" s="1901"/>
      <c r="P31" s="1926"/>
      <c r="Q31" s="1927"/>
      <c r="R31" s="1901"/>
      <c r="S31" s="1901"/>
      <c r="T31" s="1901"/>
      <c r="U31" s="1901"/>
      <c r="V31" s="1901"/>
      <c r="W31" s="1901"/>
      <c r="X31" s="1901"/>
    </row>
    <row r="32" spans="1:24" ht="18" customHeight="1">
      <c r="A32" s="1980" t="s">
        <v>122</v>
      </c>
      <c r="B32" s="354" t="s">
        <v>16</v>
      </c>
      <c r="C32" s="421">
        <f>ROUND(SUM(C29:C31),1)</f>
        <v>3700</v>
      </c>
      <c r="D32" s="1899"/>
      <c r="E32" s="421">
        <f>ROUND(SUM(E29:E31),1)</f>
        <v>0</v>
      </c>
      <c r="F32" s="1899"/>
      <c r="G32" s="2930">
        <f>ROUND(SUM(G29:G31),1)</f>
        <v>3745.2</v>
      </c>
      <c r="H32" s="1899"/>
      <c r="I32" s="421">
        <f>ROUND(SUM(I29:I31),1)</f>
        <v>45.2</v>
      </c>
      <c r="J32" s="273"/>
      <c r="K32" s="421">
        <f>ROUND(SUM(K29:K31),1)</f>
        <v>0</v>
      </c>
      <c r="L32" s="354"/>
      <c r="M32" s="354"/>
      <c r="N32" s="354"/>
      <c r="O32" s="354"/>
      <c r="P32" s="354"/>
      <c r="Q32" s="354"/>
      <c r="R32" s="354"/>
      <c r="S32" s="354"/>
      <c r="T32" s="354"/>
      <c r="U32" s="354"/>
      <c r="V32" s="354"/>
      <c r="W32" s="354"/>
      <c r="X32" s="354"/>
    </row>
    <row r="33" spans="1:24">
      <c r="A33" s="1365"/>
      <c r="B33" s="1901"/>
      <c r="C33" s="1363"/>
      <c r="D33" s="1177"/>
      <c r="E33" s="1363"/>
      <c r="F33" s="1177"/>
      <c r="G33" s="2078"/>
      <c r="H33" s="1177"/>
      <c r="I33" s="1363"/>
      <c r="J33" s="1921"/>
      <c r="K33" s="1363"/>
      <c r="L33" s="1901"/>
      <c r="M33" s="1901"/>
      <c r="N33" s="1901"/>
      <c r="O33" s="1901"/>
      <c r="P33" s="1901"/>
      <c r="Q33" s="1901"/>
      <c r="R33" s="1901"/>
      <c r="S33" s="1901"/>
      <c r="T33" s="1901"/>
      <c r="U33" s="1901"/>
      <c r="V33" s="1901"/>
      <c r="W33" s="1901"/>
      <c r="X33" s="1901"/>
    </row>
    <row r="34" spans="1:24" ht="15.75">
      <c r="A34" s="221" t="s">
        <v>123</v>
      </c>
      <c r="B34" s="1901"/>
      <c r="C34" s="1177"/>
      <c r="D34" s="1177"/>
      <c r="E34" s="1177"/>
      <c r="F34" s="1177"/>
      <c r="G34" s="1840"/>
      <c r="H34" s="1177"/>
      <c r="I34" s="1177"/>
      <c r="J34" s="1921"/>
      <c r="K34" s="1177"/>
      <c r="L34" s="1901"/>
      <c r="M34" s="1901"/>
      <c r="N34" s="1901"/>
      <c r="O34" s="1901"/>
      <c r="P34" s="1901"/>
      <c r="Q34" s="1901"/>
      <c r="R34" s="1901"/>
      <c r="S34" s="1901"/>
      <c r="T34" s="1901"/>
      <c r="U34" s="1901"/>
      <c r="V34" s="1901"/>
      <c r="W34" s="1901"/>
      <c r="X34" s="1901"/>
    </row>
    <row r="35" spans="1:24" ht="15.75">
      <c r="A35" s="221" t="s">
        <v>124</v>
      </c>
      <c r="B35" s="1901"/>
      <c r="C35" s="1177"/>
      <c r="D35" s="1177"/>
      <c r="E35" s="1177"/>
      <c r="F35" s="1177"/>
      <c r="G35" s="1840"/>
      <c r="H35" s="1177"/>
      <c r="I35" s="1177"/>
      <c r="J35" s="1921"/>
      <c r="K35" s="1177"/>
      <c r="L35" s="1901"/>
      <c r="M35" s="1901"/>
      <c r="N35" s="1901"/>
      <c r="O35" s="1901"/>
      <c r="P35" s="1901"/>
      <c r="Q35" s="1901"/>
      <c r="R35" s="1901"/>
      <c r="S35" s="1901"/>
      <c r="T35" s="1901"/>
      <c r="U35" s="1901"/>
      <c r="V35" s="1901"/>
      <c r="W35" s="1901"/>
      <c r="X35" s="1901"/>
    </row>
    <row r="36" spans="1:24" ht="15.75">
      <c r="A36" s="1980" t="s">
        <v>105</v>
      </c>
      <c r="B36" s="1975" t="s">
        <v>16</v>
      </c>
      <c r="C36" s="273">
        <f>ROUND(SUM(C26)-SUM(C32),1)</f>
        <v>371</v>
      </c>
      <c r="D36" s="284"/>
      <c r="E36" s="273">
        <f>ROUND(SUM(E26)-SUM(E32),1)</f>
        <v>0</v>
      </c>
      <c r="F36" s="284"/>
      <c r="G36" s="316">
        <f>ROUND(SUM(G26)-SUM(G32),1)</f>
        <v>333.3</v>
      </c>
      <c r="H36" s="284"/>
      <c r="I36" s="273">
        <f>ROUND(SUM(I26)-SUM(I32),1)</f>
        <v>-37.700000000000003</v>
      </c>
      <c r="J36" s="744"/>
      <c r="K36" s="273">
        <f>ROUND(SUM(K26)-SUM(K32),1)</f>
        <v>0</v>
      </c>
      <c r="L36" s="354"/>
      <c r="M36" s="377"/>
      <c r="N36" s="354"/>
      <c r="O36" s="377"/>
      <c r="P36" s="354"/>
      <c r="Q36" s="354"/>
      <c r="R36" s="377"/>
      <c r="S36" s="354"/>
      <c r="T36" s="354"/>
      <c r="U36" s="377"/>
      <c r="V36" s="354"/>
      <c r="W36" s="377"/>
      <c r="X36" s="354"/>
    </row>
    <row r="37" spans="1:24" ht="15" customHeight="1">
      <c r="C37" s="1275"/>
      <c r="D37" s="1910"/>
      <c r="E37" s="1275"/>
      <c r="F37" s="1910"/>
      <c r="G37" s="2931"/>
      <c r="H37" s="1910"/>
      <c r="I37" s="1275"/>
      <c r="J37" s="1275"/>
      <c r="K37" s="1275"/>
    </row>
    <row r="38" spans="1:24" ht="15.75">
      <c r="A38" s="1996" t="str">
        <f>'Exh D-Governmental  '!A49</f>
        <v>Fund Balances (Deficits) at April 1</v>
      </c>
      <c r="B38" s="1155" t="s">
        <v>16</v>
      </c>
      <c r="C38" s="273">
        <v>118</v>
      </c>
      <c r="D38" s="1910"/>
      <c r="E38" s="273">
        <v>0</v>
      </c>
      <c r="F38" s="1910"/>
      <c r="G38" s="316">
        <f>'Exhibit H'!AA12</f>
        <v>118.7</v>
      </c>
      <c r="H38" s="1910"/>
      <c r="I38" s="281">
        <f>ROUND(SUM(G38-C38),1)</f>
        <v>0.7</v>
      </c>
      <c r="J38" s="1275"/>
      <c r="K38" s="1899">
        <v>0</v>
      </c>
    </row>
    <row r="39" spans="1:24" ht="18" customHeight="1" thickBot="1">
      <c r="A39" s="2728" t="str">
        <f>+'Exh D-Governmental  '!A50</f>
        <v>Fund Balances (Deficits) at May 31, 2015</v>
      </c>
      <c r="B39" s="383" t="s">
        <v>16</v>
      </c>
      <c r="C39" s="299">
        <f>ROUND(SUM(C36:C38),1)</f>
        <v>489</v>
      </c>
      <c r="D39" s="384"/>
      <c r="E39" s="299">
        <f>ROUND(SUM(E36:E38),1)</f>
        <v>0</v>
      </c>
      <c r="F39" s="384"/>
      <c r="G39" s="2932">
        <f>ROUND(SUM(G36:G38),1)</f>
        <v>452</v>
      </c>
      <c r="H39" s="384"/>
      <c r="I39" s="299">
        <f>ROUND(SUM(I36:I38),1)</f>
        <v>-37</v>
      </c>
      <c r="K39" s="299">
        <f>ROUND(SUM(K36:K38),1)</f>
        <v>0</v>
      </c>
    </row>
    <row r="40" spans="1:24" ht="15" customHeight="1" thickTop="1">
      <c r="A40" s="358"/>
      <c r="C40" s="1364"/>
      <c r="D40" s="1929"/>
      <c r="E40" s="1364"/>
      <c r="F40" s="1929"/>
      <c r="G40" s="1929"/>
      <c r="H40" s="1929"/>
      <c r="I40" s="1929"/>
      <c r="K40" s="1929"/>
    </row>
    <row r="41" spans="1:24">
      <c r="A41" s="1914" t="s">
        <v>1570</v>
      </c>
    </row>
    <row r="42" spans="1:24">
      <c r="A42" s="2397"/>
    </row>
    <row r="43" spans="1:24">
      <c r="A43" s="1930"/>
    </row>
    <row r="44" spans="1:24">
      <c r="A44" s="1930"/>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D48"/>
  <sheetViews>
    <sheetView showGridLines="0" zoomScale="80" zoomScaleNormal="70" workbookViewId="0"/>
  </sheetViews>
  <sheetFormatPr defaultRowHeight="15"/>
  <cols>
    <col min="1" max="1" width="54" style="1909" customWidth="1"/>
    <col min="2" max="2" width="2.109375" style="1913" customWidth="1"/>
    <col min="3" max="3" width="18.109375" style="792" bestFit="1" customWidth="1"/>
    <col min="4" max="4" width="3.6640625" style="1913" customWidth="1"/>
    <col min="5" max="5" width="15.44140625" style="792" customWidth="1"/>
    <col min="6" max="6" width="2.6640625" style="1913" customWidth="1"/>
    <col min="7" max="7" width="14" style="1913" customWidth="1"/>
    <col min="8" max="8" width="2.6640625" style="1913" customWidth="1"/>
    <col min="9" max="9" width="15.6640625" style="1913" bestFit="1" customWidth="1"/>
    <col min="10" max="10" width="3.6640625" style="1913" bestFit="1" customWidth="1"/>
    <col min="11" max="11" width="15.44140625" style="1913" customWidth="1"/>
    <col min="12" max="15" width="8.88671875" style="1913"/>
    <col min="16" max="16384" width="8.88671875" style="1909"/>
  </cols>
  <sheetData>
    <row r="1" spans="1:30">
      <c r="A1" s="1190" t="s">
        <v>1231</v>
      </c>
    </row>
    <row r="2" spans="1:30" ht="16.5">
      <c r="A2" s="388"/>
      <c r="B2" s="390"/>
      <c r="C2" s="786"/>
      <c r="D2" s="390"/>
      <c r="E2" s="786"/>
      <c r="F2" s="390"/>
      <c r="G2" s="390"/>
      <c r="H2" s="390"/>
      <c r="I2" s="390"/>
    </row>
    <row r="3" spans="1:30" ht="21" customHeight="1">
      <c r="A3" s="394" t="s">
        <v>0</v>
      </c>
      <c r="B3" s="351"/>
      <c r="C3" s="788"/>
      <c r="D3" s="345"/>
      <c r="E3" s="789"/>
      <c r="F3" s="345"/>
      <c r="G3" s="345"/>
      <c r="H3" s="345"/>
      <c r="I3" s="1736"/>
      <c r="K3" s="1736" t="s">
        <v>86</v>
      </c>
    </row>
    <row r="4" spans="1:30" ht="18">
      <c r="A4" s="394" t="s">
        <v>85</v>
      </c>
      <c r="B4" s="351"/>
      <c r="C4" s="788"/>
      <c r="D4" s="345"/>
      <c r="E4" s="789"/>
      <c r="F4" s="345"/>
      <c r="G4" s="345"/>
      <c r="H4" s="345"/>
      <c r="I4" s="1737"/>
      <c r="K4" s="1737" t="s">
        <v>107</v>
      </c>
    </row>
    <row r="5" spans="1:30" ht="18">
      <c r="A5" s="2815" t="s">
        <v>1543</v>
      </c>
      <c r="B5"/>
      <c r="C5"/>
      <c r="D5" s="345"/>
      <c r="E5" s="789"/>
      <c r="F5" s="345"/>
      <c r="G5" s="345"/>
      <c r="H5" s="345"/>
      <c r="I5" s="345"/>
    </row>
    <row r="6" spans="1:30" ht="18.95" customHeight="1">
      <c r="A6" s="2894" t="str">
        <f>+'Exh D-Governmental  '!A6</f>
        <v>FOR TWO MONTHS ENDED MAY 31, 2015</v>
      </c>
      <c r="B6" s="350"/>
      <c r="C6" s="788"/>
      <c r="D6" s="345"/>
      <c r="E6" s="789"/>
      <c r="F6" s="345"/>
      <c r="G6" s="345"/>
      <c r="H6" s="345"/>
      <c r="I6" s="345"/>
      <c r="J6" s="345"/>
      <c r="K6" s="359"/>
      <c r="L6" s="359"/>
      <c r="M6" s="359"/>
      <c r="N6" s="359"/>
      <c r="O6" s="359"/>
      <c r="P6" s="359"/>
      <c r="Q6" s="359"/>
      <c r="R6" s="359"/>
      <c r="S6" s="359"/>
      <c r="T6" s="359"/>
      <c r="U6" s="359"/>
      <c r="V6" s="359"/>
      <c r="W6" s="359"/>
      <c r="X6" s="359"/>
      <c r="Y6" s="1155"/>
      <c r="Z6" s="1155"/>
      <c r="AA6" s="1155"/>
      <c r="AB6" s="1155"/>
      <c r="AC6" s="1155"/>
      <c r="AD6" s="1913"/>
    </row>
    <row r="7" spans="1:30" ht="18">
      <c r="A7" s="394" t="s">
        <v>1117</v>
      </c>
      <c r="B7" s="351"/>
      <c r="C7" s="788"/>
      <c r="D7" s="345"/>
      <c r="E7" s="789"/>
      <c r="F7" s="345"/>
      <c r="G7" s="345"/>
      <c r="H7" s="345"/>
      <c r="I7" s="345"/>
    </row>
    <row r="8" spans="1:30" ht="18">
      <c r="A8" s="396"/>
      <c r="B8" s="351"/>
      <c r="C8" s="1981"/>
      <c r="D8" s="359"/>
      <c r="E8" s="789"/>
      <c r="F8" s="345"/>
      <c r="G8" s="345"/>
      <c r="H8" s="345"/>
      <c r="I8" s="345"/>
    </row>
    <row r="9" spans="1:30">
      <c r="A9" s="353"/>
      <c r="B9" s="345"/>
      <c r="C9" s="2375"/>
      <c r="D9" s="359"/>
      <c r="E9" s="789"/>
      <c r="F9" s="345"/>
      <c r="G9" s="345"/>
      <c r="H9" s="345"/>
      <c r="I9" s="345"/>
    </row>
    <row r="10" spans="1:30">
      <c r="A10" s="353"/>
      <c r="B10" s="345"/>
      <c r="C10" s="1981"/>
      <c r="D10" s="350"/>
      <c r="E10" s="788"/>
      <c r="F10" s="351"/>
      <c r="G10" s="351"/>
      <c r="H10" s="351"/>
      <c r="I10" s="351"/>
      <c r="J10" s="1931"/>
    </row>
    <row r="11" spans="1:30" ht="15.75">
      <c r="A11" s="1365"/>
      <c r="B11" s="354"/>
      <c r="C11" s="2370"/>
      <c r="D11" s="2381"/>
      <c r="E11" s="2370"/>
      <c r="F11" s="2379"/>
      <c r="G11" s="2396" t="s">
        <v>1433</v>
      </c>
      <c r="H11" s="2379"/>
      <c r="I11" s="2379"/>
      <c r="J11" s="2382"/>
      <c r="K11" s="2362"/>
    </row>
    <row r="12" spans="1:30" ht="15.75">
      <c r="A12" s="1365"/>
      <c r="B12" s="354"/>
      <c r="C12" s="355"/>
      <c r="D12" s="355"/>
      <c r="E12" s="355"/>
      <c r="F12" s="355"/>
      <c r="G12" s="355"/>
      <c r="H12" s="355"/>
      <c r="I12" s="356" t="s">
        <v>87</v>
      </c>
      <c r="J12" s="356"/>
      <c r="K12" s="356" t="s">
        <v>87</v>
      </c>
    </row>
    <row r="13" spans="1:30" ht="15.75">
      <c r="A13" s="1365"/>
      <c r="B13" s="354"/>
      <c r="C13" s="355"/>
      <c r="D13" s="355"/>
      <c r="E13" s="355"/>
      <c r="F13" s="355"/>
      <c r="G13" s="355"/>
      <c r="H13" s="355"/>
      <c r="I13" s="356" t="s">
        <v>1124</v>
      </c>
      <c r="J13" s="356"/>
      <c r="K13" s="356" t="s">
        <v>1124</v>
      </c>
    </row>
    <row r="14" spans="1:30" ht="15.75">
      <c r="A14" s="1365"/>
      <c r="B14" s="354"/>
      <c r="C14" s="357" t="s">
        <v>1370</v>
      </c>
      <c r="D14" s="355"/>
      <c r="E14" s="356" t="s">
        <v>1371</v>
      </c>
      <c r="F14" s="355"/>
      <c r="G14" s="355"/>
      <c r="H14" s="355"/>
      <c r="I14" s="356" t="s">
        <v>88</v>
      </c>
      <c r="J14" s="356"/>
      <c r="K14" s="356" t="s">
        <v>88</v>
      </c>
    </row>
    <row r="15" spans="1:30" ht="15.75" customHeight="1">
      <c r="A15" s="1365"/>
      <c r="B15" s="354"/>
      <c r="C15" s="356" t="s">
        <v>1414</v>
      </c>
      <c r="D15" s="355"/>
      <c r="E15" s="356" t="s">
        <v>1414</v>
      </c>
      <c r="F15" s="355"/>
      <c r="G15" s="355"/>
      <c r="H15" s="355"/>
      <c r="I15" s="356" t="s">
        <v>1370</v>
      </c>
      <c r="J15" s="356"/>
      <c r="K15" s="356" t="s">
        <v>1371</v>
      </c>
    </row>
    <row r="16" spans="1:30" ht="15.75">
      <c r="A16" s="1365"/>
      <c r="B16" s="354"/>
      <c r="C16" s="356" t="s">
        <v>1415</v>
      </c>
      <c r="D16" s="355"/>
      <c r="E16" s="356" t="s">
        <v>1565</v>
      </c>
      <c r="F16" s="355"/>
      <c r="G16" s="357" t="s">
        <v>87</v>
      </c>
      <c r="H16" s="355"/>
      <c r="I16" s="356" t="s">
        <v>89</v>
      </c>
      <c r="J16" s="356"/>
      <c r="K16" s="356" t="s">
        <v>89</v>
      </c>
    </row>
    <row r="17" spans="1:30">
      <c r="A17" s="358"/>
      <c r="B17" s="359"/>
      <c r="C17" s="360"/>
      <c r="D17" s="359"/>
      <c r="E17" s="360"/>
      <c r="F17" s="345"/>
      <c r="G17" s="360"/>
      <c r="H17" s="345"/>
      <c r="I17" s="360"/>
      <c r="K17" s="360"/>
    </row>
    <row r="18" spans="1:30" ht="15.75">
      <c r="A18" s="221" t="s">
        <v>15</v>
      </c>
      <c r="B18" s="1901"/>
      <c r="C18" s="1257"/>
      <c r="D18" s="1901"/>
      <c r="E18" s="1257"/>
      <c r="F18" s="1257"/>
      <c r="G18" s="1257" t="s">
        <v>16</v>
      </c>
      <c r="H18" s="1257"/>
      <c r="I18" s="1257"/>
      <c r="K18" s="1257"/>
    </row>
    <row r="19" spans="1:30">
      <c r="A19" s="1727" t="s">
        <v>90</v>
      </c>
      <c r="B19" s="1902" t="s">
        <v>16</v>
      </c>
      <c r="C19" s="1258"/>
      <c r="D19" s="1988"/>
      <c r="E19" s="1258"/>
      <c r="F19" s="1258"/>
      <c r="G19" s="1933"/>
      <c r="H19" s="1260"/>
      <c r="I19" s="1258"/>
      <c r="J19" s="1901"/>
      <c r="K19" s="1258"/>
      <c r="L19" s="1901"/>
      <c r="M19" s="1901"/>
      <c r="N19" s="1901"/>
      <c r="O19" s="1901"/>
      <c r="P19" s="1901"/>
      <c r="Q19" s="1901"/>
      <c r="R19" s="1901"/>
      <c r="S19" s="1901"/>
      <c r="T19" s="1901"/>
      <c r="U19" s="1901"/>
      <c r="V19" s="1901"/>
      <c r="W19" s="1901"/>
      <c r="X19" s="1901"/>
      <c r="Y19" s="1155"/>
      <c r="Z19" s="1155"/>
      <c r="AA19" s="1155"/>
      <c r="AB19" s="1155"/>
      <c r="AC19" s="1155"/>
      <c r="AD19" s="1913"/>
    </row>
    <row r="20" spans="1:30">
      <c r="A20" s="1727" t="s">
        <v>92</v>
      </c>
      <c r="B20" s="1901" t="s">
        <v>16</v>
      </c>
      <c r="C20" s="1919">
        <f>+'Exh D Captl Projects State Fed'!C20</f>
        <v>94</v>
      </c>
      <c r="D20" s="1921"/>
      <c r="E20" s="1919">
        <f>+'Exh D Captl Projects State Fed'!E20</f>
        <v>0</v>
      </c>
      <c r="F20" s="1259"/>
      <c r="G20" s="1919">
        <f>+'Exh D Captl Projects State Fed'!G20</f>
        <v>92.5</v>
      </c>
      <c r="H20" s="1259"/>
      <c r="I20" s="1258">
        <f>ROUND(SUM(G20)-SUM(C20),1)</f>
        <v>-1.5</v>
      </c>
      <c r="J20" s="1901"/>
      <c r="K20" s="1258">
        <v>0</v>
      </c>
      <c r="L20" s="1901"/>
      <c r="M20" s="1901"/>
      <c r="N20" s="1901"/>
      <c r="O20" s="1901"/>
      <c r="P20" s="1901"/>
      <c r="Q20" s="1901"/>
      <c r="R20" s="1901"/>
      <c r="S20" s="1901"/>
      <c r="T20" s="1901"/>
      <c r="U20" s="1901"/>
      <c r="V20" s="1901"/>
      <c r="W20" s="1901"/>
      <c r="X20" s="1901"/>
      <c r="Y20" s="1155"/>
      <c r="Z20" s="1155"/>
      <c r="AA20" s="1155"/>
      <c r="AB20" s="1155"/>
      <c r="AC20" s="1155"/>
      <c r="AD20" s="1913"/>
    </row>
    <row r="21" spans="1:30">
      <c r="A21" s="1727" t="s">
        <v>93</v>
      </c>
      <c r="B21" s="1902" t="s">
        <v>16</v>
      </c>
      <c r="C21" s="1361">
        <f>+'Exh D Captl Projects State Fed'!C21</f>
        <v>103</v>
      </c>
      <c r="D21" s="1921"/>
      <c r="E21" s="1361">
        <f>+'Exh D Captl Projects State Fed'!E21</f>
        <v>0</v>
      </c>
      <c r="F21" s="1259"/>
      <c r="G21" s="1361">
        <f>+'Exh D Captl Projects State Fed'!G21</f>
        <v>100.7</v>
      </c>
      <c r="H21" s="1259"/>
      <c r="I21" s="1177">
        <f t="shared" ref="I21:I26" si="0">ROUND(SUM(G21)-SUM(C21),1)</f>
        <v>-2.2999999999999998</v>
      </c>
      <c r="J21" s="1923"/>
      <c r="K21" s="1177">
        <v>0</v>
      </c>
      <c r="L21" s="1901"/>
      <c r="M21" s="1923"/>
      <c r="N21" s="1901"/>
      <c r="O21" s="1923"/>
      <c r="P21" s="1901"/>
      <c r="Q21" s="1901"/>
      <c r="R21" s="1923"/>
      <c r="S21" s="1901"/>
      <c r="T21" s="1901"/>
      <c r="U21" s="1923"/>
      <c r="V21" s="406"/>
      <c r="W21" s="1923"/>
      <c r="X21" s="1901"/>
      <c r="Y21" s="1155"/>
      <c r="Z21" s="1155"/>
      <c r="AA21" s="1155"/>
      <c r="AB21" s="1155"/>
      <c r="AC21" s="1155"/>
      <c r="AD21" s="1913"/>
    </row>
    <row r="22" spans="1:30">
      <c r="A22" s="1727" t="s">
        <v>94</v>
      </c>
      <c r="B22" s="1901" t="s">
        <v>16</v>
      </c>
      <c r="C22" s="1361">
        <f>+'Exh D Captl Projects State Fed'!C22</f>
        <v>0</v>
      </c>
      <c r="D22" s="1921"/>
      <c r="E22" s="1361">
        <f>+'Exh D Captl Projects State Fed'!E22</f>
        <v>0</v>
      </c>
      <c r="F22" s="1259"/>
      <c r="G22" s="1361">
        <f>+'Exh D Captl Projects State Fed'!G22</f>
        <v>0</v>
      </c>
      <c r="H22" s="1259"/>
      <c r="I22" s="1177">
        <f t="shared" si="0"/>
        <v>0</v>
      </c>
      <c r="J22" s="1901"/>
      <c r="K22" s="1177">
        <f t="shared" ref="K22:K25" si="1">ROUND(SUM(G22)-SUM(E22),1)</f>
        <v>0</v>
      </c>
      <c r="L22" s="1901"/>
      <c r="M22" s="1901"/>
      <c r="N22" s="1901"/>
      <c r="O22" s="1901"/>
      <c r="P22" s="1901"/>
      <c r="Q22" s="1901"/>
      <c r="R22" s="1901"/>
      <c r="S22" s="1901"/>
      <c r="T22" s="1901"/>
      <c r="U22" s="1901"/>
      <c r="V22" s="1901"/>
      <c r="W22" s="1901"/>
      <c r="X22" s="1901"/>
      <c r="Y22" s="1155"/>
      <c r="Z22" s="1155"/>
      <c r="AA22" s="1155"/>
      <c r="AB22" s="1155"/>
      <c r="AC22" s="1155"/>
      <c r="AD22" s="1913"/>
    </row>
    <row r="23" spans="1:30">
      <c r="A23" s="1727" t="s">
        <v>21</v>
      </c>
      <c r="B23" s="1901" t="s">
        <v>16</v>
      </c>
      <c r="C23" s="1177">
        <f>+'Exh D Captl Projects State Fed'!C23+'Exh D Captl Projects State Fed'!M23</f>
        <v>175</v>
      </c>
      <c r="D23" s="1921"/>
      <c r="E23" s="1177">
        <f>+'Exh D Captl Projects State Fed'!E23+'Exh D Captl Projects State Fed'!O23</f>
        <v>0</v>
      </c>
      <c r="F23" s="1177"/>
      <c r="G23" s="1177">
        <f>+'Exh D Captl Projects State Fed'!G23+'Exh D Captl Projects State Fed'!Q23</f>
        <v>216.4</v>
      </c>
      <c r="H23" s="1177"/>
      <c r="I23" s="1177">
        <f t="shared" si="0"/>
        <v>41.4</v>
      </c>
      <c r="K23" s="1177">
        <v>0</v>
      </c>
    </row>
    <row r="24" spans="1:30">
      <c r="A24" s="1727" t="s">
        <v>22</v>
      </c>
      <c r="B24" s="1901" t="s">
        <v>16</v>
      </c>
      <c r="C24" s="1177">
        <f>+'Exh D Captl Projects State Fed'!C24+'Exh D Captl Projects State Fed'!M24</f>
        <v>203</v>
      </c>
      <c r="D24" s="1921"/>
      <c r="E24" s="1177">
        <f>+'Exh D Captl Projects State Fed'!E24+'Exh D Captl Projects State Fed'!O24</f>
        <v>0</v>
      </c>
      <c r="F24" s="1177"/>
      <c r="G24" s="1177">
        <f>+'Exh D Captl Projects State Fed'!G24+'Exh D Captl Projects State Fed'!Q24</f>
        <v>170.7</v>
      </c>
      <c r="H24" s="1177"/>
      <c r="I24" s="1177">
        <f t="shared" si="0"/>
        <v>-32.299999999999997</v>
      </c>
      <c r="K24" s="1177">
        <v>0</v>
      </c>
    </row>
    <row r="25" spans="1:30">
      <c r="A25" s="1727" t="s">
        <v>100</v>
      </c>
      <c r="B25" s="1901" t="s">
        <v>16</v>
      </c>
      <c r="C25" s="1259">
        <f>+'Exh D Captl Projects State Fed'!C25+'Exh D Captl Projects State Fed'!M25</f>
        <v>0</v>
      </c>
      <c r="D25" s="2380"/>
      <c r="E25" s="1259">
        <f>+'Exh D Captl Projects State Fed'!E25+'Exh D Captl Projects State Fed'!O25</f>
        <v>0</v>
      </c>
      <c r="F25" s="1177"/>
      <c r="G25" s="1259">
        <f>+'Exh D Captl Projects State Fed'!G25+'Exh D Captl Projects State Fed'!Q25</f>
        <v>0</v>
      </c>
      <c r="H25" s="1177"/>
      <c r="I25" s="1177">
        <f t="shared" si="0"/>
        <v>0</v>
      </c>
      <c r="K25" s="1177">
        <f t="shared" si="1"/>
        <v>0</v>
      </c>
    </row>
    <row r="26" spans="1:30">
      <c r="A26" s="1727" t="s">
        <v>1571</v>
      </c>
      <c r="B26" s="1901" t="s">
        <v>16</v>
      </c>
      <c r="C26" s="1333">
        <f>+'Exh D Captl Projects State Fed'!C26+'Exh D Captl Projects State Fed'!M26</f>
        <v>294</v>
      </c>
      <c r="D26" s="1921"/>
      <c r="E26" s="1333">
        <v>0</v>
      </c>
      <c r="F26" s="1177"/>
      <c r="G26" s="1333">
        <f>+'Exh D Captl Projects State Fed'!G26+'Exh D Captl Projects State Fed'!Q26</f>
        <v>225.8</v>
      </c>
      <c r="H26" s="1177"/>
      <c r="I26" s="1177">
        <f t="shared" si="0"/>
        <v>-68.2</v>
      </c>
      <c r="K26" s="1177">
        <v>0</v>
      </c>
    </row>
    <row r="27" spans="1:30" ht="18" customHeight="1">
      <c r="A27" s="2258" t="s">
        <v>113</v>
      </c>
      <c r="B27" s="354" t="s">
        <v>16</v>
      </c>
      <c r="C27" s="421">
        <f>ROUND(SUM(C20:C26),1)</f>
        <v>869</v>
      </c>
      <c r="D27" s="273"/>
      <c r="E27" s="421">
        <f>ROUND(SUM(E20:E26),1)</f>
        <v>0</v>
      </c>
      <c r="F27" s="1899"/>
      <c r="G27" s="421">
        <f>ROUND(SUM(G20:G26),1)</f>
        <v>806.1</v>
      </c>
      <c r="H27" s="1899"/>
      <c r="I27" s="421">
        <f>ROUND(SUM(I20:I26),1)</f>
        <v>-62.9</v>
      </c>
      <c r="K27" s="421">
        <f>ROUND(SUM(K20:K26),1)</f>
        <v>0</v>
      </c>
    </row>
    <row r="28" spans="1:30">
      <c r="A28" s="1365"/>
      <c r="B28" s="1901" t="s">
        <v>16</v>
      </c>
      <c r="C28" s="1363"/>
      <c r="D28" s="1921"/>
      <c r="E28" s="1363"/>
      <c r="F28" s="1177"/>
      <c r="G28" s="1363"/>
      <c r="H28" s="1177"/>
      <c r="I28" s="1363" t="s">
        <v>16</v>
      </c>
      <c r="K28" s="1363" t="s">
        <v>16</v>
      </c>
    </row>
    <row r="29" spans="1:30" ht="15.75">
      <c r="A29" s="221" t="s">
        <v>24</v>
      </c>
      <c r="B29" s="1901" t="s">
        <v>16</v>
      </c>
      <c r="C29" s="1177"/>
      <c r="D29" s="1921"/>
      <c r="E29" s="1177"/>
      <c r="F29" s="1177"/>
      <c r="G29" s="1177"/>
      <c r="H29" s="1177"/>
      <c r="I29" s="1177"/>
      <c r="K29" s="1177"/>
    </row>
    <row r="30" spans="1:30">
      <c r="A30" s="1727" t="s">
        <v>96</v>
      </c>
      <c r="B30" s="1901" t="s">
        <v>16</v>
      </c>
      <c r="C30" s="1177">
        <f>+'Exh D Captl Projects State Fed'!C30+'Exh D Captl Projects State Fed'!M30</f>
        <v>161</v>
      </c>
      <c r="D30" s="1921"/>
      <c r="E30" s="1177">
        <f>+'Exh D Captl Projects State Fed'!E30+'Exh D Captl Projects State Fed'!O30</f>
        <v>0</v>
      </c>
      <c r="F30" s="1177"/>
      <c r="G30" s="1177">
        <f>+'Exh D Captl Projects State Fed'!G30+'Exh D Captl Projects State Fed'!Q30</f>
        <v>170.6</v>
      </c>
      <c r="H30" s="1177"/>
      <c r="I30" s="1177">
        <f>ROUND(SUM(G30)-SUM(C30),1)</f>
        <v>9.6</v>
      </c>
      <c r="K30" s="1177">
        <v>0</v>
      </c>
    </row>
    <row r="31" spans="1:30">
      <c r="A31" s="1727" t="s">
        <v>43</v>
      </c>
      <c r="B31" s="1901" t="s">
        <v>16</v>
      </c>
      <c r="C31" s="1177">
        <f>+'Exh D Captl Projects State Fed'!C31+'Exh D Captl Projects State Fed'!M31</f>
        <v>684</v>
      </c>
      <c r="D31" s="2380"/>
      <c r="E31" s="1177">
        <f>+'Exh D Captl Projects State Fed'!E31+'Exh D Captl Projects State Fed'!O31</f>
        <v>0</v>
      </c>
      <c r="F31" s="1177"/>
      <c r="G31" s="1177">
        <f>+'Exh D Captl Projects State Fed'!G31+'Exh D Captl Projects State Fed'!Q31</f>
        <v>715</v>
      </c>
      <c r="H31" s="1177"/>
      <c r="I31" s="1177">
        <f>ROUND(SUM(G31)-SUM(C31),1)</f>
        <v>31</v>
      </c>
      <c r="K31" s="1177">
        <v>0</v>
      </c>
    </row>
    <row r="32" spans="1:30">
      <c r="A32" s="1727" t="s">
        <v>1572</v>
      </c>
      <c r="B32" s="1901" t="s">
        <v>16</v>
      </c>
      <c r="C32" s="1177">
        <f>+'Exh D Captl Projects State Fed'!C32+'Exh D Captl Projects State Fed'!M32</f>
        <v>151</v>
      </c>
      <c r="D32" s="1921"/>
      <c r="E32" s="1177">
        <v>0</v>
      </c>
      <c r="F32" s="1177"/>
      <c r="G32" s="1177">
        <f>+'Exh D Captl Projects State Fed'!G32+'Exh D Captl Projects State Fed'!Q32</f>
        <v>151.9</v>
      </c>
      <c r="H32" s="1177"/>
      <c r="I32" s="1177">
        <f>ROUND(SUM(G32)-SUM(C32),1)</f>
        <v>0.9</v>
      </c>
      <c r="K32" s="1177">
        <v>0</v>
      </c>
    </row>
    <row r="33" spans="1:30" ht="18" customHeight="1">
      <c r="A33" s="2258" t="s">
        <v>122</v>
      </c>
      <c r="B33" s="354" t="s">
        <v>16</v>
      </c>
      <c r="C33" s="421">
        <f>ROUND(SUM(C30:C32),1)</f>
        <v>996</v>
      </c>
      <c r="D33" s="273"/>
      <c r="E33" s="421">
        <f>ROUND(SUM(E30:E32),1)</f>
        <v>0</v>
      </c>
      <c r="F33" s="1899"/>
      <c r="G33" s="421">
        <f>ROUND(SUM(G30:G32),1)</f>
        <v>1037.5</v>
      </c>
      <c r="H33" s="1899"/>
      <c r="I33" s="421">
        <f>ROUND(SUM(I30:I32),1)</f>
        <v>41.5</v>
      </c>
      <c r="K33" s="421">
        <f>ROUND(SUM(K30:K32),1)</f>
        <v>0</v>
      </c>
    </row>
    <row r="34" spans="1:30">
      <c r="A34" s="1365"/>
      <c r="B34" s="1901" t="s">
        <v>16</v>
      </c>
      <c r="C34" s="1363"/>
      <c r="D34" s="1921"/>
      <c r="E34" s="1363"/>
      <c r="F34" s="1177"/>
      <c r="G34" s="1363"/>
      <c r="H34" s="1177"/>
      <c r="I34" s="1363"/>
      <c r="K34" s="1363"/>
    </row>
    <row r="35" spans="1:30" ht="15.75">
      <c r="A35" s="221" t="s">
        <v>103</v>
      </c>
      <c r="B35" s="1901"/>
      <c r="C35" s="1177"/>
      <c r="D35" s="1921"/>
      <c r="E35" s="1177"/>
      <c r="F35" s="1177"/>
      <c r="G35" s="1177"/>
      <c r="H35" s="1177"/>
      <c r="I35" s="1177"/>
      <c r="K35" s="1177"/>
    </row>
    <row r="36" spans="1:30" ht="15.75">
      <c r="A36" s="221" t="s">
        <v>104</v>
      </c>
      <c r="B36" s="1901"/>
      <c r="C36" s="1177"/>
      <c r="D36" s="1921"/>
      <c r="E36" s="1177"/>
      <c r="F36" s="1177"/>
      <c r="G36" s="1177"/>
      <c r="H36" s="1177"/>
      <c r="I36" s="1177"/>
      <c r="K36" s="1177"/>
    </row>
    <row r="37" spans="1:30" ht="15.75">
      <c r="A37" s="2258" t="s">
        <v>105</v>
      </c>
      <c r="B37" s="377" t="s">
        <v>16</v>
      </c>
      <c r="C37" s="273">
        <f>ROUND(SUM(C27)-SUM(C33),1)</f>
        <v>-127</v>
      </c>
      <c r="D37" s="273"/>
      <c r="E37" s="273">
        <f>ROUND(SUM(E27)-SUM(E33),1)</f>
        <v>0</v>
      </c>
      <c r="F37" s="284"/>
      <c r="G37" s="273">
        <f>ROUND(SUM(G27)-SUM(G33),1)</f>
        <v>-231.4</v>
      </c>
      <c r="H37" s="284"/>
      <c r="I37" s="273">
        <f>ROUND(SUM(I27)-SUM(I33),1)</f>
        <v>-104.4</v>
      </c>
      <c r="J37" s="1155"/>
      <c r="K37" s="273">
        <f>ROUND(SUM(K27)-SUM(K33),1)</f>
        <v>0</v>
      </c>
    </row>
    <row r="38" spans="1:30" ht="15.75">
      <c r="B38" s="1155"/>
      <c r="C38" s="1275"/>
      <c r="D38" s="273"/>
      <c r="E38" s="1275"/>
      <c r="F38" s="1910"/>
      <c r="G38" s="1275"/>
      <c r="H38" s="1910"/>
      <c r="I38" s="1275"/>
      <c r="K38" s="1275"/>
    </row>
    <row r="39" spans="1:30" ht="15.75">
      <c r="A39" s="2258" t="str">
        <f>+'Exh D-Governmental  '!A49</f>
        <v>Fund Balances (Deficits) at April 1</v>
      </c>
      <c r="B39" s="1912" t="s">
        <v>16</v>
      </c>
      <c r="C39" s="273">
        <v>-724</v>
      </c>
      <c r="D39" s="273"/>
      <c r="E39" s="273">
        <v>0</v>
      </c>
      <c r="F39" s="1910"/>
      <c r="G39" s="273">
        <f>'Exh D Captl Projects State Fed'!G39+'Exh D Captl Projects State Fed'!Q39</f>
        <v>-724.4</v>
      </c>
      <c r="H39" s="1910"/>
      <c r="I39" s="281">
        <f>ROUND(SUM(G39-C39),1)</f>
        <v>-0.4</v>
      </c>
      <c r="J39" s="1155"/>
      <c r="K39" s="281">
        <v>0</v>
      </c>
      <c r="L39" s="1155"/>
      <c r="M39" s="1155"/>
      <c r="N39" s="1155"/>
      <c r="O39" s="1155"/>
      <c r="P39" s="1155"/>
      <c r="Q39" s="1155"/>
      <c r="R39" s="1155"/>
      <c r="S39" s="1155"/>
      <c r="T39" s="1155"/>
      <c r="U39" s="1155"/>
      <c r="V39" s="1155"/>
      <c r="W39" s="1155"/>
      <c r="X39" s="1155"/>
      <c r="Y39" s="1155"/>
      <c r="Z39" s="1155"/>
      <c r="AA39" s="1155"/>
      <c r="AB39" s="1155"/>
      <c r="AC39" s="1155"/>
      <c r="AD39" s="1913"/>
    </row>
    <row r="40" spans="1:30" ht="16.5" thickBot="1">
      <c r="A40" s="2724" t="str">
        <f>+'Exh D-Governmental  '!A50</f>
        <v>Fund Balances (Deficits) at May 31, 2015</v>
      </c>
      <c r="B40" s="383" t="s">
        <v>16</v>
      </c>
      <c r="C40" s="299">
        <f>ROUND(SUM(C37:C39),1)</f>
        <v>-851</v>
      </c>
      <c r="D40" s="425"/>
      <c r="E40" s="299">
        <f>ROUND(SUM(E37:E39),1)</f>
        <v>0</v>
      </c>
      <c r="F40" s="384"/>
      <c r="G40" s="299">
        <f>ROUND(SUM(G37:G39),1)</f>
        <v>-955.8</v>
      </c>
      <c r="H40" s="384"/>
      <c r="I40" s="299">
        <f>ROUND(SUM(I37:I39),1)</f>
        <v>-104.8</v>
      </c>
      <c r="J40" s="1155"/>
      <c r="K40" s="299">
        <f>ROUND(SUM(K37:K39),1)</f>
        <v>0</v>
      </c>
      <c r="L40" s="1155"/>
      <c r="M40" s="1155"/>
      <c r="N40" s="1155"/>
      <c r="O40" s="1155"/>
      <c r="P40" s="1155"/>
      <c r="Q40" s="1155"/>
      <c r="R40" s="1155"/>
      <c r="S40" s="1155"/>
      <c r="T40" s="1155"/>
      <c r="U40" s="1155"/>
      <c r="V40" s="1155"/>
      <c r="W40" s="1155"/>
      <c r="X40" s="1155"/>
      <c r="Y40" s="1155"/>
      <c r="Z40" s="1155"/>
      <c r="AA40" s="1155"/>
      <c r="AB40" s="1155"/>
      <c r="AC40" s="1155"/>
      <c r="AD40" s="1913"/>
    </row>
    <row r="41" spans="1:30" ht="15.75" thickTop="1">
      <c r="B41" s="1155"/>
      <c r="C41" s="1155"/>
      <c r="D41" s="1155"/>
      <c r="E41" s="1155"/>
      <c r="G41" s="1939"/>
    </row>
    <row r="42" spans="1:30">
      <c r="A42" s="1914" t="s">
        <v>1570</v>
      </c>
      <c r="B42" s="1155"/>
      <c r="D42" s="1155"/>
    </row>
    <row r="43" spans="1:30">
      <c r="A43" s="3038" t="s">
        <v>1588</v>
      </c>
      <c r="B43" s="1155"/>
      <c r="D43" s="1155"/>
      <c r="G43" s="1905"/>
      <c r="H43" s="1257"/>
      <c r="I43" s="1905"/>
      <c r="J43" s="1257"/>
      <c r="K43" s="1940"/>
    </row>
    <row r="44" spans="1:30">
      <c r="A44" s="3038" t="s">
        <v>1589</v>
      </c>
      <c r="B44" s="1155"/>
      <c r="D44" s="1155"/>
    </row>
    <row r="45" spans="1:30">
      <c r="A45" s="2089"/>
      <c r="B45" s="1155"/>
      <c r="D45" s="1155"/>
    </row>
    <row r="46" spans="1:30">
      <c r="A46" s="386"/>
      <c r="B46" s="1155"/>
      <c r="D46" s="1155"/>
    </row>
    <row r="47" spans="1:30">
      <c r="B47" s="1155"/>
      <c r="D47" s="1155"/>
    </row>
    <row r="48" spans="1:30">
      <c r="B48" s="115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1"/>
  <sheetViews>
    <sheetView showGridLines="0" zoomScale="70" zoomScaleNormal="70" workbookViewId="0"/>
  </sheetViews>
  <sheetFormatPr defaultRowHeight="15"/>
  <cols>
    <col min="1" max="1" width="51.77734375" style="1909" customWidth="1"/>
    <col min="2" max="2" width="2.109375" style="1913" customWidth="1"/>
    <col min="3" max="3" width="15.77734375" style="792" customWidth="1"/>
    <col min="4" max="4" width="1.109375" style="1913" customWidth="1"/>
    <col min="5" max="5" width="15.77734375" style="792" customWidth="1"/>
    <col min="6" max="6" width="1.109375" style="1913" customWidth="1"/>
    <col min="7" max="7" width="15.77734375" style="1913" customWidth="1"/>
    <col min="8" max="8" width="0.6640625" style="1913" customWidth="1"/>
    <col min="9" max="9" width="19.44140625" style="1913" customWidth="1"/>
    <col min="10" max="10" width="1.109375" style="1155" customWidth="1"/>
    <col min="11" max="11" width="19.44140625" style="1913" customWidth="1"/>
    <col min="12" max="12" width="1.33203125" style="1913" customWidth="1"/>
    <col min="13" max="13" width="15.77734375" style="1155" customWidth="1"/>
    <col min="14" max="14" width="1.21875" style="1155" customWidth="1"/>
    <col min="15" max="15" width="15.77734375" style="1155" customWidth="1"/>
    <col min="16" max="16" width="1.21875" style="1155" customWidth="1"/>
    <col min="17" max="17" width="15.77734375" style="1155" customWidth="1"/>
    <col min="18" max="18" width="1.33203125" style="1155" customWidth="1"/>
    <col min="19" max="19" width="15.77734375" style="1155" customWidth="1"/>
    <col min="20" max="20" width="1.88671875" style="1155" customWidth="1"/>
    <col min="21" max="21" width="15.77734375" style="792" customWidth="1"/>
    <col min="22" max="22" width="0.6640625" style="1155" customWidth="1"/>
    <col min="23" max="23" width="15.77734375" style="792" customWidth="1"/>
    <col min="24" max="24" width="1.33203125" style="1155" customWidth="1"/>
    <col min="25" max="25" width="15.77734375" style="1155" customWidth="1"/>
    <col min="26" max="26" width="1" style="1155" customWidth="1"/>
    <col min="27" max="27" width="15.77734375" style="1155" customWidth="1"/>
    <col min="28" max="28" width="3.6640625" style="1913" bestFit="1" customWidth="1"/>
    <col min="29" max="33" width="8.88671875" style="1913"/>
    <col min="34" max="16384" width="8.88671875" style="1909"/>
  </cols>
  <sheetData>
    <row r="1" spans="1:48">
      <c r="A1" s="1915" t="s">
        <v>1231</v>
      </c>
    </row>
    <row r="2" spans="1:48" ht="16.5">
      <c r="A2" s="388"/>
      <c r="B2" s="390"/>
      <c r="C2" s="786"/>
      <c r="D2" s="390"/>
      <c r="E2" s="786"/>
      <c r="F2" s="390"/>
      <c r="G2" s="390"/>
      <c r="H2" s="390"/>
      <c r="I2" s="390"/>
      <c r="J2" s="389"/>
      <c r="K2" s="390"/>
      <c r="L2" s="390"/>
      <c r="M2" s="389"/>
      <c r="N2" s="389"/>
      <c r="O2" s="389"/>
      <c r="P2" s="389"/>
      <c r="Q2" s="389"/>
      <c r="R2" s="389"/>
      <c r="S2" s="389"/>
      <c r="T2" s="389"/>
      <c r="U2" s="2373"/>
      <c r="V2" s="389"/>
      <c r="W2" s="2373"/>
      <c r="X2" s="389"/>
      <c r="Y2" s="389"/>
      <c r="Z2" s="389"/>
      <c r="AA2" s="389"/>
    </row>
    <row r="3" spans="1:48" ht="21" customHeight="1">
      <c r="A3" s="394" t="s">
        <v>0</v>
      </c>
      <c r="B3" s="351"/>
      <c r="C3" s="788"/>
      <c r="D3" s="345"/>
      <c r="E3" s="788"/>
      <c r="F3" s="345"/>
      <c r="G3" s="345"/>
      <c r="H3" s="345"/>
      <c r="I3" s="345"/>
      <c r="J3" s="359"/>
      <c r="K3" s="345"/>
      <c r="L3" s="345"/>
      <c r="M3" s="359"/>
      <c r="N3" s="359"/>
      <c r="O3" s="359"/>
      <c r="P3" s="359"/>
      <c r="Q3" s="359"/>
      <c r="R3" s="359"/>
      <c r="S3" s="1736"/>
      <c r="T3" s="359"/>
      <c r="U3" s="1736" t="s">
        <v>86</v>
      </c>
      <c r="V3" s="359"/>
      <c r="W3" s="2375"/>
      <c r="X3" s="359"/>
      <c r="Y3" s="359"/>
      <c r="Z3" s="359"/>
      <c r="AA3" s="2376"/>
    </row>
    <row r="4" spans="1:48" ht="18">
      <c r="A4" s="394" t="s">
        <v>1514</v>
      </c>
      <c r="B4" s="351"/>
      <c r="C4" s="788"/>
      <c r="D4" s="345"/>
      <c r="E4" s="788"/>
      <c r="F4" s="345"/>
      <c r="G4" s="345"/>
      <c r="H4" s="345"/>
      <c r="I4" s="345"/>
      <c r="J4" s="359"/>
      <c r="K4" s="345"/>
      <c r="L4" s="345"/>
      <c r="M4" s="359"/>
      <c r="N4" s="359"/>
      <c r="O4" s="359"/>
      <c r="P4" s="359"/>
      <c r="Q4" s="359"/>
      <c r="R4" s="359"/>
      <c r="S4" s="1737"/>
      <c r="T4" s="359"/>
      <c r="U4" s="1737" t="s">
        <v>107</v>
      </c>
      <c r="V4" s="359"/>
      <c r="W4" s="2375"/>
      <c r="X4" s="359"/>
      <c r="Y4" s="359"/>
      <c r="Z4" s="359"/>
      <c r="AA4" s="2377"/>
    </row>
    <row r="5" spans="1:48" ht="18.95" customHeight="1">
      <c r="A5" s="3508" t="s">
        <v>1543</v>
      </c>
      <c r="B5" s="3509"/>
      <c r="C5" s="3509"/>
      <c r="D5" s="3509"/>
      <c r="E5" s="3509"/>
      <c r="F5" s="345"/>
      <c r="G5" s="345"/>
      <c r="H5" s="345"/>
      <c r="I5" s="345"/>
      <c r="J5" s="359"/>
      <c r="K5" s="345"/>
      <c r="L5" s="345"/>
      <c r="M5" s="359"/>
      <c r="N5" s="359"/>
      <c r="O5" s="359"/>
      <c r="P5" s="359"/>
      <c r="Q5" s="359"/>
      <c r="R5" s="359"/>
      <c r="S5" s="359"/>
      <c r="T5" s="359"/>
      <c r="U5" s="2375"/>
      <c r="V5" s="359"/>
      <c r="W5" s="2375"/>
      <c r="X5" s="359"/>
      <c r="Y5" s="359"/>
      <c r="Z5" s="359"/>
      <c r="AA5" s="359"/>
    </row>
    <row r="6" spans="1:48" ht="18.95" customHeight="1">
      <c r="A6" s="2894" t="str">
        <f>'Exh D-Governmental  '!A6</f>
        <v>FOR TWO MONTHS ENDED MAY 31, 2015</v>
      </c>
      <c r="B6" s="350"/>
      <c r="C6" s="788"/>
      <c r="D6" s="345"/>
      <c r="E6" s="788"/>
      <c r="F6" s="345"/>
      <c r="G6" s="345"/>
      <c r="H6" s="345"/>
      <c r="I6" s="345"/>
      <c r="J6" s="359"/>
      <c r="K6" s="345"/>
      <c r="L6" s="345"/>
      <c r="M6" s="359"/>
      <c r="N6" s="359"/>
      <c r="O6" s="359"/>
      <c r="P6" s="359"/>
      <c r="Q6" s="359"/>
      <c r="R6" s="359"/>
      <c r="S6" s="359"/>
      <c r="T6" s="359"/>
      <c r="U6" s="2375"/>
      <c r="V6" s="359"/>
      <c r="W6" s="2375"/>
      <c r="X6" s="359"/>
      <c r="Y6" s="359"/>
      <c r="Z6" s="359"/>
      <c r="AA6" s="359"/>
      <c r="AB6" s="345"/>
      <c r="AC6" s="359"/>
      <c r="AD6" s="359"/>
      <c r="AE6" s="359"/>
      <c r="AF6" s="359"/>
      <c r="AG6" s="359"/>
      <c r="AH6" s="359"/>
      <c r="AI6" s="359"/>
      <c r="AJ6" s="359"/>
      <c r="AK6" s="359"/>
      <c r="AL6" s="359"/>
      <c r="AM6" s="359"/>
      <c r="AN6" s="359"/>
      <c r="AO6" s="359"/>
      <c r="AP6" s="359"/>
      <c r="AQ6" s="1155"/>
      <c r="AR6" s="1155"/>
      <c r="AS6" s="1155"/>
      <c r="AT6" s="1155"/>
      <c r="AU6" s="1155"/>
      <c r="AV6" s="1913"/>
    </row>
    <row r="7" spans="1:48" ht="18">
      <c r="A7" s="394" t="s">
        <v>1117</v>
      </c>
      <c r="B7" s="351"/>
      <c r="C7" s="788"/>
      <c r="D7" s="345"/>
      <c r="E7" s="788"/>
      <c r="F7" s="345"/>
      <c r="G7" s="345"/>
      <c r="H7" s="345"/>
      <c r="I7" s="345"/>
      <c r="J7" s="359"/>
      <c r="K7" s="345"/>
      <c r="L7" s="345"/>
      <c r="M7" s="359"/>
      <c r="N7" s="359"/>
      <c r="O7" s="359"/>
      <c r="P7" s="359"/>
      <c r="Q7" s="359"/>
      <c r="R7" s="359"/>
      <c r="S7" s="359"/>
      <c r="T7" s="359"/>
      <c r="U7" s="2375"/>
      <c r="V7" s="359"/>
      <c r="W7" s="2375"/>
      <c r="X7" s="359"/>
      <c r="Y7" s="359"/>
      <c r="Z7" s="359"/>
      <c r="AA7" s="359"/>
    </row>
    <row r="8" spans="1:48" ht="18">
      <c r="A8" s="396"/>
      <c r="B8" s="351"/>
      <c r="C8" s="788"/>
      <c r="D8" s="345"/>
      <c r="E8" s="788"/>
      <c r="F8" s="345"/>
      <c r="G8" s="345"/>
      <c r="H8" s="345"/>
      <c r="I8" s="345"/>
      <c r="J8" s="359"/>
      <c r="K8" s="345"/>
      <c r="L8" s="345"/>
      <c r="M8" s="359"/>
      <c r="N8" s="359"/>
      <c r="O8" s="359"/>
      <c r="P8" s="359"/>
      <c r="Q8" s="359"/>
      <c r="R8" s="359"/>
      <c r="S8" s="359"/>
      <c r="T8" s="359"/>
      <c r="U8" s="2375"/>
      <c r="V8" s="359"/>
      <c r="W8" s="2375"/>
      <c r="X8" s="359"/>
      <c r="Y8" s="359"/>
      <c r="Z8" s="359"/>
      <c r="AA8" s="359"/>
    </row>
    <row r="9" spans="1:48">
      <c r="A9" s="353"/>
      <c r="B9" s="345"/>
      <c r="C9" s="789"/>
      <c r="D9" s="345"/>
      <c r="E9" s="789"/>
      <c r="F9" s="345"/>
      <c r="G9" s="345"/>
      <c r="H9" s="345"/>
      <c r="I9" s="345"/>
      <c r="J9" s="359"/>
      <c r="K9" s="345"/>
      <c r="L9" s="345"/>
      <c r="M9" s="359"/>
      <c r="N9" s="359"/>
      <c r="O9" s="359"/>
      <c r="P9" s="359"/>
      <c r="Q9" s="359"/>
      <c r="R9" s="359"/>
      <c r="S9" s="359"/>
      <c r="T9" s="359"/>
      <c r="U9" s="2375"/>
      <c r="V9" s="359"/>
      <c r="W9" s="2375"/>
      <c r="X9" s="359"/>
      <c r="Y9" s="359"/>
      <c r="Z9" s="359"/>
      <c r="AA9" s="359"/>
    </row>
    <row r="10" spans="1:48">
      <c r="A10" s="353"/>
      <c r="B10" s="345"/>
      <c r="C10" s="788"/>
      <c r="D10" s="351"/>
      <c r="E10" s="788"/>
      <c r="F10" s="351"/>
      <c r="G10" s="351"/>
      <c r="H10" s="351"/>
      <c r="I10" s="351"/>
      <c r="J10" s="350"/>
      <c r="K10" s="351"/>
      <c r="L10" s="351"/>
      <c r="M10" s="788"/>
      <c r="N10" s="351"/>
      <c r="O10" s="788"/>
      <c r="P10" s="351"/>
      <c r="Q10" s="351"/>
      <c r="R10" s="351"/>
      <c r="S10" s="351"/>
      <c r="T10" s="350"/>
      <c r="U10" s="1981"/>
      <c r="V10" s="350"/>
      <c r="W10" s="1981"/>
      <c r="X10" s="350"/>
      <c r="Y10" s="350"/>
      <c r="Z10" s="350"/>
      <c r="AA10" s="350"/>
      <c r="AB10" s="1931"/>
    </row>
    <row r="11" spans="1:48" ht="15.75">
      <c r="A11" s="1365"/>
      <c r="B11" s="354"/>
      <c r="C11" s="3511" t="s">
        <v>1434</v>
      </c>
      <c r="D11" s="3511"/>
      <c r="E11" s="3511"/>
      <c r="F11" s="3511"/>
      <c r="G11" s="3511"/>
      <c r="H11" s="3511"/>
      <c r="I11" s="3511"/>
      <c r="J11" s="2369"/>
      <c r="K11" s="2369"/>
      <c r="L11" s="408"/>
      <c r="M11" s="3511" t="s">
        <v>1435</v>
      </c>
      <c r="N11" s="3511"/>
      <c r="O11" s="3511"/>
      <c r="P11" s="3511"/>
      <c r="Q11" s="3511"/>
      <c r="R11" s="3511"/>
      <c r="S11" s="3511"/>
      <c r="T11" s="2382"/>
      <c r="U11" s="2817"/>
      <c r="V11" s="2817"/>
      <c r="W11" s="399"/>
      <c r="X11" s="399"/>
      <c r="Y11" s="399"/>
      <c r="Z11" s="399"/>
      <c r="AA11" s="399"/>
      <c r="AB11" s="1931"/>
    </row>
    <row r="12" spans="1:48" ht="15.75">
      <c r="A12" s="1365"/>
      <c r="B12" s="354"/>
      <c r="C12" s="794"/>
      <c r="D12" s="355"/>
      <c r="E12" s="794"/>
      <c r="F12" s="355"/>
      <c r="G12" s="355"/>
      <c r="H12" s="355"/>
      <c r="I12" s="409" t="s">
        <v>87</v>
      </c>
      <c r="J12" s="409"/>
      <c r="K12" s="409" t="s">
        <v>87</v>
      </c>
      <c r="L12" s="1916"/>
      <c r="M12" s="794"/>
      <c r="N12" s="355"/>
      <c r="O12" s="794"/>
      <c r="P12" s="355"/>
      <c r="Q12" s="355"/>
      <c r="R12" s="355"/>
      <c r="S12" s="409" t="s">
        <v>87</v>
      </c>
      <c r="T12" s="354"/>
      <c r="U12" s="409" t="s">
        <v>87</v>
      </c>
      <c r="V12" s="354"/>
      <c r="W12" s="1999"/>
      <c r="X12" s="354"/>
      <c r="Y12" s="354"/>
      <c r="Z12" s="354"/>
      <c r="AA12" s="409"/>
    </row>
    <row r="13" spans="1:48" ht="15.75">
      <c r="A13" s="1365"/>
      <c r="B13" s="354"/>
      <c r="C13" s="794"/>
      <c r="D13" s="355"/>
      <c r="E13" s="794"/>
      <c r="F13" s="355"/>
      <c r="G13" s="355"/>
      <c r="H13" s="355"/>
      <c r="I13" s="356" t="s">
        <v>1124</v>
      </c>
      <c r="J13" s="404"/>
      <c r="K13" s="356" t="s">
        <v>1124</v>
      </c>
      <c r="L13" s="1916"/>
      <c r="M13" s="794"/>
      <c r="N13" s="355"/>
      <c r="O13" s="794"/>
      <c r="P13" s="355"/>
      <c r="Q13" s="355"/>
      <c r="R13" s="355"/>
      <c r="S13" s="356" t="s">
        <v>1124</v>
      </c>
      <c r="T13" s="354"/>
      <c r="U13" s="356" t="s">
        <v>1124</v>
      </c>
      <c r="V13" s="354"/>
      <c r="W13" s="1999"/>
      <c r="X13" s="354"/>
      <c r="Y13" s="354"/>
      <c r="Z13" s="354"/>
      <c r="AA13" s="404"/>
    </row>
    <row r="14" spans="1:48" ht="15.75" customHeight="1">
      <c r="A14" s="1365"/>
      <c r="B14" s="354"/>
      <c r="C14" s="357" t="s">
        <v>1370</v>
      </c>
      <c r="D14" s="1909"/>
      <c r="E14" s="357" t="s">
        <v>1371</v>
      </c>
      <c r="F14" s="355"/>
      <c r="G14" s="355"/>
      <c r="H14" s="355"/>
      <c r="I14" s="356" t="s">
        <v>88</v>
      </c>
      <c r="J14" s="404"/>
      <c r="K14" s="356" t="s">
        <v>88</v>
      </c>
      <c r="L14" s="1916"/>
      <c r="M14" s="357" t="s">
        <v>1370</v>
      </c>
      <c r="N14" s="1909"/>
      <c r="O14" s="357" t="s">
        <v>1371</v>
      </c>
      <c r="P14" s="355"/>
      <c r="Q14" s="355"/>
      <c r="R14" s="355"/>
      <c r="S14" s="356" t="s">
        <v>88</v>
      </c>
      <c r="T14" s="405"/>
      <c r="U14" s="356" t="s">
        <v>88</v>
      </c>
      <c r="V14" s="1370"/>
      <c r="W14" s="403"/>
      <c r="X14" s="354"/>
      <c r="Y14" s="354"/>
      <c r="Z14" s="354"/>
      <c r="AA14" s="404"/>
    </row>
    <row r="15" spans="1:48" ht="15.75" customHeight="1">
      <c r="A15" s="1365"/>
      <c r="B15" s="354"/>
      <c r="C15" s="356" t="s">
        <v>1414</v>
      </c>
      <c r="D15" s="355"/>
      <c r="E15" s="356" t="s">
        <v>1414</v>
      </c>
      <c r="F15" s="355"/>
      <c r="G15" s="355"/>
      <c r="H15" s="355"/>
      <c r="I15" s="356" t="s">
        <v>1370</v>
      </c>
      <c r="J15" s="403"/>
      <c r="K15" s="357" t="s">
        <v>1371</v>
      </c>
      <c r="L15" s="2000"/>
      <c r="M15" s="356" t="s">
        <v>1414</v>
      </c>
      <c r="N15" s="355"/>
      <c r="O15" s="356" t="s">
        <v>1414</v>
      </c>
      <c r="P15" s="355"/>
      <c r="Q15" s="355"/>
      <c r="R15" s="355"/>
      <c r="S15" s="356" t="s">
        <v>1370</v>
      </c>
      <c r="T15" s="405"/>
      <c r="U15" s="357" t="s">
        <v>1371</v>
      </c>
      <c r="V15" s="354"/>
      <c r="W15" s="404"/>
      <c r="X15" s="354"/>
      <c r="Y15" s="354"/>
      <c r="Z15" s="354"/>
      <c r="AA15" s="403"/>
    </row>
    <row r="16" spans="1:48" ht="15.75">
      <c r="A16" s="1365"/>
      <c r="B16" s="354"/>
      <c r="C16" s="356" t="s">
        <v>1415</v>
      </c>
      <c r="D16" s="355"/>
      <c r="E16" s="356" t="s">
        <v>1579</v>
      </c>
      <c r="F16" s="355"/>
      <c r="G16" s="357" t="s">
        <v>87</v>
      </c>
      <c r="H16" s="355"/>
      <c r="I16" s="356" t="s">
        <v>89</v>
      </c>
      <c r="J16" s="404"/>
      <c r="K16" s="356" t="s">
        <v>89</v>
      </c>
      <c r="L16" s="1916"/>
      <c r="M16" s="356" t="s">
        <v>1415</v>
      </c>
      <c r="N16" s="355"/>
      <c r="O16" s="356" t="s">
        <v>1579</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17"/>
      <c r="M17" s="360"/>
      <c r="N17" s="345"/>
      <c r="O17" s="360"/>
      <c r="P17" s="345"/>
      <c r="Q17" s="360"/>
      <c r="R17" s="345"/>
      <c r="S17" s="360"/>
      <c r="T17" s="359"/>
      <c r="U17" s="360"/>
      <c r="V17" s="359"/>
      <c r="W17" s="359"/>
      <c r="X17" s="359"/>
      <c r="Y17" s="359"/>
      <c r="Z17" s="359"/>
      <c r="AA17" s="359"/>
    </row>
    <row r="18" spans="1:48" ht="15.75">
      <c r="A18" s="221" t="s">
        <v>15</v>
      </c>
      <c r="B18" s="1901"/>
      <c r="C18" s="1257"/>
      <c r="D18" s="1257"/>
      <c r="E18" s="1257"/>
      <c r="F18" s="1257"/>
      <c r="G18" s="1721" t="s">
        <v>16</v>
      </c>
      <c r="H18" s="1257"/>
      <c r="I18" s="1257"/>
      <c r="J18" s="1901"/>
      <c r="K18" s="1257"/>
      <c r="L18" s="1918"/>
      <c r="M18" s="1257"/>
      <c r="N18" s="1257"/>
      <c r="O18" s="1257"/>
      <c r="P18" s="1257"/>
      <c r="Q18" s="1257" t="s">
        <v>16</v>
      </c>
      <c r="R18" s="1257"/>
      <c r="S18" s="1257"/>
      <c r="T18" s="1901"/>
      <c r="U18" s="1257"/>
      <c r="V18" s="1901"/>
      <c r="W18" s="1901"/>
      <c r="X18" s="1901"/>
      <c r="Y18" s="1901"/>
      <c r="Z18" s="1901"/>
      <c r="AA18" s="1901"/>
    </row>
    <row r="19" spans="1:48">
      <c r="A19" s="1727" t="s">
        <v>90</v>
      </c>
      <c r="B19" s="1902" t="s">
        <v>16</v>
      </c>
      <c r="C19" s="1258"/>
      <c r="D19" s="1260"/>
      <c r="E19" s="1258"/>
      <c r="F19" s="1260"/>
      <c r="G19" s="1258"/>
      <c r="H19" s="1260"/>
      <c r="I19" s="1258"/>
      <c r="J19" s="1988"/>
      <c r="K19" s="1258"/>
      <c r="L19" s="1932"/>
      <c r="M19" s="1258"/>
      <c r="N19" s="1258"/>
      <c r="O19" s="1258"/>
      <c r="P19" s="1258"/>
      <c r="Q19" s="1933"/>
      <c r="R19" s="1260"/>
      <c r="S19" s="1258"/>
      <c r="T19" s="1260"/>
      <c r="U19" s="1258"/>
      <c r="V19" s="1988"/>
      <c r="W19" s="1988"/>
      <c r="X19" s="1988"/>
      <c r="Y19" s="2383"/>
      <c r="Z19" s="1986"/>
      <c r="AA19" s="1988"/>
      <c r="AB19" s="1901"/>
      <c r="AC19" s="1901"/>
      <c r="AD19" s="1901"/>
      <c r="AE19" s="1901"/>
      <c r="AF19" s="1901"/>
      <c r="AG19" s="1901"/>
      <c r="AH19" s="1901"/>
      <c r="AI19" s="1901"/>
      <c r="AJ19" s="1901"/>
      <c r="AK19" s="1901"/>
      <c r="AL19" s="1901"/>
      <c r="AM19" s="1901"/>
      <c r="AN19" s="1901"/>
      <c r="AO19" s="1901"/>
      <c r="AP19" s="1901"/>
      <c r="AQ19" s="1155"/>
      <c r="AR19" s="1155"/>
      <c r="AS19" s="1155"/>
      <c r="AT19" s="1155"/>
      <c r="AU19" s="1155"/>
      <c r="AV19" s="1913"/>
    </row>
    <row r="20" spans="1:48">
      <c r="A20" s="1727" t="s">
        <v>92</v>
      </c>
      <c r="B20" s="1901" t="s">
        <v>16</v>
      </c>
      <c r="C20" s="2045">
        <v>94</v>
      </c>
      <c r="D20" s="1258"/>
      <c r="E20" s="2045">
        <v>0</v>
      </c>
      <c r="F20" s="1258"/>
      <c r="G20" s="1919">
        <f>+' Exhibit I State'!AF22</f>
        <v>92.5</v>
      </c>
      <c r="H20" s="1258"/>
      <c r="I20" s="1258">
        <f t="shared" ref="I20:I26" si="0">ROUND(SUM(G20)-SUM(C20),1)</f>
        <v>-1.5</v>
      </c>
      <c r="J20" s="1988"/>
      <c r="K20" s="1258">
        <v>0</v>
      </c>
      <c r="L20" s="1932"/>
      <c r="M20" s="2045">
        <v>0</v>
      </c>
      <c r="N20" s="1261"/>
      <c r="O20" s="2045">
        <v>0</v>
      </c>
      <c r="P20" s="1261"/>
      <c r="Q20" s="1919">
        <v>0</v>
      </c>
      <c r="R20" s="1261"/>
      <c r="S20" s="1258">
        <f t="shared" ref="S20:S26" si="1">ROUND(SUM(Q20)-SUM(M20),1)</f>
        <v>0</v>
      </c>
      <c r="T20" s="1988"/>
      <c r="U20" s="1258">
        <f t="shared" ref="U20:U26" si="2">ROUND(SUM(Q20)-SUM(O20),1)</f>
        <v>0</v>
      </c>
      <c r="V20" s="2384"/>
      <c r="W20" s="1987"/>
      <c r="X20" s="2384"/>
      <c r="Y20" s="1987"/>
      <c r="Z20" s="2384"/>
      <c r="AA20" s="1988"/>
      <c r="AB20" s="1901"/>
      <c r="AC20" s="1901"/>
      <c r="AD20" s="1901"/>
      <c r="AE20" s="1901"/>
      <c r="AF20" s="1901"/>
      <c r="AG20" s="1901"/>
      <c r="AH20" s="1901"/>
      <c r="AI20" s="1901"/>
      <c r="AJ20" s="1901"/>
      <c r="AK20" s="1901"/>
      <c r="AL20" s="1901"/>
      <c r="AM20" s="1901"/>
      <c r="AN20" s="1901"/>
      <c r="AO20" s="1901"/>
      <c r="AP20" s="1901"/>
      <c r="AQ20" s="1155"/>
      <c r="AR20" s="1155"/>
      <c r="AS20" s="1155"/>
      <c r="AT20" s="1155"/>
      <c r="AU20" s="1155"/>
      <c r="AV20" s="1913"/>
    </row>
    <row r="21" spans="1:48">
      <c r="A21" s="1727" t="s">
        <v>93</v>
      </c>
      <c r="B21" s="1902" t="s">
        <v>16</v>
      </c>
      <c r="C21" s="2261">
        <v>103</v>
      </c>
      <c r="D21" s="1333"/>
      <c r="E21" s="2261">
        <v>0</v>
      </c>
      <c r="F21" s="1333"/>
      <c r="G21" s="1361">
        <f>+' Exhibit I State'!AF27</f>
        <v>100.7</v>
      </c>
      <c r="H21" s="1333"/>
      <c r="I21" s="1177">
        <f t="shared" si="0"/>
        <v>-2.2999999999999998</v>
      </c>
      <c r="J21" s="1921"/>
      <c r="K21" s="1177">
        <v>0</v>
      </c>
      <c r="L21" s="1934"/>
      <c r="M21" s="1359">
        <v>0</v>
      </c>
      <c r="N21" s="1259"/>
      <c r="O21" s="1359">
        <v>0</v>
      </c>
      <c r="P21" s="1259"/>
      <c r="Q21" s="1361">
        <v>0</v>
      </c>
      <c r="R21" s="1259"/>
      <c r="S21" s="1177">
        <f t="shared" si="1"/>
        <v>0</v>
      </c>
      <c r="T21" s="1333"/>
      <c r="U21" s="1177">
        <f t="shared" si="2"/>
        <v>0</v>
      </c>
      <c r="V21" s="1925"/>
      <c r="W21" s="1991"/>
      <c r="X21" s="1925"/>
      <c r="Y21" s="1991"/>
      <c r="Z21" s="1925"/>
      <c r="AA21" s="1921"/>
      <c r="AB21" s="1923"/>
      <c r="AC21" s="1901"/>
      <c r="AD21" s="1901"/>
      <c r="AE21" s="1923"/>
      <c r="AF21" s="1901"/>
      <c r="AG21" s="1923"/>
      <c r="AH21" s="1901"/>
      <c r="AI21" s="1901"/>
      <c r="AJ21" s="1923"/>
      <c r="AK21" s="1901"/>
      <c r="AL21" s="1901"/>
      <c r="AM21" s="1923"/>
      <c r="AN21" s="406"/>
      <c r="AO21" s="1923"/>
      <c r="AP21" s="1901"/>
      <c r="AQ21" s="1155"/>
      <c r="AR21" s="1155"/>
      <c r="AS21" s="1155"/>
      <c r="AT21" s="1155"/>
      <c r="AU21" s="1155"/>
      <c r="AV21" s="1913"/>
    </row>
    <row r="22" spans="1:48">
      <c r="A22" s="1727" t="s">
        <v>94</v>
      </c>
      <c r="B22" s="1901" t="s">
        <v>16</v>
      </c>
      <c r="C22" s="1359">
        <v>0</v>
      </c>
      <c r="D22" s="1177"/>
      <c r="E22" s="1359">
        <v>0</v>
      </c>
      <c r="F22" s="1177"/>
      <c r="G22" s="1361">
        <f>+' Exhibit I State'!AF30</f>
        <v>0</v>
      </c>
      <c r="H22" s="1177"/>
      <c r="I22" s="1177">
        <f t="shared" si="0"/>
        <v>0</v>
      </c>
      <c r="J22" s="1921"/>
      <c r="K22" s="1177">
        <f t="shared" ref="K22:K25" si="3">ROUND(SUM(G22)-SUM(E22),1)</f>
        <v>0</v>
      </c>
      <c r="L22" s="1934"/>
      <c r="M22" s="1359">
        <v>0</v>
      </c>
      <c r="N22" s="1259"/>
      <c r="O22" s="1359">
        <v>0</v>
      </c>
      <c r="P22" s="1259"/>
      <c r="Q22" s="1361">
        <v>0</v>
      </c>
      <c r="R22" s="1259"/>
      <c r="S22" s="1177">
        <f t="shared" si="1"/>
        <v>0</v>
      </c>
      <c r="T22" s="1921"/>
      <c r="U22" s="1177">
        <f t="shared" si="2"/>
        <v>0</v>
      </c>
      <c r="V22" s="1925"/>
      <c r="W22" s="1991"/>
      <c r="X22" s="1925"/>
      <c r="Y22" s="1991"/>
      <c r="Z22" s="1925"/>
      <c r="AA22" s="1921"/>
      <c r="AB22" s="1901"/>
      <c r="AC22" s="1901"/>
      <c r="AD22" s="1901"/>
      <c r="AE22" s="1901"/>
      <c r="AF22" s="1901"/>
      <c r="AG22" s="1901"/>
      <c r="AH22" s="1901"/>
      <c r="AI22" s="1901"/>
      <c r="AJ22" s="1901"/>
      <c r="AK22" s="1901"/>
      <c r="AL22" s="1901"/>
      <c r="AM22" s="1901"/>
      <c r="AN22" s="1901"/>
      <c r="AO22" s="1901"/>
      <c r="AP22" s="1901"/>
      <c r="AQ22" s="1155"/>
      <c r="AR22" s="1155"/>
      <c r="AS22" s="1155"/>
      <c r="AT22" s="1155"/>
      <c r="AU22" s="1155"/>
      <c r="AV22" s="1913"/>
    </row>
    <row r="23" spans="1:48">
      <c r="A23" s="1727" t="s">
        <v>21</v>
      </c>
      <c r="B23" s="1901" t="s">
        <v>16</v>
      </c>
      <c r="C23" s="1840">
        <v>175</v>
      </c>
      <c r="D23" s="1177"/>
      <c r="E23" s="1840">
        <v>0</v>
      </c>
      <c r="F23" s="1177"/>
      <c r="G23" s="1361">
        <f>+' Exhibit I State'!AF58</f>
        <v>216.1</v>
      </c>
      <c r="H23" s="1177"/>
      <c r="I23" s="1177">
        <f t="shared" si="0"/>
        <v>41.1</v>
      </c>
      <c r="J23" s="1921"/>
      <c r="K23" s="1177">
        <v>0</v>
      </c>
      <c r="L23" s="1934"/>
      <c r="M23" s="1840">
        <v>0</v>
      </c>
      <c r="N23" s="1177"/>
      <c r="O23" s="1840">
        <v>0</v>
      </c>
      <c r="P23" s="1177"/>
      <c r="Q23" s="1177">
        <f>+'Exhibit I Federal'!AF40</f>
        <v>0.3</v>
      </c>
      <c r="R23" s="1177"/>
      <c r="S23" s="1177">
        <f t="shared" si="1"/>
        <v>0.3</v>
      </c>
      <c r="T23" s="1921"/>
      <c r="U23" s="1177">
        <v>0</v>
      </c>
      <c r="V23" s="1921"/>
      <c r="W23" s="1991"/>
      <c r="X23" s="1921"/>
      <c r="Y23" s="1991"/>
      <c r="Z23" s="1921"/>
      <c r="AA23" s="1921"/>
    </row>
    <row r="24" spans="1:48">
      <c r="A24" s="1727" t="s">
        <v>22</v>
      </c>
      <c r="B24" s="1901" t="s">
        <v>16</v>
      </c>
      <c r="C24" s="3211">
        <v>0</v>
      </c>
      <c r="D24" s="1177"/>
      <c r="E24" s="3211">
        <v>0</v>
      </c>
      <c r="F24" s="1177"/>
      <c r="G24" s="1361">
        <f>+' Exhibit I State'!AF60</f>
        <v>0</v>
      </c>
      <c r="H24" s="1177"/>
      <c r="I24" s="1177">
        <f t="shared" si="0"/>
        <v>0</v>
      </c>
      <c r="J24" s="1921"/>
      <c r="K24" s="1177">
        <f t="shared" si="3"/>
        <v>0</v>
      </c>
      <c r="L24" s="1934"/>
      <c r="M24" s="1840">
        <v>203</v>
      </c>
      <c r="N24" s="1177"/>
      <c r="O24" s="1840">
        <v>0</v>
      </c>
      <c r="P24" s="1177"/>
      <c r="Q24" s="1177">
        <f>+'Exhibit I Federal'!AF42</f>
        <v>170.7</v>
      </c>
      <c r="R24" s="1177"/>
      <c r="S24" s="1177">
        <f t="shared" si="1"/>
        <v>-32.299999999999997</v>
      </c>
      <c r="T24" s="1921"/>
      <c r="U24" s="1177">
        <v>0</v>
      </c>
      <c r="V24" s="1921"/>
      <c r="W24" s="1991"/>
      <c r="X24" s="1921"/>
      <c r="Y24" s="1991"/>
      <c r="Z24" s="1921"/>
      <c r="AA24" s="1921"/>
    </row>
    <row r="25" spans="1:48">
      <c r="A25" s="1727" t="s">
        <v>100</v>
      </c>
      <c r="B25" s="1901" t="s">
        <v>16</v>
      </c>
      <c r="C25" s="2261">
        <v>0</v>
      </c>
      <c r="D25" s="1177"/>
      <c r="E25" s="2261">
        <v>0</v>
      </c>
      <c r="F25" s="1177"/>
      <c r="G25" s="1259">
        <f>+' Exhibit I State'!AA89</f>
        <v>0</v>
      </c>
      <c r="H25" s="1177"/>
      <c r="I25" s="1177">
        <f t="shared" si="0"/>
        <v>0</v>
      </c>
      <c r="J25" s="1921"/>
      <c r="K25" s="1177">
        <f t="shared" si="3"/>
        <v>0</v>
      </c>
      <c r="L25" s="1935"/>
      <c r="M25" s="1359">
        <v>0</v>
      </c>
      <c r="N25" s="1177"/>
      <c r="O25" s="1359">
        <v>0</v>
      </c>
      <c r="P25" s="1177"/>
      <c r="Q25" s="1259">
        <v>0</v>
      </c>
      <c r="R25" s="1177"/>
      <c r="S25" s="1177">
        <f t="shared" si="1"/>
        <v>0</v>
      </c>
      <c r="T25" s="1922"/>
      <c r="U25" s="1177">
        <f t="shared" si="2"/>
        <v>0</v>
      </c>
      <c r="V25" s="1921"/>
      <c r="W25" s="1991"/>
      <c r="X25" s="1921"/>
      <c r="Y25" s="1991"/>
      <c r="Z25" s="1921"/>
      <c r="AA25" s="1921"/>
    </row>
    <row r="26" spans="1:48">
      <c r="A26" s="1727" t="s">
        <v>1571</v>
      </c>
      <c r="B26" s="1901" t="s">
        <v>16</v>
      </c>
      <c r="C26" s="1358">
        <v>294</v>
      </c>
      <c r="D26" s="1177"/>
      <c r="E26" s="1358">
        <v>0</v>
      </c>
      <c r="F26" s="1177"/>
      <c r="G26" s="1358">
        <f>+' Exhibit I State'!AF90</f>
        <v>225.8</v>
      </c>
      <c r="H26" s="1177"/>
      <c r="I26" s="1177">
        <f t="shared" si="0"/>
        <v>-68.2</v>
      </c>
      <c r="J26" s="1921"/>
      <c r="K26" s="1177">
        <v>0</v>
      </c>
      <c r="L26" s="1934"/>
      <c r="M26" s="1358">
        <v>0</v>
      </c>
      <c r="N26" s="1177"/>
      <c r="O26" s="1358">
        <v>0</v>
      </c>
      <c r="P26" s="1177"/>
      <c r="Q26" s="1333">
        <f>+'Exhibit I Federal'!I71</f>
        <v>0</v>
      </c>
      <c r="R26" s="1177"/>
      <c r="S26" s="1177">
        <f t="shared" si="1"/>
        <v>0</v>
      </c>
      <c r="T26" s="1922"/>
      <c r="U26" s="1177">
        <f t="shared" si="2"/>
        <v>0</v>
      </c>
      <c r="V26" s="1921"/>
      <c r="W26" s="1991"/>
      <c r="X26" s="1921"/>
      <c r="Y26" s="1991"/>
      <c r="Z26" s="1921"/>
      <c r="AA26" s="1921"/>
    </row>
    <row r="27" spans="1:48" ht="18" customHeight="1">
      <c r="A27" s="376" t="s">
        <v>113</v>
      </c>
      <c r="B27" s="354" t="s">
        <v>16</v>
      </c>
      <c r="C27" s="2930">
        <f>ROUND(SUM(C20:C26),1)</f>
        <v>666</v>
      </c>
      <c r="D27" s="1899"/>
      <c r="E27" s="2930">
        <f>ROUND(SUM(E20:E26),1)</f>
        <v>0</v>
      </c>
      <c r="F27" s="1899"/>
      <c r="G27" s="421">
        <f>ROUND(SUM(G20:G26),1)</f>
        <v>635.1</v>
      </c>
      <c r="H27" s="1899"/>
      <c r="I27" s="421">
        <f>ROUND(SUM(I20:I26),1)</f>
        <v>-30.9</v>
      </c>
      <c r="J27" s="273"/>
      <c r="K27" s="421">
        <f>ROUND(SUM(K20:K26),1)</f>
        <v>0</v>
      </c>
      <c r="L27" s="1936"/>
      <c r="M27" s="2930">
        <f>ROUND(SUM(M20:M26),1)</f>
        <v>203</v>
      </c>
      <c r="N27" s="1899"/>
      <c r="O27" s="2930">
        <f>ROUND(SUM(O20:O26),1)</f>
        <v>0</v>
      </c>
      <c r="P27" s="1899"/>
      <c r="Q27" s="421">
        <f>ROUND(SUM(Q20:Q26),1)</f>
        <v>171</v>
      </c>
      <c r="R27" s="1899"/>
      <c r="S27" s="421">
        <f>ROUND(SUM(S20:S26),1)</f>
        <v>-32</v>
      </c>
      <c r="T27" s="273"/>
      <c r="U27" s="421">
        <f>ROUND(SUM(U20:U26),1)</f>
        <v>0</v>
      </c>
      <c r="V27" s="273"/>
      <c r="W27" s="273"/>
      <c r="X27" s="273"/>
      <c r="Y27" s="273"/>
      <c r="Z27" s="273"/>
      <c r="AA27" s="273"/>
    </row>
    <row r="28" spans="1:48">
      <c r="A28" s="1365"/>
      <c r="B28" s="1901" t="s">
        <v>16</v>
      </c>
      <c r="C28" s="2078"/>
      <c r="D28" s="1177"/>
      <c r="E28" s="2078"/>
      <c r="F28" s="1177"/>
      <c r="G28" s="1363"/>
      <c r="H28" s="1177"/>
      <c r="I28" s="1363"/>
      <c r="J28" s="1921"/>
      <c r="K28" s="1363"/>
      <c r="L28" s="1934"/>
      <c r="M28" s="2078"/>
      <c r="N28" s="1177"/>
      <c r="O28" s="2078"/>
      <c r="P28" s="1177"/>
      <c r="Q28" s="1363"/>
      <c r="R28" s="1177"/>
      <c r="S28" s="1363" t="s">
        <v>16</v>
      </c>
      <c r="T28" s="1921"/>
      <c r="U28" s="1363" t="s">
        <v>16</v>
      </c>
      <c r="V28" s="1921"/>
      <c r="W28" s="1921"/>
      <c r="X28" s="1921"/>
      <c r="Y28" s="1921"/>
      <c r="Z28" s="1921"/>
      <c r="AA28" s="1921"/>
    </row>
    <row r="29" spans="1:48" ht="15.75">
      <c r="A29" s="221" t="s">
        <v>24</v>
      </c>
      <c r="B29" s="1901" t="s">
        <v>16</v>
      </c>
      <c r="C29" s="1840"/>
      <c r="D29" s="1177"/>
      <c r="E29" s="1840"/>
      <c r="F29" s="1177"/>
      <c r="G29" s="1177" t="s">
        <v>16</v>
      </c>
      <c r="H29" s="1177"/>
      <c r="I29" s="1177"/>
      <c r="J29" s="1921"/>
      <c r="K29" s="1177"/>
      <c r="L29" s="1934"/>
      <c r="M29" s="1840"/>
      <c r="N29" s="1177"/>
      <c r="O29" s="1840"/>
      <c r="P29" s="1177"/>
      <c r="Q29" s="1177"/>
      <c r="R29" s="1177"/>
      <c r="S29" s="1177"/>
      <c r="T29" s="1921"/>
      <c r="U29" s="1177"/>
      <c r="V29" s="1921"/>
      <c r="W29" s="1921"/>
      <c r="X29" s="1921"/>
      <c r="Y29" s="1921"/>
      <c r="Z29" s="1921"/>
      <c r="AA29" s="1921"/>
    </row>
    <row r="30" spans="1:48">
      <c r="A30" s="1727" t="s">
        <v>96</v>
      </c>
      <c r="B30" s="1901" t="s">
        <v>16</v>
      </c>
      <c r="C30" s="2261">
        <v>98</v>
      </c>
      <c r="D30" s="1177"/>
      <c r="E30" s="2261">
        <v>0</v>
      </c>
      <c r="F30" s="1177"/>
      <c r="G30" s="1259">
        <f>+' Exhibit I State'!AF76</f>
        <v>116.1</v>
      </c>
      <c r="H30" s="1177"/>
      <c r="I30" s="1177">
        <f>ROUND(SUM(G30)-SUM(C30),1)</f>
        <v>18.100000000000001</v>
      </c>
      <c r="J30" s="1921"/>
      <c r="K30" s="1177">
        <v>0</v>
      </c>
      <c r="L30" s="1934"/>
      <c r="M30" s="1840">
        <v>63</v>
      </c>
      <c r="N30" s="1177"/>
      <c r="O30" s="1840">
        <v>0</v>
      </c>
      <c r="P30" s="1177"/>
      <c r="Q30" s="1177">
        <f>+'Exhibit I Federal'!AF58</f>
        <v>54.5</v>
      </c>
      <c r="R30" s="1177"/>
      <c r="S30" s="1177">
        <f>ROUND(SUM(Q30)-SUM(M30),1)</f>
        <v>-8.5</v>
      </c>
      <c r="T30" s="1921"/>
      <c r="U30" s="1177">
        <v>0</v>
      </c>
      <c r="V30" s="1921"/>
      <c r="W30" s="1991"/>
      <c r="X30" s="1921"/>
      <c r="Y30" s="1991"/>
      <c r="Z30" s="1921"/>
      <c r="AA30" s="1921"/>
    </row>
    <row r="31" spans="1:48">
      <c r="A31" s="1727" t="s">
        <v>43</v>
      </c>
      <c r="B31" s="1901" t="s">
        <v>16</v>
      </c>
      <c r="C31" s="2261">
        <v>558</v>
      </c>
      <c r="D31" s="1177"/>
      <c r="E31" s="2261">
        <v>0</v>
      </c>
      <c r="F31" s="1177"/>
      <c r="G31" s="1259">
        <f>+' Exhibit I State'!AF81</f>
        <v>550.79999999999995</v>
      </c>
      <c r="H31" s="1177"/>
      <c r="I31" s="1177">
        <f>ROUND(SUM(G31)-SUM(C31),1)</f>
        <v>-7.2</v>
      </c>
      <c r="J31" s="1921"/>
      <c r="K31" s="1177">
        <v>0</v>
      </c>
      <c r="L31" s="1935"/>
      <c r="M31" s="1840">
        <v>126</v>
      </c>
      <c r="N31" s="1177"/>
      <c r="O31" s="1840">
        <v>0</v>
      </c>
      <c r="P31" s="1177"/>
      <c r="Q31" s="1177">
        <f>+'Exhibit I Federal'!AF63</f>
        <v>164.2</v>
      </c>
      <c r="R31" s="1177"/>
      <c r="S31" s="1177">
        <f>ROUND(SUM(Q31)-SUM(M31),1)</f>
        <v>38.200000000000003</v>
      </c>
      <c r="T31" s="1921"/>
      <c r="U31" s="1177">
        <v>0</v>
      </c>
      <c r="V31" s="1921"/>
      <c r="W31" s="1991"/>
      <c r="X31" s="1921"/>
      <c r="Y31" s="1991"/>
      <c r="Z31" s="1921"/>
      <c r="AA31" s="1921"/>
    </row>
    <row r="32" spans="1:48">
      <c r="A32" s="1727" t="s">
        <v>1572</v>
      </c>
      <c r="B32" s="1901" t="s">
        <v>16</v>
      </c>
      <c r="C32" s="1358">
        <v>149</v>
      </c>
      <c r="D32" s="1177"/>
      <c r="E32" s="1358">
        <v>0</v>
      </c>
      <c r="F32" s="1177"/>
      <c r="G32" s="1333">
        <f>-' Exhibit I State'!AF91</f>
        <v>149.9</v>
      </c>
      <c r="H32" s="1177"/>
      <c r="I32" s="1177">
        <f>ROUND(SUM(G32)-SUM(C32),1)</f>
        <v>0.9</v>
      </c>
      <c r="J32" s="1921"/>
      <c r="K32" s="1177">
        <v>0</v>
      </c>
      <c r="L32" s="1934"/>
      <c r="M32" s="1358">
        <v>2</v>
      </c>
      <c r="N32" s="1177"/>
      <c r="O32" s="1358">
        <v>0</v>
      </c>
      <c r="P32" s="1177"/>
      <c r="Q32" s="1333">
        <f>-'Exhibit I Federal'!AF72</f>
        <v>2</v>
      </c>
      <c r="R32" s="1177"/>
      <c r="S32" s="1177">
        <f>ROUND(SUM(Q32)-SUM(M32),1)</f>
        <v>0</v>
      </c>
      <c r="T32" s="1922"/>
      <c r="U32" s="1177">
        <v>0</v>
      </c>
      <c r="V32" s="1921"/>
      <c r="W32" s="1991"/>
      <c r="X32" s="1921"/>
      <c r="Y32" s="1991"/>
      <c r="Z32" s="1921"/>
      <c r="AA32" s="1921"/>
    </row>
    <row r="33" spans="1:48" ht="18" customHeight="1">
      <c r="A33" s="376" t="s">
        <v>122</v>
      </c>
      <c r="B33" s="354" t="s">
        <v>16</v>
      </c>
      <c r="C33" s="2930">
        <f>ROUND(SUM(C30:C32),1)</f>
        <v>805</v>
      </c>
      <c r="D33" s="1899"/>
      <c r="E33" s="2930">
        <f>ROUND(SUM(E30:E32),1)</f>
        <v>0</v>
      </c>
      <c r="F33" s="1899"/>
      <c r="G33" s="421">
        <f>ROUND(SUM(G30:G32),1)</f>
        <v>816.8</v>
      </c>
      <c r="H33" s="1899"/>
      <c r="I33" s="421">
        <f>ROUND(SUM(I30:I32),1)</f>
        <v>11.8</v>
      </c>
      <c r="J33" s="273"/>
      <c r="K33" s="421">
        <f>ROUND(SUM(K30:K32),1)</f>
        <v>0</v>
      </c>
      <c r="L33" s="1936"/>
      <c r="M33" s="421">
        <f>ROUND(SUM(M30:M32),1)</f>
        <v>191</v>
      </c>
      <c r="N33" s="1899"/>
      <c r="O33" s="2930">
        <f>ROUND(SUM(O30:O32),1)</f>
        <v>0</v>
      </c>
      <c r="P33" s="1899"/>
      <c r="Q33" s="421">
        <f>ROUND(SUM(Q30:Q32),1)</f>
        <v>220.7</v>
      </c>
      <c r="R33" s="1899"/>
      <c r="S33" s="421">
        <f>ROUND(SUM(S30:S32),1)</f>
        <v>29.7</v>
      </c>
      <c r="T33" s="273"/>
      <c r="U33" s="421">
        <f>ROUND(SUM(U30:U32),1)</f>
        <v>0</v>
      </c>
      <c r="V33" s="273"/>
      <c r="W33" s="273"/>
      <c r="X33" s="273"/>
      <c r="Y33" s="273"/>
      <c r="Z33" s="273"/>
      <c r="AA33" s="273"/>
    </row>
    <row r="34" spans="1:48">
      <c r="A34" s="1365"/>
      <c r="B34" s="1901" t="s">
        <v>16</v>
      </c>
      <c r="C34" s="2078"/>
      <c r="D34" s="1177"/>
      <c r="E34" s="2078"/>
      <c r="F34" s="1177"/>
      <c r="G34" s="1363"/>
      <c r="H34" s="1177"/>
      <c r="I34" s="1363"/>
      <c r="J34" s="1921"/>
      <c r="K34" s="1363"/>
      <c r="L34" s="1934"/>
      <c r="M34" s="1363"/>
      <c r="N34" s="1177"/>
      <c r="O34" s="2078"/>
      <c r="P34" s="1177"/>
      <c r="Q34" s="1363"/>
      <c r="R34" s="1177"/>
      <c r="S34" s="1363"/>
      <c r="T34" s="1921"/>
      <c r="U34" s="1363"/>
      <c r="V34" s="1921"/>
      <c r="W34" s="1921"/>
      <c r="X34" s="1921"/>
      <c r="Y34" s="1921"/>
      <c r="Z34" s="1921"/>
      <c r="AA34" s="1921"/>
    </row>
    <row r="35" spans="1:48" ht="15.75">
      <c r="A35" s="221" t="s">
        <v>103</v>
      </c>
      <c r="B35" s="1901"/>
      <c r="C35" s="1840"/>
      <c r="D35" s="1177"/>
      <c r="E35" s="1840"/>
      <c r="F35" s="1177"/>
      <c r="G35" s="1177"/>
      <c r="H35" s="1177"/>
      <c r="I35" s="1177"/>
      <c r="J35" s="1921"/>
      <c r="K35" s="1177"/>
      <c r="L35" s="1934"/>
      <c r="M35" s="1177"/>
      <c r="N35" s="1177"/>
      <c r="O35" s="1840"/>
      <c r="P35" s="1177"/>
      <c r="Q35" s="1177"/>
      <c r="R35" s="1177"/>
      <c r="S35" s="1177"/>
      <c r="T35" s="1921"/>
      <c r="U35" s="1177"/>
      <c r="V35" s="1921"/>
      <c r="W35" s="1921"/>
      <c r="X35" s="1921"/>
      <c r="Y35" s="1921"/>
      <c r="Z35" s="1921"/>
      <c r="AA35" s="1921"/>
    </row>
    <row r="36" spans="1:48" ht="15.75">
      <c r="A36" s="221" t="s">
        <v>104</v>
      </c>
      <c r="B36" s="1901"/>
      <c r="C36" s="1840"/>
      <c r="D36" s="1177"/>
      <c r="E36" s="1840"/>
      <c r="F36" s="1177"/>
      <c r="G36" s="1177"/>
      <c r="H36" s="1177"/>
      <c r="I36" s="1177"/>
      <c r="J36" s="1921"/>
      <c r="K36" s="1177"/>
      <c r="L36" s="1934"/>
      <c r="M36" s="1177"/>
      <c r="N36" s="1177"/>
      <c r="O36" s="1840"/>
      <c r="P36" s="1177"/>
      <c r="Q36" s="1177"/>
      <c r="R36" s="1177"/>
      <c r="S36" s="1177"/>
      <c r="T36" s="1921"/>
      <c r="U36" s="1177"/>
      <c r="V36" s="1921"/>
      <c r="W36" s="1921"/>
      <c r="X36" s="1921"/>
      <c r="Y36" s="1921"/>
      <c r="Z36" s="1921"/>
      <c r="AA36" s="1921"/>
    </row>
    <row r="37" spans="1:48" ht="15.75">
      <c r="A37" s="376" t="s">
        <v>105</v>
      </c>
      <c r="B37" s="377" t="s">
        <v>16</v>
      </c>
      <c r="C37" s="316">
        <f>ROUND(SUM(C27)-SUM(C33),1)</f>
        <v>-139</v>
      </c>
      <c r="D37" s="284"/>
      <c r="E37" s="316">
        <f>ROUND(SUM(E27)-SUM(E33),1)</f>
        <v>0</v>
      </c>
      <c r="F37" s="284"/>
      <c r="G37" s="273">
        <f>ROUND(SUM(G27)-SUM(G33),1)</f>
        <v>-181.7</v>
      </c>
      <c r="H37" s="284"/>
      <c r="I37" s="273">
        <f>ROUND(SUM(I27)-SUM(I33),1)</f>
        <v>-42.7</v>
      </c>
      <c r="J37" s="273"/>
      <c r="K37" s="273">
        <f>ROUND(SUM(K27)-SUM(K33),1)</f>
        <v>0</v>
      </c>
      <c r="L37" s="1936"/>
      <c r="M37" s="273">
        <f>ROUND(SUM(M27)-SUM(M33),1)</f>
        <v>12</v>
      </c>
      <c r="N37" s="284"/>
      <c r="O37" s="316">
        <f>ROUND(SUM(O27)-SUM(O33),1)</f>
        <v>0</v>
      </c>
      <c r="P37" s="284"/>
      <c r="Q37" s="273">
        <f>ROUND(SUM(Q27)-SUM(Q33),1)</f>
        <v>-49.7</v>
      </c>
      <c r="R37" s="284"/>
      <c r="S37" s="273">
        <f>ROUND(SUM(S27)-SUM(S33),1)</f>
        <v>-61.7</v>
      </c>
      <c r="T37" s="284"/>
      <c r="U37" s="273">
        <f>ROUND(SUM(U27)-SUM(U33),1)</f>
        <v>0</v>
      </c>
      <c r="V37" s="744"/>
      <c r="W37" s="273"/>
      <c r="X37" s="744"/>
      <c r="Y37" s="273"/>
      <c r="Z37" s="744"/>
      <c r="AA37" s="273"/>
      <c r="AB37" s="1155"/>
    </row>
    <row r="38" spans="1:48" ht="15.75">
      <c r="B38" s="1155"/>
      <c r="C38" s="2931"/>
      <c r="D38" s="1910"/>
      <c r="E38" s="2931"/>
      <c r="F38" s="1910"/>
      <c r="G38" s="1275"/>
      <c r="H38" s="1910"/>
      <c r="I38" s="1275"/>
      <c r="J38" s="1275"/>
      <c r="K38" s="1275"/>
      <c r="L38" s="1936"/>
      <c r="M38" s="1275"/>
      <c r="N38" s="1910"/>
      <c r="O38" s="2931"/>
      <c r="P38" s="1910"/>
      <c r="Q38" s="1275"/>
      <c r="R38" s="1910"/>
      <c r="S38" s="1275"/>
      <c r="T38" s="1275"/>
      <c r="U38" s="1275"/>
      <c r="V38" s="1275"/>
      <c r="W38" s="1275"/>
      <c r="X38" s="1275"/>
      <c r="Y38" s="1275"/>
      <c r="Z38" s="1275"/>
      <c r="AA38" s="1275"/>
    </row>
    <row r="39" spans="1:48" ht="15.75">
      <c r="A39" s="376" t="str">
        <f>'Exh D-Governmental  '!A49</f>
        <v>Fund Balances (Deficits) at April 1</v>
      </c>
      <c r="B39" s="1912" t="s">
        <v>16</v>
      </c>
      <c r="C39" s="316">
        <v>-725</v>
      </c>
      <c r="D39" s="1910"/>
      <c r="E39" s="316">
        <v>0</v>
      </c>
      <c r="F39" s="1910"/>
      <c r="G39" s="273">
        <v>-724.5</v>
      </c>
      <c r="H39" s="1910"/>
      <c r="I39" s="281">
        <f>ROUND(SUM(G39-C39),1)</f>
        <v>0.5</v>
      </c>
      <c r="J39" s="281"/>
      <c r="K39" s="281">
        <v>0</v>
      </c>
      <c r="L39" s="1936"/>
      <c r="M39" s="316">
        <v>1</v>
      </c>
      <c r="N39" s="1910"/>
      <c r="O39" s="316">
        <v>0</v>
      </c>
      <c r="P39" s="1910"/>
      <c r="Q39" s="273">
        <v>0.1</v>
      </c>
      <c r="R39" s="1910"/>
      <c r="S39" s="281">
        <f>ROUND(SUM(Q39-M39),1)</f>
        <v>-0.9</v>
      </c>
      <c r="T39" s="1275"/>
      <c r="U39" s="281">
        <v>0</v>
      </c>
      <c r="V39" s="1275"/>
      <c r="W39" s="273"/>
      <c r="X39" s="1275"/>
      <c r="Y39" s="273"/>
      <c r="Z39" s="1275"/>
      <c r="AA39" s="281"/>
      <c r="AB39" s="1155"/>
      <c r="AC39" s="1155"/>
      <c r="AD39" s="1155"/>
      <c r="AE39" s="1155"/>
      <c r="AF39" s="1155"/>
      <c r="AG39" s="1155"/>
      <c r="AH39" s="1155"/>
      <c r="AI39" s="1155"/>
      <c r="AJ39" s="1155"/>
      <c r="AK39" s="1155"/>
      <c r="AL39" s="1155"/>
      <c r="AM39" s="1155"/>
      <c r="AN39" s="1155"/>
      <c r="AO39" s="1155"/>
      <c r="AP39" s="1155"/>
      <c r="AQ39" s="1155"/>
      <c r="AR39" s="1155"/>
      <c r="AS39" s="1155"/>
      <c r="AT39" s="1155"/>
      <c r="AU39" s="1155"/>
      <c r="AV39" s="1913"/>
    </row>
    <row r="40" spans="1:48" ht="16.5" thickBot="1">
      <c r="A40" s="2728" t="str">
        <f>+'Exh D-Governmental  '!A50</f>
        <v>Fund Balances (Deficits) at May 31, 2015</v>
      </c>
      <c r="B40" s="383" t="s">
        <v>16</v>
      </c>
      <c r="C40" s="299">
        <f>ROUND(SUM(C37:C39),1)</f>
        <v>-864</v>
      </c>
      <c r="D40" s="384"/>
      <c r="E40" s="299">
        <f>ROUND(SUM(E37:E39),1)</f>
        <v>0</v>
      </c>
      <c r="F40" s="384"/>
      <c r="G40" s="299">
        <f>ROUND(SUM(G37:G39),1)</f>
        <v>-906.2</v>
      </c>
      <c r="H40" s="384"/>
      <c r="I40" s="299">
        <f>ROUND(SUM(I37:I39),1)</f>
        <v>-42.2</v>
      </c>
      <c r="J40" s="425"/>
      <c r="K40" s="299">
        <f>ROUND(SUM(K37:K39),1)</f>
        <v>0</v>
      </c>
      <c r="L40" s="1938"/>
      <c r="M40" s="299">
        <f>ROUND(SUM(M37:M39),1)</f>
        <v>13</v>
      </c>
      <c r="N40" s="384"/>
      <c r="O40" s="299">
        <f>ROUND(SUM(O37:O39),1)</f>
        <v>0</v>
      </c>
      <c r="P40" s="384"/>
      <c r="Q40" s="299">
        <f>ROUND(SUM(Q37:Q39),1)</f>
        <v>-49.6</v>
      </c>
      <c r="R40" s="384"/>
      <c r="S40" s="299">
        <f>ROUND(SUM(S37:S39),1)</f>
        <v>-62.6</v>
      </c>
      <c r="T40" s="384"/>
      <c r="U40" s="299">
        <f>ROUND(SUM(U37:U39),1)</f>
        <v>0</v>
      </c>
      <c r="V40" s="1992"/>
      <c r="W40" s="425"/>
      <c r="X40" s="1992"/>
      <c r="Y40" s="425"/>
      <c r="Z40" s="1992"/>
      <c r="AA40" s="425"/>
      <c r="AB40" s="1155"/>
      <c r="AC40" s="1155"/>
      <c r="AD40" s="1155"/>
      <c r="AE40" s="1155"/>
      <c r="AF40" s="1155"/>
      <c r="AG40" s="1155"/>
      <c r="AH40" s="1155"/>
      <c r="AI40" s="1155"/>
      <c r="AJ40" s="1155"/>
      <c r="AK40" s="1155"/>
      <c r="AL40" s="1155"/>
      <c r="AM40" s="1155"/>
      <c r="AN40" s="1155"/>
      <c r="AO40" s="1155"/>
      <c r="AP40" s="1155"/>
      <c r="AQ40" s="1155"/>
      <c r="AR40" s="1155"/>
      <c r="AS40" s="1155"/>
      <c r="AT40" s="1155"/>
      <c r="AU40" s="1155"/>
      <c r="AV40" s="1913"/>
    </row>
    <row r="41" spans="1:48" ht="15.75" thickTop="1">
      <c r="B41" s="1155"/>
      <c r="L41" s="1155"/>
      <c r="N41" s="1913"/>
      <c r="P41" s="1913"/>
      <c r="Q41" s="1939"/>
      <c r="R41" s="1913"/>
      <c r="S41" s="1913"/>
      <c r="U41" s="1913"/>
      <c r="W41" s="1155"/>
      <c r="Y41" s="1911"/>
    </row>
    <row r="42" spans="1:48">
      <c r="A42" s="1914" t="s">
        <v>1569</v>
      </c>
      <c r="B42" s="1155"/>
      <c r="S42" s="2791"/>
    </row>
    <row r="43" spans="1:48">
      <c r="A43" s="3038" t="s">
        <v>1588</v>
      </c>
      <c r="B43" s="1155"/>
      <c r="Y43" s="1926"/>
      <c r="Z43" s="1901"/>
      <c r="AA43" s="1926"/>
      <c r="AB43" s="1257"/>
      <c r="AC43" s="1940"/>
    </row>
    <row r="44" spans="1:48">
      <c r="A44" s="3038" t="s">
        <v>1589</v>
      </c>
      <c r="B44" s="1155"/>
    </row>
    <row r="45" spans="1:48">
      <c r="A45" s="2089"/>
      <c r="B45" s="1155"/>
    </row>
    <row r="46" spans="1:48">
      <c r="A46" s="386"/>
      <c r="B46" s="1155"/>
    </row>
    <row r="47" spans="1:48">
      <c r="B47" s="1155"/>
    </row>
    <row r="48" spans="1:48">
      <c r="B48" s="1155"/>
    </row>
    <row r="51" spans="7:7">
      <c r="G51" s="1939"/>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9.6640625" defaultRowHeight="12.75"/>
  <cols>
    <col min="1" max="1" width="28.44140625" style="2683" customWidth="1"/>
    <col min="2" max="2" width="10.77734375" style="2683" customWidth="1"/>
    <col min="3" max="3" width="3.44140625" style="2683" customWidth="1"/>
    <col min="4" max="4" width="12.109375" style="2683" customWidth="1"/>
    <col min="5" max="5" width="1.6640625" style="2683" customWidth="1"/>
    <col min="6" max="6" width="17" style="2683" bestFit="1" customWidth="1"/>
    <col min="7" max="7" width="1.6640625" style="2683" customWidth="1"/>
    <col min="8" max="8" width="12.109375" style="2683" customWidth="1"/>
    <col min="9" max="9" width="1.6640625" style="2683" customWidth="1"/>
    <col min="10" max="10" width="12.109375" style="2683" customWidth="1"/>
    <col min="11" max="11" width="1.6640625" style="2683" customWidth="1"/>
    <col min="12" max="12" width="12.109375" style="2683" customWidth="1"/>
    <col min="13" max="13" width="1.6640625" style="2683" customWidth="1"/>
    <col min="14" max="14" width="13" style="2683" customWidth="1"/>
    <col min="15" max="15" width="1.6640625" style="2683" customWidth="1"/>
    <col min="16" max="16" width="12.109375" style="2683" customWidth="1"/>
    <col min="17" max="17" width="1.6640625" style="2683" customWidth="1"/>
    <col min="18" max="18" width="12.109375" style="2683" customWidth="1"/>
    <col min="19" max="19" width="1.6640625" style="2683" customWidth="1"/>
    <col min="20" max="20" width="1" style="2683" customWidth="1"/>
    <col min="21" max="21" width="1.6640625" style="2683" customWidth="1"/>
    <col min="22" max="22" width="12.109375" style="2683" customWidth="1"/>
    <col min="23" max="23" width="1.6640625" style="2683" customWidth="1"/>
    <col min="24" max="24" width="17" style="2683" bestFit="1" customWidth="1"/>
    <col min="25" max="25" width="1.6640625" style="2683" customWidth="1"/>
    <col min="26" max="26" width="1" style="2683" customWidth="1"/>
    <col min="27" max="27" width="1.6640625" style="2683" customWidth="1"/>
    <col min="28" max="28" width="12.109375" style="2683" customWidth="1"/>
    <col min="29" max="29" width="1.6640625" style="2683" customWidth="1"/>
    <col min="30" max="30" width="16.21875" style="2683" bestFit="1" customWidth="1"/>
    <col min="31" max="31" width="1.5546875" style="2683" customWidth="1"/>
    <col min="32" max="32" width="0.44140625" style="2683" customWidth="1"/>
    <col min="33" max="33" width="1.5546875" style="2683" customWidth="1"/>
    <col min="34" max="34" width="14.5546875" style="2683" bestFit="1" customWidth="1"/>
    <col min="35" max="35" width="1.6640625" style="2683" customWidth="1"/>
    <col min="36" max="36" width="13.33203125" style="2683" customWidth="1"/>
    <col min="37" max="37" width="2.21875" style="2683" customWidth="1"/>
    <col min="38" max="38" width="1.6640625" style="2683" customWidth="1"/>
    <col min="39" max="16384" width="9.6640625" style="2683"/>
  </cols>
  <sheetData>
    <row r="1" spans="1:38" s="3041" customFormat="1" ht="15">
      <c r="A1" s="1190" t="s">
        <v>1231</v>
      </c>
    </row>
    <row r="2" spans="1:38" s="2681" customFormat="1">
      <c r="A2" s="3045"/>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row>
    <row r="3" spans="1:38" ht="18">
      <c r="A3" s="3047" t="s">
        <v>0</v>
      </c>
      <c r="B3" s="3048"/>
      <c r="C3" s="3048"/>
      <c r="D3" s="3048"/>
      <c r="E3" s="3048"/>
      <c r="F3" s="3048"/>
      <c r="G3" s="3048"/>
      <c r="H3" s="3048"/>
      <c r="I3" s="3048"/>
      <c r="J3" s="3048"/>
      <c r="K3" s="3048"/>
      <c r="L3" s="3049"/>
      <c r="M3" s="3049"/>
      <c r="N3" s="3049"/>
      <c r="O3" s="3049"/>
      <c r="P3" s="3048"/>
      <c r="Q3" s="3048"/>
      <c r="R3" s="3048"/>
      <c r="S3" s="3049"/>
      <c r="T3" s="3048"/>
      <c r="U3" s="3049"/>
      <c r="V3" s="3049"/>
      <c r="W3" s="3049"/>
      <c r="X3" s="3049"/>
      <c r="Y3" s="3049"/>
      <c r="Z3" s="3049"/>
      <c r="AA3" s="3049"/>
      <c r="AB3" s="3049"/>
      <c r="AC3" s="3049"/>
      <c r="AD3" s="3049"/>
      <c r="AE3" s="3049"/>
      <c r="AF3" s="3048"/>
      <c r="AG3" s="3048"/>
      <c r="AH3" s="2682"/>
      <c r="AI3" s="2682"/>
    </row>
    <row r="4" spans="1:38" ht="18">
      <c r="A4" s="3050" t="s">
        <v>1</v>
      </c>
      <c r="B4" s="3048"/>
      <c r="C4" s="3048"/>
      <c r="D4" s="3048"/>
      <c r="E4" s="3048"/>
      <c r="F4" s="3048"/>
      <c r="G4" s="3048"/>
      <c r="H4" s="3048"/>
      <c r="I4" s="3048"/>
      <c r="J4" s="3048"/>
      <c r="K4" s="3048"/>
      <c r="L4" s="3049"/>
      <c r="M4" s="3049"/>
      <c r="N4" s="3049"/>
      <c r="O4" s="3049"/>
      <c r="P4" s="3048"/>
      <c r="Q4" s="3048"/>
      <c r="R4" s="3048"/>
      <c r="S4" s="3049"/>
      <c r="T4" s="3048"/>
      <c r="U4" s="3049"/>
      <c r="V4" s="3049"/>
      <c r="W4" s="3049"/>
      <c r="X4" s="3049"/>
      <c r="Y4" s="3049"/>
      <c r="Z4" s="3049"/>
      <c r="AA4" s="3049"/>
      <c r="AB4" s="3049"/>
      <c r="AC4" s="3049"/>
      <c r="AD4" s="3049"/>
      <c r="AE4" s="3049"/>
      <c r="AF4" s="3048"/>
      <c r="AG4" s="3048"/>
      <c r="AH4" s="2682"/>
      <c r="AI4" s="2682"/>
    </row>
    <row r="5" spans="1:38" ht="18">
      <c r="A5" s="3047" t="s">
        <v>1629</v>
      </c>
      <c r="B5" s="3048"/>
      <c r="C5" s="3048"/>
      <c r="D5" s="3048"/>
      <c r="E5" s="3048"/>
      <c r="F5" s="3048"/>
      <c r="G5" s="3048"/>
      <c r="H5" s="3049"/>
      <c r="I5" s="3049"/>
      <c r="J5" s="3049"/>
      <c r="K5" s="3048"/>
      <c r="L5" s="3049"/>
      <c r="M5" s="3049"/>
      <c r="N5" s="3049"/>
      <c r="O5" s="3049"/>
      <c r="P5" s="3048"/>
      <c r="Q5" s="3048"/>
      <c r="R5" s="3048"/>
      <c r="S5" s="3049"/>
      <c r="T5" s="3048"/>
      <c r="U5" s="3049"/>
      <c r="V5" s="3049"/>
      <c r="W5" s="3049"/>
      <c r="X5" s="3049"/>
      <c r="Y5" s="3049"/>
      <c r="Z5" s="3049"/>
      <c r="AA5" s="3049"/>
      <c r="AB5" s="3049"/>
      <c r="AC5" s="3049"/>
      <c r="AD5" s="3049"/>
      <c r="AE5" s="3049"/>
      <c r="AF5" s="3048"/>
      <c r="AG5" s="3048"/>
      <c r="AH5" s="2682"/>
      <c r="AI5" s="2682"/>
    </row>
    <row r="6" spans="1:38" ht="14.1" customHeight="1">
      <c r="A6" s="3047" t="s">
        <v>1116</v>
      </c>
      <c r="B6" s="3048"/>
      <c r="C6" s="3048"/>
      <c r="D6" s="3048"/>
      <c r="E6" s="3048"/>
      <c r="F6" s="3048"/>
      <c r="G6" s="3048"/>
      <c r="H6" s="3048"/>
      <c r="I6" s="3048"/>
      <c r="J6" s="3048"/>
      <c r="K6" s="3048"/>
      <c r="L6" s="3049"/>
      <c r="M6" s="3049"/>
      <c r="N6" s="3049"/>
      <c r="O6" s="3049"/>
      <c r="P6" s="3048"/>
      <c r="Q6" s="3048"/>
      <c r="R6" s="3048"/>
      <c r="S6" s="3049"/>
      <c r="T6" s="3048"/>
      <c r="U6" s="3049"/>
      <c r="V6" s="3049"/>
      <c r="W6" s="3049"/>
      <c r="X6" s="3049"/>
      <c r="Y6" s="3049"/>
      <c r="Z6" s="3049"/>
      <c r="AA6" s="3049"/>
      <c r="AB6" s="3049"/>
      <c r="AC6" s="3049"/>
      <c r="AD6" s="3049"/>
      <c r="AE6" s="3049"/>
      <c r="AF6" s="3048"/>
      <c r="AG6" s="3048"/>
      <c r="AH6" s="2682"/>
      <c r="AI6" s="2682"/>
    </row>
    <row r="7" spans="1:38" ht="18">
      <c r="A7" s="3048"/>
      <c r="B7" s="3048"/>
      <c r="C7" s="3048"/>
      <c r="D7" s="3048"/>
      <c r="E7" s="3048"/>
      <c r="F7" s="3048"/>
      <c r="G7" s="3048"/>
      <c r="H7" s="3048"/>
      <c r="I7" s="3048"/>
      <c r="J7" s="3048"/>
      <c r="K7" s="3048"/>
      <c r="L7" s="3049"/>
      <c r="M7" s="3049"/>
      <c r="N7" s="3049"/>
      <c r="O7" s="3049"/>
      <c r="P7" s="3049"/>
      <c r="Q7" s="3049"/>
      <c r="R7" s="3049"/>
      <c r="S7" s="3049"/>
      <c r="T7" s="3049"/>
      <c r="U7" s="3049"/>
      <c r="V7" s="3049"/>
      <c r="W7" s="3049"/>
      <c r="X7" s="3049"/>
      <c r="Y7" s="3049"/>
      <c r="Z7" s="3049"/>
      <c r="AA7" s="3049"/>
      <c r="AB7" s="3051"/>
      <c r="AC7" s="3051"/>
      <c r="AD7" s="3051"/>
      <c r="AE7" s="3051"/>
      <c r="AF7" s="3048"/>
      <c r="AG7" s="3048"/>
      <c r="AH7" s="2682"/>
      <c r="AI7" s="2682"/>
      <c r="AJ7" s="3052" t="s">
        <v>1147</v>
      </c>
    </row>
    <row r="8" spans="1:38" ht="15.75">
      <c r="A8" s="1276"/>
      <c r="B8" s="1276"/>
      <c r="C8" s="1276"/>
      <c r="D8" s="1276"/>
      <c r="E8" s="1276"/>
      <c r="F8" s="1276"/>
      <c r="G8" s="1276"/>
      <c r="H8" s="1276"/>
      <c r="I8" s="1276"/>
      <c r="J8" s="1276"/>
      <c r="K8" s="1276"/>
      <c r="L8" s="1277"/>
      <c r="M8" s="1277"/>
      <c r="N8" s="1277"/>
      <c r="O8" s="1277"/>
      <c r="P8" s="1277"/>
      <c r="Q8" s="1277"/>
      <c r="R8" s="1277"/>
      <c r="S8" s="1277"/>
      <c r="T8" s="1277"/>
      <c r="U8" s="1277"/>
      <c r="V8" s="1277"/>
      <c r="W8" s="1277"/>
      <c r="X8" s="1277"/>
      <c r="Y8" s="1277"/>
      <c r="Z8" s="1277"/>
      <c r="AA8" s="1277"/>
      <c r="AB8" s="1277"/>
      <c r="AC8" s="1277"/>
      <c r="AD8" s="1277"/>
      <c r="AE8" s="1277"/>
      <c r="AF8" s="1276"/>
      <c r="AG8" s="1276"/>
      <c r="AH8" s="2682"/>
      <c r="AI8" s="2682"/>
    </row>
    <row r="9" spans="1:38" ht="15.75">
      <c r="A9" s="1276"/>
      <c r="B9" s="1276"/>
      <c r="C9" s="1276"/>
      <c r="D9" s="1277"/>
      <c r="E9" s="1277"/>
      <c r="F9" s="1277"/>
      <c r="G9" s="1277"/>
      <c r="H9" s="1277"/>
      <c r="I9" s="1277"/>
      <c r="J9" s="1277"/>
      <c r="K9" s="1277"/>
      <c r="L9" s="1277"/>
      <c r="M9" s="1277"/>
      <c r="N9" s="1277"/>
      <c r="O9" s="1277"/>
      <c r="P9" s="1277"/>
      <c r="Q9" s="1277"/>
      <c r="R9" s="1277"/>
      <c r="S9" s="1277"/>
      <c r="T9" s="1277"/>
      <c r="U9" s="1277"/>
      <c r="V9" s="3053"/>
      <c r="W9" s="3053"/>
      <c r="X9" s="3053"/>
      <c r="Y9" s="3053"/>
      <c r="Z9" s="3053"/>
      <c r="AA9" s="3053"/>
      <c r="AB9" s="3053"/>
      <c r="AC9" s="3053"/>
      <c r="AD9" s="3053"/>
      <c r="AE9" s="3053"/>
      <c r="AF9" s="1277"/>
      <c r="AG9" s="1277"/>
      <c r="AH9" s="3054"/>
      <c r="AI9" s="3054"/>
    </row>
    <row r="10" spans="1:38" ht="3.95" customHeight="1">
      <c r="A10" s="1276"/>
      <c r="B10" s="1276"/>
      <c r="C10" s="1276"/>
      <c r="D10" s="1276"/>
      <c r="E10" s="1276"/>
      <c r="F10" s="1276"/>
      <c r="G10" s="1276"/>
      <c r="H10" s="1276"/>
      <c r="I10" s="1276"/>
      <c r="J10" s="1276"/>
      <c r="K10" s="1276"/>
      <c r="L10" s="1276"/>
      <c r="M10" s="1276"/>
      <c r="N10" s="1276"/>
      <c r="O10" s="1276"/>
      <c r="P10" s="1276"/>
      <c r="Q10" s="1276"/>
      <c r="R10" s="1276"/>
      <c r="S10" s="1276"/>
      <c r="T10" s="1131"/>
      <c r="U10" s="1131"/>
      <c r="V10" s="1276"/>
      <c r="W10" s="1276"/>
      <c r="X10" s="1276"/>
      <c r="Y10" s="1276"/>
      <c r="Z10" s="1276"/>
      <c r="AA10" s="1276"/>
      <c r="AB10" s="1276"/>
      <c r="AC10" s="1276"/>
      <c r="AD10" s="1276"/>
      <c r="AE10" s="1276"/>
      <c r="AF10" s="1276"/>
      <c r="AG10" s="1276"/>
      <c r="AH10" s="2682"/>
      <c r="AI10" s="2682"/>
    </row>
    <row r="11" spans="1:38" ht="15" customHeight="1">
      <c r="A11" s="1276"/>
      <c r="B11" s="1276"/>
      <c r="C11" s="1276"/>
      <c r="D11" s="3055" t="s">
        <v>3</v>
      </c>
      <c r="E11" s="3055"/>
      <c r="F11" s="3055"/>
      <c r="G11" s="1131"/>
      <c r="H11" s="3055" t="s">
        <v>59</v>
      </c>
      <c r="I11" s="3055"/>
      <c r="J11" s="3055"/>
      <c r="K11" s="1131"/>
      <c r="L11" s="3055" t="s">
        <v>5</v>
      </c>
      <c r="M11" s="3055"/>
      <c r="N11" s="3055"/>
      <c r="O11" s="1131"/>
      <c r="P11" s="3055" t="s">
        <v>125</v>
      </c>
      <c r="Q11" s="3055"/>
      <c r="R11" s="3055"/>
      <c r="S11" s="1276"/>
      <c r="T11" s="1131"/>
      <c r="U11" s="1131"/>
      <c r="V11" s="3056" t="s">
        <v>1148</v>
      </c>
      <c r="W11" s="3055"/>
      <c r="X11" s="3055"/>
      <c r="Y11" s="3055"/>
      <c r="Z11" s="3057"/>
      <c r="AA11" s="3057"/>
      <c r="AB11" s="3055"/>
      <c r="AC11" s="3055"/>
      <c r="AD11" s="3055"/>
      <c r="AE11" s="3058"/>
      <c r="AF11" s="3059"/>
      <c r="AG11" s="199"/>
      <c r="AH11" s="3056" t="s">
        <v>1149</v>
      </c>
      <c r="AI11" s="3055"/>
      <c r="AJ11" s="3055"/>
    </row>
    <row r="12" spans="1:38" ht="15.75">
      <c r="A12" s="1276"/>
      <c r="B12" s="1276"/>
      <c r="C12" s="1276"/>
      <c r="D12" s="3060" t="s">
        <v>7</v>
      </c>
      <c r="E12" s="3060"/>
      <c r="F12" s="3061" t="s">
        <v>1595</v>
      </c>
      <c r="G12" s="199"/>
      <c r="H12" s="3060" t="s">
        <v>7</v>
      </c>
      <c r="I12" s="3062"/>
      <c r="J12" s="3063" t="str">
        <f>F12</f>
        <v>2 MOS. ENDED</v>
      </c>
      <c r="K12" s="199"/>
      <c r="L12" s="3060" t="s">
        <v>7</v>
      </c>
      <c r="M12" s="3064"/>
      <c r="N12" s="3063" t="str">
        <f>F12</f>
        <v>2 MOS. ENDED</v>
      </c>
      <c r="O12" s="199"/>
      <c r="P12" s="3060" t="s">
        <v>7</v>
      </c>
      <c r="Q12" s="3062"/>
      <c r="R12" s="3063" t="str">
        <f>F12</f>
        <v>2 MOS. ENDED</v>
      </c>
      <c r="S12" s="1277"/>
      <c r="T12" s="199"/>
      <c r="U12" s="199"/>
      <c r="V12" s="3060" t="s">
        <v>7</v>
      </c>
      <c r="W12" s="3060"/>
      <c r="X12" s="3060" t="str">
        <f>F12</f>
        <v>2 MOS. ENDED</v>
      </c>
      <c r="Y12" s="3060"/>
      <c r="Z12" s="3065"/>
      <c r="AA12" s="3065"/>
      <c r="AB12" s="3060" t="s">
        <v>7</v>
      </c>
      <c r="AC12" s="3060"/>
      <c r="AD12" s="3063" t="str">
        <f>F12</f>
        <v>2 MOS. ENDED</v>
      </c>
      <c r="AE12" s="3066"/>
      <c r="AF12" s="3065"/>
      <c r="AG12" s="3067"/>
      <c r="AH12" s="3068" t="s">
        <v>8</v>
      </c>
      <c r="AI12" s="3069"/>
      <c r="AJ12" s="3068" t="s">
        <v>9</v>
      </c>
      <c r="AK12" s="2684"/>
      <c r="AL12" s="2682"/>
    </row>
    <row r="13" spans="1:38" ht="15.75">
      <c r="A13" s="1276"/>
      <c r="B13" s="1276"/>
      <c r="C13" s="1276"/>
      <c r="D13" s="3070" t="s">
        <v>1594</v>
      </c>
      <c r="E13" s="3071"/>
      <c r="F13" s="3070" t="s">
        <v>1596</v>
      </c>
      <c r="G13" s="1277"/>
      <c r="H13" s="3072" t="str">
        <f>D13</f>
        <v>MAY 2015</v>
      </c>
      <c r="I13" s="3071"/>
      <c r="J13" s="3072" t="str">
        <f>F13</f>
        <v>MAY 31, 2015</v>
      </c>
      <c r="K13" s="1277"/>
      <c r="L13" s="3072" t="str">
        <f>D13</f>
        <v>MAY 2015</v>
      </c>
      <c r="M13" s="3071"/>
      <c r="N13" s="3072" t="str">
        <f>F13</f>
        <v>MAY 31, 2015</v>
      </c>
      <c r="O13" s="1277"/>
      <c r="P13" s="3072" t="str">
        <f>D13</f>
        <v>MAY 2015</v>
      </c>
      <c r="Q13" s="3071"/>
      <c r="R13" s="3072" t="str">
        <f>F13</f>
        <v>MAY 31, 2015</v>
      </c>
      <c r="S13" s="1277"/>
      <c r="T13" s="199"/>
      <c r="U13" s="199"/>
      <c r="V13" s="3073" t="str">
        <f>D13</f>
        <v>MAY 2015</v>
      </c>
      <c r="W13" s="3074"/>
      <c r="X13" s="3073" t="str">
        <f>F13</f>
        <v>MAY 31, 2015</v>
      </c>
      <c r="Y13" s="3074"/>
      <c r="Z13" s="3075"/>
      <c r="AA13" s="3075"/>
      <c r="AB13" s="3076" t="s">
        <v>1598</v>
      </c>
      <c r="AC13" s="3077"/>
      <c r="AD13" s="3076" t="s">
        <v>1599</v>
      </c>
      <c r="AE13" s="3077"/>
      <c r="AF13" s="3075"/>
      <c r="AG13" s="3074"/>
      <c r="AH13" s="3070" t="s">
        <v>13</v>
      </c>
      <c r="AI13" s="3071"/>
      <c r="AJ13" s="3070" t="s">
        <v>14</v>
      </c>
      <c r="AK13" s="2684"/>
      <c r="AL13" s="2685"/>
    </row>
    <row r="14" spans="1:38" ht="15">
      <c r="A14" s="1276"/>
      <c r="B14" s="1276"/>
      <c r="C14" s="1276"/>
      <c r="D14" s="1131"/>
      <c r="E14" s="1131"/>
      <c r="F14" s="1131"/>
      <c r="G14" s="1276"/>
      <c r="H14" s="1131"/>
      <c r="I14" s="1131"/>
      <c r="J14" s="1131"/>
      <c r="K14" s="1276"/>
      <c r="L14" s="1131"/>
      <c r="M14" s="1131"/>
      <c r="N14" s="1131"/>
      <c r="O14" s="1276"/>
      <c r="P14" s="1131"/>
      <c r="Q14" s="1131"/>
      <c r="R14" s="1131"/>
      <c r="S14" s="1276"/>
      <c r="T14" s="3078"/>
      <c r="U14" s="3078"/>
      <c r="V14" s="3079"/>
      <c r="W14" s="1131"/>
      <c r="X14" s="3079"/>
      <c r="Y14" s="1131"/>
      <c r="Z14" s="3080"/>
      <c r="AA14" s="1131"/>
      <c r="AB14" s="3079"/>
      <c r="AC14" s="1131"/>
      <c r="AD14" s="3079"/>
      <c r="AE14" s="1131"/>
      <c r="AF14" s="3081"/>
      <c r="AG14" s="1131"/>
      <c r="AH14" s="1192"/>
      <c r="AI14" s="1192"/>
      <c r="AJ14" s="3082"/>
      <c r="AK14" s="2682"/>
      <c r="AL14" s="2682"/>
    </row>
    <row r="15" spans="1:38" ht="18" customHeight="1">
      <c r="A15" s="3083" t="s">
        <v>1486</v>
      </c>
      <c r="B15" s="3084"/>
      <c r="C15" s="3084"/>
      <c r="D15" s="1276"/>
      <c r="E15" s="1276"/>
      <c r="F15" s="1276"/>
      <c r="G15" s="1276"/>
      <c r="H15" s="1276"/>
      <c r="I15" s="1276"/>
      <c r="J15" s="1276"/>
      <c r="K15" s="1276"/>
      <c r="L15" s="1276"/>
      <c r="M15" s="1276"/>
      <c r="N15" s="1276"/>
      <c r="O15" s="1276"/>
      <c r="P15" s="1276"/>
      <c r="Q15" s="1276"/>
      <c r="R15" s="1276"/>
      <c r="S15" s="1276"/>
      <c r="T15" s="3078"/>
      <c r="U15" s="3078"/>
      <c r="V15" s="1276"/>
      <c r="W15" s="1276"/>
      <c r="X15" s="1276"/>
      <c r="Y15" s="1276"/>
      <c r="Z15" s="3080"/>
      <c r="AA15" s="1131"/>
      <c r="AB15" s="1276"/>
      <c r="AC15" s="1276"/>
      <c r="AD15" s="1276"/>
      <c r="AE15" s="1276"/>
      <c r="AF15" s="3081"/>
      <c r="AG15" s="1276"/>
      <c r="AH15" s="1190"/>
      <c r="AI15" s="1190"/>
      <c r="AJ15" s="3082"/>
      <c r="AK15" s="2682"/>
      <c r="AL15" s="2682"/>
    </row>
    <row r="16" spans="1:38" ht="18" customHeight="1">
      <c r="A16" s="3084" t="s">
        <v>1150</v>
      </c>
      <c r="B16" s="3084"/>
      <c r="C16" s="1191"/>
      <c r="D16" s="2686">
        <v>2449.2000000000003</v>
      </c>
      <c r="E16" s="3085"/>
      <c r="F16" s="2686">
        <v>5410.3</v>
      </c>
      <c r="G16" s="3085"/>
      <c r="H16" s="1278">
        <v>0</v>
      </c>
      <c r="I16" s="3085"/>
      <c r="J16" s="1278">
        <v>0</v>
      </c>
      <c r="K16" s="3085"/>
      <c r="L16" s="1278">
        <v>0</v>
      </c>
      <c r="M16" s="3085"/>
      <c r="N16" s="1278">
        <v>0</v>
      </c>
      <c r="O16" s="3085"/>
      <c r="P16" s="1278">
        <v>0</v>
      </c>
      <c r="Q16" s="3085"/>
      <c r="R16" s="1278">
        <v>0</v>
      </c>
      <c r="S16" s="1279"/>
      <c r="T16" s="3086"/>
      <c r="U16" s="3087"/>
      <c r="V16" s="3088">
        <f>SUM(D16)+SUM(H16)+SUM(L16)+SUM(P16)</f>
        <v>2449.2000000000003</v>
      </c>
      <c r="W16" s="3085"/>
      <c r="X16" s="3088">
        <f>SUM(F16)+SUM(J16)+SUM(N16)+SUM(R16)</f>
        <v>5410.3</v>
      </c>
      <c r="Y16" s="3089"/>
      <c r="Z16" s="3090"/>
      <c r="AA16" s="3085"/>
      <c r="AB16" s="3091">
        <v>2421.3000000000002</v>
      </c>
      <c r="AC16" s="3085"/>
      <c r="AD16" s="3091">
        <v>5181.8</v>
      </c>
      <c r="AE16" s="3091"/>
      <c r="AF16" s="3092"/>
      <c r="AG16" s="3089"/>
      <c r="AH16" s="3093">
        <f>ROUND(SUM(X16)-SUM(AD16),1)</f>
        <v>228.5</v>
      </c>
      <c r="AI16" s="1139"/>
      <c r="AJ16" s="3094">
        <f>ROUND(AH16/AD16,3)</f>
        <v>4.3999999999999997E-2</v>
      </c>
      <c r="AK16" s="2687"/>
      <c r="AL16" s="2682"/>
    </row>
    <row r="17" spans="1:38" ht="18" customHeight="1">
      <c r="A17" s="3095" t="s">
        <v>1227</v>
      </c>
      <c r="B17" s="3084"/>
      <c r="C17" s="2688"/>
      <c r="D17" s="1144">
        <v>124.69999999999982</v>
      </c>
      <c r="E17" s="1143"/>
      <c r="F17" s="1144">
        <v>5438.2</v>
      </c>
      <c r="G17" s="1143"/>
      <c r="H17" s="1148">
        <v>0</v>
      </c>
      <c r="I17" s="3096"/>
      <c r="J17" s="2689">
        <v>0</v>
      </c>
      <c r="K17" s="1143"/>
      <c r="L17" s="1148">
        <v>0</v>
      </c>
      <c r="M17" s="3096"/>
      <c r="N17" s="1149">
        <v>0</v>
      </c>
      <c r="O17" s="1143"/>
      <c r="P17" s="1148">
        <v>0</v>
      </c>
      <c r="Q17" s="3096"/>
      <c r="R17" s="1149">
        <v>0</v>
      </c>
      <c r="S17" s="1143"/>
      <c r="T17" s="3097"/>
      <c r="U17" s="3097"/>
      <c r="V17" s="3098">
        <f>SUM(D17)+SUM(H17)+SUM(L17)+SUM(P17)</f>
        <v>124.69999999999982</v>
      </c>
      <c r="W17" s="1145"/>
      <c r="X17" s="3098">
        <f>SUM(F17)+SUM(J17)+SUM(N17)+SUM(R17)</f>
        <v>5438.2</v>
      </c>
      <c r="Y17" s="3099"/>
      <c r="Z17" s="3100"/>
      <c r="AA17" s="1125"/>
      <c r="AB17" s="3096">
        <v>112.09999999999991</v>
      </c>
      <c r="AC17" s="1124"/>
      <c r="AD17" s="3096">
        <v>4152.5</v>
      </c>
      <c r="AE17" s="3096"/>
      <c r="AF17" s="3101"/>
      <c r="AG17" s="3099"/>
      <c r="AH17" s="3102">
        <f t="shared" ref="AH17:AH20" si="0">ROUND(SUM(X17)-SUM(AD17),1)</f>
        <v>1285.7</v>
      </c>
      <c r="AI17" s="3103"/>
      <c r="AJ17" s="3104">
        <f t="shared" ref="AJ17:AJ21" si="1">ROUND(AH17/AD17,3)</f>
        <v>0.31</v>
      </c>
      <c r="AK17" s="2687"/>
      <c r="AL17" s="2682"/>
    </row>
    <row r="18" spans="1:38" ht="18" customHeight="1">
      <c r="A18" s="3084" t="s">
        <v>1151</v>
      </c>
      <c r="B18" s="3084" t="s">
        <v>16</v>
      </c>
      <c r="C18" s="3084"/>
      <c r="D18" s="1144">
        <v>78.200000000000045</v>
      </c>
      <c r="E18" s="1143"/>
      <c r="F18" s="1144">
        <v>1765.3</v>
      </c>
      <c r="G18" s="1143"/>
      <c r="H18" s="1148">
        <v>0</v>
      </c>
      <c r="I18" s="3096"/>
      <c r="J18" s="2689">
        <v>0</v>
      </c>
      <c r="K18" s="1143"/>
      <c r="L18" s="1148">
        <v>0</v>
      </c>
      <c r="M18" s="3096"/>
      <c r="N18" s="1149">
        <v>0</v>
      </c>
      <c r="O18" s="1143"/>
      <c r="P18" s="1148">
        <v>0</v>
      </c>
      <c r="Q18" s="3096"/>
      <c r="R18" s="1149">
        <v>0</v>
      </c>
      <c r="S18" s="1143"/>
      <c r="T18" s="3097"/>
      <c r="U18" s="3097"/>
      <c r="V18" s="3098">
        <f>SUM(D18)+SUM(H18)+SUM(L18)+SUM(P18)</f>
        <v>78.200000000000045</v>
      </c>
      <c r="W18" s="1145"/>
      <c r="X18" s="3098">
        <f>SUM(F18)+SUM(J18)+SUM(N18)+SUM(R18)</f>
        <v>1765.3</v>
      </c>
      <c r="Y18" s="3099"/>
      <c r="Z18" s="3100"/>
      <c r="AA18" s="1125"/>
      <c r="AB18" s="3096">
        <v>57.400000000000091</v>
      </c>
      <c r="AC18" s="1124"/>
      <c r="AD18" s="3096">
        <v>1490.9</v>
      </c>
      <c r="AE18" s="3096"/>
      <c r="AF18" s="3101"/>
      <c r="AG18" s="3099"/>
      <c r="AH18" s="3102">
        <f t="shared" si="0"/>
        <v>274.39999999999998</v>
      </c>
      <c r="AI18" s="3103"/>
      <c r="AJ18" s="3104">
        <f t="shared" si="1"/>
        <v>0.184</v>
      </c>
      <c r="AK18" s="2687"/>
      <c r="AL18" s="2682"/>
    </row>
    <row r="19" spans="1:38" ht="18" customHeight="1">
      <c r="A19" s="3095" t="s">
        <v>1152</v>
      </c>
      <c r="B19" s="3084"/>
      <c r="C19" s="3084"/>
      <c r="D19" s="1144">
        <v>-26.099999999999994</v>
      </c>
      <c r="E19" s="1143"/>
      <c r="F19" s="1144">
        <v>-170.9</v>
      </c>
      <c r="G19" s="1143"/>
      <c r="H19" s="1148">
        <v>0</v>
      </c>
      <c r="I19" s="3096"/>
      <c r="J19" s="2689">
        <v>0</v>
      </c>
      <c r="K19" s="1143"/>
      <c r="L19" s="1148">
        <v>0</v>
      </c>
      <c r="M19" s="3096"/>
      <c r="N19" s="1149">
        <v>0</v>
      </c>
      <c r="O19" s="1143"/>
      <c r="P19" s="1148">
        <v>0</v>
      </c>
      <c r="Q19" s="3096"/>
      <c r="R19" s="1149">
        <v>0</v>
      </c>
      <c r="S19" s="1143"/>
      <c r="T19" s="3097"/>
      <c r="U19" s="3097"/>
      <c r="V19" s="3098">
        <f>SUM(D19)+SUM(H19)+SUM(L19)+SUM(P19)</f>
        <v>-26.099999999999994</v>
      </c>
      <c r="W19" s="1145"/>
      <c r="X19" s="3098">
        <f>SUM(F19)+SUM(J19)+SUM(N19)+SUM(R19)</f>
        <v>-170.9</v>
      </c>
      <c r="Y19" s="3099"/>
      <c r="Z19" s="3100"/>
      <c r="AA19" s="1125"/>
      <c r="AB19" s="3105">
        <v>-26.900000000000006</v>
      </c>
      <c r="AC19" s="1124"/>
      <c r="AD19" s="3096">
        <v>-151</v>
      </c>
      <c r="AE19" s="3096"/>
      <c r="AF19" s="3101"/>
      <c r="AG19" s="3099"/>
      <c r="AH19" s="3102">
        <f>-ROUND(SUM(X19)-SUM(AD19),1)</f>
        <v>19.899999999999999</v>
      </c>
      <c r="AI19" s="3103"/>
      <c r="AJ19" s="3104">
        <f>-ROUND(AH19/AD19,3)</f>
        <v>0.13200000000000001</v>
      </c>
      <c r="AK19" s="2687"/>
      <c r="AL19" s="2682"/>
    </row>
    <row r="20" spans="1:38" ht="18" customHeight="1">
      <c r="A20" s="3095" t="s">
        <v>1153</v>
      </c>
      <c r="B20" s="3084" t="s">
        <v>16</v>
      </c>
      <c r="C20" s="3084"/>
      <c r="D20" s="1144">
        <v>95.5</v>
      </c>
      <c r="E20" s="1143"/>
      <c r="F20" s="3106">
        <v>239.2</v>
      </c>
      <c r="G20" s="1143"/>
      <c r="H20" s="1148">
        <v>0</v>
      </c>
      <c r="I20" s="3096"/>
      <c r="J20" s="2689">
        <v>0</v>
      </c>
      <c r="K20" s="1143"/>
      <c r="L20" s="1148">
        <v>0</v>
      </c>
      <c r="M20" s="3096"/>
      <c r="N20" s="1149">
        <v>0</v>
      </c>
      <c r="O20" s="1143"/>
      <c r="P20" s="1148">
        <v>0</v>
      </c>
      <c r="Q20" s="3096"/>
      <c r="R20" s="1149">
        <v>0</v>
      </c>
      <c r="S20" s="1143"/>
      <c r="T20" s="3097"/>
      <c r="U20" s="3097"/>
      <c r="V20" s="3098">
        <f>SUM(D20)+SUM(H20)+SUM(L20)+SUM(P20)</f>
        <v>95.5</v>
      </c>
      <c r="W20" s="1145"/>
      <c r="X20" s="3098">
        <f>SUM(F20)+SUM(J20)+SUM(N20)+SUM(R20)</f>
        <v>239.2</v>
      </c>
      <c r="Y20" s="3099"/>
      <c r="Z20" s="3100"/>
      <c r="AA20" s="1125"/>
      <c r="AB20" s="3096">
        <v>126.89999999999999</v>
      </c>
      <c r="AC20" s="1124"/>
      <c r="AD20" s="3096">
        <v>239.1</v>
      </c>
      <c r="AE20" s="3096"/>
      <c r="AF20" s="3101"/>
      <c r="AG20" s="3099"/>
      <c r="AH20" s="3107">
        <f t="shared" si="0"/>
        <v>0.1</v>
      </c>
      <c r="AI20" s="3103"/>
      <c r="AJ20" s="3108">
        <f t="shared" si="1"/>
        <v>0</v>
      </c>
      <c r="AK20" s="2687"/>
      <c r="AL20" s="2682"/>
    </row>
    <row r="21" spans="1:38" s="2694" customFormat="1" ht="18" customHeight="1">
      <c r="A21" s="3083" t="s">
        <v>1154</v>
      </c>
      <c r="B21" s="3083"/>
      <c r="C21" s="3083"/>
      <c r="D21" s="3109">
        <f>ROUND(SUM(D16:D20),1)</f>
        <v>2721.5</v>
      </c>
      <c r="E21" s="186"/>
      <c r="F21" s="3109">
        <f>ROUND(SUM(F16:F20),1)</f>
        <v>12682.1</v>
      </c>
      <c r="G21" s="184"/>
      <c r="H21" s="3109">
        <f>ROUND(SUM(H16:H20),1)</f>
        <v>0</v>
      </c>
      <c r="I21" s="3110"/>
      <c r="J21" s="3109">
        <f>ROUND(SUM(J16:J20),1)</f>
        <v>0</v>
      </c>
      <c r="K21" s="184"/>
      <c r="L21" s="3109">
        <f>ROUND(SUM(L16:L20),1)</f>
        <v>0</v>
      </c>
      <c r="M21" s="3110"/>
      <c r="N21" s="3109">
        <f>ROUND(SUM(N16:N20),1)</f>
        <v>0</v>
      </c>
      <c r="O21" s="184"/>
      <c r="P21" s="3109">
        <f>ROUND(SUM(P16:P20),1)</f>
        <v>0</v>
      </c>
      <c r="Q21" s="3110"/>
      <c r="R21" s="3109">
        <f>ROUND(SUM(R16:R20),1)</f>
        <v>0</v>
      </c>
      <c r="S21" s="184"/>
      <c r="T21" s="3111"/>
      <c r="U21" s="3111"/>
      <c r="V21" s="3112">
        <f>ROUND(SUM(V16:V20),1)</f>
        <v>2721.5</v>
      </c>
      <c r="W21" s="186"/>
      <c r="X21" s="3112">
        <f>ROUND(SUM(X16:X20),1)</f>
        <v>12682.1</v>
      </c>
      <c r="Y21" s="3113"/>
      <c r="Z21" s="3114"/>
      <c r="AA21" s="186"/>
      <c r="AB21" s="3112">
        <f>ROUND(SUM(AB16:AB20),1)</f>
        <v>2690.8</v>
      </c>
      <c r="AC21" s="184"/>
      <c r="AD21" s="3112">
        <f>ROUND(SUM(AD16:AD20),1)</f>
        <v>10913.3</v>
      </c>
      <c r="AE21" s="3115"/>
      <c r="AF21" s="3116"/>
      <c r="AG21" s="3113"/>
      <c r="AH21" s="3117">
        <f>ROUND(SUM(X21)-SUM(AD21),1)</f>
        <v>1768.8</v>
      </c>
      <c r="AI21" s="28"/>
      <c r="AJ21" s="3118">
        <f t="shared" si="1"/>
        <v>0.16200000000000001</v>
      </c>
      <c r="AK21" s="2692"/>
      <c r="AL21" s="2693"/>
    </row>
    <row r="22" spans="1:38" ht="18" customHeight="1">
      <c r="A22" s="3095" t="s">
        <v>1155</v>
      </c>
      <c r="B22" s="3084"/>
      <c r="C22" s="3084"/>
      <c r="D22" s="2695">
        <v>0</v>
      </c>
      <c r="E22" s="3096"/>
      <c r="F22" s="1144">
        <v>-3.1</v>
      </c>
      <c r="G22" s="1124"/>
      <c r="H22" s="1144">
        <v>0</v>
      </c>
      <c r="I22" s="3096"/>
      <c r="J22" s="3119">
        <v>3.1</v>
      </c>
      <c r="K22" s="1124"/>
      <c r="L22" s="3120">
        <v>0</v>
      </c>
      <c r="M22" s="3096"/>
      <c r="N22" s="3121">
        <v>0</v>
      </c>
      <c r="O22" s="1124"/>
      <c r="P22" s="3120">
        <v>0</v>
      </c>
      <c r="Q22" s="3096"/>
      <c r="R22" s="3121">
        <v>0</v>
      </c>
      <c r="S22" s="1124"/>
      <c r="T22" s="3122"/>
      <c r="U22" s="3122"/>
      <c r="V22" s="3120">
        <v>0</v>
      </c>
      <c r="W22" s="1125"/>
      <c r="X22" s="3120">
        <v>0</v>
      </c>
      <c r="Y22" s="3099"/>
      <c r="Z22" s="3100"/>
      <c r="AA22" s="1125"/>
      <c r="AB22" s="3123">
        <v>0</v>
      </c>
      <c r="AC22" s="1125"/>
      <c r="AD22" s="3123">
        <v>0</v>
      </c>
      <c r="AE22" s="1147"/>
      <c r="AF22" s="3101"/>
      <c r="AG22" s="3099"/>
      <c r="AH22" s="2689">
        <f t="shared" ref="AH22:AH23" si="2">ROUND(SUM(X22)-SUM(AD22),1)</f>
        <v>0</v>
      </c>
      <c r="AI22" s="3103"/>
      <c r="AJ22" s="2843">
        <f>ROUND(IF(AD22=0,0,AH22/(AD22)),3)</f>
        <v>0</v>
      </c>
      <c r="AK22" s="2697"/>
      <c r="AL22" s="2682"/>
    </row>
    <row r="23" spans="1:38" ht="18" customHeight="1">
      <c r="A23" s="3095" t="s">
        <v>1156</v>
      </c>
      <c r="B23" s="3084"/>
      <c r="C23" s="3084"/>
      <c r="D23" s="1144">
        <v>-580.20000000000027</v>
      </c>
      <c r="E23" s="1143"/>
      <c r="F23" s="1144">
        <v>-2259.8000000000002</v>
      </c>
      <c r="G23" s="1124"/>
      <c r="H23" s="1148">
        <v>0</v>
      </c>
      <c r="I23" s="3096"/>
      <c r="J23" s="2689">
        <v>0</v>
      </c>
      <c r="K23" s="1124"/>
      <c r="L23" s="3102">
        <v>580.20000000000027</v>
      </c>
      <c r="M23" s="3096"/>
      <c r="N23" s="3102">
        <v>2259.8000000000002</v>
      </c>
      <c r="O23" s="1124"/>
      <c r="P23" s="1148">
        <v>0</v>
      </c>
      <c r="Q23" s="3096"/>
      <c r="R23" s="1149">
        <v>0</v>
      </c>
      <c r="S23" s="1124"/>
      <c r="T23" s="3122"/>
      <c r="U23" s="3122"/>
      <c r="V23" s="1148">
        <v>0</v>
      </c>
      <c r="W23" s="1125"/>
      <c r="X23" s="1148">
        <v>0</v>
      </c>
      <c r="Y23" s="3099"/>
      <c r="Z23" s="3100"/>
      <c r="AA23" s="1125"/>
      <c r="AB23" s="2695">
        <v>0</v>
      </c>
      <c r="AC23" s="1125"/>
      <c r="AD23" s="2695">
        <v>0</v>
      </c>
      <c r="AE23" s="1147"/>
      <c r="AF23" s="3101"/>
      <c r="AG23" s="3099"/>
      <c r="AH23" s="2689">
        <f t="shared" si="2"/>
        <v>0</v>
      </c>
      <c r="AI23" s="3103"/>
      <c r="AJ23" s="2843">
        <f>ROUND(IF(AD23=0,0,AH23/(AD23)),3)</f>
        <v>0</v>
      </c>
      <c r="AK23" s="2697"/>
      <c r="AL23" s="2682"/>
    </row>
    <row r="24" spans="1:38" ht="18" customHeight="1">
      <c r="A24" s="3084" t="s">
        <v>1157</v>
      </c>
      <c r="B24" s="3084"/>
      <c r="C24" s="3084"/>
      <c r="D24" s="1144">
        <v>-400.70000000000027</v>
      </c>
      <c r="E24" s="1145"/>
      <c r="F24" s="1144">
        <v>-3642.9</v>
      </c>
      <c r="G24" s="1143"/>
      <c r="H24" s="1148">
        <v>0</v>
      </c>
      <c r="I24" s="3096"/>
      <c r="J24" s="2689">
        <v>0</v>
      </c>
      <c r="K24" s="1143"/>
      <c r="L24" s="1148">
        <v>0</v>
      </c>
      <c r="M24" s="3096"/>
      <c r="N24" s="1149">
        <v>0</v>
      </c>
      <c r="O24" s="1143"/>
      <c r="P24" s="1148">
        <v>0</v>
      </c>
      <c r="Q24" s="3096"/>
      <c r="R24" s="1149">
        <v>0</v>
      </c>
      <c r="S24" s="1143"/>
      <c r="T24" s="3097"/>
      <c r="U24" s="3097"/>
      <c r="V24" s="3098">
        <f>SUM(D24)+SUM(H24)+SUM(L24)+SUM(P24)</f>
        <v>-400.70000000000027</v>
      </c>
      <c r="W24" s="1145"/>
      <c r="X24" s="3098">
        <f>SUM(F24)+SUM(J24)+SUM(N24)+SUM(R24)</f>
        <v>-3642.9</v>
      </c>
      <c r="Y24" s="3099"/>
      <c r="Z24" s="3100"/>
      <c r="AA24" s="1125"/>
      <c r="AB24" s="3105">
        <v>-588.90000000000009</v>
      </c>
      <c r="AC24" s="1124"/>
      <c r="AD24" s="3105">
        <v>-3458.1</v>
      </c>
      <c r="AE24" s="3096"/>
      <c r="AF24" s="3101"/>
      <c r="AG24" s="3099"/>
      <c r="AH24" s="3102">
        <f>-ROUND(SUM(X24)-SUM(AD24),1)</f>
        <v>184.8</v>
      </c>
      <c r="AI24" s="3103"/>
      <c r="AJ24" s="3124">
        <f>-ROUND(AH24/AD24,3)</f>
        <v>5.2999999999999999E-2</v>
      </c>
      <c r="AK24" s="2687"/>
      <c r="AL24" s="2682"/>
    </row>
    <row r="25" spans="1:38" ht="18" customHeight="1">
      <c r="A25" s="3125" t="s">
        <v>1158</v>
      </c>
      <c r="B25" s="3084"/>
      <c r="C25" s="3084"/>
      <c r="D25" s="3126">
        <f>ROUND(SUM(D21:D24),1)</f>
        <v>1740.6</v>
      </c>
      <c r="E25" s="186"/>
      <c r="F25" s="3126">
        <f>ROUND(SUM(F21:F24),1)</f>
        <v>6776.3</v>
      </c>
      <c r="G25" s="184"/>
      <c r="H25" s="3126">
        <f>ROUND(SUM(H21:H24),1)</f>
        <v>0</v>
      </c>
      <c r="I25" s="3110"/>
      <c r="J25" s="3126">
        <f>ROUND(SUM(J21:J24),1)</f>
        <v>3.1</v>
      </c>
      <c r="K25" s="184"/>
      <c r="L25" s="3126">
        <f>ROUND(SUM(L21:L24),1)</f>
        <v>580.20000000000005</v>
      </c>
      <c r="M25" s="3110"/>
      <c r="N25" s="3126">
        <f>ROUND(SUM(N21:N24),1)</f>
        <v>2259.8000000000002</v>
      </c>
      <c r="O25" s="184"/>
      <c r="P25" s="3126">
        <f>ROUND(SUM(P21:P24),1)</f>
        <v>0</v>
      </c>
      <c r="Q25" s="3110"/>
      <c r="R25" s="3126">
        <f>ROUND(SUM(R21:R24),1)</f>
        <v>0</v>
      </c>
      <c r="S25" s="184"/>
      <c r="T25" s="3111"/>
      <c r="U25" s="3111"/>
      <c r="V25" s="3112">
        <f>ROUND(SUM(V21:V24),1)</f>
        <v>2320.8000000000002</v>
      </c>
      <c r="W25" s="186"/>
      <c r="X25" s="3112">
        <f>ROUND(SUM(X21:X24),1)</f>
        <v>9039.2000000000007</v>
      </c>
      <c r="Y25" s="3286"/>
      <c r="Z25" s="3114"/>
      <c r="AA25" s="186"/>
      <c r="AB25" s="3112">
        <f>ROUND(SUM(AB21:AB24),1)</f>
        <v>2101.9</v>
      </c>
      <c r="AC25" s="184"/>
      <c r="AD25" s="3112">
        <f>ROUND(SUM(AD21:AD24),1)</f>
        <v>7455.2</v>
      </c>
      <c r="AE25" s="186" t="s">
        <v>16</v>
      </c>
      <c r="AF25" s="3116"/>
      <c r="AG25" s="3113"/>
      <c r="AH25" s="3127">
        <f>ROUND(SUM(X25)-SUM(AD25),1)</f>
        <v>1584</v>
      </c>
      <c r="AI25" s="28"/>
      <c r="AJ25" s="3128">
        <f t="shared" ref="AJ25" si="3">ROUND(AH25/AD25,3)</f>
        <v>0.21199999999999999</v>
      </c>
      <c r="AK25" s="2692"/>
      <c r="AL25" s="2693"/>
    </row>
    <row r="26" spans="1:38" ht="18" customHeight="1">
      <c r="A26" s="3084"/>
      <c r="B26" s="3084"/>
      <c r="C26" s="3084"/>
      <c r="D26" s="3129"/>
      <c r="E26" s="1125"/>
      <c r="F26" s="3130"/>
      <c r="G26" s="1124"/>
      <c r="H26" s="3129"/>
      <c r="I26" s="1145"/>
      <c r="J26" s="3131"/>
      <c r="K26" s="1124"/>
      <c r="L26" s="3129"/>
      <c r="M26" s="1145"/>
      <c r="N26" s="3131"/>
      <c r="O26" s="1124"/>
      <c r="P26" s="3129"/>
      <c r="Q26" s="1145"/>
      <c r="R26" s="3131"/>
      <c r="S26" s="1124"/>
      <c r="T26" s="3122"/>
      <c r="U26" s="3122"/>
      <c r="V26" s="3130"/>
      <c r="W26" s="1125"/>
      <c r="X26" s="3130"/>
      <c r="Y26" s="1125"/>
      <c r="Z26" s="3100"/>
      <c r="AA26" s="1125"/>
      <c r="AB26" s="3129"/>
      <c r="AC26" s="1124"/>
      <c r="AD26" s="3131"/>
      <c r="AE26" s="1145"/>
      <c r="AF26" s="3101"/>
      <c r="AG26" s="1125"/>
      <c r="AH26" s="1145"/>
      <c r="AI26" s="1139"/>
      <c r="AJ26" s="3287"/>
      <c r="AK26" s="2697"/>
      <c r="AL26" s="2682"/>
    </row>
    <row r="27" spans="1:38" ht="18" customHeight="1">
      <c r="A27" s="3125" t="s">
        <v>1487</v>
      </c>
      <c r="B27" s="3084"/>
      <c r="C27" s="2688"/>
      <c r="D27" s="1144"/>
      <c r="E27" s="1124"/>
      <c r="F27" s="1124"/>
      <c r="G27" s="1124"/>
      <c r="H27" s="1144"/>
      <c r="I27" s="1143"/>
      <c r="J27" s="1143"/>
      <c r="K27" s="1124"/>
      <c r="L27" s="1144"/>
      <c r="M27" s="1143"/>
      <c r="N27" s="1143"/>
      <c r="O27" s="1124"/>
      <c r="P27" s="1144"/>
      <c r="Q27" s="1143"/>
      <c r="R27" s="1143"/>
      <c r="S27" s="1124"/>
      <c r="T27" s="3122"/>
      <c r="U27" s="3122"/>
      <c r="V27" s="1125"/>
      <c r="W27" s="1125"/>
      <c r="X27" s="1124"/>
      <c r="Y27" s="1124"/>
      <c r="Z27" s="3100"/>
      <c r="AA27" s="1125"/>
      <c r="AB27" s="1144"/>
      <c r="AC27" s="1124"/>
      <c r="AD27" s="1143"/>
      <c r="AE27" s="1143"/>
      <c r="AF27" s="3101"/>
      <c r="AG27" s="1124"/>
      <c r="AH27" s="1143"/>
      <c r="AI27" s="1140"/>
      <c r="AJ27" s="3287"/>
      <c r="AK27" s="2697"/>
      <c r="AL27" s="2682"/>
    </row>
    <row r="28" spans="1:38" ht="18" customHeight="1">
      <c r="A28" s="3084" t="s">
        <v>1159</v>
      </c>
      <c r="B28" s="3084"/>
      <c r="C28" s="3084"/>
      <c r="D28" s="1144">
        <v>465.8</v>
      </c>
      <c r="E28" s="1143"/>
      <c r="F28" s="1144">
        <v>941</v>
      </c>
      <c r="G28" s="1124"/>
      <c r="H28" s="1144">
        <v>65.199999999999989</v>
      </c>
      <c r="I28" s="1143"/>
      <c r="J28" s="1144">
        <v>156.19999999999999</v>
      </c>
      <c r="K28" s="1124"/>
      <c r="L28" s="3102">
        <v>465.4</v>
      </c>
      <c r="M28" s="3096"/>
      <c r="N28" s="3102">
        <v>945.3</v>
      </c>
      <c r="O28" s="1143"/>
      <c r="P28" s="1148">
        <v>0</v>
      </c>
      <c r="Q28" s="3096"/>
      <c r="R28" s="1149">
        <v>0</v>
      </c>
      <c r="S28" s="1124"/>
      <c r="T28" s="3122"/>
      <c r="U28" s="3122"/>
      <c r="V28" s="3098">
        <f t="shared" ref="V28:V34" si="4">SUM(D28)+SUM(H28)+SUM(L28)+SUM(P28)</f>
        <v>996.4</v>
      </c>
      <c r="W28" s="1125"/>
      <c r="X28" s="3098">
        <f t="shared" ref="X28:X34" si="5">SUM(F28)+SUM(J28)+SUM(N28)+SUM(R28)</f>
        <v>2042.5</v>
      </c>
      <c r="Y28" s="1124"/>
      <c r="Z28" s="3100"/>
      <c r="AA28" s="1125"/>
      <c r="AB28" s="3096">
        <v>977.09999999999991</v>
      </c>
      <c r="AC28" s="1124"/>
      <c r="AD28" s="3096">
        <v>1963.6</v>
      </c>
      <c r="AE28" s="3096"/>
      <c r="AF28" s="3132"/>
      <c r="AG28" s="1124"/>
      <c r="AH28" s="1144">
        <f t="shared" ref="AH28:AH34" si="6">ROUND(SUM(X28)-SUM(AD28),1)</f>
        <v>78.900000000000006</v>
      </c>
      <c r="AI28" s="3103"/>
      <c r="AJ28" s="3104">
        <f>ROUND(AH28/AD28,3)</f>
        <v>0.04</v>
      </c>
      <c r="AK28" s="2687"/>
      <c r="AL28" s="2682"/>
    </row>
    <row r="29" spans="1:38" ht="18" customHeight="1">
      <c r="A29" s="3095" t="s">
        <v>1160</v>
      </c>
      <c r="B29" s="3084"/>
      <c r="C29" s="1281"/>
      <c r="D29" s="1148">
        <v>0</v>
      </c>
      <c r="E29" s="3098"/>
      <c r="F29" s="1149">
        <v>0</v>
      </c>
      <c r="G29" s="1124"/>
      <c r="H29" s="1144">
        <v>0.19999999999999996</v>
      </c>
      <c r="I29" s="3096"/>
      <c r="J29" s="1144">
        <v>1.7</v>
      </c>
      <c r="K29" s="1124"/>
      <c r="L29" s="1148">
        <v>0</v>
      </c>
      <c r="M29" s="3096"/>
      <c r="N29" s="1149">
        <v>0</v>
      </c>
      <c r="O29" s="1143"/>
      <c r="P29" s="2695">
        <v>0.10000000000000009</v>
      </c>
      <c r="Q29" s="1143"/>
      <c r="R29" s="2695">
        <v>3.1</v>
      </c>
      <c r="S29" s="1124"/>
      <c r="T29" s="3122"/>
      <c r="U29" s="3122"/>
      <c r="V29" s="3098">
        <f t="shared" si="4"/>
        <v>0.30000000000000004</v>
      </c>
      <c r="W29" s="1125"/>
      <c r="X29" s="3098">
        <f t="shared" si="5"/>
        <v>4.8</v>
      </c>
      <c r="Y29" s="3099"/>
      <c r="Z29" s="3100"/>
      <c r="AA29" s="1125"/>
      <c r="AB29" s="3133">
        <v>0</v>
      </c>
      <c r="AC29" s="1124"/>
      <c r="AD29" s="3096">
        <v>4</v>
      </c>
      <c r="AE29" s="3096"/>
      <c r="AF29" s="3101"/>
      <c r="AG29" s="3099"/>
      <c r="AH29" s="3102">
        <f t="shared" si="6"/>
        <v>0.8</v>
      </c>
      <c r="AI29" s="3134"/>
      <c r="AJ29" s="3104">
        <f t="shared" ref="AJ29:AJ35" si="7">ROUND(AH29/AD29,3)</f>
        <v>0.2</v>
      </c>
      <c r="AK29" s="2687"/>
      <c r="AL29" s="2682"/>
    </row>
    <row r="30" spans="1:38" ht="18" customHeight="1">
      <c r="A30" s="3084" t="s">
        <v>1161</v>
      </c>
      <c r="B30" s="3084"/>
      <c r="C30" s="3084"/>
      <c r="D30" s="1144">
        <v>26.6</v>
      </c>
      <c r="E30" s="1143"/>
      <c r="F30" s="1144">
        <v>38.5</v>
      </c>
      <c r="G30" s="1124"/>
      <c r="H30" s="1144">
        <v>72.2</v>
      </c>
      <c r="I30" s="3096"/>
      <c r="J30" s="3119">
        <v>155.4</v>
      </c>
      <c r="K30" s="1124"/>
      <c r="L30" s="1148">
        <v>0</v>
      </c>
      <c r="M30" s="3096"/>
      <c r="N30" s="1149">
        <v>0</v>
      </c>
      <c r="O30" s="1143"/>
      <c r="P30" s="1148">
        <v>0</v>
      </c>
      <c r="Q30" s="3096"/>
      <c r="R30" s="1149">
        <v>0</v>
      </c>
      <c r="S30" s="1124"/>
      <c r="T30" s="3122"/>
      <c r="U30" s="3122"/>
      <c r="V30" s="3098">
        <f t="shared" si="4"/>
        <v>98.800000000000011</v>
      </c>
      <c r="W30" s="1125"/>
      <c r="X30" s="3098">
        <f t="shared" si="5"/>
        <v>193.9</v>
      </c>
      <c r="Y30" s="3099"/>
      <c r="Z30" s="3100"/>
      <c r="AA30" s="1125"/>
      <c r="AB30" s="3105">
        <v>111.00000000000001</v>
      </c>
      <c r="AC30" s="1124"/>
      <c r="AD30" s="3105">
        <v>230.70000000000002</v>
      </c>
      <c r="AE30" s="3105"/>
      <c r="AF30" s="3101"/>
      <c r="AG30" s="3099"/>
      <c r="AH30" s="3102">
        <f t="shared" si="6"/>
        <v>-36.799999999999997</v>
      </c>
      <c r="AI30" s="3103"/>
      <c r="AJ30" s="3104">
        <f t="shared" si="7"/>
        <v>-0.16</v>
      </c>
      <c r="AK30" s="2687"/>
      <c r="AL30" s="2682"/>
    </row>
    <row r="31" spans="1:38" ht="18" customHeight="1">
      <c r="A31" s="3084" t="s">
        <v>1162</v>
      </c>
      <c r="B31" s="3084"/>
      <c r="C31" s="3084"/>
      <c r="D31" s="1148">
        <v>0</v>
      </c>
      <c r="E31" s="3098"/>
      <c r="F31" s="1149">
        <v>0</v>
      </c>
      <c r="G31" s="1124"/>
      <c r="H31" s="1144">
        <v>8.6000000000000014</v>
      </c>
      <c r="I31" s="3096"/>
      <c r="J31" s="3102">
        <v>17.3</v>
      </c>
      <c r="K31" s="1124"/>
      <c r="L31" s="1148">
        <v>0</v>
      </c>
      <c r="M31" s="3096"/>
      <c r="N31" s="1149">
        <v>0</v>
      </c>
      <c r="O31" s="1143"/>
      <c r="P31" s="1144">
        <v>33.1</v>
      </c>
      <c r="Q31" s="3096"/>
      <c r="R31" s="3102">
        <v>65.7</v>
      </c>
      <c r="S31" s="1124"/>
      <c r="T31" s="3122"/>
      <c r="U31" s="3122"/>
      <c r="V31" s="3098">
        <f t="shared" si="4"/>
        <v>41.7</v>
      </c>
      <c r="W31" s="1125"/>
      <c r="X31" s="3098">
        <f t="shared" si="5"/>
        <v>83</v>
      </c>
      <c r="Y31" s="1124"/>
      <c r="Z31" s="3100"/>
      <c r="AA31" s="1125"/>
      <c r="AB31" s="3105">
        <v>46.3</v>
      </c>
      <c r="AC31" s="1124"/>
      <c r="AD31" s="3105">
        <v>87.3</v>
      </c>
      <c r="AE31" s="3096"/>
      <c r="AF31" s="3101"/>
      <c r="AG31" s="1124"/>
      <c r="AH31" s="3102">
        <f t="shared" si="6"/>
        <v>-4.3</v>
      </c>
      <c r="AI31" s="1140"/>
      <c r="AJ31" s="3104">
        <f t="shared" si="7"/>
        <v>-4.9000000000000002E-2</v>
      </c>
      <c r="AK31" s="2687"/>
      <c r="AL31" s="2682"/>
    </row>
    <row r="32" spans="1:38" ht="18" customHeight="1">
      <c r="A32" s="3084" t="s">
        <v>1163</v>
      </c>
      <c r="B32" s="3084"/>
      <c r="C32" s="3084"/>
      <c r="D32" s="1144">
        <v>20.300000000000004</v>
      </c>
      <c r="E32" s="1143"/>
      <c r="F32" s="1144">
        <v>40.200000000000003</v>
      </c>
      <c r="G32" s="1124"/>
      <c r="H32" s="1148">
        <v>0</v>
      </c>
      <c r="I32" s="3096"/>
      <c r="J32" s="2689">
        <v>0</v>
      </c>
      <c r="K32" s="1124"/>
      <c r="L32" s="1148">
        <v>0</v>
      </c>
      <c r="M32" s="3096"/>
      <c r="N32" s="1149">
        <v>0</v>
      </c>
      <c r="O32" s="1143"/>
      <c r="P32" s="1148">
        <v>0</v>
      </c>
      <c r="Q32" s="3096"/>
      <c r="R32" s="1149">
        <v>0</v>
      </c>
      <c r="S32" s="1124"/>
      <c r="T32" s="3122"/>
      <c r="U32" s="3122"/>
      <c r="V32" s="3098">
        <f t="shared" si="4"/>
        <v>20.300000000000004</v>
      </c>
      <c r="W32" s="1125"/>
      <c r="X32" s="3098">
        <f t="shared" si="5"/>
        <v>40.200000000000003</v>
      </c>
      <c r="Y32" s="3099"/>
      <c r="Z32" s="3100"/>
      <c r="AA32" s="1125"/>
      <c r="AB32" s="3105">
        <v>19</v>
      </c>
      <c r="AC32" s="1124"/>
      <c r="AD32" s="3105">
        <v>38.4</v>
      </c>
      <c r="AE32" s="3096"/>
      <c r="AF32" s="3101"/>
      <c r="AG32" s="3099"/>
      <c r="AH32" s="3102">
        <f t="shared" si="6"/>
        <v>1.8</v>
      </c>
      <c r="AI32" s="3103"/>
      <c r="AJ32" s="3104">
        <f t="shared" si="7"/>
        <v>4.7E-2</v>
      </c>
      <c r="AK32" s="2687"/>
      <c r="AL32" s="2682"/>
    </row>
    <row r="33" spans="1:38" ht="18" customHeight="1">
      <c r="A33" s="3084" t="s">
        <v>1164</v>
      </c>
      <c r="B33" s="3084"/>
      <c r="C33" s="3084"/>
      <c r="D33" s="1148">
        <v>0</v>
      </c>
      <c r="E33" s="3098"/>
      <c r="F33" s="1149">
        <v>0</v>
      </c>
      <c r="G33" s="1124"/>
      <c r="H33" s="1148">
        <v>0</v>
      </c>
      <c r="I33" s="3096"/>
      <c r="J33" s="2689">
        <v>0</v>
      </c>
      <c r="K33" s="1124"/>
      <c r="L33" s="1148">
        <v>0</v>
      </c>
      <c r="M33" s="3096"/>
      <c r="N33" s="1149">
        <v>0</v>
      </c>
      <c r="O33" s="1124"/>
      <c r="P33" s="1144">
        <v>10.299999999999999</v>
      </c>
      <c r="Q33" s="3096"/>
      <c r="R33" s="3102">
        <v>23.7</v>
      </c>
      <c r="S33" s="1124"/>
      <c r="T33" s="3122"/>
      <c r="U33" s="3122"/>
      <c r="V33" s="3098">
        <f t="shared" si="4"/>
        <v>10.299999999999999</v>
      </c>
      <c r="W33" s="1125"/>
      <c r="X33" s="3098">
        <f t="shared" si="5"/>
        <v>23.7</v>
      </c>
      <c r="Y33" s="3099"/>
      <c r="Z33" s="3100"/>
      <c r="AA33" s="1125"/>
      <c r="AB33" s="3105">
        <v>10.499999999999998</v>
      </c>
      <c r="AC33" s="1124"/>
      <c r="AD33" s="3105">
        <v>23.4</v>
      </c>
      <c r="AE33" s="3105"/>
      <c r="AF33" s="3101"/>
      <c r="AG33" s="3099"/>
      <c r="AH33" s="2689">
        <f t="shared" si="6"/>
        <v>0.3</v>
      </c>
      <c r="AI33" s="3134"/>
      <c r="AJ33" s="3104">
        <f t="shared" si="7"/>
        <v>1.2999999999999999E-2</v>
      </c>
      <c r="AK33" s="2687"/>
      <c r="AL33" s="2682"/>
    </row>
    <row r="34" spans="1:38" ht="18" customHeight="1">
      <c r="A34" s="3095" t="s">
        <v>1165</v>
      </c>
      <c r="B34" s="3084"/>
      <c r="C34" s="3084"/>
      <c r="D34" s="1148">
        <v>0</v>
      </c>
      <c r="E34" s="1145"/>
      <c r="F34" s="1148">
        <v>0</v>
      </c>
      <c r="G34" s="1124"/>
      <c r="H34" s="2698">
        <v>0.60000000000000142</v>
      </c>
      <c r="I34" s="3096"/>
      <c r="J34" s="3102">
        <v>19.8</v>
      </c>
      <c r="K34" s="1124"/>
      <c r="L34" s="1148">
        <v>0</v>
      </c>
      <c r="M34" s="3096"/>
      <c r="N34" s="1149">
        <v>0</v>
      </c>
      <c r="O34" s="1124"/>
      <c r="P34" s="1148">
        <v>0</v>
      </c>
      <c r="Q34" s="1145"/>
      <c r="R34" s="1149">
        <v>0</v>
      </c>
      <c r="S34" s="1124"/>
      <c r="T34" s="3122"/>
      <c r="U34" s="3122"/>
      <c r="V34" s="3098">
        <f t="shared" si="4"/>
        <v>0.60000000000000142</v>
      </c>
      <c r="W34" s="1125"/>
      <c r="X34" s="3098">
        <f t="shared" si="5"/>
        <v>19.8</v>
      </c>
      <c r="Y34" s="3288"/>
      <c r="Z34" s="3100"/>
      <c r="AA34" s="1125"/>
      <c r="AB34" s="3105">
        <v>0.30000000000000071</v>
      </c>
      <c r="AC34" s="1124"/>
      <c r="AD34" s="3105">
        <v>21.2</v>
      </c>
      <c r="AE34" s="3105"/>
      <c r="AF34" s="3132"/>
      <c r="AG34" s="3099"/>
      <c r="AH34" s="3107">
        <f t="shared" si="6"/>
        <v>-1.4</v>
      </c>
      <c r="AI34" s="3103"/>
      <c r="AJ34" s="3124">
        <f t="shared" si="7"/>
        <v>-6.6000000000000003E-2</v>
      </c>
      <c r="AK34" s="2687"/>
      <c r="AL34" s="2682"/>
    </row>
    <row r="35" spans="1:38" ht="18" customHeight="1">
      <c r="A35" s="3083" t="s">
        <v>1166</v>
      </c>
      <c r="B35" s="3084"/>
      <c r="C35" s="3084"/>
      <c r="D35" s="3126">
        <f>ROUND(SUM(D28:D34),1)</f>
        <v>512.70000000000005</v>
      </c>
      <c r="E35" s="186"/>
      <c r="F35" s="3126">
        <f>ROUND(SUM(F28:F34),1)</f>
        <v>1019.7</v>
      </c>
      <c r="G35" s="184"/>
      <c r="H35" s="3126">
        <f>ROUND(SUM(H28:H34),1)</f>
        <v>146.80000000000001</v>
      </c>
      <c r="I35" s="67"/>
      <c r="J35" s="3126">
        <f>ROUND(SUM(J28:J34),1)</f>
        <v>350.4</v>
      </c>
      <c r="K35" s="184"/>
      <c r="L35" s="3126">
        <f>ROUND(SUM(L28:L34),1)</f>
        <v>465.4</v>
      </c>
      <c r="M35" s="67"/>
      <c r="N35" s="3126">
        <f>ROUND(SUM(N28:N34),1)</f>
        <v>945.3</v>
      </c>
      <c r="O35" s="184"/>
      <c r="P35" s="3126">
        <f>ROUND(SUM(P28:P34),1)</f>
        <v>43.5</v>
      </c>
      <c r="Q35" s="67"/>
      <c r="R35" s="3126">
        <f>ROUND(SUM(R28:R34),1)</f>
        <v>92.5</v>
      </c>
      <c r="S35" s="184"/>
      <c r="T35" s="3111"/>
      <c r="U35" s="3111"/>
      <c r="V35" s="3135">
        <f>ROUND(SUM(V28:V34),1)</f>
        <v>1168.4000000000001</v>
      </c>
      <c r="W35" s="186"/>
      <c r="X35" s="3135">
        <f>ROUND(SUM(X28:X34),1)</f>
        <v>2407.9</v>
      </c>
      <c r="Y35" s="3289"/>
      <c r="Z35" s="3114"/>
      <c r="AA35" s="186"/>
      <c r="AB35" s="3135">
        <f>ROUND(SUM(AB28:AB34),1)</f>
        <v>1164.2</v>
      </c>
      <c r="AC35" s="184"/>
      <c r="AD35" s="3135">
        <f>ROUND(SUM(AD28:AD34),1)</f>
        <v>2368.6</v>
      </c>
      <c r="AE35" s="67"/>
      <c r="AF35" s="3116"/>
      <c r="AG35" s="186"/>
      <c r="AH35" s="3127">
        <f>ROUND(SUM(X35)-SUM(AD35),1)</f>
        <v>39.299999999999997</v>
      </c>
      <c r="AI35" s="18"/>
      <c r="AJ35" s="3128">
        <f t="shared" si="7"/>
        <v>1.7000000000000001E-2</v>
      </c>
      <c r="AK35" s="2692"/>
      <c r="AL35" s="2693"/>
    </row>
    <row r="36" spans="1:38" ht="18" customHeight="1">
      <c r="A36" s="3084"/>
      <c r="B36" s="3084"/>
      <c r="C36" s="3084"/>
      <c r="D36" s="3129"/>
      <c r="E36" s="1125"/>
      <c r="F36" s="3130"/>
      <c r="G36" s="1124"/>
      <c r="H36" s="3129"/>
      <c r="I36" s="1145"/>
      <c r="J36" s="3131"/>
      <c r="K36" s="1124"/>
      <c r="L36" s="3129"/>
      <c r="M36" s="1145"/>
      <c r="N36" s="3131"/>
      <c r="O36" s="1124"/>
      <c r="P36" s="3129"/>
      <c r="Q36" s="1145"/>
      <c r="R36" s="3131"/>
      <c r="S36" s="1124"/>
      <c r="T36" s="3122"/>
      <c r="U36" s="3122"/>
      <c r="V36" s="3130"/>
      <c r="W36" s="1125"/>
      <c r="X36" s="3130"/>
      <c r="Y36" s="1125"/>
      <c r="Z36" s="3100"/>
      <c r="AA36" s="1125"/>
      <c r="AB36" s="3129"/>
      <c r="AC36" s="1124"/>
      <c r="AD36" s="3131"/>
      <c r="AE36" s="1145"/>
      <c r="AF36" s="3101"/>
      <c r="AG36" s="1125"/>
      <c r="AH36" s="1145"/>
      <c r="AI36" s="1139"/>
      <c r="AJ36" s="3287"/>
      <c r="AK36" s="2697"/>
      <c r="AL36" s="2682"/>
    </row>
    <row r="37" spans="1:38" ht="18" customHeight="1">
      <c r="A37" s="3083" t="s">
        <v>1488</v>
      </c>
      <c r="B37" s="3084"/>
      <c r="C37" s="3084"/>
      <c r="D37" s="1144"/>
      <c r="E37" s="1124"/>
      <c r="F37" s="1124"/>
      <c r="G37" s="1124"/>
      <c r="H37" s="1144"/>
      <c r="I37" s="1143"/>
      <c r="J37" s="1143"/>
      <c r="K37" s="1124"/>
      <c r="L37" s="1144"/>
      <c r="M37" s="1143"/>
      <c r="N37" s="1143"/>
      <c r="O37" s="1124"/>
      <c r="P37" s="1144"/>
      <c r="Q37" s="1143"/>
      <c r="R37" s="1143"/>
      <c r="S37" s="1124"/>
      <c r="T37" s="3122"/>
      <c r="U37" s="3122"/>
      <c r="V37" s="1125"/>
      <c r="W37" s="1125"/>
      <c r="X37" s="1124"/>
      <c r="Y37" s="1124"/>
      <c r="Z37" s="3100"/>
      <c r="AA37" s="1125"/>
      <c r="AB37" s="3193"/>
      <c r="AC37" s="1124"/>
      <c r="AD37" s="3193"/>
      <c r="AE37" s="1143"/>
      <c r="AF37" s="3101"/>
      <c r="AG37" s="1124"/>
      <c r="AH37" s="1144"/>
      <c r="AI37" s="1140"/>
      <c r="AJ37" s="3104"/>
      <c r="AK37" s="2697"/>
      <c r="AL37" s="2682"/>
    </row>
    <row r="38" spans="1:38" ht="18" customHeight="1">
      <c r="A38" s="3084" t="s">
        <v>1167</v>
      </c>
      <c r="B38" s="3084"/>
      <c r="C38" s="3084"/>
      <c r="D38" s="1144">
        <v>-32.199999999999989</v>
      </c>
      <c r="E38" s="1143"/>
      <c r="F38" s="1144">
        <v>138</v>
      </c>
      <c r="G38" s="1124"/>
      <c r="H38" s="1144">
        <v>3.5</v>
      </c>
      <c r="I38" s="1143"/>
      <c r="J38" s="1144">
        <v>15</v>
      </c>
      <c r="K38" s="1143"/>
      <c r="L38" s="1148">
        <v>0</v>
      </c>
      <c r="M38" s="3096"/>
      <c r="N38" s="1149">
        <v>0</v>
      </c>
      <c r="O38" s="1143"/>
      <c r="P38" s="1148">
        <v>0</v>
      </c>
      <c r="Q38" s="3096"/>
      <c r="R38" s="1149">
        <v>0</v>
      </c>
      <c r="S38" s="1124"/>
      <c r="T38" s="3122"/>
      <c r="U38" s="3122"/>
      <c r="V38" s="3098">
        <f t="shared" ref="V38:V42" si="8">SUM(D38)+SUM(H38)+SUM(L38)+SUM(P38)</f>
        <v>-28.699999999999989</v>
      </c>
      <c r="W38" s="1125"/>
      <c r="X38" s="3098">
        <f>SUM(F38)+SUM(J38)+SUM(N38)+SUM(R38)</f>
        <v>153</v>
      </c>
      <c r="Y38" s="1124"/>
      <c r="Z38" s="3100"/>
      <c r="AA38" s="1125"/>
      <c r="AB38" s="3105">
        <v>52.700000000000017</v>
      </c>
      <c r="AC38" s="1124"/>
      <c r="AD38" s="3105">
        <v>191.4</v>
      </c>
      <c r="AE38" s="3096"/>
      <c r="AF38" s="3132"/>
      <c r="AG38" s="1124"/>
      <c r="AH38" s="3102">
        <f t="shared" ref="AH38:AH42" si="9">ROUND(SUM(X38)-SUM(AD38),1)</f>
        <v>-38.4</v>
      </c>
      <c r="AI38" s="3103"/>
      <c r="AJ38" s="3104">
        <f t="shared" ref="AJ38:AJ43" si="10">ROUND(AH38/AD38,3)</f>
        <v>-0.20100000000000001</v>
      </c>
      <c r="AK38" s="2687"/>
      <c r="AL38" s="2682"/>
    </row>
    <row r="39" spans="1:38" ht="18" customHeight="1">
      <c r="A39" s="3084" t="s">
        <v>1168</v>
      </c>
      <c r="B39" s="3084"/>
      <c r="C39" s="3084"/>
      <c r="D39" s="2698">
        <v>3.5</v>
      </c>
      <c r="E39" s="1143"/>
      <c r="F39" s="1144">
        <v>6.7</v>
      </c>
      <c r="G39" s="1124"/>
      <c r="H39" s="2698">
        <v>0.50000000000000022</v>
      </c>
      <c r="I39" s="1143"/>
      <c r="J39" s="1144">
        <v>2.2000000000000002</v>
      </c>
      <c r="K39" s="1143"/>
      <c r="L39" s="1148">
        <v>0</v>
      </c>
      <c r="M39" s="3096"/>
      <c r="N39" s="1149">
        <v>0</v>
      </c>
      <c r="O39" s="1143"/>
      <c r="P39" s="1144">
        <v>0</v>
      </c>
      <c r="Q39" s="3096"/>
      <c r="R39" s="3102">
        <v>0.1</v>
      </c>
      <c r="S39" s="1124"/>
      <c r="T39" s="3122"/>
      <c r="U39" s="3122"/>
      <c r="V39" s="3098">
        <f t="shared" si="8"/>
        <v>4</v>
      </c>
      <c r="W39" s="1125"/>
      <c r="X39" s="3098">
        <f>SUM(F39)+SUM(J39)+SUM(N39)+SUM(R39)</f>
        <v>9</v>
      </c>
      <c r="Y39" s="1124"/>
      <c r="Z39" s="3100"/>
      <c r="AA39" s="1125"/>
      <c r="AB39" s="3105">
        <v>3.4</v>
      </c>
      <c r="AC39" s="1124"/>
      <c r="AD39" s="3105">
        <v>5.0999999999999996</v>
      </c>
      <c r="AE39" s="3096"/>
      <c r="AF39" s="3132"/>
      <c r="AG39" s="1124"/>
      <c r="AH39" s="3102">
        <f t="shared" si="9"/>
        <v>3.9</v>
      </c>
      <c r="AI39" s="3103"/>
      <c r="AJ39" s="3104">
        <f t="shared" si="10"/>
        <v>0.76500000000000001</v>
      </c>
      <c r="AK39" s="2687"/>
      <c r="AL39" s="2682"/>
    </row>
    <row r="40" spans="1:38" ht="18" customHeight="1">
      <c r="A40" s="3084" t="s">
        <v>1169</v>
      </c>
      <c r="B40" s="3084"/>
      <c r="C40" s="3084"/>
      <c r="D40" s="1144">
        <v>9.3000000000000007</v>
      </c>
      <c r="E40" s="1143"/>
      <c r="F40" s="1144">
        <v>15.6</v>
      </c>
      <c r="G40" s="1124"/>
      <c r="H40" s="1144">
        <v>-0.1</v>
      </c>
      <c r="I40" s="1143"/>
      <c r="J40" s="1144">
        <v>-0.2</v>
      </c>
      <c r="K40" s="1143"/>
      <c r="L40" s="1148">
        <v>0</v>
      </c>
      <c r="M40" s="3096"/>
      <c r="N40" s="1149">
        <v>0</v>
      </c>
      <c r="O40" s="1143"/>
      <c r="P40" s="1148">
        <v>0</v>
      </c>
      <c r="Q40" s="3096"/>
      <c r="R40" s="1149">
        <v>0</v>
      </c>
      <c r="S40" s="1124"/>
      <c r="T40" s="3122"/>
      <c r="U40" s="3122"/>
      <c r="V40" s="3098">
        <f t="shared" si="8"/>
        <v>9.2000000000000011</v>
      </c>
      <c r="W40" s="1125"/>
      <c r="X40" s="3098">
        <f>SUM(F40)+SUM(J40)+SUM(N40)+SUM(R40)</f>
        <v>15.4</v>
      </c>
      <c r="Y40" s="1124"/>
      <c r="Z40" s="3100"/>
      <c r="AA40" s="1125"/>
      <c r="AB40" s="3105">
        <v>3.3999999999999986</v>
      </c>
      <c r="AC40" s="1124"/>
      <c r="AD40" s="3105">
        <v>8.1</v>
      </c>
      <c r="AE40" s="3096"/>
      <c r="AF40" s="3132"/>
      <c r="AG40" s="1124"/>
      <c r="AH40" s="3102">
        <f t="shared" si="9"/>
        <v>7.3</v>
      </c>
      <c r="AI40" s="3103"/>
      <c r="AJ40" s="3104">
        <f t="shared" si="10"/>
        <v>0.90100000000000002</v>
      </c>
      <c r="AK40" s="2687"/>
      <c r="AL40" s="2682"/>
    </row>
    <row r="41" spans="1:38" ht="18" customHeight="1">
      <c r="A41" s="3084" t="s">
        <v>1170</v>
      </c>
      <c r="B41" s="3084"/>
      <c r="C41" s="3084"/>
      <c r="D41" s="1144">
        <v>-13.4</v>
      </c>
      <c r="E41" s="1143"/>
      <c r="F41" s="1144">
        <v>10.4</v>
      </c>
      <c r="G41" s="1124"/>
      <c r="H41" s="1144">
        <v>-9.9999999999999645E-2</v>
      </c>
      <c r="I41" s="1143"/>
      <c r="J41" s="1144">
        <v>6.5</v>
      </c>
      <c r="K41" s="1143"/>
      <c r="L41" s="1148">
        <v>0</v>
      </c>
      <c r="M41" s="3096"/>
      <c r="N41" s="1149">
        <v>0</v>
      </c>
      <c r="O41" s="1143"/>
      <c r="P41" s="1148">
        <v>0</v>
      </c>
      <c r="Q41" s="3096"/>
      <c r="R41" s="1149">
        <v>0</v>
      </c>
      <c r="S41" s="1124"/>
      <c r="T41" s="3122"/>
      <c r="U41" s="3122"/>
      <c r="V41" s="3098">
        <f t="shared" si="8"/>
        <v>-13.5</v>
      </c>
      <c r="W41" s="1125"/>
      <c r="X41" s="3098">
        <f>SUM(F41)+SUM(J41)+SUM(N41)+SUM(R41)</f>
        <v>16.899999999999999</v>
      </c>
      <c r="Y41" s="1124"/>
      <c r="Z41" s="3100"/>
      <c r="AA41" s="1125"/>
      <c r="AB41" s="3096">
        <v>363.3</v>
      </c>
      <c r="AC41" s="1124"/>
      <c r="AD41" s="3096">
        <v>392.6</v>
      </c>
      <c r="AE41" s="3096"/>
      <c r="AF41" s="3132"/>
      <c r="AG41" s="1124"/>
      <c r="AH41" s="3102">
        <f t="shared" si="9"/>
        <v>-375.7</v>
      </c>
      <c r="AI41" s="3103"/>
      <c r="AJ41" s="3104">
        <f t="shared" si="10"/>
        <v>-0.95699999999999996</v>
      </c>
      <c r="AK41" s="2687"/>
      <c r="AL41" s="2682"/>
    </row>
    <row r="42" spans="1:38" ht="18" customHeight="1">
      <c r="A42" s="3084" t="s">
        <v>1171</v>
      </c>
      <c r="B42" s="3084"/>
      <c r="C42" s="3084"/>
      <c r="D42" s="1148">
        <v>0</v>
      </c>
      <c r="E42" s="3098"/>
      <c r="F42" s="2689">
        <v>0</v>
      </c>
      <c r="G42" s="1124"/>
      <c r="H42" s="1144">
        <v>39.9</v>
      </c>
      <c r="I42" s="3096"/>
      <c r="J42" s="3102">
        <v>80.5</v>
      </c>
      <c r="K42" s="1143"/>
      <c r="L42" s="1148">
        <v>0</v>
      </c>
      <c r="M42" s="3096"/>
      <c r="N42" s="1149">
        <v>0</v>
      </c>
      <c r="O42" s="1143"/>
      <c r="P42" s="1144">
        <v>49.8</v>
      </c>
      <c r="Q42" s="3096"/>
      <c r="R42" s="3102">
        <v>100.6</v>
      </c>
      <c r="S42" s="1124"/>
      <c r="T42" s="3122"/>
      <c r="U42" s="3122"/>
      <c r="V42" s="3098">
        <f t="shared" si="8"/>
        <v>89.699999999999989</v>
      </c>
      <c r="W42" s="1125"/>
      <c r="X42" s="3098">
        <f>SUM(F42)+SUM(J42)+SUM(N42)+SUM(R42)</f>
        <v>181.1</v>
      </c>
      <c r="Y42" s="1124"/>
      <c r="Z42" s="3100"/>
      <c r="AA42" s="1125"/>
      <c r="AB42" s="3096">
        <v>92.299999999999983</v>
      </c>
      <c r="AC42" s="1124"/>
      <c r="AD42" s="3096">
        <v>191.1</v>
      </c>
      <c r="AE42" s="3096"/>
      <c r="AF42" s="3132"/>
      <c r="AG42" s="1124"/>
      <c r="AH42" s="3102">
        <f t="shared" si="9"/>
        <v>-10</v>
      </c>
      <c r="AI42" s="3134"/>
      <c r="AJ42" s="3104">
        <f t="shared" si="10"/>
        <v>-5.1999999999999998E-2</v>
      </c>
      <c r="AK42" s="2687"/>
      <c r="AL42" s="2682"/>
    </row>
    <row r="43" spans="1:38" ht="18" customHeight="1">
      <c r="A43" s="3083" t="s">
        <v>1166</v>
      </c>
      <c r="B43" s="3084"/>
      <c r="C43" s="3084"/>
      <c r="D43" s="3126">
        <f>ROUND(SUM(D38:D42),1)</f>
        <v>-32.799999999999997</v>
      </c>
      <c r="E43" s="186"/>
      <c r="F43" s="3126">
        <f>ROUND(SUM(F38:F42),1)</f>
        <v>170.7</v>
      </c>
      <c r="G43" s="184"/>
      <c r="H43" s="3126">
        <f>ROUND(SUM(H38:H42),1)</f>
        <v>43.7</v>
      </c>
      <c r="I43" s="67"/>
      <c r="J43" s="3126">
        <f>ROUND(SUM(J38:J42),1)</f>
        <v>104</v>
      </c>
      <c r="K43" s="184"/>
      <c r="L43" s="3136">
        <f>ROUND(SUM(L38:L42),1)</f>
        <v>0</v>
      </c>
      <c r="M43" s="3110"/>
      <c r="N43" s="3136">
        <f>ROUND(SUM(N38:N42),1)</f>
        <v>0</v>
      </c>
      <c r="O43" s="184"/>
      <c r="P43" s="3126">
        <f>ROUND(SUM(P38:P42),1)</f>
        <v>49.8</v>
      </c>
      <c r="Q43" s="67"/>
      <c r="R43" s="3126">
        <f>ROUND(SUM(R38:R42),1)</f>
        <v>100.7</v>
      </c>
      <c r="S43" s="184"/>
      <c r="T43" s="3111"/>
      <c r="U43" s="3111"/>
      <c r="V43" s="3135">
        <f>ROUND(SUM(V38:V42),1)</f>
        <v>60.7</v>
      </c>
      <c r="W43" s="186"/>
      <c r="X43" s="3135">
        <f>ROUND(SUM(X38:X42),1)</f>
        <v>375.4</v>
      </c>
      <c r="Y43" s="3289"/>
      <c r="Z43" s="3114"/>
      <c r="AA43" s="186"/>
      <c r="AB43" s="3135">
        <f>ROUND(SUM(AB38:AB42),1)</f>
        <v>515.1</v>
      </c>
      <c r="AC43" s="184"/>
      <c r="AD43" s="3135">
        <f>ROUND(SUM(AD38:AD42),1)</f>
        <v>788.3</v>
      </c>
      <c r="AE43" s="67"/>
      <c r="AF43" s="3116"/>
      <c r="AG43" s="186"/>
      <c r="AH43" s="3137">
        <f>ROUND(SUM(X43)-SUM(AD43),1)</f>
        <v>-412.9</v>
      </c>
      <c r="AI43" s="18"/>
      <c r="AJ43" s="3128">
        <f t="shared" si="10"/>
        <v>-0.52400000000000002</v>
      </c>
      <c r="AK43" s="2692"/>
      <c r="AL43" s="2693"/>
    </row>
    <row r="44" spans="1:38" ht="18" customHeight="1">
      <c r="A44" s="3084"/>
      <c r="B44" s="3084"/>
      <c r="C44" s="3084"/>
      <c r="D44" s="3129"/>
      <c r="E44" s="1125"/>
      <c r="F44" s="3130"/>
      <c r="G44" s="1124"/>
      <c r="H44" s="3129"/>
      <c r="I44" s="1145"/>
      <c r="J44" s="3131"/>
      <c r="K44" s="1124"/>
      <c r="L44" s="3129"/>
      <c r="M44" s="1145"/>
      <c r="N44" s="3131"/>
      <c r="O44" s="1124"/>
      <c r="P44" s="3129"/>
      <c r="Q44" s="1145"/>
      <c r="R44" s="3131"/>
      <c r="S44" s="1124"/>
      <c r="T44" s="3122"/>
      <c r="U44" s="3122"/>
      <c r="V44" s="3130"/>
      <c r="W44" s="1125"/>
      <c r="X44" s="3130"/>
      <c r="Y44" s="1125"/>
      <c r="Z44" s="3100"/>
      <c r="AA44" s="1125"/>
      <c r="AB44" s="3129"/>
      <c r="AC44" s="1124"/>
      <c r="AD44" s="3131"/>
      <c r="AE44" s="1145"/>
      <c r="AF44" s="3101"/>
      <c r="AG44" s="1125"/>
      <c r="AH44" s="1145"/>
      <c r="AI44" s="1139"/>
      <c r="AJ44" s="3287"/>
      <c r="AK44" s="2697"/>
      <c r="AL44" s="2682"/>
    </row>
    <row r="45" spans="1:38" ht="18" customHeight="1">
      <c r="A45" s="3125" t="s">
        <v>1489</v>
      </c>
      <c r="B45" s="3084"/>
      <c r="C45" s="3084"/>
      <c r="D45" s="1144"/>
      <c r="E45" s="1124"/>
      <c r="F45" s="1124"/>
      <c r="G45" s="1124"/>
      <c r="H45" s="1144"/>
      <c r="I45" s="1143"/>
      <c r="J45" s="1143"/>
      <c r="K45" s="1124"/>
      <c r="L45" s="1144"/>
      <c r="M45" s="1143"/>
      <c r="N45" s="1143"/>
      <c r="O45" s="1124"/>
      <c r="P45" s="1144"/>
      <c r="Q45" s="1143"/>
      <c r="R45" s="1143"/>
      <c r="S45" s="1124"/>
      <c r="T45" s="3122"/>
      <c r="U45" s="3122"/>
      <c r="V45" s="1125"/>
      <c r="W45" s="1125"/>
      <c r="X45" s="1124"/>
      <c r="Y45" s="1124"/>
      <c r="Z45" s="3100"/>
      <c r="AA45" s="1125"/>
      <c r="AB45" s="1146"/>
      <c r="AC45" s="1124"/>
      <c r="AD45" s="1143"/>
      <c r="AE45" s="1143"/>
      <c r="AF45" s="3101"/>
      <c r="AG45" s="1124"/>
      <c r="AH45" s="1144"/>
      <c r="AI45" s="1140"/>
      <c r="AJ45" s="3104"/>
      <c r="AK45" s="2697"/>
      <c r="AL45" s="2682"/>
    </row>
    <row r="46" spans="1:38" ht="18" customHeight="1">
      <c r="A46" s="3084" t="s">
        <v>1172</v>
      </c>
      <c r="B46" s="3084"/>
      <c r="C46" s="3084"/>
      <c r="D46" s="1148">
        <v>0</v>
      </c>
      <c r="E46" s="1143"/>
      <c r="F46" s="1144">
        <v>0</v>
      </c>
      <c r="G46" s="1124"/>
      <c r="H46" s="1148">
        <v>0</v>
      </c>
      <c r="I46" s="3096"/>
      <c r="J46" s="2689">
        <v>0</v>
      </c>
      <c r="K46" s="1143"/>
      <c r="L46" s="1148">
        <v>0</v>
      </c>
      <c r="M46" s="3096"/>
      <c r="N46" s="1149">
        <v>0</v>
      </c>
      <c r="O46" s="1143"/>
      <c r="P46" s="1148">
        <v>0</v>
      </c>
      <c r="Q46" s="3096"/>
      <c r="R46" s="1149">
        <v>0</v>
      </c>
      <c r="S46" s="1124"/>
      <c r="T46" s="3122"/>
      <c r="U46" s="3122"/>
      <c r="V46" s="3138">
        <f t="shared" ref="V46:V51" si="11">SUM(D46)+SUM(H46)+SUM(L46)+SUM(P46)</f>
        <v>0</v>
      </c>
      <c r="W46" s="1125"/>
      <c r="X46" s="3098">
        <f t="shared" ref="X46:X51" si="12">SUM(F46)+SUM(J46)+SUM(N46)+SUM(R46)</f>
        <v>0</v>
      </c>
      <c r="Y46" s="3099"/>
      <c r="Z46" s="3100"/>
      <c r="AA46" s="1125"/>
      <c r="AB46" s="3133">
        <v>0</v>
      </c>
      <c r="AC46" s="1124"/>
      <c r="AD46" s="3138">
        <v>0</v>
      </c>
      <c r="AE46" s="3096"/>
      <c r="AF46" s="3132"/>
      <c r="AG46" s="3099"/>
      <c r="AH46" s="3102">
        <f t="shared" ref="AH46:AH51" si="13">ROUND(SUM(X46)-SUM(AD46),1)</f>
        <v>0</v>
      </c>
      <c r="AI46" s="3103"/>
      <c r="AJ46" s="2843">
        <f>ROUND(IF(AD46=0,0,-AH46/(AD46)),3)</f>
        <v>0</v>
      </c>
      <c r="AK46" s="2687"/>
      <c r="AL46" s="2682"/>
    </row>
    <row r="47" spans="1:38" ht="18" customHeight="1">
      <c r="A47" s="3084" t="s">
        <v>1173</v>
      </c>
      <c r="B47" s="3084"/>
      <c r="C47" s="3084"/>
      <c r="D47" s="1144">
        <v>149.20000000000002</v>
      </c>
      <c r="E47" s="1143"/>
      <c r="F47" s="1144">
        <v>298.10000000000002</v>
      </c>
      <c r="G47" s="1124"/>
      <c r="H47" s="1148">
        <v>0</v>
      </c>
      <c r="I47" s="3096"/>
      <c r="J47" s="2689">
        <v>0</v>
      </c>
      <c r="K47" s="1143"/>
      <c r="L47" s="1148">
        <v>0</v>
      </c>
      <c r="M47" s="3096"/>
      <c r="N47" s="1149">
        <v>0</v>
      </c>
      <c r="O47" s="1143"/>
      <c r="P47" s="1148">
        <v>0</v>
      </c>
      <c r="Q47" s="3096"/>
      <c r="R47" s="1149">
        <v>0</v>
      </c>
      <c r="S47" s="1124"/>
      <c r="T47" s="3122"/>
      <c r="U47" s="3122"/>
      <c r="V47" s="3098">
        <f t="shared" si="11"/>
        <v>149.20000000000002</v>
      </c>
      <c r="W47" s="1125"/>
      <c r="X47" s="3098">
        <f t="shared" si="12"/>
        <v>298.10000000000002</v>
      </c>
      <c r="Y47" s="3099"/>
      <c r="Z47" s="3100"/>
      <c r="AA47" s="1125"/>
      <c r="AB47" s="3105">
        <v>119.39999999999999</v>
      </c>
      <c r="AC47" s="1124"/>
      <c r="AD47" s="3105">
        <v>203.1</v>
      </c>
      <c r="AE47" s="3105"/>
      <c r="AF47" s="3132"/>
      <c r="AG47" s="3099"/>
      <c r="AH47" s="3102">
        <f t="shared" si="13"/>
        <v>95</v>
      </c>
      <c r="AI47" s="3103"/>
      <c r="AJ47" s="3104">
        <f t="shared" ref="AJ47:AJ49" si="14">ROUND(AH47/AD47,3)</f>
        <v>0.46800000000000003</v>
      </c>
      <c r="AK47" s="2687"/>
      <c r="AL47" s="2682"/>
    </row>
    <row r="48" spans="1:38" ht="18" customHeight="1">
      <c r="A48" s="3084" t="s">
        <v>1174</v>
      </c>
      <c r="B48" s="3084"/>
      <c r="C48" s="3084"/>
      <c r="D48" s="1144">
        <v>1.5</v>
      </c>
      <c r="E48" s="1143"/>
      <c r="F48" s="1144">
        <v>2.4</v>
      </c>
      <c r="G48" s="1124"/>
      <c r="H48" s="1148">
        <v>0</v>
      </c>
      <c r="I48" s="3096"/>
      <c r="J48" s="2689">
        <v>0</v>
      </c>
      <c r="K48" s="1143"/>
      <c r="L48" s="1148">
        <v>0</v>
      </c>
      <c r="M48" s="3096"/>
      <c r="N48" s="1149">
        <v>0</v>
      </c>
      <c r="O48" s="1143"/>
      <c r="P48" s="1148">
        <v>0</v>
      </c>
      <c r="Q48" s="3096"/>
      <c r="R48" s="1149">
        <v>0</v>
      </c>
      <c r="S48" s="1124"/>
      <c r="T48" s="3122"/>
      <c r="U48" s="3122"/>
      <c r="V48" s="3098">
        <f t="shared" si="11"/>
        <v>1.5</v>
      </c>
      <c r="W48" s="1125"/>
      <c r="X48" s="3098">
        <f t="shared" si="12"/>
        <v>2.4</v>
      </c>
      <c r="Y48" s="3099"/>
      <c r="Z48" s="3100"/>
      <c r="AA48" s="1125"/>
      <c r="AB48" s="3105">
        <v>1.5</v>
      </c>
      <c r="AC48" s="1124"/>
      <c r="AD48" s="3105">
        <v>2.5</v>
      </c>
      <c r="AE48" s="3105"/>
      <c r="AF48" s="3132"/>
      <c r="AG48" s="3099"/>
      <c r="AH48" s="3102">
        <f t="shared" si="13"/>
        <v>-0.1</v>
      </c>
      <c r="AI48" s="3103"/>
      <c r="AJ48" s="3104">
        <f t="shared" si="14"/>
        <v>-0.04</v>
      </c>
      <c r="AK48" s="2687"/>
      <c r="AL48" s="2682"/>
    </row>
    <row r="49" spans="1:38" ht="18" customHeight="1">
      <c r="A49" s="3084" t="s">
        <v>1175</v>
      </c>
      <c r="B49" s="3084"/>
      <c r="C49" s="3084"/>
      <c r="D49" s="1148">
        <v>0</v>
      </c>
      <c r="E49" s="3098"/>
      <c r="F49" s="1149">
        <v>0</v>
      </c>
      <c r="G49" s="1124"/>
      <c r="H49" s="1148">
        <v>0</v>
      </c>
      <c r="I49" s="3096"/>
      <c r="J49" s="2689">
        <v>0</v>
      </c>
      <c r="K49" s="1143"/>
      <c r="L49" s="3102">
        <v>97.000000000000014</v>
      </c>
      <c r="M49" s="3096"/>
      <c r="N49" s="3102">
        <v>183.3</v>
      </c>
      <c r="O49" s="1143"/>
      <c r="P49" s="2695">
        <v>0</v>
      </c>
      <c r="Q49" s="3096"/>
      <c r="R49" s="3119">
        <v>0</v>
      </c>
      <c r="S49" s="1124"/>
      <c r="T49" s="3122"/>
      <c r="U49" s="3122"/>
      <c r="V49" s="3098">
        <f t="shared" si="11"/>
        <v>97.000000000000014</v>
      </c>
      <c r="W49" s="1125"/>
      <c r="X49" s="3098">
        <f t="shared" si="12"/>
        <v>183.3</v>
      </c>
      <c r="Y49" s="3099"/>
      <c r="Z49" s="3100"/>
      <c r="AA49" s="1125"/>
      <c r="AB49" s="3105">
        <v>72.899999999999991</v>
      </c>
      <c r="AC49" s="1124"/>
      <c r="AD49" s="3105">
        <v>146.19999999999999</v>
      </c>
      <c r="AE49" s="3096"/>
      <c r="AF49" s="3132"/>
      <c r="AG49" s="3099"/>
      <c r="AH49" s="3102">
        <f t="shared" si="13"/>
        <v>37.1</v>
      </c>
      <c r="AI49" s="3139"/>
      <c r="AJ49" s="3104">
        <f t="shared" si="14"/>
        <v>0.254</v>
      </c>
      <c r="AK49" s="2687"/>
      <c r="AL49" s="2682"/>
    </row>
    <row r="50" spans="1:38" ht="18" customHeight="1">
      <c r="A50" s="3084" t="s">
        <v>1176</v>
      </c>
      <c r="B50" s="3084"/>
      <c r="C50" s="3084"/>
      <c r="D50" s="1144">
        <v>0.1</v>
      </c>
      <c r="E50" s="1145"/>
      <c r="F50" s="3119">
        <v>0.1</v>
      </c>
      <c r="G50" s="1124"/>
      <c r="H50" s="1148">
        <v>0</v>
      </c>
      <c r="I50" s="3096"/>
      <c r="J50" s="2689">
        <v>0</v>
      </c>
      <c r="K50" s="1143"/>
      <c r="L50" s="1148">
        <v>0</v>
      </c>
      <c r="M50" s="3096"/>
      <c r="N50" s="1149">
        <v>0</v>
      </c>
      <c r="O50" s="1143"/>
      <c r="P50" s="1148">
        <v>0</v>
      </c>
      <c r="Q50" s="3096"/>
      <c r="R50" s="1149">
        <v>0</v>
      </c>
      <c r="S50" s="1124"/>
      <c r="T50" s="3122"/>
      <c r="U50" s="3122"/>
      <c r="V50" s="3098">
        <f t="shared" si="11"/>
        <v>0.1</v>
      </c>
      <c r="W50" s="1125"/>
      <c r="X50" s="3098">
        <f t="shared" si="12"/>
        <v>0.1</v>
      </c>
      <c r="Y50" s="3099"/>
      <c r="Z50" s="3100"/>
      <c r="AA50" s="1125"/>
      <c r="AB50" s="3105">
        <v>0</v>
      </c>
      <c r="AC50" s="1124"/>
      <c r="AD50" s="3133">
        <v>0.1</v>
      </c>
      <c r="AE50" s="3096"/>
      <c r="AF50" s="3132"/>
      <c r="AG50" s="3099"/>
      <c r="AH50" s="3102">
        <f t="shared" si="13"/>
        <v>0</v>
      </c>
      <c r="AI50" s="3139"/>
      <c r="AJ50" s="2843">
        <f>ROUND(IF(AD50=0,1,AH50/(AD50)),3)</f>
        <v>0</v>
      </c>
      <c r="AK50" s="2687"/>
      <c r="AL50" s="2682"/>
    </row>
    <row r="51" spans="1:38" ht="18" customHeight="1">
      <c r="A51" s="3095" t="s">
        <v>1177</v>
      </c>
      <c r="B51" s="3084"/>
      <c r="C51" s="3084"/>
      <c r="D51" s="1148">
        <v>0</v>
      </c>
      <c r="E51" s="1145"/>
      <c r="F51" s="1148">
        <v>0</v>
      </c>
      <c r="G51" s="1124"/>
      <c r="H51" s="1144">
        <v>87.300000000000011</v>
      </c>
      <c r="I51" s="3096"/>
      <c r="J51" s="3102">
        <v>219.9</v>
      </c>
      <c r="K51" s="1143"/>
      <c r="L51" s="1148">
        <v>0</v>
      </c>
      <c r="M51" s="3096"/>
      <c r="N51" s="1149">
        <v>0</v>
      </c>
      <c r="O51" s="1143"/>
      <c r="P51" s="1148">
        <v>0</v>
      </c>
      <c r="Q51" s="3096"/>
      <c r="R51" s="1149">
        <v>0</v>
      </c>
      <c r="S51" s="1124"/>
      <c r="T51" s="3122"/>
      <c r="U51" s="3122"/>
      <c r="V51" s="3098">
        <f t="shared" si="11"/>
        <v>87.300000000000011</v>
      </c>
      <c r="W51" s="1125"/>
      <c r="X51" s="3098">
        <f t="shared" si="12"/>
        <v>219.9</v>
      </c>
      <c r="Y51" s="3099"/>
      <c r="Z51" s="3100"/>
      <c r="AA51" s="1125"/>
      <c r="AB51" s="3105">
        <v>96.199999999999989</v>
      </c>
      <c r="AC51" s="1124"/>
      <c r="AD51" s="3105">
        <v>225</v>
      </c>
      <c r="AE51" s="3096"/>
      <c r="AF51" s="3132"/>
      <c r="AG51" s="3099"/>
      <c r="AH51" s="2689">
        <f t="shared" si="13"/>
        <v>-5.0999999999999996</v>
      </c>
      <c r="AI51" s="3139"/>
      <c r="AJ51" s="3140">
        <f t="shared" ref="AJ51:AJ52" si="15">ROUND(AH51/AD51,3)</f>
        <v>-2.3E-2</v>
      </c>
      <c r="AK51" s="2687"/>
      <c r="AL51" s="2682"/>
    </row>
    <row r="52" spans="1:38" ht="18" customHeight="1">
      <c r="A52" s="3083" t="s">
        <v>1166</v>
      </c>
      <c r="B52" s="3084"/>
      <c r="C52" s="3084"/>
      <c r="D52" s="3126">
        <f>ROUND(SUM(D46:D51),1)</f>
        <v>150.80000000000001</v>
      </c>
      <c r="E52" s="186"/>
      <c r="F52" s="3135">
        <f>ROUND(SUM(F46:F51),1)</f>
        <v>300.60000000000002</v>
      </c>
      <c r="G52" s="184"/>
      <c r="H52" s="3141">
        <f>ROUND(SUM(H46:H51),1)</f>
        <v>87.3</v>
      </c>
      <c r="I52" s="3110"/>
      <c r="J52" s="3141">
        <f>ROUND(SUM(J46:J51),1)</f>
        <v>219.9</v>
      </c>
      <c r="K52" s="184"/>
      <c r="L52" s="3126">
        <f>ROUND(SUM(L46:L51),1)</f>
        <v>97</v>
      </c>
      <c r="M52" s="67"/>
      <c r="N52" s="3126">
        <f>ROUND(SUM(N46:N51),1)</f>
        <v>183.3</v>
      </c>
      <c r="O52" s="184" t="s">
        <v>16</v>
      </c>
      <c r="P52" s="3126">
        <f>ROUND(SUM(P46:P51),1)</f>
        <v>0</v>
      </c>
      <c r="Q52" s="67"/>
      <c r="R52" s="3126">
        <f>ROUND(SUM(R46:R51),1)</f>
        <v>0</v>
      </c>
      <c r="S52" s="184"/>
      <c r="T52" s="3111"/>
      <c r="U52" s="3111"/>
      <c r="V52" s="3112">
        <f>ROUND(SUM(V46:V51),1)</f>
        <v>335.1</v>
      </c>
      <c r="W52" s="186"/>
      <c r="X52" s="3112">
        <f>ROUND(SUM(X46:X51),1)</f>
        <v>703.8</v>
      </c>
      <c r="Y52" s="3286"/>
      <c r="Z52" s="3114"/>
      <c r="AA52" s="186"/>
      <c r="AB52" s="3112">
        <f>ROUND(SUM(AB46:AB51),1)</f>
        <v>290</v>
      </c>
      <c r="AC52" s="184"/>
      <c r="AD52" s="3112">
        <f>ROUND(SUM(AD46:AD51),1)</f>
        <v>576.9</v>
      </c>
      <c r="AE52" s="3115"/>
      <c r="AF52" s="3116"/>
      <c r="AG52" s="3113"/>
      <c r="AH52" s="3127">
        <f>ROUND(SUM(X52)-SUM(AD52),1)</f>
        <v>126.9</v>
      </c>
      <c r="AI52" s="18"/>
      <c r="AJ52" s="3128">
        <f t="shared" si="15"/>
        <v>0.22</v>
      </c>
      <c r="AK52" s="2692"/>
      <c r="AL52" s="2693"/>
    </row>
    <row r="53" spans="1:38" ht="18" customHeight="1">
      <c r="A53" s="3084"/>
      <c r="B53" s="3084"/>
      <c r="C53" s="3084"/>
      <c r="D53" s="3142"/>
      <c r="E53" s="160"/>
      <c r="F53" s="3143"/>
      <c r="G53" s="1277"/>
      <c r="H53" s="3142"/>
      <c r="I53" s="18"/>
      <c r="J53" s="3144"/>
      <c r="K53" s="1277"/>
      <c r="L53" s="3142"/>
      <c r="M53" s="18"/>
      <c r="N53" s="3144"/>
      <c r="O53" s="1277"/>
      <c r="P53" s="3142"/>
      <c r="Q53" s="18"/>
      <c r="R53" s="3144"/>
      <c r="S53" s="1277"/>
      <c r="T53" s="3145"/>
      <c r="U53" s="3145"/>
      <c r="V53" s="3143"/>
      <c r="W53" s="199"/>
      <c r="X53" s="3143"/>
      <c r="Y53" s="160"/>
      <c r="Z53" s="3146"/>
      <c r="AA53" s="199"/>
      <c r="AB53" s="3142"/>
      <c r="AC53" s="1277"/>
      <c r="AD53" s="3144"/>
      <c r="AE53" s="18"/>
      <c r="AF53" s="3147"/>
      <c r="AG53" s="160"/>
      <c r="AH53" s="3148"/>
      <c r="AI53" s="18"/>
      <c r="AJ53" s="3149"/>
      <c r="AK53" s="2693"/>
      <c r="AL53" s="2693"/>
    </row>
    <row r="54" spans="1:38" ht="18" customHeight="1" thickBot="1">
      <c r="A54" s="3083" t="s">
        <v>1178</v>
      </c>
      <c r="B54" s="3084"/>
      <c r="C54" s="3084"/>
      <c r="D54" s="3150">
        <f>ROUND(SUM(D25)+SUM(D35)+SUM(D43)+SUM(D52),1)</f>
        <v>2371.3000000000002</v>
      </c>
      <c r="E54" s="3151"/>
      <c r="F54" s="3150">
        <f>ROUND(SUM(F25)+SUM(F35)+SUM(F43)+SUM(F52),1)</f>
        <v>8267.2999999999993</v>
      </c>
      <c r="G54" s="3489"/>
      <c r="H54" s="3150">
        <f>ROUND(SUM(H25)+SUM(H35)+SUM(H43)+SUM(H52),1)</f>
        <v>277.8</v>
      </c>
      <c r="I54" s="3490"/>
      <c r="J54" s="3150">
        <f>ROUND(SUM(J25)+SUM(J35)+SUM(J43)+SUM(J52),1)</f>
        <v>677.4</v>
      </c>
      <c r="K54" s="3151"/>
      <c r="L54" s="3150">
        <f>ROUND(SUM(L25)+SUM(L35)+SUM(L43)+SUM(L52),1)</f>
        <v>1142.5999999999999</v>
      </c>
      <c r="M54" s="3151"/>
      <c r="N54" s="3150">
        <f>ROUND(SUM(N25)+SUM(N35)+SUM(N43)+SUM(N52),1)</f>
        <v>3388.4</v>
      </c>
      <c r="O54" s="3151"/>
      <c r="P54" s="3150">
        <f>ROUND(SUM(P25)+SUM(P35)+SUM(P43)+SUM(P52),1)</f>
        <v>93.3</v>
      </c>
      <c r="Q54" s="3151"/>
      <c r="R54" s="3150">
        <f>ROUND(SUM(R25)+SUM(R35)+SUM(R43)+SUM(R52),1)</f>
        <v>193.2</v>
      </c>
      <c r="S54" s="3152"/>
      <c r="T54" s="3153"/>
      <c r="U54" s="3151"/>
      <c r="V54" s="3154">
        <f>ROUND(SUM(V25)+SUM(V35)+SUM(V43)+SUM(V52),1)</f>
        <v>3885</v>
      </c>
      <c r="W54" s="3151"/>
      <c r="X54" s="3154">
        <f>ROUND(SUM(X25)+SUM(X35)+SUM(X43)+SUM(X52),1)</f>
        <v>12526.3</v>
      </c>
      <c r="Y54" s="3290"/>
      <c r="Z54" s="3155"/>
      <c r="AA54" s="3151"/>
      <c r="AB54" s="3154">
        <f>ROUND(SUM(AB25)+SUM(AB35)+SUM(AB43)+SUM(AB52),1)</f>
        <v>4071.2</v>
      </c>
      <c r="AC54" s="3151"/>
      <c r="AD54" s="3154">
        <f>ROUND(SUM(AD25)+SUM(AD35)+SUM(AD43)+SUM(AD52),1)</f>
        <v>11189</v>
      </c>
      <c r="AE54" s="3156"/>
      <c r="AF54" s="3157"/>
      <c r="AG54" s="3156"/>
      <c r="AH54" s="3158">
        <f>ROUND(SUM(X54)-SUM(AD54),1)</f>
        <v>1337.3</v>
      </c>
      <c r="AI54" s="18"/>
      <c r="AJ54" s="3159">
        <f>ROUND(AH54/AD54,3)</f>
        <v>0.12</v>
      </c>
      <c r="AK54" s="2692"/>
      <c r="AL54" s="2693"/>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AH19:AJ19 AH24 AJ50" 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70" zoomScaleSheetLayoutView="75" workbookViewId="0"/>
  </sheetViews>
  <sheetFormatPr defaultColWidth="8.88671875" defaultRowHeight="16.5" customHeight="1"/>
  <cols>
    <col min="1" max="1" width="43.6640625" style="420" customWidth="1"/>
    <col min="2" max="2" width="1.6640625" style="420" customWidth="1"/>
    <col min="3" max="3" width="13.44140625" style="420" customWidth="1"/>
    <col min="4" max="4" width="1.6640625" style="420" customWidth="1"/>
    <col min="5" max="5" width="13.21875" style="420" bestFit="1" customWidth="1"/>
    <col min="6" max="6" width="1.6640625" style="420" customWidth="1"/>
    <col min="7" max="7" width="12.44140625" style="420" bestFit="1" customWidth="1"/>
    <col min="8" max="8" width="1.6640625" style="420" customWidth="1"/>
    <col min="9" max="9" width="14.44140625" style="420" customWidth="1"/>
    <col min="10" max="10" width="1.6640625" style="420" customWidth="1"/>
    <col min="11" max="11" width="12.33203125" style="420" bestFit="1" customWidth="1"/>
    <col min="12" max="12" width="1.6640625" style="420" customWidth="1"/>
    <col min="13" max="13" width="13.33203125" style="420" customWidth="1"/>
    <col min="14" max="14" width="1.6640625" style="420" customWidth="1"/>
    <col min="15" max="15" width="11.77734375" style="420" customWidth="1"/>
    <col min="16" max="16" width="1.6640625" style="420" customWidth="1"/>
    <col min="17" max="17" width="11.777343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2.33203125" style="420" customWidth="1"/>
    <col min="24" max="24" width="1.6640625" style="420" customWidth="1"/>
    <col min="25" max="25" width="12.88671875" style="420" bestFit="1" customWidth="1"/>
    <col min="26" max="27" width="1.6640625" style="420" customWidth="1"/>
    <col min="28" max="28" width="15.21875" style="420" customWidth="1"/>
    <col min="29" max="30" width="1.6640625" style="420" customWidth="1"/>
    <col min="31" max="31" width="13.5546875" style="420" bestFit="1" customWidth="1"/>
    <col min="32" max="33" width="1.6640625" style="420" customWidth="1"/>
    <col min="34" max="34" width="12.88671875" style="420" bestFit="1" customWidth="1"/>
    <col min="35" max="35" width="1.88671875" style="420" customWidth="1"/>
    <col min="36" max="36" width="13.6640625" style="420" customWidth="1"/>
    <col min="37" max="16384" width="8.88671875" style="420"/>
  </cols>
  <sheetData>
    <row r="1" spans="1:37" ht="16.5" customHeight="1">
      <c r="A1" s="1190" t="s">
        <v>1231</v>
      </c>
    </row>
    <row r="2" spans="1:37" ht="16.5" customHeight="1">
      <c r="A2" s="1738"/>
    </row>
    <row r="3" spans="1:37" ht="20.25" customHeight="1">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0.25" customHeight="1">
      <c r="A4" s="428" t="s">
        <v>127</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0.25" customHeight="1">
      <c r="A5" s="430" t="s">
        <v>128</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12"/>
      <c r="AD5" s="3513"/>
      <c r="AE5" s="3513"/>
      <c r="AF5" s="3513"/>
      <c r="AG5" s="3513"/>
      <c r="AH5" s="3513"/>
      <c r="AI5" s="3513"/>
      <c r="AJ5" s="3513"/>
    </row>
    <row r="6" spans="1:37" ht="20.25" customHeight="1">
      <c r="A6" s="430" t="s">
        <v>1541</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0.25" customHeight="1">
      <c r="A7" s="428" t="s">
        <v>1116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6.5" customHeight="1">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8"/>
      <c r="AB12" s="3514" t="s">
        <v>1597</v>
      </c>
      <c r="AC12" s="3514"/>
      <c r="AD12" s="3514"/>
      <c r="AE12" s="3514"/>
      <c r="AF12" s="3514"/>
      <c r="AG12" s="3514"/>
      <c r="AH12" s="3514"/>
      <c r="AI12" s="3514"/>
      <c r="AJ12" s="3514"/>
    </row>
    <row r="13" spans="1:37" ht="16.5" customHeight="1">
      <c r="A13" s="431"/>
      <c r="B13" s="431"/>
      <c r="C13" s="3440">
        <v>2015</v>
      </c>
      <c r="D13" s="986"/>
      <c r="E13" s="986"/>
      <c r="F13" s="986"/>
      <c r="G13" s="986"/>
      <c r="H13" s="986"/>
      <c r="I13" s="986"/>
      <c r="J13" s="986"/>
      <c r="K13" s="986"/>
      <c r="L13" s="986"/>
      <c r="M13" s="986"/>
      <c r="N13" s="986"/>
      <c r="O13" s="986"/>
      <c r="P13" s="986"/>
      <c r="Q13" s="986"/>
      <c r="R13" s="986"/>
      <c r="S13" s="986"/>
      <c r="T13" s="986"/>
      <c r="U13" s="3440">
        <v>2016</v>
      </c>
      <c r="V13" s="986"/>
      <c r="W13" s="986"/>
      <c r="X13" s="986"/>
      <c r="Y13" s="986"/>
      <c r="Z13" s="986"/>
      <c r="AA13" s="986"/>
      <c r="AB13" s="986"/>
      <c r="AC13" s="1515"/>
      <c r="AD13" s="1515"/>
      <c r="AE13" s="1515"/>
      <c r="AF13" s="986"/>
      <c r="AG13" s="986"/>
      <c r="AH13" s="1516" t="s">
        <v>8</v>
      </c>
      <c r="AI13" s="1514"/>
      <c r="AJ13" s="1516" t="s">
        <v>9</v>
      </c>
    </row>
    <row r="14" spans="1:37" ht="16.5" customHeight="1">
      <c r="A14" s="431"/>
      <c r="B14" s="431"/>
      <c r="C14" s="1516" t="s">
        <v>129</v>
      </c>
      <c r="D14" s="986"/>
      <c r="E14" s="1516" t="s">
        <v>130</v>
      </c>
      <c r="F14" s="986"/>
      <c r="G14" s="1516" t="s">
        <v>131</v>
      </c>
      <c r="H14" s="986"/>
      <c r="I14" s="1516" t="s">
        <v>132</v>
      </c>
      <c r="J14" s="986"/>
      <c r="K14" s="1516" t="s">
        <v>133</v>
      </c>
      <c r="L14" s="986"/>
      <c r="M14" s="1516" t="s">
        <v>134</v>
      </c>
      <c r="N14" s="986"/>
      <c r="O14" s="1516" t="s">
        <v>135</v>
      </c>
      <c r="P14" s="986"/>
      <c r="Q14" s="1516" t="s">
        <v>136</v>
      </c>
      <c r="R14" s="986"/>
      <c r="S14" s="1516" t="s">
        <v>137</v>
      </c>
      <c r="T14" s="986"/>
      <c r="U14" s="1516" t="s">
        <v>138</v>
      </c>
      <c r="V14" s="986"/>
      <c r="W14" s="1516" t="s">
        <v>139</v>
      </c>
      <c r="X14" s="986"/>
      <c r="Y14" s="1516" t="s">
        <v>140</v>
      </c>
      <c r="Z14" s="986"/>
      <c r="AA14" s="986"/>
      <c r="AB14" s="1517">
        <v>2015</v>
      </c>
      <c r="AC14" s="986"/>
      <c r="AD14" s="986"/>
      <c r="AE14" s="1517">
        <v>2014</v>
      </c>
      <c r="AF14" s="986"/>
      <c r="AG14" s="986"/>
      <c r="AH14" s="1518" t="s">
        <v>13</v>
      </c>
      <c r="AI14" s="1514"/>
      <c r="AJ14" s="1518" t="s">
        <v>14</v>
      </c>
    </row>
    <row r="15" spans="1:37" ht="6" customHeight="1">
      <c r="A15" s="431"/>
      <c r="B15" s="431"/>
      <c r="C15" s="989"/>
      <c r="D15" s="431"/>
      <c r="E15" s="989"/>
      <c r="F15" s="431"/>
      <c r="G15" s="989"/>
      <c r="H15" s="431"/>
      <c r="I15" s="989"/>
      <c r="J15" s="431"/>
      <c r="K15" s="989"/>
      <c r="L15" s="431"/>
      <c r="M15" s="989"/>
      <c r="N15" s="431"/>
      <c r="O15" s="989" t="s">
        <v>16</v>
      </c>
      <c r="P15" s="431"/>
      <c r="Q15" s="989"/>
      <c r="R15" s="431"/>
      <c r="S15" s="989"/>
      <c r="T15" s="431"/>
      <c r="U15" s="989" t="s">
        <v>16</v>
      </c>
      <c r="V15" s="431"/>
      <c r="W15" s="989"/>
      <c r="X15" s="431"/>
      <c r="Y15" s="989"/>
      <c r="Z15" s="431"/>
      <c r="AA15" s="431"/>
      <c r="AB15" s="989"/>
      <c r="AC15" s="431"/>
      <c r="AD15" s="431"/>
      <c r="AE15" s="989"/>
      <c r="AF15" s="431"/>
      <c r="AG15" s="431"/>
      <c r="AI15" s="431"/>
    </row>
    <row r="16" spans="1:37" ht="16.5" customHeight="1">
      <c r="A16" s="987" t="s">
        <v>141</v>
      </c>
      <c r="B16" s="431"/>
      <c r="C16" s="1334">
        <v>9355.6</v>
      </c>
      <c r="D16" s="990"/>
      <c r="E16" s="990">
        <f>C142</f>
        <v>12663.6</v>
      </c>
      <c r="F16" s="990"/>
      <c r="G16" s="990"/>
      <c r="H16" s="990"/>
      <c r="I16" s="990"/>
      <c r="J16" s="990"/>
      <c r="K16" s="990"/>
      <c r="L16" s="990"/>
      <c r="M16" s="990"/>
      <c r="N16" s="990"/>
      <c r="O16" s="990"/>
      <c r="P16" s="990"/>
      <c r="Q16" s="990"/>
      <c r="R16" s="990"/>
      <c r="S16" s="990"/>
      <c r="T16" s="990"/>
      <c r="U16" s="990"/>
      <c r="V16" s="990"/>
      <c r="W16" s="990"/>
      <c r="X16" s="990"/>
      <c r="Y16" s="990"/>
      <c r="Z16" s="990"/>
      <c r="AA16" s="991"/>
      <c r="AB16" s="990">
        <f>C16</f>
        <v>9355.6</v>
      </c>
      <c r="AC16" s="990"/>
      <c r="AD16" s="992"/>
      <c r="AE16" s="990">
        <v>4034.5</v>
      </c>
      <c r="AF16" s="990"/>
      <c r="AG16" s="990"/>
      <c r="AH16" s="990">
        <f>ROUND(SUM(AB16-AE16),1)</f>
        <v>5321.1</v>
      </c>
      <c r="AI16" s="986"/>
      <c r="AJ16" s="514">
        <f>ROUND(SUM(AH16/AE16),3)</f>
        <v>1.319</v>
      </c>
      <c r="AK16" s="796"/>
    </row>
    <row r="17" spans="1:36" ht="16.5" customHeight="1">
      <c r="A17" s="431"/>
      <c r="B17" s="431"/>
      <c r="C17" s="431" t="s">
        <v>16</v>
      </c>
      <c r="D17" s="431"/>
      <c r="E17" s="993"/>
      <c r="F17" s="431"/>
      <c r="G17" s="993"/>
      <c r="H17" s="431"/>
      <c r="I17" s="993"/>
      <c r="J17" s="431"/>
      <c r="K17" s="993"/>
      <c r="L17" s="431"/>
      <c r="M17" s="993"/>
      <c r="N17" s="431"/>
      <c r="O17" s="993"/>
      <c r="P17" s="431"/>
      <c r="Q17" s="993"/>
      <c r="R17" s="431"/>
      <c r="S17" s="993"/>
      <c r="T17" s="431"/>
      <c r="U17" s="993"/>
      <c r="V17" s="431"/>
      <c r="W17" s="993"/>
      <c r="X17" s="431"/>
      <c r="Y17" s="993"/>
      <c r="Z17" s="431"/>
      <c r="AA17" s="994"/>
      <c r="AB17" s="431" t="s">
        <v>16</v>
      </c>
      <c r="AC17" s="431"/>
      <c r="AD17" s="995"/>
      <c r="AE17" s="431" t="s">
        <v>16</v>
      </c>
      <c r="AF17" s="431"/>
      <c r="AG17" s="431"/>
      <c r="AH17" s="1721"/>
      <c r="AI17" s="431"/>
      <c r="AJ17" s="1721"/>
    </row>
    <row r="18" spans="1:36" ht="16.5" customHeight="1">
      <c r="A18" s="410" t="s">
        <v>15</v>
      </c>
      <c r="B18" s="431"/>
      <c r="C18" s="431"/>
      <c r="D18" s="431"/>
      <c r="E18" s="993"/>
      <c r="F18" s="431"/>
      <c r="G18" s="993"/>
      <c r="H18" s="431"/>
      <c r="I18" s="993"/>
      <c r="J18" s="431"/>
      <c r="K18" s="993"/>
      <c r="L18" s="431"/>
      <c r="M18" s="993"/>
      <c r="N18" s="431"/>
      <c r="O18" s="993"/>
      <c r="P18" s="431"/>
      <c r="Q18" s="993"/>
      <c r="R18" s="431"/>
      <c r="S18" s="993"/>
      <c r="T18" s="431"/>
      <c r="U18" s="993"/>
      <c r="V18" s="431"/>
      <c r="W18" s="993"/>
      <c r="X18" s="431"/>
      <c r="Y18" s="993"/>
      <c r="Z18" s="431"/>
      <c r="AA18" s="994"/>
      <c r="AB18" s="431"/>
      <c r="AC18" s="431"/>
      <c r="AD18" s="995"/>
      <c r="AE18" s="431"/>
      <c r="AF18" s="431"/>
      <c r="AG18" s="431"/>
      <c r="AH18" s="1721"/>
      <c r="AI18" s="431"/>
      <c r="AJ18" s="1721"/>
    </row>
    <row r="19" spans="1:36" ht="16.5" customHeight="1">
      <c r="A19" s="491" t="s">
        <v>1373</v>
      </c>
      <c r="B19" s="431"/>
      <c r="C19" s="431"/>
      <c r="D19" s="431"/>
      <c r="E19" s="993"/>
      <c r="F19" s="431"/>
      <c r="G19" s="993"/>
      <c r="H19" s="431"/>
      <c r="I19" s="993"/>
      <c r="J19" s="431"/>
      <c r="K19" s="993"/>
      <c r="L19" s="431"/>
      <c r="M19" s="993"/>
      <c r="N19" s="431"/>
      <c r="O19" s="993"/>
      <c r="P19" s="431"/>
      <c r="Q19" s="993"/>
      <c r="R19" s="431"/>
      <c r="S19" s="993"/>
      <c r="T19" s="431"/>
      <c r="U19" s="993"/>
      <c r="V19" s="431"/>
      <c r="W19" s="993"/>
      <c r="X19" s="431"/>
      <c r="Y19" s="993"/>
      <c r="Z19" s="431"/>
      <c r="AA19" s="994"/>
      <c r="AB19" s="431"/>
      <c r="AC19" s="431"/>
      <c r="AD19" s="995"/>
      <c r="AE19" s="431"/>
      <c r="AF19" s="431"/>
      <c r="AG19" s="431"/>
      <c r="AH19" s="1721"/>
      <c r="AI19" s="431"/>
      <c r="AJ19" s="1721"/>
    </row>
    <row r="20" spans="1:36" ht="16.5" customHeight="1">
      <c r="A20" s="2089" t="s">
        <v>1443</v>
      </c>
      <c r="B20" s="1276"/>
      <c r="C20" s="1140"/>
      <c r="D20" s="1140"/>
      <c r="E20" s="1140"/>
      <c r="F20" s="1140"/>
      <c r="G20" s="1140"/>
      <c r="H20" s="431"/>
      <c r="I20" s="993"/>
      <c r="J20" s="431"/>
      <c r="K20" s="993"/>
      <c r="L20" s="431"/>
      <c r="M20" s="993"/>
      <c r="N20" s="431"/>
      <c r="O20" s="993"/>
      <c r="P20" s="431"/>
      <c r="Q20" s="993"/>
      <c r="R20" s="431"/>
      <c r="S20" s="993"/>
      <c r="T20" s="431"/>
      <c r="U20" s="993"/>
      <c r="V20" s="431"/>
      <c r="W20" s="993"/>
      <c r="X20" s="431"/>
      <c r="Y20" s="993"/>
      <c r="Z20" s="431"/>
      <c r="AA20" s="1943"/>
      <c r="AB20" s="431"/>
      <c r="AC20" s="431"/>
      <c r="AD20" s="995"/>
      <c r="AE20" s="431"/>
      <c r="AF20" s="431"/>
      <c r="AG20" s="431"/>
      <c r="AH20" s="1721"/>
      <c r="AI20" s="431"/>
      <c r="AJ20" s="1721"/>
    </row>
    <row r="21" spans="1:36" ht="16.5" customHeight="1">
      <c r="A21" s="1276" t="s">
        <v>1381</v>
      </c>
      <c r="B21" s="1276"/>
      <c r="C21" s="697">
        <f>+'Exh F'!D19</f>
        <v>2961.1</v>
      </c>
      <c r="D21" s="1143"/>
      <c r="E21" s="697">
        <f>+'Exh F'!F19</f>
        <v>2449.1999999999998</v>
      </c>
      <c r="F21" s="1143"/>
      <c r="G21" s="697"/>
      <c r="H21" s="996"/>
      <c r="I21" s="697"/>
      <c r="J21" s="996"/>
      <c r="K21" s="697"/>
      <c r="L21" s="431"/>
      <c r="M21" s="697"/>
      <c r="N21" s="431"/>
      <c r="O21" s="697"/>
      <c r="P21" s="431"/>
      <c r="Q21" s="697"/>
      <c r="R21" s="431"/>
      <c r="S21" s="697"/>
      <c r="T21" s="431"/>
      <c r="U21" s="697"/>
      <c r="V21" s="431"/>
      <c r="W21" s="697"/>
      <c r="X21" s="431"/>
      <c r="Y21" s="697"/>
      <c r="Z21" s="431"/>
      <c r="AA21" s="1943"/>
      <c r="AB21" s="996">
        <f t="shared" ref="AB21:AB30" si="0">ROUND(SUM(C21:Y21),1)</f>
        <v>5410.3</v>
      </c>
      <c r="AC21" s="431"/>
      <c r="AD21" s="995"/>
      <c r="AE21" s="697">
        <f>+'Exh F'!AF19</f>
        <v>5181.8</v>
      </c>
      <c r="AF21" s="431"/>
      <c r="AG21" s="431"/>
      <c r="AH21" s="1177">
        <f>ROUND(SUM(+AB21-AE21),1)</f>
        <v>228.5</v>
      </c>
      <c r="AI21" s="2104"/>
      <c r="AJ21" s="1871">
        <f t="shared" ref="AJ21:AJ26" si="1">ROUND(IF(AE21=0,0,AH21/(AE21)),3)</f>
        <v>4.3999999999999997E-2</v>
      </c>
    </row>
    <row r="22" spans="1:36" ht="16.5" customHeight="1">
      <c r="A22" s="1276" t="s">
        <v>1382</v>
      </c>
      <c r="B22" s="1281"/>
      <c r="C22" s="697">
        <f>+'Exh F'!D20</f>
        <v>5313.5</v>
      </c>
      <c r="D22" s="1143"/>
      <c r="E22" s="697">
        <f>+'Exh F'!F20</f>
        <v>124.7</v>
      </c>
      <c r="F22" s="1143"/>
      <c r="G22" s="697"/>
      <c r="H22" s="996"/>
      <c r="I22" s="697"/>
      <c r="J22" s="996"/>
      <c r="K22" s="697"/>
      <c r="L22" s="431"/>
      <c r="M22" s="697"/>
      <c r="N22" s="431"/>
      <c r="O22" s="697"/>
      <c r="P22" s="431"/>
      <c r="Q22" s="697"/>
      <c r="R22" s="431"/>
      <c r="S22" s="697"/>
      <c r="T22" s="431"/>
      <c r="U22" s="697"/>
      <c r="V22" s="431"/>
      <c r="W22" s="697"/>
      <c r="X22" s="431"/>
      <c r="Y22" s="697"/>
      <c r="Z22" s="431"/>
      <c r="AA22" s="1943"/>
      <c r="AB22" s="996">
        <f t="shared" si="0"/>
        <v>5438.2</v>
      </c>
      <c r="AC22" s="431"/>
      <c r="AD22" s="995"/>
      <c r="AE22" s="697">
        <f>+'Exh F'!AF20</f>
        <v>4152.5</v>
      </c>
      <c r="AF22" s="431"/>
      <c r="AG22" s="431"/>
      <c r="AH22" s="1177">
        <f>ROUND(SUM(+AB22-AE22),1)</f>
        <v>1285.7</v>
      </c>
      <c r="AI22" s="2104"/>
      <c r="AJ22" s="1871">
        <f t="shared" si="1"/>
        <v>0.31</v>
      </c>
    </row>
    <row r="23" spans="1:36" ht="16.5" customHeight="1">
      <c r="A23" s="1276" t="s">
        <v>1383</v>
      </c>
      <c r="B23" s="1276"/>
      <c r="C23" s="697">
        <f>+'Exh F'!D21</f>
        <v>1687.1</v>
      </c>
      <c r="D23" s="1143"/>
      <c r="E23" s="697">
        <f>+'Exh F'!F21</f>
        <v>78.2</v>
      </c>
      <c r="F23" s="1143"/>
      <c r="G23" s="697"/>
      <c r="H23" s="996"/>
      <c r="I23" s="697"/>
      <c r="J23" s="996"/>
      <c r="K23" s="697"/>
      <c r="L23" s="431"/>
      <c r="M23" s="697"/>
      <c r="N23" s="431"/>
      <c r="O23" s="697"/>
      <c r="P23" s="431"/>
      <c r="Q23" s="697"/>
      <c r="R23" s="431"/>
      <c r="S23" s="697"/>
      <c r="T23" s="431"/>
      <c r="U23" s="697"/>
      <c r="V23" s="431"/>
      <c r="W23" s="697"/>
      <c r="X23" s="431"/>
      <c r="Y23" s="697"/>
      <c r="Z23" s="431"/>
      <c r="AA23" s="1943"/>
      <c r="AB23" s="996">
        <f t="shared" si="0"/>
        <v>1765.3</v>
      </c>
      <c r="AC23" s="431"/>
      <c r="AD23" s="995"/>
      <c r="AE23" s="697">
        <f>+'Exh F'!AF21</f>
        <v>1490.9</v>
      </c>
      <c r="AF23" s="431"/>
      <c r="AG23" s="431"/>
      <c r="AH23" s="1177">
        <f>ROUND(SUM(+AB23-AE23),1)</f>
        <v>274.39999999999998</v>
      </c>
      <c r="AI23" s="2104"/>
      <c r="AJ23" s="1871">
        <f t="shared" si="1"/>
        <v>0.184</v>
      </c>
    </row>
    <row r="24" spans="1:36" ht="16.5" customHeight="1">
      <c r="A24" s="2127" t="s">
        <v>1384</v>
      </c>
      <c r="B24" s="1276"/>
      <c r="C24" s="697">
        <f>+'Exh F'!D22</f>
        <v>-144.80000000000001</v>
      </c>
      <c r="D24" s="1143"/>
      <c r="E24" s="697">
        <f>+'Exh F'!F22</f>
        <v>-26.1</v>
      </c>
      <c r="F24" s="1143"/>
      <c r="G24" s="697"/>
      <c r="H24" s="996"/>
      <c r="I24" s="697"/>
      <c r="J24" s="996"/>
      <c r="K24" s="697"/>
      <c r="L24" s="431"/>
      <c r="M24" s="697"/>
      <c r="N24" s="431"/>
      <c r="O24" s="697"/>
      <c r="P24" s="431"/>
      <c r="Q24" s="697"/>
      <c r="R24" s="431"/>
      <c r="S24" s="697"/>
      <c r="T24" s="431"/>
      <c r="U24" s="697"/>
      <c r="V24" s="431"/>
      <c r="W24" s="697"/>
      <c r="X24" s="431"/>
      <c r="Y24" s="697"/>
      <c r="Z24" s="431"/>
      <c r="AA24" s="1943"/>
      <c r="AB24" s="996">
        <f t="shared" si="0"/>
        <v>-170.9</v>
      </c>
      <c r="AC24" s="431"/>
      <c r="AD24" s="995"/>
      <c r="AE24" s="697">
        <f>+'Exh F'!AF22</f>
        <v>-151</v>
      </c>
      <c r="AF24" s="431"/>
      <c r="AG24" s="431"/>
      <c r="AH24" s="1177">
        <f>-ROUND(SUM(+AB24-AE24),1)</f>
        <v>19.899999999999999</v>
      </c>
      <c r="AI24" s="2104"/>
      <c r="AJ24" s="2843">
        <f>-ROUND(IF(AE24=0,0,AH24/(AE24)),3)</f>
        <v>0.13200000000000001</v>
      </c>
    </row>
    <row r="25" spans="1:36" ht="16.5" customHeight="1">
      <c r="A25" s="2127" t="s">
        <v>1385</v>
      </c>
      <c r="B25" s="1276"/>
      <c r="C25" s="697">
        <f>+'Exh F'!D23</f>
        <v>143.69999999999999</v>
      </c>
      <c r="D25" s="1143"/>
      <c r="E25" s="697">
        <f>+'Exh F'!F23</f>
        <v>95.5</v>
      </c>
      <c r="F25" s="1143"/>
      <c r="G25" s="697"/>
      <c r="H25" s="996"/>
      <c r="I25" s="697"/>
      <c r="J25" s="996"/>
      <c r="K25" s="697"/>
      <c r="L25" s="431"/>
      <c r="M25" s="697"/>
      <c r="N25" s="431"/>
      <c r="O25" s="697"/>
      <c r="P25" s="431"/>
      <c r="Q25" s="697"/>
      <c r="R25" s="431"/>
      <c r="S25" s="697"/>
      <c r="T25" s="431"/>
      <c r="U25" s="697"/>
      <c r="V25" s="431"/>
      <c r="W25" s="697"/>
      <c r="X25" s="431"/>
      <c r="Y25" s="697"/>
      <c r="Z25" s="431"/>
      <c r="AA25" s="1943"/>
      <c r="AB25" s="996">
        <f t="shared" si="0"/>
        <v>239.2</v>
      </c>
      <c r="AC25" s="431"/>
      <c r="AD25" s="995"/>
      <c r="AE25" s="697">
        <f>+'Exh F'!AF23</f>
        <v>239.1</v>
      </c>
      <c r="AF25" s="431"/>
      <c r="AG25" s="431"/>
      <c r="AH25" s="1177">
        <f>ROUND(SUM(+AB25-AE25),1)</f>
        <v>0.1</v>
      </c>
      <c r="AI25" s="2104"/>
      <c r="AJ25" s="2846">
        <f t="shared" si="1"/>
        <v>0</v>
      </c>
    </row>
    <row r="26" spans="1:36" ht="16.5" customHeight="1">
      <c r="A26" s="1277" t="s">
        <v>1386</v>
      </c>
      <c r="B26" s="1277"/>
      <c r="C26" s="1280">
        <f>ROUND(SUM(C21:C25),1)</f>
        <v>9960.6</v>
      </c>
      <c r="D26" s="184"/>
      <c r="E26" s="1280">
        <f>ROUND(SUM(E21:E25),1)</f>
        <v>2721.5</v>
      </c>
      <c r="F26" s="184"/>
      <c r="G26" s="1831">
        <f>ROUND(SUM(G21:G25),1)</f>
        <v>0</v>
      </c>
      <c r="H26" s="431"/>
      <c r="I26" s="1831">
        <f>ROUND(SUM(I21:I25),1)</f>
        <v>0</v>
      </c>
      <c r="J26" s="431"/>
      <c r="K26" s="1831">
        <f>ROUND(SUM(K21:K25),1)</f>
        <v>0</v>
      </c>
      <c r="L26" s="431"/>
      <c r="M26" s="1831">
        <f>ROUND(SUM(M21:M25),1)</f>
        <v>0</v>
      </c>
      <c r="N26" s="431"/>
      <c r="O26" s="1831">
        <f>ROUND(SUM(O21:O25),1)</f>
        <v>0</v>
      </c>
      <c r="P26" s="431"/>
      <c r="Q26" s="1831">
        <f>ROUND(SUM(Q21:Q25),1)</f>
        <v>0</v>
      </c>
      <c r="R26" s="431"/>
      <c r="S26" s="1831">
        <f>ROUND(SUM(S21:S25),1)</f>
        <v>0</v>
      </c>
      <c r="T26" s="431"/>
      <c r="U26" s="1831">
        <f>ROUND(SUM(U21:U25),1)</f>
        <v>0</v>
      </c>
      <c r="V26" s="431"/>
      <c r="W26" s="1831">
        <f>ROUND(SUM(W21:W25),1)</f>
        <v>0</v>
      </c>
      <c r="X26" s="431"/>
      <c r="Y26" s="1831">
        <f>ROUND(SUM(Y21:Y25),1)</f>
        <v>0</v>
      </c>
      <c r="Z26" s="431"/>
      <c r="AA26" s="1943"/>
      <c r="AB26" s="1013">
        <f t="shared" si="0"/>
        <v>12682.1</v>
      </c>
      <c r="AC26" s="431"/>
      <c r="AD26" s="995"/>
      <c r="AE26" s="1831">
        <f>ROUND(SUM(AE21:AE25),1)</f>
        <v>10913.3</v>
      </c>
      <c r="AF26" s="431"/>
      <c r="AG26" s="431"/>
      <c r="AH26" s="485">
        <f>ROUND(SUM(AB26-AE26),1)</f>
        <v>1768.8</v>
      </c>
      <c r="AI26" s="2104"/>
      <c r="AJ26" s="2847">
        <f t="shared" si="1"/>
        <v>0.16200000000000001</v>
      </c>
    </row>
    <row r="27" spans="1:36" ht="16.5" customHeight="1">
      <c r="A27" s="2127" t="s">
        <v>1388</v>
      </c>
      <c r="B27" s="1276"/>
      <c r="C27" s="2696">
        <f>+'Exh F'!D25+'Exhibit G'!D18</f>
        <v>0</v>
      </c>
      <c r="D27" s="1144"/>
      <c r="E27" s="2696">
        <f>+'Exh F'!F25+'Exhibit G'!F18</f>
        <v>0</v>
      </c>
      <c r="F27" s="1144"/>
      <c r="G27" s="2696"/>
      <c r="H27" s="2844"/>
      <c r="I27" s="2696"/>
      <c r="J27" s="2844"/>
      <c r="K27" s="2696"/>
      <c r="L27" s="2845"/>
      <c r="M27" s="2696"/>
      <c r="N27" s="2845"/>
      <c r="O27" s="2696"/>
      <c r="P27" s="431"/>
      <c r="Q27" s="2696"/>
      <c r="R27" s="431"/>
      <c r="S27" s="2696"/>
      <c r="T27" s="431"/>
      <c r="U27" s="2696"/>
      <c r="V27" s="431"/>
      <c r="W27" s="2936"/>
      <c r="X27" s="431"/>
      <c r="Y27" s="2936"/>
      <c r="Z27" s="431"/>
      <c r="AA27" s="1943"/>
      <c r="AB27" s="996">
        <f t="shared" si="0"/>
        <v>0</v>
      </c>
      <c r="AC27" s="431"/>
      <c r="AD27" s="995"/>
      <c r="AE27" s="2696">
        <f>+'Exh F'!AF25+'Exhibit G'!AF18</f>
        <v>0</v>
      </c>
      <c r="AF27" s="431"/>
      <c r="AG27" s="431"/>
      <c r="AH27" s="1177">
        <f>ROUND(SUM(+AB27-AE27),1)</f>
        <v>0</v>
      </c>
      <c r="AI27" s="2104"/>
      <c r="AJ27" s="2843">
        <f>ROUND(IF(AE27=0,0,AH27/(AE27)),3)</f>
        <v>0</v>
      </c>
    </row>
    <row r="28" spans="1:36" ht="16.5" customHeight="1">
      <c r="A28" s="2127" t="s">
        <v>1389</v>
      </c>
      <c r="B28" s="1276"/>
      <c r="C28" s="1148">
        <f>+'Exh F'!D26+'Exhibit H'!B16</f>
        <v>0</v>
      </c>
      <c r="D28" s="1144"/>
      <c r="E28" s="1148">
        <f>+'Exh F'!F26+'Exhibit H'!D16</f>
        <v>0</v>
      </c>
      <c r="F28" s="1144"/>
      <c r="G28" s="1148"/>
      <c r="H28" s="2844"/>
      <c r="I28" s="1148"/>
      <c r="J28" s="2844"/>
      <c r="K28" s="1148"/>
      <c r="L28" s="2845"/>
      <c r="M28" s="1148"/>
      <c r="N28" s="2845"/>
      <c r="O28" s="1148"/>
      <c r="P28" s="431"/>
      <c r="Q28" s="1148"/>
      <c r="R28" s="431"/>
      <c r="S28" s="1148"/>
      <c r="T28" s="431"/>
      <c r="U28" s="1148"/>
      <c r="V28" s="431"/>
      <c r="W28" s="2937"/>
      <c r="X28" s="431"/>
      <c r="Y28" s="2937"/>
      <c r="Z28" s="431"/>
      <c r="AA28" s="1943"/>
      <c r="AB28" s="996">
        <f t="shared" si="0"/>
        <v>0</v>
      </c>
      <c r="AC28" s="431"/>
      <c r="AD28" s="995"/>
      <c r="AE28" s="1148">
        <f>+'Exh F'!AF26+'Exhibit H'!AD16</f>
        <v>0</v>
      </c>
      <c r="AF28" s="431"/>
      <c r="AG28" s="431"/>
      <c r="AH28" s="1177">
        <f>ROUND(SUM(+AB28-AE28),1)</f>
        <v>0</v>
      </c>
      <c r="AI28" s="2104"/>
      <c r="AJ28" s="2843">
        <f>ROUND(IF(AE28=0,0,AH28/(AE28)),3)</f>
        <v>0</v>
      </c>
    </row>
    <row r="29" spans="1:36" ht="16.5" customHeight="1">
      <c r="A29" s="1276" t="s">
        <v>1390</v>
      </c>
      <c r="B29" s="1276"/>
      <c r="C29" s="697">
        <f>+'Exh F'!D27</f>
        <v>-3242.2</v>
      </c>
      <c r="D29" s="1143"/>
      <c r="E29" s="697">
        <f>+'Exh F'!F27</f>
        <v>-400.7</v>
      </c>
      <c r="F29" s="1143"/>
      <c r="G29" s="697"/>
      <c r="H29" s="996"/>
      <c r="I29" s="697"/>
      <c r="J29" s="996"/>
      <c r="K29" s="697"/>
      <c r="L29" s="431"/>
      <c r="M29" s="697"/>
      <c r="N29" s="431"/>
      <c r="O29" s="697"/>
      <c r="P29" s="431"/>
      <c r="Q29" s="697"/>
      <c r="R29" s="431"/>
      <c r="S29" s="697"/>
      <c r="T29" s="431"/>
      <c r="U29" s="697"/>
      <c r="V29" s="431"/>
      <c r="W29" s="697"/>
      <c r="X29" s="431"/>
      <c r="Y29" s="697"/>
      <c r="Z29" s="431"/>
      <c r="AA29" s="1943"/>
      <c r="AB29" s="996">
        <f t="shared" si="0"/>
        <v>-3642.9</v>
      </c>
      <c r="AC29" s="431"/>
      <c r="AD29" s="995"/>
      <c r="AE29" s="697">
        <f>+'Exh F'!AF27</f>
        <v>-3458.1</v>
      </c>
      <c r="AF29" s="431"/>
      <c r="AG29" s="431"/>
      <c r="AH29" s="1177">
        <f>-ROUND(SUM(+AB29-AE29),1)</f>
        <v>184.8</v>
      </c>
      <c r="AI29" s="2104"/>
      <c r="AJ29" s="2843">
        <f>-ROUND(IF(AE29=0,0,AH29/(AE29)),3)</f>
        <v>5.2999999999999999E-2</v>
      </c>
    </row>
    <row r="30" spans="1:36" ht="16.5" customHeight="1">
      <c r="A30" s="590" t="s">
        <v>1387</v>
      </c>
      <c r="B30" s="1276"/>
      <c r="C30" s="1831">
        <f>ROUND(SUM(C26)+SUM(C27)+SUM(C28)+SUM(C29),1)</f>
        <v>6718.4</v>
      </c>
      <c r="D30" s="184"/>
      <c r="E30" s="1831">
        <f>ROUND(SUM(E26)+SUM(E27)+SUM(E28)+SUM(E29),1)</f>
        <v>2320.8000000000002</v>
      </c>
      <c r="F30" s="184"/>
      <c r="G30" s="1831">
        <f>ROUND(SUM(G26)+SUM(G27)+SUM(G28)+SUM(G29),1)</f>
        <v>0</v>
      </c>
      <c r="H30" s="431"/>
      <c r="I30" s="1831">
        <f>ROUND(SUM(I26)+SUM(I27)+SUM(I28)+SUM(I29),1)</f>
        <v>0</v>
      </c>
      <c r="J30" s="431"/>
      <c r="K30" s="1831">
        <f>ROUND(SUM(K26)+SUM(K27)+SUM(K28)+SUM(K29),1)</f>
        <v>0</v>
      </c>
      <c r="L30" s="431"/>
      <c r="M30" s="1831">
        <f>ROUND(SUM(M26)+SUM(M27)+SUM(M28)+SUM(M29),1)</f>
        <v>0</v>
      </c>
      <c r="N30" s="431"/>
      <c r="O30" s="1831">
        <f>ROUND(SUM(O26)+SUM(O27)+SUM(O28)+SUM(O29),1)</f>
        <v>0</v>
      </c>
      <c r="P30" s="431"/>
      <c r="Q30" s="1831">
        <f>ROUND(SUM(Q26)+SUM(Q27)+SUM(Q28)+SUM(Q29),1)</f>
        <v>0</v>
      </c>
      <c r="R30" s="431"/>
      <c r="S30" s="1831">
        <f>ROUND(SUM(S26)+SUM(S27)+SUM(S28)+SUM(S29),1)</f>
        <v>0</v>
      </c>
      <c r="T30" s="431"/>
      <c r="U30" s="1831">
        <f>ROUND(SUM(U26)+SUM(U27)+SUM(U28)+SUM(U29),1)</f>
        <v>0</v>
      </c>
      <c r="V30" s="431"/>
      <c r="W30" s="1831">
        <f>ROUND(SUM(W26)+SUM(W27)+SUM(W28)+SUM(W29),1)</f>
        <v>0</v>
      </c>
      <c r="X30" s="431"/>
      <c r="Y30" s="1831">
        <f>ROUND(SUM(Y26)+SUM(Y27)+SUM(Y28)+SUM(Y29),1)</f>
        <v>0</v>
      </c>
      <c r="Z30" s="431"/>
      <c r="AA30" s="1943"/>
      <c r="AB30" s="1013">
        <f t="shared" si="0"/>
        <v>9039.2000000000007</v>
      </c>
      <c r="AC30" s="431"/>
      <c r="AD30" s="995"/>
      <c r="AE30" s="1831">
        <f>ROUND(SUM(AE26)+SUM(AE27)+SUM(AE28)+SUM(AE29),1)</f>
        <v>7455.2</v>
      </c>
      <c r="AF30" s="431"/>
      <c r="AG30" s="431"/>
      <c r="AH30" s="485">
        <f>ROUND(SUM(AH26+AH27+AH28-AH29),1)</f>
        <v>1584</v>
      </c>
      <c r="AI30" s="1921"/>
      <c r="AJ30" s="2847">
        <f>ROUND(IF(AE30=0,0,AH30/(AE30)),3)</f>
        <v>0.21199999999999999</v>
      </c>
    </row>
    <row r="31" spans="1:36" ht="16.5" customHeight="1">
      <c r="A31" s="2089" t="s">
        <v>1444</v>
      </c>
      <c r="B31" s="1281"/>
      <c r="C31" s="1124"/>
      <c r="D31" s="1124"/>
      <c r="E31" s="1124"/>
      <c r="F31" s="1124"/>
      <c r="G31" s="1124"/>
      <c r="H31" s="431"/>
      <c r="I31" s="993"/>
      <c r="J31" s="431"/>
      <c r="K31" s="993"/>
      <c r="L31" s="431"/>
      <c r="M31" s="993"/>
      <c r="N31" s="431"/>
      <c r="O31" s="993"/>
      <c r="P31" s="431"/>
      <c r="Q31" s="993"/>
      <c r="R31" s="431"/>
      <c r="S31" s="993"/>
      <c r="T31" s="431"/>
      <c r="U31" s="993"/>
      <c r="V31" s="431"/>
      <c r="W31" s="993"/>
      <c r="X31" s="431"/>
      <c r="Y31" s="993"/>
      <c r="Z31" s="431"/>
      <c r="AA31" s="1943"/>
      <c r="AB31" s="431"/>
      <c r="AC31" s="431"/>
      <c r="AD31" s="995"/>
      <c r="AE31" s="993"/>
      <c r="AF31" s="431"/>
      <c r="AG31" s="431"/>
      <c r="AH31" s="273"/>
      <c r="AI31" s="1921"/>
      <c r="AJ31" s="2087"/>
    </row>
    <row r="32" spans="1:36" ht="16.5" customHeight="1">
      <c r="A32" s="1276" t="s">
        <v>1393</v>
      </c>
      <c r="B32" s="1281"/>
      <c r="C32" s="697">
        <f>+'Exh F'!D30+'Exhibit G'!D21+'Exhibit H'!B19</f>
        <v>1046.0999999999999</v>
      </c>
      <c r="D32" s="1143"/>
      <c r="E32" s="697">
        <f>+'Exh F'!F30+'Exhibit G'!F21+'Exhibit H'!D19</f>
        <v>996.4</v>
      </c>
      <c r="F32" s="1143"/>
      <c r="G32" s="697"/>
      <c r="H32" s="996"/>
      <c r="I32" s="697"/>
      <c r="J32" s="996"/>
      <c r="K32" s="697"/>
      <c r="L32" s="431"/>
      <c r="M32" s="697"/>
      <c r="N32" s="431"/>
      <c r="O32" s="697"/>
      <c r="P32" s="431"/>
      <c r="Q32" s="697"/>
      <c r="R32" s="431"/>
      <c r="S32" s="697"/>
      <c r="T32" s="431"/>
      <c r="U32" s="697"/>
      <c r="V32" s="431"/>
      <c r="W32" s="697"/>
      <c r="X32" s="431"/>
      <c r="Y32" s="697"/>
      <c r="Z32" s="431"/>
      <c r="AA32" s="1943"/>
      <c r="AB32" s="996">
        <f t="shared" ref="AB32:AB38" si="2">ROUND(SUM(C32:Y32),1)</f>
        <v>2042.5</v>
      </c>
      <c r="AC32" s="431"/>
      <c r="AD32" s="995"/>
      <c r="AE32" s="697">
        <f>+'Exh F'!AF30+'Exhibit G'!AF21+'Exhibit H'!AD19</f>
        <v>1963.6</v>
      </c>
      <c r="AF32" s="431"/>
      <c r="AG32" s="431"/>
      <c r="AH32" s="1177">
        <f t="shared" ref="AH32:AH38" si="3">ROUND(SUM(+AB32-AE32),1)</f>
        <v>78.900000000000006</v>
      </c>
      <c r="AI32" s="1921"/>
      <c r="AJ32" s="1871">
        <f t="shared" ref="AJ32:AJ39" si="4">ROUND(IF(AE32=0,0,AH32/(AE32)),3)</f>
        <v>0.04</v>
      </c>
    </row>
    <row r="33" spans="1:36" ht="16.5" customHeight="1">
      <c r="A33" s="1276" t="s">
        <v>1394</v>
      </c>
      <c r="B33" s="1281"/>
      <c r="C33" s="697">
        <f>+'Exh F'!D31+'Exhibit G'!D22+' Exhbit I '!E20</f>
        <v>4.5</v>
      </c>
      <c r="D33" s="1143"/>
      <c r="E33" s="697">
        <f>+'Exh F'!F31+'Exhibit G'!F22+' Exhbit I '!G20</f>
        <v>0.30000000000000004</v>
      </c>
      <c r="F33" s="1143"/>
      <c r="G33" s="697"/>
      <c r="H33" s="996"/>
      <c r="I33" s="697"/>
      <c r="J33" s="996"/>
      <c r="K33" s="697"/>
      <c r="L33" s="431"/>
      <c r="M33" s="697"/>
      <c r="N33" s="431"/>
      <c r="O33" s="697"/>
      <c r="P33" s="431"/>
      <c r="Q33" s="697"/>
      <c r="R33" s="431"/>
      <c r="S33" s="697"/>
      <c r="T33" s="431"/>
      <c r="U33" s="697"/>
      <c r="V33" s="431"/>
      <c r="W33" s="697"/>
      <c r="X33" s="431"/>
      <c r="Y33" s="697"/>
      <c r="Z33" s="431"/>
      <c r="AA33" s="1943"/>
      <c r="AB33" s="996">
        <f t="shared" si="2"/>
        <v>4.8</v>
      </c>
      <c r="AC33" s="431"/>
      <c r="AD33" s="995"/>
      <c r="AE33" s="697">
        <f>+'Exh F'!AF31+'Exhibit G'!AF22+' Exhbit I '!AG20</f>
        <v>4</v>
      </c>
      <c r="AF33" s="431"/>
      <c r="AG33" s="431"/>
      <c r="AH33" s="1177">
        <f t="shared" si="3"/>
        <v>0.8</v>
      </c>
      <c r="AI33" s="1921"/>
      <c r="AJ33" s="1871">
        <f t="shared" si="4"/>
        <v>0.2</v>
      </c>
    </row>
    <row r="34" spans="1:36" ht="16.5" customHeight="1">
      <c r="A34" s="1276" t="s">
        <v>1395</v>
      </c>
      <c r="B34" s="1276"/>
      <c r="C34" s="697">
        <f>+'Exh F'!D32+'Exhibit G'!D23</f>
        <v>95.100000000000009</v>
      </c>
      <c r="D34" s="1143"/>
      <c r="E34" s="697">
        <f>+'Exh F'!F32+'Exhibit G'!F23</f>
        <v>98.800000000000011</v>
      </c>
      <c r="F34" s="1143"/>
      <c r="G34" s="697"/>
      <c r="H34" s="996"/>
      <c r="I34" s="697"/>
      <c r="J34" s="996"/>
      <c r="K34" s="697"/>
      <c r="L34" s="431"/>
      <c r="M34" s="697"/>
      <c r="N34" s="431"/>
      <c r="O34" s="697"/>
      <c r="P34" s="431"/>
      <c r="Q34" s="697"/>
      <c r="R34" s="431"/>
      <c r="S34" s="697"/>
      <c r="T34" s="431"/>
      <c r="U34" s="697"/>
      <c r="V34" s="431"/>
      <c r="W34" s="697"/>
      <c r="X34" s="431"/>
      <c r="Y34" s="697"/>
      <c r="Z34" s="431"/>
      <c r="AA34" s="1943"/>
      <c r="AB34" s="996">
        <f t="shared" si="2"/>
        <v>193.9</v>
      </c>
      <c r="AC34" s="431"/>
      <c r="AD34" s="995"/>
      <c r="AE34" s="697">
        <f>+'Exh F'!AF32+'Exhibit G'!AF23</f>
        <v>230.70000000000002</v>
      </c>
      <c r="AF34" s="431"/>
      <c r="AG34" s="431"/>
      <c r="AH34" s="1177">
        <f t="shared" si="3"/>
        <v>-36.799999999999997</v>
      </c>
      <c r="AI34" s="1921"/>
      <c r="AJ34" s="1871">
        <f t="shared" si="4"/>
        <v>-0.16</v>
      </c>
    </row>
    <row r="35" spans="1:36" ht="16.5" customHeight="1">
      <c r="A35" s="1276" t="s">
        <v>1396</v>
      </c>
      <c r="B35" s="1276"/>
      <c r="C35" s="697">
        <f>+'Exh F'!D33+'Exhibit G'!D24+' Exhbit I '!E21</f>
        <v>41.3</v>
      </c>
      <c r="D35" s="1143"/>
      <c r="E35" s="697">
        <f>+'Exh F'!F33+'Exhibit G'!F24+' Exhbit I '!G21</f>
        <v>41.7</v>
      </c>
      <c r="F35" s="1143"/>
      <c r="G35" s="697"/>
      <c r="H35" s="996"/>
      <c r="I35" s="697"/>
      <c r="J35" s="996"/>
      <c r="K35" s="697"/>
      <c r="L35" s="431"/>
      <c r="M35" s="697"/>
      <c r="N35" s="431"/>
      <c r="O35" s="697"/>
      <c r="P35" s="431"/>
      <c r="Q35" s="697"/>
      <c r="R35" s="431"/>
      <c r="S35" s="697"/>
      <c r="T35" s="431"/>
      <c r="U35" s="697"/>
      <c r="V35" s="431"/>
      <c r="W35" s="697"/>
      <c r="X35" s="431"/>
      <c r="Y35" s="697"/>
      <c r="Z35" s="431"/>
      <c r="AA35" s="1943"/>
      <c r="AB35" s="996">
        <f t="shared" si="2"/>
        <v>83</v>
      </c>
      <c r="AC35" s="431"/>
      <c r="AD35" s="995"/>
      <c r="AE35" s="697">
        <f>+'Exh F'!AF33+'Exhibit G'!AF24+' Exhbit I '!AG21</f>
        <v>87.3</v>
      </c>
      <c r="AF35" s="431"/>
      <c r="AG35" s="431"/>
      <c r="AH35" s="1177">
        <f t="shared" si="3"/>
        <v>-4.3</v>
      </c>
      <c r="AI35" s="1921"/>
      <c r="AJ35" s="1871">
        <f t="shared" si="4"/>
        <v>-4.9000000000000002E-2</v>
      </c>
    </row>
    <row r="36" spans="1:36" ht="16.5" customHeight="1">
      <c r="A36" s="1276" t="s">
        <v>1397</v>
      </c>
      <c r="B36" s="1276"/>
      <c r="C36" s="697">
        <f>+'Exh F'!D34+'Exhibit G'!D25</f>
        <v>19.899999999999999</v>
      </c>
      <c r="D36" s="1143"/>
      <c r="E36" s="697">
        <f>+'Exh F'!F34+'Exhibit G'!F25</f>
        <v>20.3</v>
      </c>
      <c r="F36" s="1143"/>
      <c r="G36" s="697"/>
      <c r="H36" s="996"/>
      <c r="I36" s="697"/>
      <c r="J36" s="996"/>
      <c r="K36" s="697"/>
      <c r="L36" s="431"/>
      <c r="M36" s="697"/>
      <c r="N36" s="431"/>
      <c r="O36" s="697"/>
      <c r="P36" s="431"/>
      <c r="Q36" s="697"/>
      <c r="R36" s="431"/>
      <c r="S36" s="697"/>
      <c r="T36" s="431"/>
      <c r="U36" s="697"/>
      <c r="V36" s="431"/>
      <c r="W36" s="697"/>
      <c r="X36" s="431"/>
      <c r="Y36" s="697"/>
      <c r="Z36" s="431"/>
      <c r="AA36" s="1943"/>
      <c r="AB36" s="996">
        <f t="shared" si="2"/>
        <v>40.200000000000003</v>
      </c>
      <c r="AC36" s="431"/>
      <c r="AD36" s="995"/>
      <c r="AE36" s="697">
        <f>+'Exh F'!AF34+'Exhibit G'!AF25</f>
        <v>38.4</v>
      </c>
      <c r="AF36" s="431"/>
      <c r="AG36" s="431"/>
      <c r="AH36" s="1177">
        <f t="shared" si="3"/>
        <v>1.8</v>
      </c>
      <c r="AI36" s="1921"/>
      <c r="AJ36" s="1871">
        <f t="shared" si="4"/>
        <v>4.7E-2</v>
      </c>
    </row>
    <row r="37" spans="1:36" ht="16.5" customHeight="1">
      <c r="A37" s="1276" t="s">
        <v>1398</v>
      </c>
      <c r="B37" s="1276"/>
      <c r="C37" s="697">
        <f>+'Exh F'!D35+'Exhibit G'!D26+' Exhbit I '!E22</f>
        <v>13.4</v>
      </c>
      <c r="D37" s="1143"/>
      <c r="E37" s="697">
        <f>+'Exh F'!F35+'Exhibit G'!F26+' Exhbit I '!G22</f>
        <v>10.3</v>
      </c>
      <c r="F37" s="1143"/>
      <c r="G37" s="697"/>
      <c r="H37" s="996"/>
      <c r="I37" s="697"/>
      <c r="J37" s="996"/>
      <c r="K37" s="697"/>
      <c r="L37" s="431"/>
      <c r="M37" s="697"/>
      <c r="N37" s="431"/>
      <c r="O37" s="697"/>
      <c r="P37" s="431"/>
      <c r="Q37" s="697"/>
      <c r="R37" s="431"/>
      <c r="S37" s="697"/>
      <c r="T37" s="431"/>
      <c r="U37" s="697"/>
      <c r="V37" s="431"/>
      <c r="W37" s="697"/>
      <c r="X37" s="431"/>
      <c r="Y37" s="697"/>
      <c r="Z37" s="431"/>
      <c r="AA37" s="1943"/>
      <c r="AB37" s="996">
        <f t="shared" si="2"/>
        <v>23.7</v>
      </c>
      <c r="AC37" s="431"/>
      <c r="AD37" s="995"/>
      <c r="AE37" s="697">
        <f>+'Exh F'!AF35+'Exhibit G'!AF26+' Exhbit I '!AG22</f>
        <v>23.4</v>
      </c>
      <c r="AF37" s="431"/>
      <c r="AG37" s="431"/>
      <c r="AH37" s="1177">
        <f t="shared" si="3"/>
        <v>0.3</v>
      </c>
      <c r="AI37" s="1921"/>
      <c r="AJ37" s="1871">
        <f t="shared" si="4"/>
        <v>1.2999999999999999E-2</v>
      </c>
    </row>
    <row r="38" spans="1:36" ht="16.5" customHeight="1">
      <c r="A38" s="2128" t="s">
        <v>1399</v>
      </c>
      <c r="B38" s="1276"/>
      <c r="C38" s="697">
        <f>+'Exh F'!D36+'Exhibit G'!D27</f>
        <v>19.2</v>
      </c>
      <c r="D38" s="1143"/>
      <c r="E38" s="697">
        <f>+'Exh F'!F36+'Exhibit G'!F27</f>
        <v>0.6</v>
      </c>
      <c r="F38" s="1143"/>
      <c r="G38" s="697"/>
      <c r="H38" s="996"/>
      <c r="I38" s="697"/>
      <c r="J38" s="996"/>
      <c r="K38" s="697"/>
      <c r="L38" s="431"/>
      <c r="M38" s="697"/>
      <c r="N38" s="431"/>
      <c r="O38" s="697"/>
      <c r="P38" s="431"/>
      <c r="Q38" s="697"/>
      <c r="R38" s="431"/>
      <c r="S38" s="697"/>
      <c r="T38" s="431"/>
      <c r="U38" s="697"/>
      <c r="V38" s="431"/>
      <c r="W38" s="697"/>
      <c r="X38" s="431"/>
      <c r="Y38" s="697"/>
      <c r="Z38" s="431"/>
      <c r="AA38" s="1943"/>
      <c r="AB38" s="996">
        <f t="shared" si="2"/>
        <v>19.8</v>
      </c>
      <c r="AC38" s="431"/>
      <c r="AD38" s="995"/>
      <c r="AE38" s="697">
        <f>+'Exh F'!AF36+'Exhibit G'!AF27</f>
        <v>21.2</v>
      </c>
      <c r="AF38" s="431"/>
      <c r="AG38" s="431"/>
      <c r="AH38" s="1177">
        <f t="shared" si="3"/>
        <v>-1.4</v>
      </c>
      <c r="AI38" s="1921"/>
      <c r="AJ38" s="1871">
        <f t="shared" si="4"/>
        <v>-6.6000000000000003E-2</v>
      </c>
    </row>
    <row r="39" spans="1:36" ht="16.5" customHeight="1">
      <c r="A39" s="590" t="s">
        <v>1392</v>
      </c>
      <c r="B39" s="1276"/>
      <c r="C39" s="1831">
        <f>ROUND(SUM(C32:C38),1)</f>
        <v>1239.5</v>
      </c>
      <c r="D39" s="184"/>
      <c r="E39" s="1831">
        <f>ROUND(SUM(E32:E38),1)</f>
        <v>1168.4000000000001</v>
      </c>
      <c r="F39" s="184"/>
      <c r="G39" s="1831">
        <f>ROUND(SUM(G32:G38),1)</f>
        <v>0</v>
      </c>
      <c r="H39" s="431"/>
      <c r="I39" s="1831">
        <f>ROUND(SUM(I32:I38),1)</f>
        <v>0</v>
      </c>
      <c r="J39" s="431"/>
      <c r="K39" s="1831">
        <f>ROUND(SUM(K32:K38),1)</f>
        <v>0</v>
      </c>
      <c r="L39" s="431"/>
      <c r="M39" s="1831">
        <f>ROUND(SUM(M32:M38),1)</f>
        <v>0</v>
      </c>
      <c r="N39" s="431"/>
      <c r="O39" s="1831">
        <f>ROUND(SUM(O32:O38),1)</f>
        <v>0</v>
      </c>
      <c r="P39" s="431"/>
      <c r="Q39" s="1831">
        <f>ROUND(SUM(Q32:Q38),1)</f>
        <v>0</v>
      </c>
      <c r="R39" s="431"/>
      <c r="S39" s="1831">
        <f>ROUND(SUM(S32:S38),1)</f>
        <v>0</v>
      </c>
      <c r="T39" s="431"/>
      <c r="U39" s="1831">
        <f>ROUND(SUM(U32:U38),1)</f>
        <v>0</v>
      </c>
      <c r="V39" s="431"/>
      <c r="W39" s="1831">
        <f>ROUND(SUM(W32:W38),1)</f>
        <v>0</v>
      </c>
      <c r="X39" s="431"/>
      <c r="Y39" s="1831">
        <f>ROUND(SUM(Y32:Y38),1)</f>
        <v>0</v>
      </c>
      <c r="Z39" s="431"/>
      <c r="AA39" s="1943"/>
      <c r="AB39" s="1831">
        <f>ROUND(SUM(AB32:AB38),1)</f>
        <v>2407.9</v>
      </c>
      <c r="AC39" s="431"/>
      <c r="AD39" s="995"/>
      <c r="AE39" s="1831">
        <f>ROUND(SUM(AE32:AE38),1)</f>
        <v>2368.6</v>
      </c>
      <c r="AF39" s="431"/>
      <c r="AG39" s="431"/>
      <c r="AH39" s="485">
        <f>ROUND(SUM(AH32:AH38),1)</f>
        <v>39.299999999999997</v>
      </c>
      <c r="AI39" s="273"/>
      <c r="AJ39" s="72">
        <f t="shared" si="4"/>
        <v>1.7000000000000001E-2</v>
      </c>
    </row>
    <row r="40" spans="1:36" ht="16.5" customHeight="1">
      <c r="A40" s="2089" t="s">
        <v>1445</v>
      </c>
      <c r="B40" s="1276"/>
      <c r="C40" s="1124"/>
      <c r="D40" s="1124"/>
      <c r="E40" s="1124"/>
      <c r="F40" s="1124"/>
      <c r="G40" s="1124"/>
      <c r="H40" s="431"/>
      <c r="I40" s="993"/>
      <c r="J40" s="431"/>
      <c r="K40" s="993"/>
      <c r="L40" s="431"/>
      <c r="M40" s="993"/>
      <c r="N40" s="431"/>
      <c r="O40" s="993"/>
      <c r="P40" s="431"/>
      <c r="Q40" s="993"/>
      <c r="R40" s="431"/>
      <c r="S40" s="993"/>
      <c r="T40" s="431"/>
      <c r="U40" s="993"/>
      <c r="V40" s="431"/>
      <c r="W40" s="993"/>
      <c r="X40" s="431"/>
      <c r="Y40" s="993"/>
      <c r="Z40" s="431"/>
      <c r="AA40" s="1943"/>
      <c r="AB40" s="431"/>
      <c r="AC40" s="431"/>
      <c r="AD40" s="995"/>
      <c r="AE40" s="993"/>
      <c r="AF40" s="431"/>
      <c r="AG40" s="431"/>
      <c r="AH40" s="273"/>
      <c r="AI40" s="273"/>
      <c r="AJ40" s="2087"/>
    </row>
    <row r="41" spans="1:36" ht="16.5" customHeight="1">
      <c r="A41" s="1276" t="s">
        <v>1401</v>
      </c>
      <c r="B41" s="1276"/>
      <c r="C41" s="697">
        <f>+'Exh F'!D39+'Exhibit G'!D30+' Exhbit I '!E25</f>
        <v>181.7</v>
      </c>
      <c r="D41" s="1143"/>
      <c r="E41" s="697">
        <f>+'Exh F'!F39+'Exhibit G'!F30+' Exhbit I '!G25</f>
        <v>-28.700000000000003</v>
      </c>
      <c r="F41" s="1143"/>
      <c r="G41" s="697"/>
      <c r="H41" s="996"/>
      <c r="I41" s="697"/>
      <c r="J41" s="996"/>
      <c r="K41" s="697"/>
      <c r="L41" s="431"/>
      <c r="M41" s="697"/>
      <c r="N41" s="431"/>
      <c r="O41" s="697"/>
      <c r="P41" s="431"/>
      <c r="Q41" s="697"/>
      <c r="R41" s="431"/>
      <c r="S41" s="697"/>
      <c r="T41" s="431"/>
      <c r="U41" s="697"/>
      <c r="V41" s="431"/>
      <c r="W41" s="697"/>
      <c r="X41" s="431"/>
      <c r="Y41" s="697"/>
      <c r="Z41" s="431"/>
      <c r="AA41" s="1943"/>
      <c r="AB41" s="996">
        <f>ROUND(SUM(C41:Y41),1)</f>
        <v>153</v>
      </c>
      <c r="AC41" s="431"/>
      <c r="AD41" s="995"/>
      <c r="AE41" s="697">
        <f>+'Exh F'!AF39+'Exhibit G'!AF30+' Exhbit I '!AG25</f>
        <v>191.4</v>
      </c>
      <c r="AF41" s="431"/>
      <c r="AG41" s="431"/>
      <c r="AH41" s="1177">
        <f>ROUND(SUM(+AB41-AE41),1)</f>
        <v>-38.4</v>
      </c>
      <c r="AI41" s="273"/>
      <c r="AJ41" s="1871">
        <f t="shared" ref="AJ41:AJ46" si="5">ROUND(IF(AE41=0,0,AH41/(AE41)),3)</f>
        <v>-0.20100000000000001</v>
      </c>
    </row>
    <row r="42" spans="1:36" ht="16.5" customHeight="1">
      <c r="A42" s="1276" t="s">
        <v>1402</v>
      </c>
      <c r="B42" s="1276"/>
      <c r="C42" s="697">
        <f>+'Exh F'!D40+'Exhibit G'!D31+' Exhbit I '!E26</f>
        <v>5</v>
      </c>
      <c r="D42" s="1143"/>
      <c r="E42" s="697">
        <f>+'Exh F'!F40+'Exhibit G'!F31+' Exhbit I '!G26</f>
        <v>4</v>
      </c>
      <c r="F42" s="1143"/>
      <c r="G42" s="697"/>
      <c r="H42" s="996"/>
      <c r="I42" s="697"/>
      <c r="J42" s="996"/>
      <c r="K42" s="697"/>
      <c r="L42" s="431"/>
      <c r="M42" s="697"/>
      <c r="N42" s="431"/>
      <c r="O42" s="697"/>
      <c r="P42" s="431"/>
      <c r="Q42" s="697"/>
      <c r="R42" s="431"/>
      <c r="S42" s="697"/>
      <c r="T42" s="431"/>
      <c r="U42" s="697"/>
      <c r="V42" s="431"/>
      <c r="W42" s="697"/>
      <c r="X42" s="431"/>
      <c r="Y42" s="697"/>
      <c r="Z42" s="431"/>
      <c r="AA42" s="1943"/>
      <c r="AB42" s="996">
        <f>ROUND(SUM(C42:Y42),1)</f>
        <v>9</v>
      </c>
      <c r="AC42" s="431"/>
      <c r="AD42" s="995"/>
      <c r="AE42" s="697">
        <f>+'Exh F'!AF40+'Exhibit G'!AF31+' Exhbit I '!AG26</f>
        <v>5.0999999999999996</v>
      </c>
      <c r="AF42" s="431"/>
      <c r="AG42" s="431"/>
      <c r="AH42" s="1177">
        <f>ROUND(SUM(+AB42-AE42),1)</f>
        <v>3.9</v>
      </c>
      <c r="AI42" s="273"/>
      <c r="AJ42" s="1871">
        <f t="shared" si="5"/>
        <v>0.76500000000000001</v>
      </c>
    </row>
    <row r="43" spans="1:36" ht="16.5" customHeight="1">
      <c r="A43" s="1276" t="s">
        <v>1403</v>
      </c>
      <c r="B43" s="1276"/>
      <c r="C43" s="697">
        <f>+'Exh F'!D41+'Exhibit G'!D32</f>
        <v>6.2</v>
      </c>
      <c r="D43" s="1143"/>
      <c r="E43" s="697">
        <f>+'Exh F'!F41+'Exhibit G'!F32</f>
        <v>9.2000000000000011</v>
      </c>
      <c r="F43" s="1143"/>
      <c r="G43" s="697"/>
      <c r="H43" s="996"/>
      <c r="I43" s="697"/>
      <c r="J43" s="996"/>
      <c r="K43" s="697"/>
      <c r="L43" s="431"/>
      <c r="M43" s="697"/>
      <c r="N43" s="431"/>
      <c r="O43" s="697"/>
      <c r="P43" s="431"/>
      <c r="Q43" s="697"/>
      <c r="R43" s="431"/>
      <c r="S43" s="697"/>
      <c r="T43" s="431"/>
      <c r="U43" s="697"/>
      <c r="V43" s="431"/>
      <c r="W43" s="697"/>
      <c r="X43" s="431"/>
      <c r="Y43" s="697"/>
      <c r="Z43" s="431"/>
      <c r="AA43" s="1943"/>
      <c r="AB43" s="996">
        <f>ROUND(SUM(C43:Y43),1)</f>
        <v>15.4</v>
      </c>
      <c r="AC43" s="431"/>
      <c r="AD43" s="995"/>
      <c r="AE43" s="697">
        <f>+'Exh F'!AF41+'Exhibit G'!AF32</f>
        <v>8.1</v>
      </c>
      <c r="AF43" s="431"/>
      <c r="AG43" s="431"/>
      <c r="AH43" s="1177">
        <f>ROUND(SUM(+AB43-AE43),1)</f>
        <v>7.3</v>
      </c>
      <c r="AI43" s="273"/>
      <c r="AJ43" s="1871">
        <f t="shared" si="5"/>
        <v>0.90100000000000002</v>
      </c>
    </row>
    <row r="44" spans="1:36" ht="16.5" customHeight="1">
      <c r="A44" s="1276" t="s">
        <v>1404</v>
      </c>
      <c r="B44" s="1276"/>
      <c r="C44" s="697">
        <f>+'Exh F'!D42+'Exhibit G'!D33</f>
        <v>30.4</v>
      </c>
      <c r="D44" s="1143"/>
      <c r="E44" s="697">
        <f>+'Exh F'!F42+'Exhibit G'!F33</f>
        <v>-13.5</v>
      </c>
      <c r="F44" s="1143"/>
      <c r="G44" s="697"/>
      <c r="H44" s="996"/>
      <c r="I44" s="697"/>
      <c r="J44" s="996"/>
      <c r="K44" s="697"/>
      <c r="L44" s="431"/>
      <c r="M44" s="697"/>
      <c r="N44" s="431"/>
      <c r="O44" s="697"/>
      <c r="P44" s="431"/>
      <c r="Q44" s="697"/>
      <c r="R44" s="431"/>
      <c r="S44" s="697"/>
      <c r="T44" s="431"/>
      <c r="U44" s="697"/>
      <c r="V44" s="431"/>
      <c r="W44" s="697"/>
      <c r="X44" s="431"/>
      <c r="Y44" s="697"/>
      <c r="Z44" s="431"/>
      <c r="AA44" s="1943"/>
      <c r="AB44" s="996">
        <f>ROUND(SUM(C44:Y44),1)</f>
        <v>16.899999999999999</v>
      </c>
      <c r="AC44" s="431"/>
      <c r="AD44" s="995"/>
      <c r="AE44" s="697">
        <f>+'Exh F'!AF42+'Exhibit G'!AF33</f>
        <v>392.6</v>
      </c>
      <c r="AF44" s="431"/>
      <c r="AG44" s="431"/>
      <c r="AH44" s="1177">
        <f>ROUND(SUM(+AB44-AE44),1)</f>
        <v>-375.7</v>
      </c>
      <c r="AI44" s="273"/>
      <c r="AJ44" s="1871">
        <f t="shared" si="5"/>
        <v>-0.95699999999999996</v>
      </c>
    </row>
    <row r="45" spans="1:36" ht="16.5" customHeight="1">
      <c r="A45" s="1276" t="s">
        <v>1405</v>
      </c>
      <c r="B45" s="1276"/>
      <c r="C45" s="697">
        <f>+'Exh F'!D43+'Exhibit G'!D34+' Exhbit I '!E27</f>
        <v>91.4</v>
      </c>
      <c r="D45" s="1143"/>
      <c r="E45" s="697">
        <f>+'Exh F'!F43+'Exhibit G'!F34+' Exhbit I '!G27</f>
        <v>89.699999999999989</v>
      </c>
      <c r="F45" s="1143"/>
      <c r="G45" s="697"/>
      <c r="H45" s="996"/>
      <c r="I45" s="697"/>
      <c r="J45" s="996"/>
      <c r="K45" s="697"/>
      <c r="L45" s="431"/>
      <c r="M45" s="697"/>
      <c r="N45" s="431"/>
      <c r="O45" s="697"/>
      <c r="P45" s="431"/>
      <c r="Q45" s="697"/>
      <c r="R45" s="431"/>
      <c r="S45" s="697"/>
      <c r="T45" s="431"/>
      <c r="U45" s="697"/>
      <c r="V45" s="431"/>
      <c r="W45" s="697"/>
      <c r="X45" s="431"/>
      <c r="Y45" s="697"/>
      <c r="Z45" s="431"/>
      <c r="AA45" s="1943"/>
      <c r="AB45" s="996">
        <f>ROUND(SUM(C45:Y45),1)</f>
        <v>181.1</v>
      </c>
      <c r="AC45" s="431"/>
      <c r="AD45" s="995"/>
      <c r="AE45" s="697">
        <f>+'Exh F'!AF43+'Exhibit G'!AF34+' Exhbit I '!AG27</f>
        <v>191.1</v>
      </c>
      <c r="AF45" s="431"/>
      <c r="AG45" s="431"/>
      <c r="AH45" s="1177">
        <f>ROUND(SUM(+AB45-AE45),1)</f>
        <v>-10</v>
      </c>
      <c r="AI45" s="273"/>
      <c r="AJ45" s="1871">
        <f t="shared" si="5"/>
        <v>-5.1999999999999998E-2</v>
      </c>
    </row>
    <row r="46" spans="1:36" ht="16.5" customHeight="1">
      <c r="A46" s="590" t="s">
        <v>1400</v>
      </c>
      <c r="B46" s="1276"/>
      <c r="C46" s="1831">
        <f>ROUND(SUM(C41:C45),1)</f>
        <v>314.7</v>
      </c>
      <c r="D46" s="184"/>
      <c r="E46" s="1831">
        <f>ROUND(SUM(E41:E45),1)</f>
        <v>60.7</v>
      </c>
      <c r="F46" s="184"/>
      <c r="G46" s="1831">
        <f>ROUND(SUM(G41:G45),1)</f>
        <v>0</v>
      </c>
      <c r="H46" s="431"/>
      <c r="I46" s="1831">
        <f>ROUND(SUM(I41:I45),1)</f>
        <v>0</v>
      </c>
      <c r="J46" s="431"/>
      <c r="K46" s="1831">
        <f>ROUND(SUM(K41:K45),1)</f>
        <v>0</v>
      </c>
      <c r="L46" s="431"/>
      <c r="M46" s="1831">
        <f>ROUND(SUM(M41:M45),1)</f>
        <v>0</v>
      </c>
      <c r="N46" s="431"/>
      <c r="O46" s="1831">
        <f>ROUND(SUM(O41:O45),1)</f>
        <v>0</v>
      </c>
      <c r="P46" s="431"/>
      <c r="Q46" s="1831">
        <f>ROUND(SUM(Q41:Q45),1)</f>
        <v>0</v>
      </c>
      <c r="R46" s="431"/>
      <c r="S46" s="1831">
        <f>ROUND(SUM(S41:S45),1)</f>
        <v>0</v>
      </c>
      <c r="T46" s="431"/>
      <c r="U46" s="1831">
        <f>ROUND(SUM(U41:U45),1)</f>
        <v>0</v>
      </c>
      <c r="V46" s="431"/>
      <c r="W46" s="1831">
        <f>ROUND(SUM(W41:W45),1)</f>
        <v>0</v>
      </c>
      <c r="X46" s="431"/>
      <c r="Y46" s="1831">
        <f>ROUND(SUM(Y41:Y45),1)</f>
        <v>0</v>
      </c>
      <c r="Z46" s="431"/>
      <c r="AA46" s="1943"/>
      <c r="AB46" s="1831">
        <f>ROUND(SUM(AB41:AB45),1)</f>
        <v>375.4</v>
      </c>
      <c r="AC46" s="431"/>
      <c r="AD46" s="995"/>
      <c r="AE46" s="1831">
        <f>ROUND(SUM(AE41:AE45),1)</f>
        <v>788.3</v>
      </c>
      <c r="AF46" s="431"/>
      <c r="AG46" s="431"/>
      <c r="AH46" s="1831">
        <f>ROUND(SUM(AH41:AH45),1)</f>
        <v>-412.9</v>
      </c>
      <c r="AI46" s="273"/>
      <c r="AJ46" s="72">
        <f t="shared" si="5"/>
        <v>-0.52400000000000002</v>
      </c>
    </row>
    <row r="47" spans="1:36" ht="16.5" customHeight="1">
      <c r="A47" s="2089" t="s">
        <v>1446</v>
      </c>
      <c r="B47" s="1276"/>
      <c r="C47" s="1124"/>
      <c r="D47" s="1124"/>
      <c r="E47" s="1124"/>
      <c r="F47" s="1124"/>
      <c r="G47" s="1124"/>
      <c r="H47" s="431"/>
      <c r="I47" s="993"/>
      <c r="J47" s="431"/>
      <c r="K47" s="993"/>
      <c r="L47" s="431"/>
      <c r="M47" s="993"/>
      <c r="N47" s="431"/>
      <c r="O47" s="993"/>
      <c r="P47" s="431"/>
      <c r="Q47" s="993"/>
      <c r="R47" s="431"/>
      <c r="S47" s="993"/>
      <c r="T47" s="431"/>
      <c r="U47" s="993"/>
      <c r="V47" s="431"/>
      <c r="W47" s="993"/>
      <c r="X47" s="431"/>
      <c r="Y47" s="993"/>
      <c r="Z47" s="431"/>
      <c r="AA47" s="1943"/>
      <c r="AB47" s="431"/>
      <c r="AC47" s="431"/>
      <c r="AD47" s="995"/>
      <c r="AE47" s="993"/>
      <c r="AF47" s="431"/>
      <c r="AG47" s="431"/>
      <c r="AH47" s="273"/>
      <c r="AI47" s="273"/>
      <c r="AJ47" s="2087"/>
    </row>
    <row r="48" spans="1:36" ht="16.5" customHeight="1">
      <c r="A48" s="1276" t="s">
        <v>1408</v>
      </c>
      <c r="B48" s="1276"/>
      <c r="C48" s="1208">
        <v>0</v>
      </c>
      <c r="D48" s="1143"/>
      <c r="E48" s="3209">
        <v>0</v>
      </c>
      <c r="F48" s="1143"/>
      <c r="G48" s="1208"/>
      <c r="H48" s="996"/>
      <c r="I48" s="1208"/>
      <c r="J48" s="996"/>
      <c r="K48" s="1208"/>
      <c r="L48" s="431"/>
      <c r="M48" s="2695"/>
      <c r="N48" s="431"/>
      <c r="O48" s="2695"/>
      <c r="P48" s="431"/>
      <c r="Q48" s="2695"/>
      <c r="R48" s="431"/>
      <c r="S48" s="2695"/>
      <c r="T48" s="431"/>
      <c r="U48" s="2695"/>
      <c r="V48" s="431"/>
      <c r="W48" s="2144"/>
      <c r="X48" s="431"/>
      <c r="Y48" s="2144"/>
      <c r="Z48" s="431"/>
      <c r="AA48" s="1943"/>
      <c r="AB48" s="996">
        <f t="shared" ref="AB48:AB53" si="6">ROUND(SUM(C48:Y48),1)</f>
        <v>0</v>
      </c>
      <c r="AC48" s="431"/>
      <c r="AD48" s="995"/>
      <c r="AE48" s="2695">
        <f>+'Exh F'!AF46</f>
        <v>0</v>
      </c>
      <c r="AF48" s="2845"/>
      <c r="AG48" s="2845"/>
      <c r="AH48" s="2848">
        <f t="shared" ref="AH48:AH53" si="7">ROUND(SUM(+AB48-AE48),1)</f>
        <v>0</v>
      </c>
      <c r="AI48" s="2849"/>
      <c r="AJ48" s="2843">
        <f>-ROUND(IF(AE48=0,0,AH48/(AE48)),3)</f>
        <v>0</v>
      </c>
    </row>
    <row r="49" spans="1:36" ht="16.5" customHeight="1">
      <c r="A49" s="1276" t="s">
        <v>1409</v>
      </c>
      <c r="B49" s="1276"/>
      <c r="C49" s="697">
        <f>+'Exh F'!D47</f>
        <v>148.9</v>
      </c>
      <c r="D49" s="1143"/>
      <c r="E49" s="697">
        <f>+'Exh F'!F47</f>
        <v>149.19999999999999</v>
      </c>
      <c r="F49" s="1143"/>
      <c r="G49" s="697"/>
      <c r="H49" s="996"/>
      <c r="I49" s="697"/>
      <c r="J49" s="996"/>
      <c r="K49" s="697"/>
      <c r="L49" s="996"/>
      <c r="M49" s="697"/>
      <c r="N49" s="431"/>
      <c r="O49" s="697"/>
      <c r="P49" s="431"/>
      <c r="Q49" s="697"/>
      <c r="R49" s="431"/>
      <c r="S49" s="697"/>
      <c r="T49" s="431"/>
      <c r="U49" s="697"/>
      <c r="V49" s="431"/>
      <c r="W49" s="697"/>
      <c r="X49" s="431"/>
      <c r="Y49" s="697"/>
      <c r="Z49" s="431"/>
      <c r="AA49" s="1943"/>
      <c r="AB49" s="996">
        <f t="shared" si="6"/>
        <v>298.10000000000002</v>
      </c>
      <c r="AC49" s="431"/>
      <c r="AD49" s="995"/>
      <c r="AE49" s="697">
        <f>+'Exh F'!AF47</f>
        <v>203.1</v>
      </c>
      <c r="AF49" s="431"/>
      <c r="AG49" s="431"/>
      <c r="AH49" s="1177">
        <f t="shared" si="7"/>
        <v>95</v>
      </c>
      <c r="AI49" s="273"/>
      <c r="AJ49" s="1871">
        <f t="shared" ref="AJ49:AJ54" si="8">ROUND(IF(AE49=0,0,AH49/(AE49)),3)</f>
        <v>0.46800000000000003</v>
      </c>
    </row>
    <row r="50" spans="1:36" ht="16.5" customHeight="1">
      <c r="A50" s="1276" t="s">
        <v>1410</v>
      </c>
      <c r="B50" s="1276"/>
      <c r="C50" s="697">
        <f>+'Exh F'!D48</f>
        <v>0.9</v>
      </c>
      <c r="D50" s="1143"/>
      <c r="E50" s="697">
        <f>+'Exh F'!F48</f>
        <v>1.5</v>
      </c>
      <c r="F50" s="1143"/>
      <c r="G50" s="697"/>
      <c r="H50" s="996"/>
      <c r="I50" s="697"/>
      <c r="J50" s="996"/>
      <c r="K50" s="697"/>
      <c r="L50" s="996"/>
      <c r="M50" s="697"/>
      <c r="N50" s="431"/>
      <c r="O50" s="697"/>
      <c r="P50" s="431"/>
      <c r="Q50" s="697"/>
      <c r="R50" s="431"/>
      <c r="S50" s="697"/>
      <c r="T50" s="431"/>
      <c r="U50" s="697"/>
      <c r="V50" s="431"/>
      <c r="W50" s="697"/>
      <c r="X50" s="431"/>
      <c r="Y50" s="697"/>
      <c r="Z50" s="431"/>
      <c r="AA50" s="1943"/>
      <c r="AB50" s="996">
        <f t="shared" si="6"/>
        <v>2.4</v>
      </c>
      <c r="AC50" s="431"/>
      <c r="AD50" s="995"/>
      <c r="AE50" s="697">
        <f>+'Exh F'!AF48</f>
        <v>2.5</v>
      </c>
      <c r="AF50" s="431"/>
      <c r="AG50" s="431"/>
      <c r="AH50" s="1177">
        <f t="shared" si="7"/>
        <v>-0.1</v>
      </c>
      <c r="AI50" s="273"/>
      <c r="AJ50" s="1871">
        <f t="shared" si="8"/>
        <v>-0.04</v>
      </c>
    </row>
    <row r="51" spans="1:36" ht="16.5" customHeight="1">
      <c r="A51" s="1276" t="s">
        <v>1411</v>
      </c>
      <c r="B51" s="1276"/>
      <c r="C51" s="697">
        <f>+'Exh F'!D49+'Exhibit H'!B22+' Exhbit I '!E30</f>
        <v>86.3</v>
      </c>
      <c r="D51" s="1143"/>
      <c r="E51" s="697">
        <f>+'Exh F'!F49+'Exhibit H'!D22+' Exhbit I '!G30</f>
        <v>97</v>
      </c>
      <c r="F51" s="1143"/>
      <c r="G51" s="697"/>
      <c r="H51" s="996"/>
      <c r="I51" s="697"/>
      <c r="J51" s="996"/>
      <c r="K51" s="697"/>
      <c r="L51" s="996"/>
      <c r="M51" s="697"/>
      <c r="N51" s="431"/>
      <c r="O51" s="697"/>
      <c r="P51" s="431"/>
      <c r="Q51" s="697"/>
      <c r="R51" s="431"/>
      <c r="S51" s="697"/>
      <c r="T51" s="431"/>
      <c r="U51" s="697"/>
      <c r="V51" s="431"/>
      <c r="W51" s="697"/>
      <c r="X51" s="431"/>
      <c r="Y51" s="697"/>
      <c r="Z51" s="431"/>
      <c r="AA51" s="1943"/>
      <c r="AB51" s="996">
        <f t="shared" si="6"/>
        <v>183.3</v>
      </c>
      <c r="AC51" s="431"/>
      <c r="AD51" s="995"/>
      <c r="AE51" s="697">
        <f>+'Exh F'!AF49+'Exhibit H'!AD22+' Exhbit I '!AG30</f>
        <v>146.19999999999999</v>
      </c>
      <c r="AF51" s="431"/>
      <c r="AG51" s="431"/>
      <c r="AH51" s="1177">
        <f t="shared" si="7"/>
        <v>37.1</v>
      </c>
      <c r="AI51" s="273"/>
      <c r="AJ51" s="1871">
        <f t="shared" si="8"/>
        <v>0.254</v>
      </c>
    </row>
    <row r="52" spans="1:36" ht="16.5" customHeight="1">
      <c r="A52" s="1276" t="s">
        <v>1412</v>
      </c>
      <c r="B52" s="1276"/>
      <c r="C52" s="697">
        <f>+'Exh F'!D50</f>
        <v>0</v>
      </c>
      <c r="D52" s="1143"/>
      <c r="E52" s="697">
        <f>+'Exh F'!F50</f>
        <v>0.1</v>
      </c>
      <c r="F52" s="1143"/>
      <c r="G52" s="697"/>
      <c r="H52" s="996"/>
      <c r="I52" s="697"/>
      <c r="J52" s="996"/>
      <c r="K52" s="697"/>
      <c r="L52" s="996"/>
      <c r="M52" s="697"/>
      <c r="N52" s="431"/>
      <c r="O52" s="697"/>
      <c r="P52" s="431"/>
      <c r="Q52" s="697"/>
      <c r="R52" s="431"/>
      <c r="S52" s="697"/>
      <c r="T52" s="431"/>
      <c r="U52" s="697"/>
      <c r="V52" s="431"/>
      <c r="W52" s="697"/>
      <c r="X52" s="431"/>
      <c r="Y52" s="697"/>
      <c r="Z52" s="431"/>
      <c r="AA52" s="1943"/>
      <c r="AB52" s="996">
        <f t="shared" si="6"/>
        <v>0.1</v>
      </c>
      <c r="AC52" s="431"/>
      <c r="AD52" s="995"/>
      <c r="AE52" s="697">
        <f>+'Exh F'!AF50</f>
        <v>0.1</v>
      </c>
      <c r="AF52" s="431"/>
      <c r="AG52" s="431"/>
      <c r="AH52" s="1177">
        <f t="shared" si="7"/>
        <v>0</v>
      </c>
      <c r="AI52" s="273"/>
      <c r="AJ52" s="1871">
        <f t="shared" si="8"/>
        <v>0</v>
      </c>
    </row>
    <row r="53" spans="1:36" ht="16.5" customHeight="1">
      <c r="A53" s="2128" t="s">
        <v>1413</v>
      </c>
      <c r="B53" s="1276"/>
      <c r="C53" s="697">
        <f>+'Exh F'!D51+'Exhibit G'!D37</f>
        <v>132.6</v>
      </c>
      <c r="D53" s="1143"/>
      <c r="E53" s="697">
        <f>+'Exh F'!F51+'Exhibit G'!F37</f>
        <v>87.3</v>
      </c>
      <c r="F53" s="1143"/>
      <c r="G53" s="697"/>
      <c r="H53" s="996"/>
      <c r="I53" s="697"/>
      <c r="J53" s="996"/>
      <c r="K53" s="697"/>
      <c r="L53" s="431"/>
      <c r="M53" s="697"/>
      <c r="N53" s="431"/>
      <c r="O53" s="697"/>
      <c r="P53" s="431"/>
      <c r="Q53" s="697"/>
      <c r="R53" s="431"/>
      <c r="S53" s="697"/>
      <c r="T53" s="431"/>
      <c r="U53" s="697"/>
      <c r="V53" s="431"/>
      <c r="W53" s="697"/>
      <c r="X53" s="431"/>
      <c r="Y53" s="697"/>
      <c r="Z53" s="431"/>
      <c r="AA53" s="1943"/>
      <c r="AB53" s="996">
        <f t="shared" si="6"/>
        <v>219.9</v>
      </c>
      <c r="AC53" s="431"/>
      <c r="AD53" s="995"/>
      <c r="AE53" s="697">
        <f>+'Exh F'!AF51+'Exhibit G'!AF37</f>
        <v>225</v>
      </c>
      <c r="AF53" s="431"/>
      <c r="AG53" s="431"/>
      <c r="AH53" s="1177">
        <f t="shared" si="7"/>
        <v>-5.0999999999999996</v>
      </c>
      <c r="AI53" s="273"/>
      <c r="AJ53" s="1871">
        <f t="shared" si="8"/>
        <v>-2.3E-2</v>
      </c>
    </row>
    <row r="54" spans="1:36" ht="16.5" customHeight="1">
      <c r="A54" s="590" t="s">
        <v>1406</v>
      </c>
      <c r="B54" s="1276"/>
      <c r="C54" s="1831">
        <f>ROUND(SUM(C48:C53),1)</f>
        <v>368.7</v>
      </c>
      <c r="D54" s="184"/>
      <c r="E54" s="1831">
        <f>ROUND(SUM(E48:E53),1)</f>
        <v>335.1</v>
      </c>
      <c r="F54" s="184"/>
      <c r="G54" s="1831">
        <f>ROUND(SUM(G48:G53),1)</f>
        <v>0</v>
      </c>
      <c r="H54" s="431"/>
      <c r="I54" s="1831">
        <f>ROUND(SUM(I48:I53),1)</f>
        <v>0</v>
      </c>
      <c r="J54" s="431"/>
      <c r="K54" s="1831">
        <f>ROUND(SUM(K48:K53),1)</f>
        <v>0</v>
      </c>
      <c r="L54" s="431"/>
      <c r="M54" s="1831">
        <f>ROUND(SUM(M48:M53),1)</f>
        <v>0</v>
      </c>
      <c r="N54" s="431"/>
      <c r="O54" s="1831">
        <f>ROUND(SUM(O48:O53),1)</f>
        <v>0</v>
      </c>
      <c r="P54" s="431"/>
      <c r="Q54" s="1831">
        <f>ROUND(SUM(Q48:Q53),1)</f>
        <v>0</v>
      </c>
      <c r="R54" s="431"/>
      <c r="S54" s="1831">
        <f>ROUND(SUM(S48:S53),1)</f>
        <v>0</v>
      </c>
      <c r="T54" s="431"/>
      <c r="U54" s="1831">
        <f>ROUND(SUM(U48:U53),1)</f>
        <v>0</v>
      </c>
      <c r="V54" s="431"/>
      <c r="W54" s="1831">
        <f>ROUND(SUM(W48:W53),1)</f>
        <v>0</v>
      </c>
      <c r="X54" s="431"/>
      <c r="Y54" s="1831">
        <f>ROUND(SUM(Y48:Y53),1)</f>
        <v>0</v>
      </c>
      <c r="Z54" s="431"/>
      <c r="AA54" s="1943"/>
      <c r="AB54" s="1831">
        <f>ROUND(SUM(AB48:AB53),1)</f>
        <v>703.8</v>
      </c>
      <c r="AC54" s="431"/>
      <c r="AD54" s="995"/>
      <c r="AE54" s="1831">
        <f>ROUND(SUM(AE48:AE53),1)</f>
        <v>576.9</v>
      </c>
      <c r="AF54" s="431"/>
      <c r="AG54" s="431"/>
      <c r="AH54" s="1831">
        <f>ROUND(SUM(AH48:AH53),1)</f>
        <v>126.9</v>
      </c>
      <c r="AI54" s="273"/>
      <c r="AJ54" s="72">
        <f t="shared" si="8"/>
        <v>0.22</v>
      </c>
    </row>
    <row r="55" spans="1:36" ht="16.5" customHeight="1">
      <c r="A55" s="590"/>
      <c r="B55" s="1276"/>
      <c r="C55" s="186"/>
      <c r="D55" s="186"/>
      <c r="E55" s="186"/>
      <c r="F55" s="186"/>
      <c r="G55" s="186"/>
      <c r="H55" s="2124"/>
      <c r="I55" s="2365"/>
      <c r="J55" s="2124"/>
      <c r="K55" s="2365"/>
      <c r="L55" s="2124"/>
      <c r="M55" s="2365"/>
      <c r="N55" s="2124"/>
      <c r="O55" s="2365"/>
      <c r="P55" s="2124"/>
      <c r="Q55" s="2365"/>
      <c r="R55" s="2124"/>
      <c r="S55" s="2365"/>
      <c r="T55" s="2124"/>
      <c r="U55" s="2365"/>
      <c r="V55" s="2124"/>
      <c r="W55" s="2365"/>
      <c r="X55" s="2124"/>
      <c r="Y55" s="2365"/>
      <c r="Z55" s="431"/>
      <c r="AA55" s="994"/>
      <c r="AB55" s="2124"/>
      <c r="AC55" s="431"/>
      <c r="AD55" s="995"/>
      <c r="AE55" s="2124"/>
      <c r="AF55" s="431"/>
      <c r="AG55" s="431"/>
      <c r="AH55" s="1273"/>
      <c r="AI55" s="431"/>
      <c r="AJ55" s="1273"/>
    </row>
    <row r="56" spans="1:36" ht="16.5" customHeight="1">
      <c r="A56" s="590" t="s">
        <v>1407</v>
      </c>
      <c r="B56" s="222"/>
      <c r="C56" s="195">
        <f>ROUND(SUM(C54+C46+C39+C30),1)</f>
        <v>8641.2999999999993</v>
      </c>
      <c r="D56" s="261"/>
      <c r="E56" s="195">
        <f>ROUND(SUM(E54+E46+E39+E30),1)</f>
        <v>3885</v>
      </c>
      <c r="F56" s="261"/>
      <c r="G56" s="195">
        <f>ROUND(SUM(G54+G46+G39+G30),1)</f>
        <v>0</v>
      </c>
      <c r="H56" s="261"/>
      <c r="I56" s="195">
        <f>ROUND(SUM(I54+I46+I39+I30),1)</f>
        <v>0</v>
      </c>
      <c r="J56" s="261"/>
      <c r="K56" s="195">
        <f>ROUND(SUM(K54+K46+K39+K30),1)</f>
        <v>0</v>
      </c>
      <c r="L56" s="261"/>
      <c r="M56" s="195">
        <f>ROUND(SUM(M54+M46+M39+M30),1)</f>
        <v>0</v>
      </c>
      <c r="N56" s="261"/>
      <c r="O56" s="195">
        <f>ROUND(SUM(O54+O46+O39+O30),1)</f>
        <v>0</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7">
        <f>ROUND(+AB54+AB46+AB39+AB30,1)</f>
        <v>12526.3</v>
      </c>
      <c r="AC56" s="261"/>
      <c r="AD56" s="250"/>
      <c r="AE56" s="617">
        <f>ROUND(+AE54+AE46+AE39+AE30,1)</f>
        <v>11189</v>
      </c>
      <c r="AF56" s="249"/>
      <c r="AG56" s="1292"/>
      <c r="AH56" s="617">
        <f>ROUND(+AH54+AH46+AH39+AH30,1)</f>
        <v>1337.3</v>
      </c>
      <c r="AI56" s="1921"/>
      <c r="AJ56" s="1974">
        <f>ROUND(IF(AE56=0,0,AH56/(AE56)),3)</f>
        <v>0.12</v>
      </c>
    </row>
    <row r="57" spans="1:36" ht="16.5" customHeight="1">
      <c r="A57" s="431"/>
      <c r="B57" s="431"/>
      <c r="C57" s="996"/>
      <c r="D57" s="996"/>
      <c r="E57" s="996"/>
      <c r="F57" s="996"/>
      <c r="G57" s="996"/>
      <c r="H57" s="996"/>
      <c r="I57" s="996"/>
      <c r="J57" s="996"/>
      <c r="K57" s="996"/>
      <c r="L57" s="996"/>
      <c r="M57" s="996"/>
      <c r="N57" s="996"/>
      <c r="O57" s="186"/>
      <c r="P57" s="996"/>
      <c r="Q57" s="996"/>
      <c r="R57" s="996"/>
      <c r="S57" s="996"/>
      <c r="T57" s="996"/>
      <c r="U57" s="996"/>
      <c r="V57" s="996"/>
      <c r="X57" s="996"/>
      <c r="Y57" s="996"/>
      <c r="Z57" s="996"/>
      <c r="AA57" s="997"/>
      <c r="AB57" s="996"/>
      <c r="AC57" s="996"/>
      <c r="AD57" s="998"/>
      <c r="AE57" s="996"/>
      <c r="AF57" s="996"/>
      <c r="AG57" s="996"/>
      <c r="AH57" s="996"/>
      <c r="AI57" s="431"/>
      <c r="AJ57" s="1945"/>
    </row>
    <row r="58" spans="1:36" ht="16.5" customHeight="1">
      <c r="A58" s="491" t="s">
        <v>1308</v>
      </c>
      <c r="B58" s="1835"/>
      <c r="C58" s="996"/>
      <c r="D58" s="996"/>
      <c r="E58" s="996"/>
      <c r="F58" s="996"/>
      <c r="G58" s="996"/>
      <c r="H58" s="996"/>
      <c r="I58" s="996"/>
      <c r="J58" s="996"/>
      <c r="K58" s="996"/>
      <c r="L58" s="996"/>
      <c r="M58" s="996"/>
      <c r="N58" s="996"/>
      <c r="O58" s="996"/>
      <c r="P58" s="996"/>
      <c r="Q58" s="996"/>
      <c r="R58" s="996"/>
      <c r="S58" s="996"/>
      <c r="T58" s="996"/>
      <c r="U58" s="996"/>
      <c r="V58" s="996"/>
      <c r="X58" s="996"/>
      <c r="Y58" s="996"/>
      <c r="Z58" s="996"/>
      <c r="AA58" s="997"/>
      <c r="AB58" s="996"/>
      <c r="AC58" s="996"/>
      <c r="AD58" s="998"/>
      <c r="AE58" s="996"/>
      <c r="AF58" s="996"/>
      <c r="AG58" s="996"/>
      <c r="AH58" s="996"/>
      <c r="AI58" s="431"/>
      <c r="AJ58" s="1945"/>
    </row>
    <row r="59" spans="1:36" ht="16.5" customHeight="1">
      <c r="A59" s="1837" t="s">
        <v>1436</v>
      </c>
      <c r="B59" s="1835"/>
      <c r="C59" s="996"/>
      <c r="D59" s="996"/>
      <c r="E59" s="996"/>
      <c r="F59" s="996"/>
      <c r="G59" s="996"/>
      <c r="H59" s="996"/>
      <c r="I59" s="996"/>
      <c r="J59" s="996"/>
      <c r="K59" s="996"/>
      <c r="L59" s="996"/>
      <c r="M59" s="996"/>
      <c r="N59" s="996"/>
      <c r="O59" s="996"/>
      <c r="P59" s="996"/>
      <c r="Q59" s="996"/>
      <c r="R59" s="996"/>
      <c r="S59" s="996"/>
      <c r="T59" s="996"/>
      <c r="U59" s="996"/>
      <c r="V59" s="996"/>
      <c r="X59" s="996"/>
      <c r="Y59" s="996"/>
      <c r="Z59" s="996"/>
      <c r="AA59" s="997"/>
      <c r="AB59" s="996"/>
      <c r="AC59" s="996"/>
      <c r="AD59" s="998"/>
      <c r="AE59" s="996"/>
      <c r="AF59" s="996"/>
      <c r="AG59" s="996"/>
      <c r="AH59" s="996"/>
      <c r="AI59" s="431"/>
      <c r="AJ59" s="1945"/>
    </row>
    <row r="60" spans="1:36" ht="16.5" customHeight="1">
      <c r="A60" s="1837" t="s">
        <v>1306</v>
      </c>
      <c r="B60" s="1837"/>
      <c r="C60" s="996">
        <f>+'Exh F'!D58+'Exhibit G'!D44</f>
        <v>0.8</v>
      </c>
      <c r="D60" s="996"/>
      <c r="E60" s="996">
        <f>+'Exh F'!F58+'Exhibit G'!F44</f>
        <v>0.6</v>
      </c>
      <c r="F60" s="996"/>
      <c r="G60" s="996"/>
      <c r="H60" s="996"/>
      <c r="I60" s="996"/>
      <c r="J60" s="996"/>
      <c r="K60" s="996"/>
      <c r="L60" s="996"/>
      <c r="M60" s="996"/>
      <c r="N60" s="996"/>
      <c r="O60" s="996"/>
      <c r="P60" s="996"/>
      <c r="Q60" s="996"/>
      <c r="R60" s="996"/>
      <c r="S60" s="996"/>
      <c r="T60" s="996"/>
      <c r="U60" s="996"/>
      <c r="V60" s="996"/>
      <c r="W60" s="2938"/>
      <c r="X60" s="996"/>
      <c r="Y60" s="2938"/>
      <c r="Z60" s="996"/>
      <c r="AA60" s="997"/>
      <c r="AB60" s="996">
        <f t="shared" ref="AB60:AB98" si="9">ROUND(SUM(C60:Y60),1)</f>
        <v>1.4</v>
      </c>
      <c r="AC60" s="996"/>
      <c r="AD60" s="998"/>
      <c r="AE60" s="996">
        <f>+'Exh F'!AF58+'Exhibit G'!AF44</f>
        <v>2.6</v>
      </c>
      <c r="AF60" s="996"/>
      <c r="AG60" s="996"/>
      <c r="AH60" s="996">
        <f t="shared" ref="AH60:AH98" si="10">ROUND(SUM(AB60-AE60),1)</f>
        <v>-1.2</v>
      </c>
      <c r="AI60" s="431"/>
      <c r="AJ60" s="1871">
        <f>ROUND(IF(AE60=0,0,AH60/(AE60)),3)</f>
        <v>-0.46200000000000002</v>
      </c>
    </row>
    <row r="61" spans="1:36" ht="16.5" customHeight="1">
      <c r="A61" s="1837" t="s">
        <v>1307</v>
      </c>
      <c r="B61" s="1837"/>
      <c r="C61" s="996">
        <f>+'Exh F'!D59+' Exhbit I '!E37</f>
        <v>0.5</v>
      </c>
      <c r="D61" s="996"/>
      <c r="E61" s="996">
        <f>+'Exh F'!F59+' Exhbit I '!G37</f>
        <v>0</v>
      </c>
      <c r="F61" s="996"/>
      <c r="G61" s="996"/>
      <c r="H61" s="996"/>
      <c r="I61" s="996"/>
      <c r="J61" s="996"/>
      <c r="K61" s="996"/>
      <c r="L61" s="996"/>
      <c r="M61" s="996"/>
      <c r="N61" s="996"/>
      <c r="O61" s="996"/>
      <c r="P61" s="996"/>
      <c r="Q61" s="996"/>
      <c r="R61" s="996"/>
      <c r="S61" s="996"/>
      <c r="T61" s="996"/>
      <c r="U61" s="996"/>
      <c r="V61" s="996"/>
      <c r="W61" s="2938"/>
      <c r="X61" s="996"/>
      <c r="Y61" s="2938"/>
      <c r="Z61" s="996"/>
      <c r="AA61" s="997"/>
      <c r="AB61" s="996">
        <f t="shared" si="9"/>
        <v>0.5</v>
      </c>
      <c r="AC61" s="996"/>
      <c r="AD61" s="998"/>
      <c r="AE61" s="996">
        <f>+'Exh F'!AF59+' Exhbit I '!AG37</f>
        <v>0.1</v>
      </c>
      <c r="AF61" s="996"/>
      <c r="AG61" s="996"/>
      <c r="AH61" s="996">
        <f t="shared" si="10"/>
        <v>0.4</v>
      </c>
      <c r="AI61" s="431"/>
      <c r="AJ61" s="1871">
        <f>ROUND(IF(AE61=0,0,AH61/(AE61)),3)</f>
        <v>4</v>
      </c>
    </row>
    <row r="62" spans="1:36" ht="16.5" customHeight="1">
      <c r="A62" s="1837" t="s">
        <v>1437</v>
      </c>
      <c r="B62" s="1837"/>
      <c r="C62" s="996"/>
      <c r="D62" s="996"/>
      <c r="E62" s="996"/>
      <c r="F62" s="996"/>
      <c r="G62" s="996"/>
      <c r="H62" s="996"/>
      <c r="I62" s="996"/>
      <c r="J62" s="996"/>
      <c r="K62" s="996"/>
      <c r="L62" s="996"/>
      <c r="M62" s="996"/>
      <c r="N62" s="996"/>
      <c r="O62" s="996"/>
      <c r="P62" s="996"/>
      <c r="Q62" s="996"/>
      <c r="R62" s="996"/>
      <c r="S62" s="996"/>
      <c r="T62" s="996"/>
      <c r="U62" s="996"/>
      <c r="V62" s="996"/>
      <c r="W62" s="2938"/>
      <c r="X62" s="996"/>
      <c r="Y62" s="2938"/>
      <c r="Z62" s="996"/>
      <c r="AA62" s="997"/>
      <c r="AB62" s="996"/>
      <c r="AC62" s="996"/>
      <c r="AD62" s="998"/>
      <c r="AE62" s="996"/>
      <c r="AF62" s="996"/>
      <c r="AG62" s="996"/>
      <c r="AH62" s="996"/>
      <c r="AI62" s="431"/>
      <c r="AJ62" s="1871"/>
    </row>
    <row r="63" spans="1:36" ht="16.5" customHeight="1">
      <c r="A63" s="1837" t="s">
        <v>1311</v>
      </c>
      <c r="B63" s="1837"/>
      <c r="C63" s="996">
        <f>+'Exh F'!D61+'Exhibit G'!D46+' Exhbit I '!E39</f>
        <v>88.399999999999991</v>
      </c>
      <c r="D63" s="996"/>
      <c r="E63" s="996">
        <f>+'Exh F'!F61+'Exhibit G'!F46+' Exhbit I '!G39</f>
        <v>310.8</v>
      </c>
      <c r="F63" s="996"/>
      <c r="G63" s="996"/>
      <c r="H63" s="996"/>
      <c r="I63" s="996"/>
      <c r="J63" s="996"/>
      <c r="K63" s="996"/>
      <c r="L63" s="996"/>
      <c r="M63" s="996"/>
      <c r="N63" s="996"/>
      <c r="O63" s="996"/>
      <c r="P63" s="996"/>
      <c r="Q63" s="996"/>
      <c r="R63" s="996"/>
      <c r="S63" s="996"/>
      <c r="T63" s="996"/>
      <c r="U63" s="996"/>
      <c r="V63" s="996"/>
      <c r="W63" s="2938"/>
      <c r="X63" s="996"/>
      <c r="Y63" s="2938"/>
      <c r="Z63" s="996"/>
      <c r="AA63" s="997"/>
      <c r="AB63" s="996">
        <f t="shared" si="9"/>
        <v>399.2</v>
      </c>
      <c r="AC63" s="996"/>
      <c r="AD63" s="998"/>
      <c r="AE63" s="996">
        <f>+'Exh F'!AF61+'Exhibit G'!AF46+' Exhbit I '!AG39</f>
        <v>1172.6999999999998</v>
      </c>
      <c r="AF63" s="996"/>
      <c r="AG63" s="996"/>
      <c r="AH63" s="996">
        <f t="shared" si="10"/>
        <v>-773.5</v>
      </c>
      <c r="AI63" s="431"/>
      <c r="AJ63" s="1871">
        <f>ROUND(IF(AE63=0,0,AH63/(AE63)),3)</f>
        <v>-0.66</v>
      </c>
    </row>
    <row r="64" spans="1:36" ht="16.5" customHeight="1">
      <c r="A64" s="1837" t="s">
        <v>1312</v>
      </c>
      <c r="B64" s="1837"/>
      <c r="C64" s="996">
        <f>+'Exh F'!D62+'Exhibit G'!D47</f>
        <v>376.8</v>
      </c>
      <c r="D64" s="996"/>
      <c r="E64" s="996">
        <f>+'Exh F'!F62+'Exhibit G'!F47</f>
        <v>425.79999999999995</v>
      </c>
      <c r="F64" s="996"/>
      <c r="G64" s="996"/>
      <c r="H64" s="996"/>
      <c r="I64" s="996"/>
      <c r="J64" s="996"/>
      <c r="K64" s="996"/>
      <c r="L64" s="996"/>
      <c r="M64" s="996"/>
      <c r="N64" s="996"/>
      <c r="O64" s="996"/>
      <c r="P64" s="996"/>
      <c r="Q64" s="996"/>
      <c r="R64" s="996"/>
      <c r="S64" s="996"/>
      <c r="T64" s="996"/>
      <c r="U64" s="996"/>
      <c r="V64" s="996"/>
      <c r="W64" s="2938"/>
      <c r="X64" s="996"/>
      <c r="Y64" s="2938"/>
      <c r="Z64" s="996"/>
      <c r="AA64" s="997"/>
      <c r="AB64" s="996">
        <f t="shared" si="9"/>
        <v>802.6</v>
      </c>
      <c r="AC64" s="996"/>
      <c r="AD64" s="998"/>
      <c r="AE64" s="996">
        <f>+'Exh F'!AF62+'Exhibit G'!AF47+'Exhibit H'!AD29</f>
        <v>771.4</v>
      </c>
      <c r="AF64" s="996"/>
      <c r="AG64" s="996"/>
      <c r="AH64" s="996">
        <f t="shared" si="10"/>
        <v>31.2</v>
      </c>
      <c r="AI64" s="431"/>
      <c r="AJ64" s="1871">
        <f>ROUND(IF(AE64=0,0,AH64/(AE64)),3)</f>
        <v>0.04</v>
      </c>
    </row>
    <row r="65" spans="1:36" ht="16.5" customHeight="1">
      <c r="A65" s="1837" t="s">
        <v>1313</v>
      </c>
      <c r="B65" s="1837"/>
      <c r="C65" s="996">
        <f>+'Exh F'!D63+'Exhibit G'!D48</f>
        <v>0.7</v>
      </c>
      <c r="D65" s="996"/>
      <c r="E65" s="996">
        <f>+'Exh F'!F63+'Exhibit G'!F48</f>
        <v>-0.1</v>
      </c>
      <c r="F65" s="996"/>
      <c r="G65" s="996"/>
      <c r="H65" s="996"/>
      <c r="I65" s="996"/>
      <c r="J65" s="996"/>
      <c r="K65" s="996"/>
      <c r="L65" s="996"/>
      <c r="M65" s="996"/>
      <c r="N65" s="996"/>
      <c r="O65" s="996"/>
      <c r="P65" s="996"/>
      <c r="Q65" s="996"/>
      <c r="R65" s="996"/>
      <c r="S65" s="996"/>
      <c r="T65" s="996"/>
      <c r="U65" s="996"/>
      <c r="V65" s="996"/>
      <c r="W65" s="2938"/>
      <c r="X65" s="996"/>
      <c r="Y65" s="2938"/>
      <c r="Z65" s="996"/>
      <c r="AA65" s="997"/>
      <c r="AB65" s="996">
        <f t="shared" si="9"/>
        <v>0.6</v>
      </c>
      <c r="AC65" s="996"/>
      <c r="AD65" s="998"/>
      <c r="AE65" s="996">
        <f>+'Exh F'!AF63+'Exhibit G'!AF48</f>
        <v>0.5</v>
      </c>
      <c r="AF65" s="996"/>
      <c r="AG65" s="996"/>
      <c r="AH65" s="996">
        <f t="shared" si="10"/>
        <v>0.1</v>
      </c>
      <c r="AI65" s="431"/>
      <c r="AJ65" s="1871">
        <f>ROUND(IF(AE65=0,0,AH65/(AE65)),3)</f>
        <v>0.2</v>
      </c>
    </row>
    <row r="66" spans="1:36" ht="16.5" customHeight="1">
      <c r="A66" s="1837" t="s">
        <v>1314</v>
      </c>
      <c r="B66" s="1837"/>
      <c r="C66" s="996">
        <f>+'Exh F'!D64+'Exhibit G'!D49</f>
        <v>18.2</v>
      </c>
      <c r="D66" s="996"/>
      <c r="E66" s="996">
        <f>+'Exh F'!F64+'Exhibit G'!F49</f>
        <v>19.400000000000002</v>
      </c>
      <c r="F66" s="996"/>
      <c r="G66" s="996"/>
      <c r="H66" s="996"/>
      <c r="I66" s="996"/>
      <c r="J66" s="996"/>
      <c r="K66" s="996"/>
      <c r="L66" s="996"/>
      <c r="M66" s="996"/>
      <c r="N66" s="996"/>
      <c r="O66" s="996"/>
      <c r="P66" s="996"/>
      <c r="Q66" s="996"/>
      <c r="R66" s="996"/>
      <c r="S66" s="996"/>
      <c r="T66" s="996"/>
      <c r="U66" s="996"/>
      <c r="V66" s="996"/>
      <c r="W66" s="2938"/>
      <c r="X66" s="996"/>
      <c r="Y66" s="2938"/>
      <c r="Z66" s="996"/>
      <c r="AA66" s="997"/>
      <c r="AB66" s="996">
        <f t="shared" si="9"/>
        <v>37.6</v>
      </c>
      <c r="AC66" s="996"/>
      <c r="AD66" s="998"/>
      <c r="AE66" s="996">
        <f>+'Exh F'!AF64+'Exhibit G'!AF49</f>
        <v>33.700000000000003</v>
      </c>
      <c r="AF66" s="996"/>
      <c r="AG66" s="996"/>
      <c r="AH66" s="996">
        <f t="shared" si="10"/>
        <v>3.9</v>
      </c>
      <c r="AI66" s="431"/>
      <c r="AJ66" s="1871">
        <f>ROUND(IF(AE66=0,0,AH66/(AE66)),3)</f>
        <v>0.11600000000000001</v>
      </c>
    </row>
    <row r="67" spans="1:36" ht="16.5" customHeight="1">
      <c r="A67" s="1837" t="s">
        <v>1442</v>
      </c>
      <c r="B67" s="1837"/>
      <c r="C67" s="996"/>
      <c r="D67" s="996"/>
      <c r="E67" s="996"/>
      <c r="F67" s="996"/>
      <c r="G67" s="996"/>
      <c r="H67" s="996"/>
      <c r="I67" s="996"/>
      <c r="J67" s="996"/>
      <c r="K67" s="996"/>
      <c r="L67" s="996"/>
      <c r="M67" s="996"/>
      <c r="N67" s="996"/>
      <c r="O67" s="996"/>
      <c r="P67" s="996"/>
      <c r="Q67" s="996"/>
      <c r="R67" s="996"/>
      <c r="S67" s="996"/>
      <c r="T67" s="996"/>
      <c r="U67" s="996"/>
      <c r="V67" s="996"/>
      <c r="W67" s="2938"/>
      <c r="X67" s="996"/>
      <c r="Y67" s="2938"/>
      <c r="Z67" s="996"/>
      <c r="AA67" s="997"/>
      <c r="AB67" s="996"/>
      <c r="AC67" s="996"/>
      <c r="AD67" s="998"/>
      <c r="AE67" s="996"/>
      <c r="AF67" s="996"/>
      <c r="AG67" s="996"/>
      <c r="AH67" s="996"/>
      <c r="AI67" s="431"/>
      <c r="AJ67" s="1871"/>
    </row>
    <row r="68" spans="1:36" ht="16.5" customHeight="1">
      <c r="A68" s="1837" t="s">
        <v>1315</v>
      </c>
      <c r="B68" s="1837"/>
      <c r="C68" s="996">
        <f>+'Exh F'!D66+'Exhibit H'!B31</f>
        <v>6.9</v>
      </c>
      <c r="D68" s="996"/>
      <c r="E68" s="996">
        <f>+'Exh F'!F66+'Exhibit H'!D31</f>
        <v>5.5</v>
      </c>
      <c r="F68" s="996"/>
      <c r="G68" s="996"/>
      <c r="H68" s="996"/>
      <c r="I68" s="996"/>
      <c r="J68" s="996"/>
      <c r="K68" s="996"/>
      <c r="L68" s="996"/>
      <c r="M68" s="996"/>
      <c r="N68" s="996"/>
      <c r="O68" s="996"/>
      <c r="P68" s="996"/>
      <c r="Q68" s="996"/>
      <c r="R68" s="996"/>
      <c r="S68" s="996"/>
      <c r="T68" s="996"/>
      <c r="U68" s="996"/>
      <c r="V68" s="996"/>
      <c r="W68" s="2938"/>
      <c r="X68" s="996"/>
      <c r="Y68" s="2938"/>
      <c r="Z68" s="996"/>
      <c r="AA68" s="997"/>
      <c r="AB68" s="996">
        <f t="shared" si="9"/>
        <v>12.4</v>
      </c>
      <c r="AC68" s="996"/>
      <c r="AD68" s="998"/>
      <c r="AE68" s="996">
        <f>+'Exh F'!AF66+'Exhibit H'!AD31</f>
        <v>11.4</v>
      </c>
      <c r="AF68" s="996"/>
      <c r="AG68" s="996"/>
      <c r="AH68" s="996">
        <f t="shared" si="10"/>
        <v>1</v>
      </c>
      <c r="AI68" s="431"/>
      <c r="AJ68" s="1871">
        <f t="shared" ref="AJ68:AJ74" si="11">ROUND(IF(AE68=0,0,AH68/(AE68)),3)</f>
        <v>8.7999999999999995E-2</v>
      </c>
    </row>
    <row r="69" spans="1:36" ht="16.5" customHeight="1">
      <c r="A69" s="1837" t="s">
        <v>1438</v>
      </c>
      <c r="B69" s="1837"/>
      <c r="C69" s="996">
        <f>+'Exh F'!D67+'Exhibit G'!D51+' Exhbit I '!E41+'Exhibit H'!B32</f>
        <v>78.8</v>
      </c>
      <c r="D69" s="996"/>
      <c r="E69" s="996">
        <f>+'Exh F'!F67+'Exhibit G'!F51+' Exhbit I '!G41+'Exhibit H'!D32</f>
        <v>72.100000000000009</v>
      </c>
      <c r="F69" s="996"/>
      <c r="G69" s="996"/>
      <c r="H69" s="996"/>
      <c r="I69" s="996"/>
      <c r="J69" s="996"/>
      <c r="K69" s="996"/>
      <c r="L69" s="996"/>
      <c r="M69" s="996"/>
      <c r="N69" s="996"/>
      <c r="O69" s="996"/>
      <c r="P69" s="996"/>
      <c r="Q69" s="996"/>
      <c r="R69" s="996"/>
      <c r="S69" s="996"/>
      <c r="T69" s="996"/>
      <c r="U69" s="996"/>
      <c r="V69" s="996"/>
      <c r="W69" s="2938"/>
      <c r="X69" s="996"/>
      <c r="Y69" s="2938"/>
      <c r="Z69" s="996"/>
      <c r="AA69" s="997"/>
      <c r="AB69" s="996">
        <f t="shared" si="9"/>
        <v>150.9</v>
      </c>
      <c r="AC69" s="996"/>
      <c r="AD69" s="998"/>
      <c r="AE69" s="996">
        <f>+'Exh F'!AF67+'Exhibit G'!AF51+' Exhbit I '!AG41+'Exhibit H'!AD32</f>
        <v>135.1</v>
      </c>
      <c r="AF69" s="996"/>
      <c r="AG69" s="996"/>
      <c r="AH69" s="996">
        <f t="shared" si="10"/>
        <v>15.8</v>
      </c>
      <c r="AI69" s="431"/>
      <c r="AJ69" s="1871">
        <f t="shared" si="11"/>
        <v>0.11700000000000001</v>
      </c>
    </row>
    <row r="70" spans="1:36" ht="16.5" customHeight="1">
      <c r="A70" s="1837" t="s">
        <v>1317</v>
      </c>
      <c r="B70" s="1837"/>
      <c r="C70" s="996">
        <f>+'Exh F'!D68+'Exhibit G'!D52+'Exhibit H'!B33</f>
        <v>27.6</v>
      </c>
      <c r="D70" s="996"/>
      <c r="E70" s="996">
        <f>+'Exh F'!F68+'Exhibit G'!F52+'Exhibit H'!D33</f>
        <v>25.5</v>
      </c>
      <c r="F70" s="996"/>
      <c r="G70" s="996"/>
      <c r="H70" s="996"/>
      <c r="I70" s="996"/>
      <c r="J70" s="996"/>
      <c r="K70" s="996"/>
      <c r="L70" s="996"/>
      <c r="M70" s="996"/>
      <c r="N70" s="996"/>
      <c r="O70" s="996"/>
      <c r="P70" s="996"/>
      <c r="Q70" s="996"/>
      <c r="R70" s="996"/>
      <c r="S70" s="996"/>
      <c r="T70" s="996"/>
      <c r="U70" s="996"/>
      <c r="V70" s="996"/>
      <c r="W70" s="2938"/>
      <c r="X70" s="996"/>
      <c r="Y70" s="2938"/>
      <c r="Z70" s="996"/>
      <c r="AA70" s="997"/>
      <c r="AB70" s="996">
        <f t="shared" si="9"/>
        <v>53.1</v>
      </c>
      <c r="AC70" s="996"/>
      <c r="AD70" s="998"/>
      <c r="AE70" s="996">
        <f>+'Exh F'!AF68+'Exhibit G'!AF52+'Exhibit H'!AD33+' Exhbit I '!AG42</f>
        <v>40.5</v>
      </c>
      <c r="AF70" s="996"/>
      <c r="AG70" s="996"/>
      <c r="AH70" s="996">
        <f t="shared" si="10"/>
        <v>12.6</v>
      </c>
      <c r="AI70" s="431"/>
      <c r="AJ70" s="1871">
        <f t="shared" si="11"/>
        <v>0.311</v>
      </c>
    </row>
    <row r="71" spans="1:36" ht="16.5" customHeight="1">
      <c r="A71" s="1837" t="s">
        <v>1318</v>
      </c>
      <c r="B71" s="1837"/>
      <c r="C71" s="996">
        <f>+'Exh F'!D69+'Exhibit G'!D53+'Exhibit H'!B34</f>
        <v>0.1</v>
      </c>
      <c r="D71" s="996"/>
      <c r="E71" s="996">
        <f>+'Exh F'!F69+'Exhibit G'!F53+'Exhibit H'!D34</f>
        <v>0.3</v>
      </c>
      <c r="F71" s="996"/>
      <c r="G71" s="996"/>
      <c r="H71" s="996"/>
      <c r="I71" s="996"/>
      <c r="J71" s="996"/>
      <c r="K71" s="996"/>
      <c r="L71" s="996"/>
      <c r="M71" s="996"/>
      <c r="N71" s="996"/>
      <c r="O71" s="996"/>
      <c r="P71" s="996"/>
      <c r="Q71" s="996"/>
      <c r="R71" s="996"/>
      <c r="S71" s="996"/>
      <c r="T71" s="996"/>
      <c r="U71" s="996"/>
      <c r="V71" s="996"/>
      <c r="W71" s="2938"/>
      <c r="X71" s="996"/>
      <c r="Y71" s="2938"/>
      <c r="Z71" s="996"/>
      <c r="AA71" s="997"/>
      <c r="AB71" s="996">
        <f t="shared" si="9"/>
        <v>0.4</v>
      </c>
      <c r="AC71" s="996"/>
      <c r="AD71" s="998"/>
      <c r="AE71" s="996">
        <f>+'Exh F'!AF69+'Exhibit G'!AF53+'Exhibit H'!AD34</f>
        <v>1.4000000000000001</v>
      </c>
      <c r="AF71" s="996"/>
      <c r="AG71" s="996"/>
      <c r="AH71" s="996">
        <f t="shared" si="10"/>
        <v>-1</v>
      </c>
      <c r="AI71" s="431"/>
      <c r="AJ71" s="1871">
        <f t="shared" si="11"/>
        <v>-0.71399999999999997</v>
      </c>
    </row>
    <row r="72" spans="1:36" ht="16.5" customHeight="1">
      <c r="A72" s="1837" t="s">
        <v>1319</v>
      </c>
      <c r="B72" s="1837"/>
      <c r="C72" s="996">
        <f>+'Exh F'!D70+'Exhibit G'!D54+' Exhbit I '!E43+'Exhibit H'!B35</f>
        <v>128.1</v>
      </c>
      <c r="D72" s="996"/>
      <c r="E72" s="996">
        <f>+'Exh F'!F70+'Exhibit G'!F54+' Exhbit I '!G43+'Exhibit H'!D35</f>
        <v>121.5</v>
      </c>
      <c r="F72" s="996"/>
      <c r="G72" s="996"/>
      <c r="H72" s="996"/>
      <c r="I72" s="996"/>
      <c r="J72" s="996"/>
      <c r="K72" s="996"/>
      <c r="L72" s="996"/>
      <c r="M72" s="996"/>
      <c r="N72" s="996"/>
      <c r="O72" s="996"/>
      <c r="P72" s="996"/>
      <c r="Q72" s="996"/>
      <c r="R72" s="996"/>
      <c r="S72" s="996"/>
      <c r="T72" s="996"/>
      <c r="U72" s="996"/>
      <c r="V72" s="996"/>
      <c r="W72" s="2938"/>
      <c r="X72" s="996"/>
      <c r="Y72" s="2938"/>
      <c r="Z72" s="996"/>
      <c r="AA72" s="997"/>
      <c r="AB72" s="996">
        <f t="shared" si="9"/>
        <v>249.6</v>
      </c>
      <c r="AC72" s="996"/>
      <c r="AD72" s="998"/>
      <c r="AE72" s="996">
        <f>+'Exh F'!AF70+'Exhibit G'!AF54+' Exhbit I '!AG43+'Exhibit H'!AD35</f>
        <v>255.60000000000002</v>
      </c>
      <c r="AF72" s="996"/>
      <c r="AG72" s="996"/>
      <c r="AH72" s="996">
        <f t="shared" si="10"/>
        <v>-6</v>
      </c>
      <c r="AI72" s="431"/>
      <c r="AJ72" s="1871">
        <f t="shared" si="11"/>
        <v>-2.3E-2</v>
      </c>
    </row>
    <row r="73" spans="1:36" ht="16.5" customHeight="1">
      <c r="A73" s="1837" t="s">
        <v>1320</v>
      </c>
      <c r="B73" s="1837"/>
      <c r="C73" s="996">
        <f>+'Exh F'!D71+'Exhibit G'!D55+' Exhbit I '!E44+'Exhibit H'!B36</f>
        <v>16.600000000000001</v>
      </c>
      <c r="D73" s="996"/>
      <c r="E73" s="996">
        <f>+'Exh F'!F71+'Exhibit G'!F55+' Exhbit I '!G44+'Exhibit H'!D36</f>
        <v>27.400000000000002</v>
      </c>
      <c r="F73" s="996"/>
      <c r="G73" s="996"/>
      <c r="H73" s="996"/>
      <c r="I73" s="996"/>
      <c r="J73" s="996"/>
      <c r="K73" s="996"/>
      <c r="L73" s="996"/>
      <c r="M73" s="996"/>
      <c r="N73" s="996"/>
      <c r="O73" s="996"/>
      <c r="P73" s="996"/>
      <c r="Q73" s="996"/>
      <c r="R73" s="996"/>
      <c r="S73" s="996"/>
      <c r="T73" s="996"/>
      <c r="U73" s="996"/>
      <c r="V73" s="996"/>
      <c r="W73" s="2938"/>
      <c r="X73" s="996"/>
      <c r="Y73" s="2938"/>
      <c r="Z73" s="996"/>
      <c r="AA73" s="997"/>
      <c r="AB73" s="996">
        <f t="shared" si="9"/>
        <v>44</v>
      </c>
      <c r="AC73" s="996"/>
      <c r="AD73" s="998"/>
      <c r="AE73" s="996">
        <f>+'Exh F'!AF71+'Exhibit G'!AF55+' Exhbit I '!AG44+'Exhibit H'!AD36</f>
        <v>35.700000000000003</v>
      </c>
      <c r="AF73" s="996"/>
      <c r="AG73" s="996"/>
      <c r="AH73" s="996">
        <f t="shared" si="10"/>
        <v>8.3000000000000007</v>
      </c>
      <c r="AI73" s="431"/>
      <c r="AJ73" s="1871">
        <f t="shared" si="11"/>
        <v>0.23200000000000001</v>
      </c>
    </row>
    <row r="74" spans="1:36" ht="16.5" customHeight="1">
      <c r="A74" s="1837" t="s">
        <v>1309</v>
      </c>
      <c r="B74" s="1837"/>
      <c r="C74" s="996">
        <f>+'Exh F'!D72+'Exhibit G'!D56+' Exhbit I '!E45</f>
        <v>18.600000000000001</v>
      </c>
      <c r="D74" s="996"/>
      <c r="E74" s="996">
        <f>+'Exh F'!F72+'Exhibit G'!F56+' Exhbit I '!G45</f>
        <v>1414.6</v>
      </c>
      <c r="F74" s="996"/>
      <c r="G74" s="996"/>
      <c r="H74" s="996"/>
      <c r="I74" s="996"/>
      <c r="J74" s="996"/>
      <c r="K74" s="996"/>
      <c r="L74" s="996"/>
      <c r="M74" s="996"/>
      <c r="N74" s="996"/>
      <c r="O74" s="996"/>
      <c r="P74" s="996"/>
      <c r="Q74" s="996"/>
      <c r="R74" s="996"/>
      <c r="S74" s="996"/>
      <c r="T74" s="996"/>
      <c r="U74" s="996"/>
      <c r="V74" s="996"/>
      <c r="W74" s="2938"/>
      <c r="X74" s="996"/>
      <c r="Y74" s="2938"/>
      <c r="Z74" s="996"/>
      <c r="AA74" s="997"/>
      <c r="AB74" s="996">
        <f t="shared" si="9"/>
        <v>1433.2</v>
      </c>
      <c r="AC74" s="996"/>
      <c r="AD74" s="998"/>
      <c r="AE74" s="996">
        <f>+'Exh F'!AF72+'Exhibit G'!AF56+' Exhbit I '!AG45</f>
        <v>782.8</v>
      </c>
      <c r="AF74" s="996"/>
      <c r="AG74" s="996"/>
      <c r="AH74" s="996">
        <f t="shared" si="10"/>
        <v>650.4</v>
      </c>
      <c r="AI74" s="431"/>
      <c r="AJ74" s="1871">
        <f t="shared" si="11"/>
        <v>0.83099999999999996</v>
      </c>
    </row>
    <row r="75" spans="1:36" ht="16.5" customHeight="1">
      <c r="A75" s="1837" t="s">
        <v>1439</v>
      </c>
      <c r="B75" s="1837"/>
      <c r="C75" s="996"/>
      <c r="D75" s="996"/>
      <c r="E75" s="996"/>
      <c r="F75" s="996"/>
      <c r="G75" s="996"/>
      <c r="H75" s="996"/>
      <c r="I75" s="996"/>
      <c r="J75" s="996"/>
      <c r="K75" s="996"/>
      <c r="L75" s="996"/>
      <c r="M75" s="996"/>
      <c r="N75" s="996"/>
      <c r="O75" s="996"/>
      <c r="P75" s="996"/>
      <c r="Q75" s="996"/>
      <c r="R75" s="996"/>
      <c r="S75" s="996"/>
      <c r="T75" s="996"/>
      <c r="U75" s="996"/>
      <c r="V75" s="996"/>
      <c r="W75" s="2938"/>
      <c r="X75" s="996"/>
      <c r="Y75" s="2938"/>
      <c r="Z75" s="996"/>
      <c r="AA75" s="997"/>
      <c r="AB75" s="996"/>
      <c r="AC75" s="996"/>
      <c r="AD75" s="998"/>
      <c r="AE75" s="996"/>
      <c r="AF75" s="996"/>
      <c r="AG75" s="996"/>
      <c r="AH75" s="996"/>
      <c r="AI75" s="431"/>
      <c r="AJ75" s="1871"/>
    </row>
    <row r="76" spans="1:36" ht="16.5" customHeight="1">
      <c r="A76" s="1837" t="s">
        <v>1321</v>
      </c>
      <c r="B76" s="1837"/>
      <c r="C76" s="996">
        <f>+'Exhibit G'!D58</f>
        <v>43.5</v>
      </c>
      <c r="D76" s="996"/>
      <c r="E76" s="996">
        <f>+'Exhibit G'!F58</f>
        <v>0.6</v>
      </c>
      <c r="F76" s="996"/>
      <c r="G76" s="996"/>
      <c r="H76" s="996"/>
      <c r="I76" s="996"/>
      <c r="J76" s="996"/>
      <c r="K76" s="996"/>
      <c r="L76" s="996"/>
      <c r="M76" s="996"/>
      <c r="N76" s="996"/>
      <c r="O76" s="996"/>
      <c r="P76" s="996"/>
      <c r="Q76" s="996"/>
      <c r="R76" s="996"/>
      <c r="S76" s="996"/>
      <c r="T76" s="996"/>
      <c r="U76" s="996"/>
      <c r="V76" s="996"/>
      <c r="W76" s="2938"/>
      <c r="X76" s="996"/>
      <c r="Y76" s="2938"/>
      <c r="Z76" s="996"/>
      <c r="AA76" s="997"/>
      <c r="AB76" s="996">
        <f t="shared" si="9"/>
        <v>44.1</v>
      </c>
      <c r="AC76" s="996"/>
      <c r="AD76" s="998"/>
      <c r="AE76" s="996">
        <f>+'Exhibit G'!AF58</f>
        <v>5.7</v>
      </c>
      <c r="AF76" s="996"/>
      <c r="AG76" s="996"/>
      <c r="AH76" s="996">
        <f t="shared" si="10"/>
        <v>38.4</v>
      </c>
      <c r="AI76" s="431"/>
      <c r="AJ76" s="1871">
        <f>ROUND(IF(AE76=0,0,AH76/(AE76)),3)</f>
        <v>6.7370000000000001</v>
      </c>
    </row>
    <row r="77" spans="1:36" ht="16.5" customHeight="1">
      <c r="A77" s="1837" t="s">
        <v>1322</v>
      </c>
      <c r="B77" s="1837"/>
      <c r="C77" s="996">
        <f>+'Exhibit G'!D59</f>
        <v>226.4</v>
      </c>
      <c r="D77" s="996"/>
      <c r="E77" s="996">
        <f>+'Exhibit G'!F59</f>
        <v>191.2</v>
      </c>
      <c r="F77" s="996"/>
      <c r="G77" s="996"/>
      <c r="H77" s="996"/>
      <c r="I77" s="996"/>
      <c r="J77" s="996"/>
      <c r="K77" s="996"/>
      <c r="L77" s="996"/>
      <c r="M77" s="996"/>
      <c r="N77" s="996"/>
      <c r="O77" s="996"/>
      <c r="P77" s="996"/>
      <c r="Q77" s="996"/>
      <c r="R77" s="996"/>
      <c r="S77" s="996"/>
      <c r="T77" s="996"/>
      <c r="U77" s="996"/>
      <c r="V77" s="996"/>
      <c r="W77" s="2938"/>
      <c r="X77" s="996"/>
      <c r="Y77" s="2938"/>
      <c r="Z77" s="996"/>
      <c r="AA77" s="997"/>
      <c r="AB77" s="996">
        <f t="shared" si="9"/>
        <v>417.6</v>
      </c>
      <c r="AC77" s="996"/>
      <c r="AD77" s="998"/>
      <c r="AE77" s="996">
        <f>+'Exhibit G'!AF59</f>
        <v>402.5</v>
      </c>
      <c r="AF77" s="996"/>
      <c r="AG77" s="996"/>
      <c r="AH77" s="996">
        <f t="shared" si="10"/>
        <v>15.1</v>
      </c>
      <c r="AI77" s="431"/>
      <c r="AJ77" s="1871">
        <f>ROUND(IF(AE77=0,0,AH77/(AE77)),3)</f>
        <v>3.7999999999999999E-2</v>
      </c>
    </row>
    <row r="78" spans="1:36" ht="16.5" customHeight="1">
      <c r="A78" s="1837" t="s">
        <v>1323</v>
      </c>
      <c r="B78" s="1837"/>
      <c r="C78" s="996">
        <f>+'Exhibit G'!D60</f>
        <v>94.5</v>
      </c>
      <c r="D78" s="996"/>
      <c r="E78" s="996">
        <f>+'Exhibit G'!F60</f>
        <v>73.400000000000006</v>
      </c>
      <c r="F78" s="996"/>
      <c r="G78" s="996"/>
      <c r="H78" s="996"/>
      <c r="I78" s="996"/>
      <c r="J78" s="996"/>
      <c r="K78" s="996"/>
      <c r="L78" s="996"/>
      <c r="M78" s="996"/>
      <c r="N78" s="996"/>
      <c r="O78" s="996"/>
      <c r="P78" s="996"/>
      <c r="Q78" s="996"/>
      <c r="R78" s="996"/>
      <c r="S78" s="996"/>
      <c r="T78" s="996"/>
      <c r="U78" s="996"/>
      <c r="V78" s="996"/>
      <c r="W78" s="2938"/>
      <c r="X78" s="996"/>
      <c r="Y78" s="2938"/>
      <c r="Z78" s="996"/>
      <c r="AA78" s="997"/>
      <c r="AB78" s="996">
        <f t="shared" si="9"/>
        <v>167.9</v>
      </c>
      <c r="AC78" s="996"/>
      <c r="AD78" s="998"/>
      <c r="AE78" s="996">
        <f>+'Exhibit G'!AF60</f>
        <v>163.19999999999999</v>
      </c>
      <c r="AF78" s="996"/>
      <c r="AG78" s="996"/>
      <c r="AH78" s="996">
        <f t="shared" si="10"/>
        <v>4.7</v>
      </c>
      <c r="AI78" s="431"/>
      <c r="AJ78" s="1871">
        <f>ROUND(IF(AE78=0,0,AH78/(AE78)),3)</f>
        <v>2.9000000000000001E-2</v>
      </c>
    </row>
    <row r="79" spans="1:36" ht="16.5" customHeight="1">
      <c r="A79" s="1837" t="s">
        <v>1310</v>
      </c>
      <c r="B79" s="1837"/>
      <c r="C79" s="996">
        <f>+'Exh F'!D73+'Exhibit G'!D61+'Exhibit H'!B37+' Exhbit I '!E46</f>
        <v>2.9</v>
      </c>
      <c r="D79" s="996"/>
      <c r="E79" s="996">
        <f>+'Exh F'!F73+'Exhibit G'!F61+'Exhibit H'!D37+' Exhbit I '!G46</f>
        <v>4.0999999999999996</v>
      </c>
      <c r="F79" s="996"/>
      <c r="G79" s="996"/>
      <c r="H79" s="996"/>
      <c r="I79" s="996"/>
      <c r="J79" s="996"/>
      <c r="K79" s="996"/>
      <c r="L79" s="996"/>
      <c r="M79" s="996"/>
      <c r="N79" s="996"/>
      <c r="O79" s="996"/>
      <c r="P79" s="996"/>
      <c r="Q79" s="996"/>
      <c r="R79" s="996"/>
      <c r="S79" s="996"/>
      <c r="T79" s="996"/>
      <c r="U79" s="996"/>
      <c r="V79" s="996"/>
      <c r="W79" s="2938"/>
      <c r="X79" s="996"/>
      <c r="Y79" s="2938"/>
      <c r="Z79" s="996"/>
      <c r="AA79" s="997"/>
      <c r="AB79" s="996">
        <f t="shared" si="9"/>
        <v>7</v>
      </c>
      <c r="AC79" s="996"/>
      <c r="AD79" s="998"/>
      <c r="AE79" s="996">
        <f>+'Exh F'!AF73+'Exhibit G'!AF61+'Exhibit H'!AD37+' Exhbit I '!AG46</f>
        <v>4.8999999999999995</v>
      </c>
      <c r="AF79" s="996"/>
      <c r="AG79" s="996"/>
      <c r="AH79" s="996">
        <f t="shared" si="10"/>
        <v>2.1</v>
      </c>
      <c r="AI79" s="431"/>
      <c r="AJ79" s="1871">
        <f>ROUND(IF(AE79=0,0,AH79/(AE79)),3)</f>
        <v>0.42899999999999999</v>
      </c>
    </row>
    <row r="80" spans="1:36" ht="16.5" customHeight="1">
      <c r="A80" s="1837" t="s">
        <v>1440</v>
      </c>
      <c r="B80" s="1837"/>
      <c r="C80" s="996"/>
      <c r="D80" s="996"/>
      <c r="E80" s="996"/>
      <c r="F80" s="996"/>
      <c r="G80" s="996"/>
      <c r="H80" s="996"/>
      <c r="I80" s="996"/>
      <c r="J80" s="996"/>
      <c r="K80" s="996"/>
      <c r="L80" s="996"/>
      <c r="M80" s="996"/>
      <c r="N80" s="996"/>
      <c r="O80" s="996"/>
      <c r="P80" s="996"/>
      <c r="Q80" s="996"/>
      <c r="R80" s="996"/>
      <c r="S80" s="996"/>
      <c r="T80" s="996"/>
      <c r="U80" s="996"/>
      <c r="V80" s="996"/>
      <c r="W80" s="2938"/>
      <c r="X80" s="996"/>
      <c r="Y80" s="2938"/>
      <c r="Z80" s="996"/>
      <c r="AA80" s="997"/>
      <c r="AB80" s="996"/>
      <c r="AC80" s="996"/>
      <c r="AD80" s="998"/>
      <c r="AE80" s="996"/>
      <c r="AF80" s="996"/>
      <c r="AG80" s="996"/>
      <c r="AH80" s="996"/>
      <c r="AI80" s="431"/>
      <c r="AJ80" s="1871"/>
    </row>
    <row r="81" spans="1:36" ht="16.5" customHeight="1">
      <c r="A81" s="1837" t="s">
        <v>1324</v>
      </c>
      <c r="B81" s="1837"/>
      <c r="C81" s="996">
        <f>+'Exhibit G'!D63+' Exhbit I '!E48</f>
        <v>12.2</v>
      </c>
      <c r="D81" s="996"/>
      <c r="E81" s="996">
        <f>+'Exhibit G'!F63+' Exhbit I '!G48</f>
        <v>43.1</v>
      </c>
      <c r="F81" s="996"/>
      <c r="G81" s="996"/>
      <c r="H81" s="996"/>
      <c r="I81" s="996"/>
      <c r="J81" s="996"/>
      <c r="K81" s="996"/>
      <c r="L81" s="996"/>
      <c r="M81" s="996"/>
      <c r="N81" s="996"/>
      <c r="O81" s="996"/>
      <c r="P81" s="996"/>
      <c r="Q81" s="996"/>
      <c r="R81" s="996"/>
      <c r="S81" s="996"/>
      <c r="T81" s="996"/>
      <c r="U81" s="996"/>
      <c r="V81" s="996"/>
      <c r="W81" s="2938"/>
      <c r="X81" s="996"/>
      <c r="Y81" s="2938"/>
      <c r="Z81" s="996"/>
      <c r="AA81" s="997"/>
      <c r="AB81" s="996">
        <f t="shared" si="9"/>
        <v>55.3</v>
      </c>
      <c r="AC81" s="996"/>
      <c r="AD81" s="998"/>
      <c r="AE81" s="996">
        <f>+'Exhibit G'!AF63+' Exhbit I '!AG48</f>
        <v>182.8</v>
      </c>
      <c r="AF81" s="996"/>
      <c r="AG81" s="996"/>
      <c r="AH81" s="996">
        <f t="shared" si="10"/>
        <v>-127.5</v>
      </c>
      <c r="AI81" s="431"/>
      <c r="AJ81" s="1871">
        <f t="shared" ref="AJ81:AJ86" si="12">ROUND(IF(AE81=0,0,AH81/(AE81)),3)</f>
        <v>-0.69699999999999995</v>
      </c>
    </row>
    <row r="82" spans="1:36" ht="16.5" customHeight="1">
      <c r="A82" s="1837" t="s">
        <v>1325</v>
      </c>
      <c r="B82" s="1837"/>
      <c r="C82" s="996">
        <f>+'Exh F'!D75+'Exhibit G'!D64</f>
        <v>0</v>
      </c>
      <c r="D82" s="996"/>
      <c r="E82" s="996">
        <f>+'Exh F'!F75+'Exhibit G'!F64</f>
        <v>0</v>
      </c>
      <c r="F82" s="996"/>
      <c r="G82" s="996"/>
      <c r="H82" s="996"/>
      <c r="I82" s="996"/>
      <c r="J82" s="996"/>
      <c r="K82" s="996"/>
      <c r="L82" s="996"/>
      <c r="M82" s="996"/>
      <c r="N82" s="996"/>
      <c r="O82" s="996"/>
      <c r="P82" s="996"/>
      <c r="Q82" s="996"/>
      <c r="R82" s="996"/>
      <c r="S82" s="996"/>
      <c r="T82" s="996"/>
      <c r="U82" s="996"/>
      <c r="V82" s="996"/>
      <c r="W82" s="2938"/>
      <c r="X82" s="996"/>
      <c r="Y82" s="2938"/>
      <c r="Z82" s="996"/>
      <c r="AA82" s="997"/>
      <c r="AB82" s="996">
        <f t="shared" si="9"/>
        <v>0</v>
      </c>
      <c r="AC82" s="996"/>
      <c r="AD82" s="998"/>
      <c r="AE82" s="996">
        <f>+'Exh F'!AF75+'Exhibit G'!AF64</f>
        <v>22.599999999999998</v>
      </c>
      <c r="AF82" s="996"/>
      <c r="AG82" s="996"/>
      <c r="AH82" s="996">
        <f t="shared" si="10"/>
        <v>-22.6</v>
      </c>
      <c r="AI82" s="431"/>
      <c r="AJ82" s="1871">
        <f t="shared" si="12"/>
        <v>-1</v>
      </c>
    </row>
    <row r="83" spans="1:36" ht="16.5" customHeight="1">
      <c r="A83" s="1837" t="s">
        <v>1326</v>
      </c>
      <c r="B83" s="1837"/>
      <c r="C83" s="996">
        <f>+'Exh F'!D76+'Exhibit G'!D65</f>
        <v>0.2</v>
      </c>
      <c r="D83" s="996"/>
      <c r="E83" s="996">
        <f>+'Exh F'!F76+'Exhibit G'!F65</f>
        <v>5.7</v>
      </c>
      <c r="F83" s="996"/>
      <c r="G83" s="996"/>
      <c r="H83" s="996"/>
      <c r="I83" s="996"/>
      <c r="J83" s="996"/>
      <c r="K83" s="996"/>
      <c r="L83" s="996"/>
      <c r="M83" s="996"/>
      <c r="N83" s="996"/>
      <c r="O83" s="996"/>
      <c r="P83" s="996"/>
      <c r="Q83" s="996"/>
      <c r="R83" s="996"/>
      <c r="S83" s="996"/>
      <c r="T83" s="996"/>
      <c r="U83" s="996"/>
      <c r="V83" s="996"/>
      <c r="W83" s="2938"/>
      <c r="X83" s="996"/>
      <c r="Y83" s="2938"/>
      <c r="Z83" s="996"/>
      <c r="AA83" s="997"/>
      <c r="AB83" s="996">
        <f t="shared" si="9"/>
        <v>5.9</v>
      </c>
      <c r="AC83" s="996"/>
      <c r="AD83" s="998"/>
      <c r="AE83" s="996">
        <f>+'Exh F'!AF76+'Exhibit G'!AF65</f>
        <v>14.6</v>
      </c>
      <c r="AF83" s="996"/>
      <c r="AG83" s="996"/>
      <c r="AH83" s="996">
        <f t="shared" si="10"/>
        <v>-8.6999999999999993</v>
      </c>
      <c r="AI83" s="431"/>
      <c r="AJ83" s="1871">
        <f t="shared" si="12"/>
        <v>-0.59599999999999997</v>
      </c>
    </row>
    <row r="84" spans="1:36" ht="16.5" customHeight="1">
      <c r="A84" s="1837" t="s">
        <v>1327</v>
      </c>
      <c r="B84" s="1837"/>
      <c r="C84" s="996">
        <f>+'Exh F'!D77+'Exhibit G'!D66+' Exhbit I '!E50</f>
        <v>0.2</v>
      </c>
      <c r="D84" s="996"/>
      <c r="E84" s="996">
        <f>+'Exh F'!F77+'Exhibit G'!F66+' Exhbit I '!G50</f>
        <v>2</v>
      </c>
      <c r="F84" s="996"/>
      <c r="G84" s="996"/>
      <c r="H84" s="996"/>
      <c r="I84" s="996"/>
      <c r="J84" s="996"/>
      <c r="K84" s="996"/>
      <c r="L84" s="996"/>
      <c r="M84" s="996"/>
      <c r="N84" s="996"/>
      <c r="O84" s="996"/>
      <c r="P84" s="996"/>
      <c r="Q84" s="996"/>
      <c r="R84" s="996"/>
      <c r="S84" s="996"/>
      <c r="T84" s="996"/>
      <c r="U84" s="996"/>
      <c r="V84" s="996"/>
      <c r="W84" s="2938"/>
      <c r="X84" s="996"/>
      <c r="Y84" s="2938"/>
      <c r="Z84" s="996"/>
      <c r="AA84" s="997"/>
      <c r="AB84" s="996">
        <f t="shared" si="9"/>
        <v>2.2000000000000002</v>
      </c>
      <c r="AC84" s="996"/>
      <c r="AD84" s="998"/>
      <c r="AE84" s="996">
        <f>+'Exh F'!AF77+'Exhibit G'!AF66+' Exhbit I '!AG50</f>
        <v>7.1</v>
      </c>
      <c r="AF84" s="996"/>
      <c r="AG84" s="996"/>
      <c r="AH84" s="996">
        <f t="shared" si="10"/>
        <v>-4.9000000000000004</v>
      </c>
      <c r="AI84" s="431"/>
      <c r="AJ84" s="1871">
        <f t="shared" si="12"/>
        <v>-0.69</v>
      </c>
    </row>
    <row r="85" spans="1:36" ht="16.5" customHeight="1">
      <c r="A85" s="1837" t="s">
        <v>1328</v>
      </c>
      <c r="B85" s="1837"/>
      <c r="C85" s="996">
        <f>+'Exh F'!D78+'Exhibit G'!D67+'Exhibit H'!B38+' Exhbit I '!E51</f>
        <v>39.800000000000004</v>
      </c>
      <c r="D85" s="996"/>
      <c r="E85" s="996">
        <f>+'Exh F'!F78+'Exhibit G'!F67+'Exhibit H'!D38+' Exhbit I '!G51</f>
        <v>8.5</v>
      </c>
      <c r="F85" s="996"/>
      <c r="G85" s="996"/>
      <c r="H85" s="996"/>
      <c r="I85" s="996"/>
      <c r="J85" s="996"/>
      <c r="K85" s="996"/>
      <c r="L85" s="996"/>
      <c r="M85" s="996"/>
      <c r="N85" s="996"/>
      <c r="O85" s="996"/>
      <c r="P85" s="996"/>
      <c r="Q85" s="996"/>
      <c r="R85" s="996"/>
      <c r="S85" s="996"/>
      <c r="T85" s="996"/>
      <c r="U85" s="996"/>
      <c r="V85" s="996"/>
      <c r="W85" s="2938"/>
      <c r="X85" s="996"/>
      <c r="Y85" s="2938"/>
      <c r="Z85" s="996"/>
      <c r="AA85" s="997"/>
      <c r="AB85" s="996">
        <f t="shared" si="9"/>
        <v>48.3</v>
      </c>
      <c r="AC85" s="996"/>
      <c r="AD85" s="998"/>
      <c r="AE85" s="996">
        <f>+'Exh F'!AF78+'Exhibit G'!AF67+'Exhibit H'!AD38+' Exhbit I '!AG51</f>
        <v>41.199999999999996</v>
      </c>
      <c r="AF85" s="996"/>
      <c r="AG85" s="996"/>
      <c r="AH85" s="996">
        <f t="shared" si="10"/>
        <v>7.1</v>
      </c>
      <c r="AI85" s="431"/>
      <c r="AJ85" s="1871">
        <f t="shared" si="12"/>
        <v>0.17199999999999999</v>
      </c>
    </row>
    <row r="86" spans="1:36" ht="16.5" customHeight="1">
      <c r="A86" s="1837" t="s">
        <v>1329</v>
      </c>
      <c r="B86" s="1837"/>
      <c r="C86" s="996">
        <f>+'Exh F'!D79+'Exhibit G'!D68+'Exhibit H'!B39+' Exhbit I '!E52</f>
        <v>34.200000000000003</v>
      </c>
      <c r="D86" s="996"/>
      <c r="E86" s="996">
        <f>+'Exh F'!F79+'Exhibit G'!F68+'Exhibit H'!D39+' Exhbit I '!G52</f>
        <v>22.3</v>
      </c>
      <c r="F86" s="996"/>
      <c r="G86" s="996"/>
      <c r="H86" s="996"/>
      <c r="I86" s="996"/>
      <c r="J86" s="996"/>
      <c r="K86" s="996"/>
      <c r="L86" s="996"/>
      <c r="M86" s="996"/>
      <c r="N86" s="996"/>
      <c r="O86" s="996"/>
      <c r="P86" s="996"/>
      <c r="Q86" s="996"/>
      <c r="R86" s="996"/>
      <c r="S86" s="996"/>
      <c r="T86" s="996"/>
      <c r="U86" s="996"/>
      <c r="V86" s="996"/>
      <c r="W86" s="2938"/>
      <c r="X86" s="996"/>
      <c r="Y86" s="2938"/>
      <c r="Z86" s="996"/>
      <c r="AA86" s="997"/>
      <c r="AB86" s="996">
        <f t="shared" si="9"/>
        <v>56.5</v>
      </c>
      <c r="AC86" s="996"/>
      <c r="AD86" s="998"/>
      <c r="AE86" s="996">
        <f>+'Exh F'!AF79+'Exhibit G'!AF68+'Exhibit H'!AD39+' Exhbit I '!AG52</f>
        <v>62.399999999999991</v>
      </c>
      <c r="AF86" s="996"/>
      <c r="AG86" s="996"/>
      <c r="AH86" s="996">
        <f t="shared" si="10"/>
        <v>-5.9</v>
      </c>
      <c r="AI86" s="431"/>
      <c r="AJ86" s="1871">
        <f t="shared" si="12"/>
        <v>-9.5000000000000001E-2</v>
      </c>
    </row>
    <row r="87" spans="1:36" ht="16.5" customHeight="1">
      <c r="A87" s="1837" t="s">
        <v>1441</v>
      </c>
      <c r="B87" s="1837"/>
      <c r="C87" s="996"/>
      <c r="D87" s="996"/>
      <c r="E87" s="996"/>
      <c r="F87" s="996"/>
      <c r="G87" s="996"/>
      <c r="H87" s="996"/>
      <c r="I87" s="996"/>
      <c r="J87" s="996"/>
      <c r="K87" s="996"/>
      <c r="L87" s="996"/>
      <c r="M87" s="996"/>
      <c r="N87" s="996"/>
      <c r="O87" s="996"/>
      <c r="P87" s="996"/>
      <c r="Q87" s="996"/>
      <c r="R87" s="996"/>
      <c r="S87" s="996"/>
      <c r="T87" s="996"/>
      <c r="U87" s="996"/>
      <c r="V87" s="996"/>
      <c r="W87" s="2938"/>
      <c r="X87" s="996"/>
      <c r="Y87" s="2938"/>
      <c r="Z87" s="996"/>
      <c r="AA87" s="997"/>
      <c r="AB87" s="996"/>
      <c r="AC87" s="996"/>
      <c r="AD87" s="998"/>
      <c r="AE87" s="996"/>
      <c r="AF87" s="996"/>
      <c r="AG87" s="996"/>
      <c r="AH87" s="996"/>
      <c r="AI87" s="431"/>
      <c r="AJ87" s="1871"/>
    </row>
    <row r="88" spans="1:36" ht="16.5" customHeight="1">
      <c r="A88" s="1837" t="s">
        <v>1330</v>
      </c>
      <c r="B88" s="1837"/>
      <c r="C88" s="996">
        <f>+'Exh F'!D81+'Exhibit G'!D70+' Exhbit I '!E54</f>
        <v>0.7</v>
      </c>
      <c r="D88" s="996"/>
      <c r="E88" s="996">
        <f>+'Exh F'!F81+'Exhibit G'!F70+' Exhbit I '!G54</f>
        <v>16.100000000000001</v>
      </c>
      <c r="F88" s="996"/>
      <c r="G88" s="996"/>
      <c r="H88" s="996"/>
      <c r="I88" s="996"/>
      <c r="J88" s="996"/>
      <c r="K88" s="996"/>
      <c r="L88" s="996"/>
      <c r="M88" s="996"/>
      <c r="N88" s="996"/>
      <c r="O88" s="996"/>
      <c r="P88" s="996"/>
      <c r="Q88" s="996"/>
      <c r="R88" s="996"/>
      <c r="S88" s="996"/>
      <c r="T88" s="996"/>
      <c r="U88" s="996"/>
      <c r="V88" s="996"/>
      <c r="W88" s="2938"/>
      <c r="X88" s="996"/>
      <c r="Y88" s="2938"/>
      <c r="Z88" s="996"/>
      <c r="AA88" s="997"/>
      <c r="AB88" s="996">
        <f t="shared" si="9"/>
        <v>16.8</v>
      </c>
      <c r="AC88" s="996"/>
      <c r="AD88" s="998"/>
      <c r="AE88" s="996">
        <f>+'Exh F'!AF81+'Exhibit G'!AF70+' Exhbit I '!AG54</f>
        <v>9.1</v>
      </c>
      <c r="AF88" s="996"/>
      <c r="AG88" s="996"/>
      <c r="AH88" s="996">
        <f t="shared" si="10"/>
        <v>7.7</v>
      </c>
      <c r="AI88" s="431"/>
      <c r="AJ88" s="1871">
        <f t="shared" ref="AJ88:AJ99" si="13">ROUND(IF(AE88=0,0,AH88/(AE88)),3)</f>
        <v>0.84599999999999997</v>
      </c>
    </row>
    <row r="89" spans="1:36" ht="16.5" customHeight="1">
      <c r="A89" s="1837" t="s">
        <v>1331</v>
      </c>
      <c r="B89" s="1837"/>
      <c r="C89" s="996">
        <f>+'Exhibit G'!D71</f>
        <v>0.1</v>
      </c>
      <c r="D89" s="996"/>
      <c r="E89" s="996">
        <f>+'Exhibit G'!F71</f>
        <v>0.1</v>
      </c>
      <c r="F89" s="996"/>
      <c r="G89" s="996"/>
      <c r="H89" s="996"/>
      <c r="I89" s="996"/>
      <c r="J89" s="996"/>
      <c r="K89" s="996"/>
      <c r="L89" s="996"/>
      <c r="M89" s="996"/>
      <c r="N89" s="996"/>
      <c r="O89" s="996"/>
      <c r="P89" s="996"/>
      <c r="Q89" s="996"/>
      <c r="R89" s="996"/>
      <c r="S89" s="996"/>
      <c r="T89" s="996"/>
      <c r="U89" s="996"/>
      <c r="V89" s="996"/>
      <c r="W89" s="2938"/>
      <c r="X89" s="996"/>
      <c r="Y89" s="2938"/>
      <c r="Z89" s="996"/>
      <c r="AA89" s="997"/>
      <c r="AB89" s="996">
        <f t="shared" si="9"/>
        <v>0.2</v>
      </c>
      <c r="AC89" s="996"/>
      <c r="AD89" s="998"/>
      <c r="AE89" s="996">
        <f>+'Exhibit G'!AF71</f>
        <v>4.5</v>
      </c>
      <c r="AF89" s="996"/>
      <c r="AG89" s="996"/>
      <c r="AH89" s="996">
        <f t="shared" si="10"/>
        <v>-4.3</v>
      </c>
      <c r="AI89" s="431"/>
      <c r="AJ89" s="1871">
        <f t="shared" si="13"/>
        <v>-0.95599999999999996</v>
      </c>
    </row>
    <row r="90" spans="1:36" ht="16.5" customHeight="1">
      <c r="A90" s="1837" t="s">
        <v>1332</v>
      </c>
      <c r="B90" s="1837"/>
      <c r="C90" s="996">
        <f>+'Exh F'!D82+'Exhibit G'!D72+' Exhbit I '!E55</f>
        <v>1</v>
      </c>
      <c r="D90" s="996"/>
      <c r="E90" s="996">
        <f>+'Exh F'!F82+'Exhibit G'!F72+' Exhbit I '!G55</f>
        <v>0.7</v>
      </c>
      <c r="F90" s="996"/>
      <c r="G90" s="996"/>
      <c r="H90" s="996"/>
      <c r="I90" s="996"/>
      <c r="J90" s="996"/>
      <c r="K90" s="996"/>
      <c r="L90" s="996"/>
      <c r="M90" s="996"/>
      <c r="N90" s="996"/>
      <c r="O90" s="996"/>
      <c r="P90" s="996"/>
      <c r="Q90" s="996"/>
      <c r="R90" s="996"/>
      <c r="S90" s="996"/>
      <c r="T90" s="996"/>
      <c r="U90" s="996"/>
      <c r="V90" s="996"/>
      <c r="W90" s="2938"/>
      <c r="X90" s="996"/>
      <c r="Y90" s="2938"/>
      <c r="Z90" s="996"/>
      <c r="AA90" s="997"/>
      <c r="AB90" s="996">
        <f t="shared" si="9"/>
        <v>1.7</v>
      </c>
      <c r="AC90" s="996"/>
      <c r="AD90" s="998"/>
      <c r="AE90" s="996">
        <f>+'Exh F'!AF82+'Exhibit G'!AF72+' Exhbit I '!AG55</f>
        <v>1.3</v>
      </c>
      <c r="AF90" s="996"/>
      <c r="AG90" s="996"/>
      <c r="AH90" s="996">
        <f t="shared" si="10"/>
        <v>0.4</v>
      </c>
      <c r="AI90" s="431"/>
      <c r="AJ90" s="1871">
        <f t="shared" si="13"/>
        <v>0.308</v>
      </c>
    </row>
    <row r="91" spans="1:36" ht="16.5" customHeight="1">
      <c r="A91" s="1837" t="s">
        <v>1333</v>
      </c>
      <c r="B91" s="1837"/>
      <c r="C91" s="996">
        <f>+'Exh F'!D83+'Exhibit G'!D73</f>
        <v>1.4</v>
      </c>
      <c r="D91" s="996"/>
      <c r="E91" s="996">
        <f>+'Exh F'!F83+'Exhibit G'!F73</f>
        <v>12</v>
      </c>
      <c r="F91" s="996"/>
      <c r="G91" s="996"/>
      <c r="H91" s="996"/>
      <c r="I91" s="996"/>
      <c r="J91" s="996"/>
      <c r="K91" s="996"/>
      <c r="L91" s="996"/>
      <c r="M91" s="996"/>
      <c r="N91" s="996"/>
      <c r="O91" s="996"/>
      <c r="P91" s="996"/>
      <c r="Q91" s="996"/>
      <c r="R91" s="996"/>
      <c r="S91" s="996"/>
      <c r="T91" s="996"/>
      <c r="U91" s="996"/>
      <c r="V91" s="996"/>
      <c r="W91" s="2938"/>
      <c r="X91" s="996"/>
      <c r="Y91" s="2938"/>
      <c r="Z91" s="996"/>
      <c r="AA91" s="997"/>
      <c r="AB91" s="996">
        <f t="shared" si="9"/>
        <v>13.4</v>
      </c>
      <c r="AC91" s="996"/>
      <c r="AD91" s="998"/>
      <c r="AE91" s="996">
        <f>+'Exh F'!AF83+'Exhibit G'!AF73</f>
        <v>11.2</v>
      </c>
      <c r="AF91" s="996"/>
      <c r="AG91" s="996"/>
      <c r="AH91" s="996">
        <f t="shared" si="10"/>
        <v>2.2000000000000002</v>
      </c>
      <c r="AI91" s="431"/>
      <c r="AJ91" s="1871">
        <f t="shared" si="13"/>
        <v>0.19600000000000001</v>
      </c>
    </row>
    <row r="92" spans="1:36" ht="16.5" customHeight="1">
      <c r="A92" s="1837" t="s">
        <v>1334</v>
      </c>
      <c r="B92" s="1837"/>
      <c r="C92" s="996">
        <f>+'Exhibit G'!D74+'Exhibit H'!B41</f>
        <v>-756.09999999999991</v>
      </c>
      <c r="D92" s="996"/>
      <c r="E92" s="996">
        <f>+'Exhibit G'!F74+'Exhibit H'!D41</f>
        <v>322.89999999999998</v>
      </c>
      <c r="F92" s="996"/>
      <c r="G92" s="996"/>
      <c r="H92" s="996"/>
      <c r="I92" s="996"/>
      <c r="J92" s="996"/>
      <c r="K92" s="996"/>
      <c r="L92" s="996"/>
      <c r="M92" s="996"/>
      <c r="N92" s="996"/>
      <c r="O92" s="996"/>
      <c r="P92" s="996"/>
      <c r="Q92" s="996"/>
      <c r="R92" s="996"/>
      <c r="S92" s="996"/>
      <c r="T92" s="996"/>
      <c r="U92" s="996"/>
      <c r="V92" s="996"/>
      <c r="W92" s="2938"/>
      <c r="X92" s="996"/>
      <c r="Y92" s="2938"/>
      <c r="Z92" s="996"/>
      <c r="AA92" s="997"/>
      <c r="AB92" s="996">
        <f t="shared" si="9"/>
        <v>-433.2</v>
      </c>
      <c r="AC92" s="996"/>
      <c r="AD92" s="998"/>
      <c r="AE92" s="996">
        <f>+'Exhibit G'!AF74+'Exhibit H'!AD41</f>
        <v>452.5</v>
      </c>
      <c r="AF92" s="996"/>
      <c r="AG92" s="996"/>
      <c r="AH92" s="996">
        <f t="shared" si="10"/>
        <v>-885.7</v>
      </c>
      <c r="AI92" s="431"/>
      <c r="AJ92" s="1871">
        <f t="shared" si="13"/>
        <v>-1.9570000000000001</v>
      </c>
    </row>
    <row r="93" spans="1:36" ht="16.5" customHeight="1">
      <c r="A93" s="1837" t="s">
        <v>1335</v>
      </c>
      <c r="B93" s="1837"/>
      <c r="C93" s="996">
        <f>+'Exhibit G'!D75</f>
        <v>11.2</v>
      </c>
      <c r="D93" s="996"/>
      <c r="E93" s="996">
        <f>+'Exhibit G'!F75</f>
        <v>9.3000000000000007</v>
      </c>
      <c r="F93" s="996"/>
      <c r="G93" s="996"/>
      <c r="H93" s="996"/>
      <c r="I93" s="996"/>
      <c r="J93" s="996"/>
      <c r="K93" s="996"/>
      <c r="L93" s="996"/>
      <c r="M93" s="996"/>
      <c r="N93" s="996"/>
      <c r="O93" s="996"/>
      <c r="P93" s="996"/>
      <c r="Q93" s="996"/>
      <c r="R93" s="996"/>
      <c r="S93" s="996"/>
      <c r="T93" s="996"/>
      <c r="U93" s="996"/>
      <c r="V93" s="996"/>
      <c r="W93" s="2938"/>
      <c r="X93" s="996"/>
      <c r="Y93" s="2938"/>
      <c r="Z93" s="996"/>
      <c r="AA93" s="997"/>
      <c r="AB93" s="996">
        <f t="shared" si="9"/>
        <v>20.5</v>
      </c>
      <c r="AC93" s="996"/>
      <c r="AD93" s="998"/>
      <c r="AE93" s="996">
        <f>+'Exhibit G'!AF75+'Exh F'!AF84</f>
        <v>18.400000000000002</v>
      </c>
      <c r="AF93" s="996"/>
      <c r="AG93" s="996"/>
      <c r="AH93" s="996">
        <f t="shared" si="10"/>
        <v>2.1</v>
      </c>
      <c r="AI93" s="431"/>
      <c r="AJ93" s="1871">
        <f t="shared" si="13"/>
        <v>0.114</v>
      </c>
    </row>
    <row r="94" spans="1:36" ht="16.5" customHeight="1">
      <c r="A94" s="1837" t="s">
        <v>1336</v>
      </c>
      <c r="B94" s="1837"/>
      <c r="C94" s="996">
        <f>+'Exh F'!D85+'Exhibit G'!D76+' Exhbit I '!E56</f>
        <v>82.899999999999991</v>
      </c>
      <c r="D94" s="996"/>
      <c r="E94" s="996">
        <f>+'Exh F'!F85+'Exhibit G'!F76+' Exhbit I '!G56</f>
        <v>1053.7</v>
      </c>
      <c r="F94" s="996"/>
      <c r="G94" s="996"/>
      <c r="H94" s="996"/>
      <c r="I94" s="996"/>
      <c r="J94" s="996"/>
      <c r="K94" s="996"/>
      <c r="L94" s="996"/>
      <c r="M94" s="996"/>
      <c r="N94" s="996"/>
      <c r="O94" s="996"/>
      <c r="P94" s="996"/>
      <c r="Q94" s="996"/>
      <c r="R94" s="996"/>
      <c r="S94" s="996"/>
      <c r="T94" s="996"/>
      <c r="U94" s="996"/>
      <c r="V94" s="996"/>
      <c r="W94" s="2938"/>
      <c r="X94" s="996"/>
      <c r="Y94" s="2938"/>
      <c r="Z94" s="996"/>
      <c r="AA94" s="997"/>
      <c r="AB94" s="996">
        <f t="shared" si="9"/>
        <v>1136.5999999999999</v>
      </c>
      <c r="AC94" s="996"/>
      <c r="AD94" s="998"/>
      <c r="AE94" s="996">
        <f>+'Exh F'!AF85+'Exhibit G'!AF76+' Exhbit I '!AG56</f>
        <v>23.800000000000004</v>
      </c>
      <c r="AF94" s="996"/>
      <c r="AG94" s="996"/>
      <c r="AH94" s="996">
        <f t="shared" si="10"/>
        <v>1112.8</v>
      </c>
      <c r="AI94" s="431"/>
      <c r="AJ94" s="2811">
        <f t="shared" si="13"/>
        <v>46.756</v>
      </c>
    </row>
    <row r="95" spans="1:36" ht="16.5" customHeight="1">
      <c r="A95" s="1837" t="s">
        <v>1337</v>
      </c>
      <c r="B95" s="1837"/>
      <c r="C95" s="996">
        <f>+'Exh F'!D86+'Exhibit G'!D77</f>
        <v>8.4</v>
      </c>
      <c r="D95" s="996"/>
      <c r="E95" s="996">
        <f>+'Exh F'!F86+'Exhibit G'!F77</f>
        <v>7.9</v>
      </c>
      <c r="F95" s="996"/>
      <c r="G95" s="996"/>
      <c r="H95" s="996"/>
      <c r="I95" s="996"/>
      <c r="J95" s="996"/>
      <c r="K95" s="996"/>
      <c r="L95" s="996"/>
      <c r="M95" s="996"/>
      <c r="N95" s="996"/>
      <c r="O95" s="996"/>
      <c r="P95" s="996"/>
      <c r="Q95" s="996"/>
      <c r="R95" s="996"/>
      <c r="S95" s="996"/>
      <c r="T95" s="996"/>
      <c r="U95" s="996"/>
      <c r="V95" s="996"/>
      <c r="W95" s="2938"/>
      <c r="X95" s="996"/>
      <c r="Y95" s="2938"/>
      <c r="Z95" s="996"/>
      <c r="AA95" s="997"/>
      <c r="AB95" s="996">
        <f t="shared" si="9"/>
        <v>16.3</v>
      </c>
      <c r="AC95" s="996"/>
      <c r="AD95" s="998"/>
      <c r="AE95" s="996">
        <f>+'Exh F'!AF86+'Exhibit G'!AF77</f>
        <v>10.7</v>
      </c>
      <c r="AF95" s="996"/>
      <c r="AG95" s="996"/>
      <c r="AH95" s="996">
        <f t="shared" si="10"/>
        <v>5.6</v>
      </c>
      <c r="AI95" s="431"/>
      <c r="AJ95" s="1871">
        <f t="shared" si="13"/>
        <v>0.52300000000000002</v>
      </c>
    </row>
    <row r="96" spans="1:36" ht="16.5" customHeight="1">
      <c r="A96" s="1837" t="s">
        <v>1338</v>
      </c>
      <c r="B96" s="1837"/>
      <c r="C96" s="996">
        <f>+'Exh F'!D87+'Exhibit G'!D78+' Exhbit I '!E57</f>
        <v>12.2</v>
      </c>
      <c r="D96" s="996"/>
      <c r="E96" s="996">
        <f>+'Exh F'!F87+'Exhibit G'!F78+' Exhbit I '!G57</f>
        <v>-2.1</v>
      </c>
      <c r="F96" s="996"/>
      <c r="G96" s="996"/>
      <c r="H96" s="996"/>
      <c r="I96" s="996"/>
      <c r="J96" s="996"/>
      <c r="K96" s="996"/>
      <c r="L96" s="996"/>
      <c r="M96" s="996"/>
      <c r="N96" s="996"/>
      <c r="O96" s="996"/>
      <c r="P96" s="996"/>
      <c r="Q96" s="996"/>
      <c r="R96" s="996"/>
      <c r="S96" s="996"/>
      <c r="T96" s="996"/>
      <c r="U96" s="996"/>
      <c r="V96" s="996"/>
      <c r="W96" s="2938"/>
      <c r="X96" s="996"/>
      <c r="Y96" s="2938"/>
      <c r="Z96" s="996"/>
      <c r="AA96" s="997"/>
      <c r="AB96" s="996">
        <f t="shared" si="9"/>
        <v>10.1</v>
      </c>
      <c r="AC96" s="996"/>
      <c r="AD96" s="998"/>
      <c r="AE96" s="996">
        <f>+'Exh F'!AF87+'Exhibit G'!AF78+' Exhbit I '!AG57</f>
        <v>12.8</v>
      </c>
      <c r="AF96" s="996"/>
      <c r="AG96" s="996"/>
      <c r="AH96" s="996">
        <f t="shared" si="10"/>
        <v>-2.7</v>
      </c>
      <c r="AI96" s="431"/>
      <c r="AJ96" s="1871">
        <f t="shared" si="13"/>
        <v>-0.21099999999999999</v>
      </c>
    </row>
    <row r="97" spans="1:45" ht="16.5" customHeight="1">
      <c r="A97" s="1837" t="s">
        <v>1339</v>
      </c>
      <c r="B97" s="1837"/>
      <c r="C97" s="996">
        <f>+'Exh F'!D88+'Exhibit G'!D79+' Exhbit I '!E58</f>
        <v>2</v>
      </c>
      <c r="D97" s="996"/>
      <c r="E97" s="996">
        <f>+'Exh F'!F88+'Exhibit G'!F79+' Exhbit I '!G58</f>
        <v>4.4000000000000004</v>
      </c>
      <c r="F97" s="996"/>
      <c r="G97" s="996"/>
      <c r="H97" s="996"/>
      <c r="I97" s="996"/>
      <c r="J97" s="996"/>
      <c r="K97" s="996"/>
      <c r="L97" s="996"/>
      <c r="M97" s="996"/>
      <c r="N97" s="996"/>
      <c r="O97" s="996"/>
      <c r="P97" s="996"/>
      <c r="Q97" s="996"/>
      <c r="R97" s="996"/>
      <c r="S97" s="996"/>
      <c r="T97" s="996"/>
      <c r="U97" s="996"/>
      <c r="V97" s="996"/>
      <c r="W97" s="2938"/>
      <c r="X97" s="996"/>
      <c r="Y97" s="2938"/>
      <c r="Z97" s="996"/>
      <c r="AA97" s="997"/>
      <c r="AB97" s="996">
        <f t="shared" si="9"/>
        <v>6.4</v>
      </c>
      <c r="AC97" s="996"/>
      <c r="AD97" s="998"/>
      <c r="AE97" s="996">
        <f>+'Exh F'!AF88+'Exhibit G'!AF79+' Exhbit I '!AG58+'Exhibit H'!AD42</f>
        <v>2.1</v>
      </c>
      <c r="AF97" s="996"/>
      <c r="AG97" s="996"/>
      <c r="AH97" s="996">
        <f t="shared" si="10"/>
        <v>4.3</v>
      </c>
      <c r="AI97" s="431"/>
      <c r="AJ97" s="1871">
        <f t="shared" si="13"/>
        <v>2.048</v>
      </c>
    </row>
    <row r="98" spans="1:45" ht="16.5" customHeight="1">
      <c r="A98" s="1837" t="s">
        <v>1340</v>
      </c>
      <c r="B98" s="1837"/>
      <c r="C98" s="996">
        <f>+'Exhibit G'!D80</f>
        <v>125.2</v>
      </c>
      <c r="D98" s="996"/>
      <c r="E98" s="996">
        <f>+'Exhibit G'!F80</f>
        <v>76.099999999999994</v>
      </c>
      <c r="F98" s="996"/>
      <c r="G98" s="996"/>
      <c r="H98" s="996"/>
      <c r="I98" s="996"/>
      <c r="J98" s="996"/>
      <c r="K98" s="996"/>
      <c r="L98" s="996"/>
      <c r="M98" s="996"/>
      <c r="N98" s="996"/>
      <c r="O98" s="996"/>
      <c r="P98" s="996"/>
      <c r="Q98" s="996"/>
      <c r="R98" s="996"/>
      <c r="S98" s="996"/>
      <c r="T98" s="996"/>
      <c r="U98" s="996"/>
      <c r="V98" s="996"/>
      <c r="W98" s="2938"/>
      <c r="X98" s="996"/>
      <c r="Y98" s="2938"/>
      <c r="Z98" s="996"/>
      <c r="AA98" s="997"/>
      <c r="AB98" s="996">
        <f t="shared" si="9"/>
        <v>201.3</v>
      </c>
      <c r="AC98" s="996"/>
      <c r="AD98" s="998"/>
      <c r="AE98" s="996">
        <f>+'Exhibit G'!AF80</f>
        <v>144.80000000000001</v>
      </c>
      <c r="AF98" s="996"/>
      <c r="AG98" s="996"/>
      <c r="AH98" s="996">
        <f t="shared" si="10"/>
        <v>56.5</v>
      </c>
      <c r="AI98" s="431"/>
      <c r="AJ98" s="1871">
        <f t="shared" si="13"/>
        <v>0.39</v>
      </c>
    </row>
    <row r="99" spans="1:45" s="796" customFormat="1" ht="16.5" customHeight="1">
      <c r="A99" s="590" t="s">
        <v>1375</v>
      </c>
      <c r="B99" s="413"/>
      <c r="C99" s="485">
        <f>ROUND(SUM(C60:C98),1)</f>
        <v>705</v>
      </c>
      <c r="D99" s="2114"/>
      <c r="E99" s="485">
        <f>ROUND(SUM(E60:E98),1)</f>
        <v>4275.3999999999996</v>
      </c>
      <c r="F99" s="2114"/>
      <c r="G99" s="485">
        <f>ROUND(SUM(G60:G98),1)</f>
        <v>0</v>
      </c>
      <c r="H99" s="1899"/>
      <c r="I99" s="485">
        <f>ROUND(SUM(I60:I98),1)</f>
        <v>0</v>
      </c>
      <c r="J99" s="1899"/>
      <c r="K99" s="485">
        <f>ROUND(SUM(K60:K98),1)</f>
        <v>0</v>
      </c>
      <c r="L99" s="1899"/>
      <c r="M99" s="485">
        <f>ROUND(SUM(M60:M98),1)</f>
        <v>0</v>
      </c>
      <c r="N99" s="1899"/>
      <c r="O99" s="485">
        <f>ROUND(SUM(O60:O98),1)</f>
        <v>0</v>
      </c>
      <c r="P99" s="1899"/>
      <c r="Q99" s="485">
        <f>ROUND(SUM(Q60:Q98),1)</f>
        <v>0</v>
      </c>
      <c r="R99" s="1899"/>
      <c r="S99" s="485">
        <f>ROUND(SUM(S60:S98),1)</f>
        <v>0</v>
      </c>
      <c r="T99" s="1899"/>
      <c r="U99" s="485">
        <f>ROUND(SUM(U60:U98),1)</f>
        <v>0</v>
      </c>
      <c r="V99" s="1899"/>
      <c r="W99" s="485">
        <f>ROUND(SUM(W60:W98),1)</f>
        <v>0</v>
      </c>
      <c r="X99" s="410"/>
      <c r="Y99" s="485">
        <f>ROUND(SUM(Y60:Y98),1)</f>
        <v>0</v>
      </c>
      <c r="Z99" s="410"/>
      <c r="AA99" s="486"/>
      <c r="AB99" s="485">
        <f>ROUND(SUM(AB60:AB98),1)</f>
        <v>4980.3999999999996</v>
      </c>
      <c r="AC99" s="1899"/>
      <c r="AD99" s="259"/>
      <c r="AE99" s="485">
        <f>ROUND(SUM(AE60:AE98),1)</f>
        <v>4841.7</v>
      </c>
      <c r="AF99" s="273"/>
      <c r="AG99" s="2123"/>
      <c r="AH99" s="485">
        <f>ROUND(SUM(AH60:AH98),1)</f>
        <v>138.69999999999999</v>
      </c>
      <c r="AI99" s="273"/>
      <c r="AJ99" s="72">
        <f t="shared" si="13"/>
        <v>2.9000000000000001E-2</v>
      </c>
    </row>
    <row r="100" spans="1:45" s="796" customFormat="1" ht="16.5" customHeight="1">
      <c r="A100" s="986"/>
      <c r="B100" s="986"/>
      <c r="C100" s="1004"/>
      <c r="D100" s="1004"/>
      <c r="E100" s="1004"/>
      <c r="F100" s="1004"/>
      <c r="G100" s="1004"/>
      <c r="H100" s="1004"/>
      <c r="I100" s="1004"/>
      <c r="J100" s="1004"/>
      <c r="K100" s="1004"/>
      <c r="L100" s="1004"/>
      <c r="M100" s="1004"/>
      <c r="N100" s="1004"/>
      <c r="O100" s="1004"/>
      <c r="P100" s="1004"/>
      <c r="Q100" s="1004"/>
      <c r="R100" s="1004"/>
      <c r="S100" s="1004"/>
      <c r="T100" s="1004"/>
      <c r="U100" s="1004"/>
      <c r="V100" s="1004"/>
      <c r="X100" s="1004"/>
      <c r="Y100" s="1004"/>
      <c r="Z100" s="1004"/>
      <c r="AA100" s="1005"/>
      <c r="AB100" s="1004"/>
      <c r="AC100" s="2122"/>
      <c r="AD100" s="1005"/>
      <c r="AE100" s="1004"/>
      <c r="AF100" s="2122"/>
      <c r="AG100" s="1004"/>
      <c r="AH100" s="1004"/>
      <c r="AI100" s="986"/>
      <c r="AJ100" s="514"/>
    </row>
    <row r="101" spans="1:45" ht="16.5" customHeight="1">
      <c r="A101" s="431" t="s">
        <v>22</v>
      </c>
      <c r="B101" s="431"/>
      <c r="C101" s="1001">
        <f>+'Exh F'!D91+'Exhibit G'!D83+'Exhibit H'!B45+' Exhbit I '!E61</f>
        <v>1730</v>
      </c>
      <c r="D101" s="996"/>
      <c r="E101" s="1001">
        <f>+'Exh F'!F91+'Exhibit G'!F83+'Exhibit H'!D45+' Exhbit I '!G61</f>
        <v>4648.4000000000005</v>
      </c>
      <c r="F101" s="996"/>
      <c r="G101" s="1001"/>
      <c r="H101" s="996"/>
      <c r="I101" s="1001"/>
      <c r="J101" s="996"/>
      <c r="K101" s="1001"/>
      <c r="L101" s="996"/>
      <c r="M101" s="1000"/>
      <c r="N101" s="996"/>
      <c r="O101" s="1000"/>
      <c r="P101" s="996"/>
      <c r="Q101" s="1000"/>
      <c r="R101" s="996"/>
      <c r="S101" s="1000"/>
      <c r="T101" s="996"/>
      <c r="U101" s="1000"/>
      <c r="V101" s="996"/>
      <c r="W101" s="1001"/>
      <c r="X101" s="996"/>
      <c r="Y101" s="1001"/>
      <c r="Z101" s="996"/>
      <c r="AA101" s="997"/>
      <c r="AB101" s="1000">
        <f>ROUND(SUM(C101:Y101),1)</f>
        <v>6378.4</v>
      </c>
      <c r="AC101" s="996"/>
      <c r="AD101" s="998"/>
      <c r="AE101" s="1001">
        <f>+'Exh F'!AF91+'Exhibit G'!AF83+'Exhibit H'!AD45+' Exhbit I '!AG61</f>
        <v>6946.5999999999995</v>
      </c>
      <c r="AF101" s="1008"/>
      <c r="AG101" s="996"/>
      <c r="AH101" s="1000">
        <f>ROUND(SUM(AB101-AE101),1)</f>
        <v>-568.20000000000005</v>
      </c>
      <c r="AI101" s="431"/>
      <c r="AJ101" s="2639">
        <f>ROUND(IF(AE101=0,0,AH101/(AE101)),3)</f>
        <v>-8.2000000000000003E-2</v>
      </c>
    </row>
    <row r="102" spans="1:45" ht="16.5" customHeight="1">
      <c r="A102" s="431"/>
      <c r="B102" s="431"/>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7"/>
      <c r="AB102" s="996"/>
      <c r="AC102" s="996"/>
      <c r="AD102" s="998"/>
      <c r="AE102" s="996"/>
      <c r="AF102" s="1008"/>
      <c r="AG102" s="996"/>
      <c r="AH102" s="996"/>
      <c r="AI102" s="431"/>
      <c r="AJ102" s="1002"/>
    </row>
    <row r="103" spans="1:45" ht="16.5" customHeight="1">
      <c r="A103" s="221" t="s">
        <v>156</v>
      </c>
      <c r="B103" s="222"/>
      <c r="C103" s="1745">
        <f>ROUND(SUM(C101+C99+C56),1)</f>
        <v>11076.3</v>
      </c>
      <c r="D103" s="1899"/>
      <c r="E103" s="1745">
        <f>ROUND(SUM(E101+E99+E56),1)</f>
        <v>12808.8</v>
      </c>
      <c r="F103" s="1899"/>
      <c r="G103" s="1745">
        <f>ROUND(SUM(G101+G99+G56),1)</f>
        <v>0</v>
      </c>
      <c r="H103" s="1899"/>
      <c r="I103" s="1745">
        <f>ROUND(SUM(I101+I99+I56),1)</f>
        <v>0</v>
      </c>
      <c r="J103" s="1899"/>
      <c r="K103" s="1745">
        <f>ROUND(SUM(K101+K99+K56),1)</f>
        <v>0</v>
      </c>
      <c r="L103" s="1899"/>
      <c r="M103" s="1745">
        <f>ROUND(SUM(M101+M99+M56),1)</f>
        <v>0</v>
      </c>
      <c r="N103" s="1899"/>
      <c r="O103" s="1745">
        <f>ROUND(SUM(O101+O99+O56),1)</f>
        <v>0</v>
      </c>
      <c r="P103" s="1899"/>
      <c r="Q103" s="1745">
        <f>ROUND(SUM(Q101+Q99+Q56),1)</f>
        <v>0</v>
      </c>
      <c r="R103" s="1899"/>
      <c r="S103" s="1745">
        <f>ROUND(SUM(S101+S99+S56),1)</f>
        <v>0</v>
      </c>
      <c r="T103" s="1899"/>
      <c r="U103" s="1745">
        <f>ROUND(SUM(U101+U99+U56),1)</f>
        <v>0</v>
      </c>
      <c r="V103" s="1899"/>
      <c r="W103" s="1745">
        <f>ROUND(SUM(W101+W99+W56),1)</f>
        <v>0</v>
      </c>
      <c r="X103" s="410"/>
      <c r="Y103" s="1745">
        <f>ROUND(SUM(Y101+Y99+Y56),1)</f>
        <v>0</v>
      </c>
      <c r="Z103" s="478"/>
      <c r="AA103" s="479"/>
      <c r="AB103" s="1745">
        <f>ROUND(SUM(AB101+AB99+AB56),1)</f>
        <v>23885.1</v>
      </c>
      <c r="AC103" s="1899"/>
      <c r="AD103" s="259"/>
      <c r="AE103" s="1745">
        <f>ROUND(SUM(AE101+AE99+AE56),1)</f>
        <v>22977.3</v>
      </c>
      <c r="AF103" s="273"/>
      <c r="AG103" s="2123"/>
      <c r="AH103" s="1745">
        <f>ROUND(SUM(AH101+AH99+AH56),1)</f>
        <v>907.8</v>
      </c>
      <c r="AI103" s="273"/>
      <c r="AJ103" s="1974">
        <f>ROUND(IF(AE103=0,0,AH103/(AE103)),3)</f>
        <v>0.04</v>
      </c>
      <c r="AK103" s="796"/>
      <c r="AL103" s="796"/>
      <c r="AM103" s="796"/>
      <c r="AN103" s="796"/>
      <c r="AO103" s="796"/>
      <c r="AP103" s="796"/>
      <c r="AQ103" s="796"/>
      <c r="AR103" s="796"/>
      <c r="AS103" s="796"/>
    </row>
    <row r="104" spans="1:45" ht="16.5" customHeight="1">
      <c r="A104" s="410"/>
      <c r="B104" s="431"/>
      <c r="C104" s="1007"/>
      <c r="D104" s="996"/>
      <c r="E104" s="1007"/>
      <c r="F104" s="996"/>
      <c r="G104" s="1007"/>
      <c r="H104" s="996"/>
      <c r="I104" s="1007"/>
      <c r="J104" s="996"/>
      <c r="K104" s="1007"/>
      <c r="L104" s="996"/>
      <c r="M104" s="1007"/>
      <c r="N104" s="996"/>
      <c r="O104" s="1007"/>
      <c r="P104" s="996"/>
      <c r="Q104" s="1007"/>
      <c r="R104" s="996"/>
      <c r="S104" s="1007"/>
      <c r="T104" s="996"/>
      <c r="U104" s="1007"/>
      <c r="V104" s="996"/>
      <c r="W104" s="1007"/>
      <c r="X104" s="996"/>
      <c r="Y104" s="1007"/>
      <c r="Z104" s="996"/>
      <c r="AA104" s="997"/>
      <c r="AB104" s="1007"/>
      <c r="AC104" s="996"/>
      <c r="AD104" s="998"/>
      <c r="AE104" s="1007"/>
      <c r="AF104" s="996"/>
      <c r="AG104" s="996"/>
      <c r="AH104" s="1177"/>
      <c r="AI104" s="431"/>
      <c r="AJ104" s="1721"/>
    </row>
    <row r="105" spans="1:45" ht="16.5" customHeight="1">
      <c r="A105" s="410" t="s">
        <v>24</v>
      </c>
      <c r="B105" s="431"/>
      <c r="C105" s="1008"/>
      <c r="D105" s="996"/>
      <c r="E105" s="1008"/>
      <c r="F105" s="996"/>
      <c r="G105" s="1008"/>
      <c r="H105" s="996"/>
      <c r="I105" s="1008"/>
      <c r="J105" s="996"/>
      <c r="K105" s="1008"/>
      <c r="L105" s="996"/>
      <c r="M105" s="1008"/>
      <c r="N105" s="996"/>
      <c r="O105" s="1008"/>
      <c r="P105" s="996"/>
      <c r="Q105" s="1008"/>
      <c r="R105" s="996"/>
      <c r="S105" s="1008"/>
      <c r="T105" s="996"/>
      <c r="U105" s="1008"/>
      <c r="V105" s="996"/>
      <c r="W105" s="1008"/>
      <c r="X105" s="996"/>
      <c r="Y105" s="1008"/>
      <c r="Z105" s="996"/>
      <c r="AA105" s="997"/>
      <c r="AB105" s="1008"/>
      <c r="AC105" s="996"/>
      <c r="AD105" s="998"/>
      <c r="AE105" s="1008"/>
      <c r="AF105" s="996"/>
      <c r="AG105" s="996"/>
      <c r="AH105" s="1177"/>
      <c r="AI105" s="431"/>
      <c r="AJ105" s="1721"/>
    </row>
    <row r="106" spans="1:45" ht="16.5" customHeight="1">
      <c r="A106" s="431" t="s">
        <v>142</v>
      </c>
      <c r="B106" s="431"/>
      <c r="C106" s="996"/>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7"/>
      <c r="AB106" s="996"/>
      <c r="AC106" s="996"/>
      <c r="AD106" s="998"/>
      <c r="AE106" s="261"/>
      <c r="AF106" s="996"/>
      <c r="AG106" s="996"/>
      <c r="AH106" s="996"/>
      <c r="AI106" s="431"/>
      <c r="AJ106" s="1945"/>
    </row>
    <row r="107" spans="1:45" ht="16.5" customHeight="1">
      <c r="A107" s="482" t="s">
        <v>26</v>
      </c>
      <c r="B107" s="431"/>
      <c r="C107" s="996">
        <f>+'Exh F'!D97+'Exhibit G'!D89+' Exhbit I '!E67</f>
        <v>895.90000000000009</v>
      </c>
      <c r="D107" s="996"/>
      <c r="E107" s="996">
        <f>+'Exh F'!F97+'Exhibit G'!F89+' Exhbit I '!G67</f>
        <v>3267.7</v>
      </c>
      <c r="F107" s="996"/>
      <c r="G107" s="2107"/>
      <c r="H107" s="996"/>
      <c r="I107" s="2107"/>
      <c r="J107" s="996"/>
      <c r="K107" s="2107"/>
      <c r="L107" s="996"/>
      <c r="M107" s="2107"/>
      <c r="N107" s="996"/>
      <c r="O107" s="2107"/>
      <c r="P107" s="996"/>
      <c r="Q107" s="2107"/>
      <c r="R107" s="996"/>
      <c r="S107" s="2107"/>
      <c r="T107" s="996"/>
      <c r="U107" s="2107"/>
      <c r="V107" s="996"/>
      <c r="W107" s="2938"/>
      <c r="X107" s="996"/>
      <c r="Y107" s="2938"/>
      <c r="Z107" s="996"/>
      <c r="AA107" s="997"/>
      <c r="AB107" s="261">
        <f>ROUND(SUM(C107:Y107),1)</f>
        <v>4163.6000000000004</v>
      </c>
      <c r="AC107" s="996"/>
      <c r="AD107" s="998"/>
      <c r="AE107" s="261">
        <f>+'Exh F'!AF97+'Exhibit G'!AF89+' Exhbit I '!AG67</f>
        <v>4238.5999999999995</v>
      </c>
      <c r="AF107" s="996"/>
      <c r="AG107" s="996"/>
      <c r="AH107" s="996">
        <f>ROUND(SUM(AB107-AE107),1)</f>
        <v>-75</v>
      </c>
      <c r="AI107" s="431"/>
      <c r="AJ107" s="1871">
        <f>ROUND(IF(AE107=0,0,AH107/(AE107)),3)</f>
        <v>-1.7999999999999999E-2</v>
      </c>
    </row>
    <row r="108" spans="1:45" ht="16.5" customHeight="1">
      <c r="A108" s="482" t="s">
        <v>27</v>
      </c>
      <c r="B108" s="431"/>
      <c r="C108" s="996">
        <f>+'Exh F'!D98+'Exhibit G'!D90+' Exhbit I '!E68</f>
        <v>3</v>
      </c>
      <c r="D108" s="996"/>
      <c r="E108" s="996">
        <f>+'Exh F'!F98+'Exhibit G'!F90+' Exhbit I '!G68</f>
        <v>4.0999999999999996</v>
      </c>
      <c r="F108" s="996"/>
      <c r="G108" s="2107"/>
      <c r="H108" s="996"/>
      <c r="I108" s="2107"/>
      <c r="J108" s="996"/>
      <c r="K108" s="2107"/>
      <c r="L108" s="996"/>
      <c r="M108" s="2107"/>
      <c r="N108" s="996"/>
      <c r="O108" s="2107"/>
      <c r="P108" s="996"/>
      <c r="Q108" s="2107"/>
      <c r="R108" s="996"/>
      <c r="S108" s="2107"/>
      <c r="T108" s="996"/>
      <c r="U108" s="2107"/>
      <c r="V108" s="996"/>
      <c r="W108" s="2938"/>
      <c r="X108" s="996"/>
      <c r="Y108" s="2938"/>
      <c r="Z108" s="996"/>
      <c r="AA108" s="997"/>
      <c r="AB108" s="261">
        <f t="shared" ref="AB108:AB115" si="14">ROUND(SUM(C108:Y108),1)</f>
        <v>7.1</v>
      </c>
      <c r="AC108" s="996"/>
      <c r="AD108" s="998"/>
      <c r="AE108" s="261">
        <f>+'Exh F'!AF98+'Exhibit G'!AF90+' Exhbit I '!AG68</f>
        <v>6.9</v>
      </c>
      <c r="AF108" s="996"/>
      <c r="AG108" s="996"/>
      <c r="AH108" s="996">
        <f t="shared" ref="AH108:AH115" si="15">ROUND(SUM(AB108-AE108),1)</f>
        <v>0.2</v>
      </c>
      <c r="AI108" s="431"/>
      <c r="AJ108" s="1871">
        <f>ROUND(IF(AE108=0,0,AH108/(AE108)),3)</f>
        <v>2.9000000000000001E-2</v>
      </c>
    </row>
    <row r="109" spans="1:45" ht="16.5" customHeight="1">
      <c r="A109" s="482" t="s">
        <v>28</v>
      </c>
      <c r="B109" s="431"/>
      <c r="C109" s="996">
        <f>+'Exh F'!D99+'Exhibit G'!D91+' Exhbit I '!E69</f>
        <v>24.200000000000003</v>
      </c>
      <c r="D109" s="996"/>
      <c r="E109" s="996">
        <f>+'Exh F'!F99+'Exhibit G'!F91+' Exhbit I '!G69</f>
        <v>46.800000000000004</v>
      </c>
      <c r="F109" s="996"/>
      <c r="G109" s="2107"/>
      <c r="H109" s="996"/>
      <c r="I109" s="2107"/>
      <c r="J109" s="996"/>
      <c r="K109" s="2107"/>
      <c r="L109" s="996"/>
      <c r="M109" s="2107"/>
      <c r="N109" s="996"/>
      <c r="O109" s="2107"/>
      <c r="P109" s="996"/>
      <c r="Q109" s="2107"/>
      <c r="R109" s="996"/>
      <c r="S109" s="2107"/>
      <c r="T109" s="996"/>
      <c r="U109" s="2107"/>
      <c r="V109" s="996"/>
      <c r="W109" s="2938"/>
      <c r="X109" s="996"/>
      <c r="Y109" s="2938"/>
      <c r="Z109" s="996"/>
      <c r="AA109" s="997"/>
      <c r="AB109" s="261">
        <f t="shared" si="14"/>
        <v>71</v>
      </c>
      <c r="AC109" s="996"/>
      <c r="AD109" s="998"/>
      <c r="AE109" s="261">
        <f>+'Exh F'!AF99+'Exhibit G'!AF91+' Exhbit I '!AG69</f>
        <v>41.9</v>
      </c>
      <c r="AF109" s="996"/>
      <c r="AG109" s="996"/>
      <c r="AH109" s="996">
        <f t="shared" si="15"/>
        <v>29.1</v>
      </c>
      <c r="AI109" s="431"/>
      <c r="AJ109" s="1871">
        <f>ROUND(IF(AE109=0,0,AH109/(AE109)),3)</f>
        <v>0.69499999999999995</v>
      </c>
    </row>
    <row r="110" spans="1:45" ht="16.5" customHeight="1">
      <c r="A110" s="482" t="s">
        <v>29</v>
      </c>
      <c r="B110" s="431"/>
      <c r="C110" s="996"/>
      <c r="D110" s="996"/>
      <c r="E110" s="996"/>
      <c r="F110" s="996"/>
      <c r="G110" s="2107"/>
      <c r="H110" s="996"/>
      <c r="I110" s="2107"/>
      <c r="J110" s="996"/>
      <c r="K110" s="2107"/>
      <c r="L110" s="996"/>
      <c r="M110" s="2107"/>
      <c r="N110" s="996"/>
      <c r="O110" s="2107"/>
      <c r="P110" s="996"/>
      <c r="Q110" s="2107"/>
      <c r="R110" s="996"/>
      <c r="S110" s="2107"/>
      <c r="T110" s="996"/>
      <c r="U110" s="2107"/>
      <c r="V110" s="996"/>
      <c r="W110" s="2938"/>
      <c r="X110" s="996"/>
      <c r="Y110" s="2938"/>
      <c r="Z110" s="996"/>
      <c r="AA110" s="997"/>
      <c r="AB110" s="261"/>
      <c r="AC110" s="996"/>
      <c r="AD110" s="998"/>
      <c r="AE110" s="373"/>
      <c r="AF110" s="996"/>
      <c r="AG110" s="996"/>
      <c r="AH110" s="996" t="s">
        <v>16</v>
      </c>
      <c r="AI110" s="431"/>
      <c r="AJ110" s="1945"/>
    </row>
    <row r="111" spans="1:45" ht="16.5" customHeight="1">
      <c r="A111" s="483" t="s">
        <v>30</v>
      </c>
      <c r="B111" s="431"/>
      <c r="C111" s="996">
        <f>+'Exh F'!D101+'Exhibit G'!D93+' Exhbit I '!E71</f>
        <v>3191.8</v>
      </c>
      <c r="D111" s="996"/>
      <c r="E111" s="996">
        <f>+'Exh F'!F101+'Exhibit G'!F93+' Exhbit I '!G71</f>
        <v>4470.2000000000007</v>
      </c>
      <c r="F111" s="996"/>
      <c r="G111" s="2107"/>
      <c r="H111" s="996"/>
      <c r="I111" s="2107"/>
      <c r="J111" s="996"/>
      <c r="K111" s="2107"/>
      <c r="L111" s="996"/>
      <c r="M111" s="2107"/>
      <c r="N111" s="996"/>
      <c r="O111" s="2107"/>
      <c r="P111" s="996"/>
      <c r="Q111" s="2107"/>
      <c r="R111" s="996"/>
      <c r="S111" s="2107"/>
      <c r="T111" s="996"/>
      <c r="U111" s="2107"/>
      <c r="V111" s="996"/>
      <c r="W111" s="2938"/>
      <c r="X111" s="996"/>
      <c r="Y111" s="2938"/>
      <c r="Z111" s="996"/>
      <c r="AA111" s="997"/>
      <c r="AB111" s="261">
        <f t="shared" si="14"/>
        <v>7662</v>
      </c>
      <c r="AC111" s="996"/>
      <c r="AD111" s="998"/>
      <c r="AE111" s="261">
        <f>+'Exh F'!AF101+'Exhibit G'!AF93+' Exhbit I '!AG71</f>
        <v>7239.4</v>
      </c>
      <c r="AF111" s="996"/>
      <c r="AG111" s="996"/>
      <c r="AH111" s="996">
        <f t="shared" si="15"/>
        <v>422.6</v>
      </c>
      <c r="AI111" s="431"/>
      <c r="AJ111" s="1871">
        <f t="shared" ref="AJ111:AJ116" si="16">ROUND(IF(AE111=0,0,AH111/(AE111)),3)</f>
        <v>5.8000000000000003E-2</v>
      </c>
      <c r="AK111" s="419"/>
    </row>
    <row r="112" spans="1:45" ht="16.5" customHeight="1">
      <c r="A112" s="482" t="s">
        <v>31</v>
      </c>
      <c r="B112" s="431"/>
      <c r="C112" s="996">
        <f>+'Exh F'!D102+'Exhibit G'!D94+' Exhbit I '!E72</f>
        <v>220.99999999999997</v>
      </c>
      <c r="D112" s="996"/>
      <c r="E112" s="996">
        <f>+'Exh F'!F102+'Exhibit G'!F94+' Exhbit I '!G72</f>
        <v>382.79999999999995</v>
      </c>
      <c r="F112" s="996"/>
      <c r="G112" s="2107"/>
      <c r="H112" s="996"/>
      <c r="I112" s="2107"/>
      <c r="J112" s="996"/>
      <c r="K112" s="2107"/>
      <c r="L112" s="996"/>
      <c r="M112" s="2107"/>
      <c r="N112" s="996"/>
      <c r="O112" s="2107"/>
      <c r="P112" s="996"/>
      <c r="Q112" s="2107"/>
      <c r="R112" s="996"/>
      <c r="S112" s="2107"/>
      <c r="T112" s="996"/>
      <c r="U112" s="2107"/>
      <c r="V112" s="996"/>
      <c r="W112" s="2938"/>
      <c r="X112" s="996"/>
      <c r="Y112" s="2938"/>
      <c r="Z112" s="996"/>
      <c r="AA112" s="997"/>
      <c r="AB112" s="261">
        <f t="shared" si="14"/>
        <v>603.79999999999995</v>
      </c>
      <c r="AC112" s="999"/>
      <c r="AD112" s="996"/>
      <c r="AE112" s="261">
        <f>+'Exh F'!AF102+'Exhibit G'!AF94+' Exhbit I '!AG72</f>
        <v>564.5</v>
      </c>
      <c r="AF112" s="996"/>
      <c r="AG112" s="996"/>
      <c r="AH112" s="996">
        <f t="shared" si="15"/>
        <v>39.299999999999997</v>
      </c>
      <c r="AI112" s="431"/>
      <c r="AJ112" s="1871">
        <f t="shared" si="16"/>
        <v>7.0000000000000007E-2</v>
      </c>
    </row>
    <row r="113" spans="1:44" ht="16.5" customHeight="1">
      <c r="A113" s="482" t="s">
        <v>32</v>
      </c>
      <c r="B113" s="431"/>
      <c r="C113" s="996">
        <f>+'Exh F'!D103+'Exhibit G'!D95+' Exhbit I '!E73</f>
        <v>172.4</v>
      </c>
      <c r="D113" s="996"/>
      <c r="E113" s="996">
        <f>+'Exh F'!F103+'Exhibit G'!F95+' Exhbit I '!G73</f>
        <v>141.1</v>
      </c>
      <c r="F113" s="996"/>
      <c r="G113" s="2107"/>
      <c r="H113" s="996"/>
      <c r="I113" s="2107"/>
      <c r="J113" s="996"/>
      <c r="K113" s="2107"/>
      <c r="L113" s="996"/>
      <c r="M113" s="2107"/>
      <c r="N113" s="996"/>
      <c r="O113" s="2107"/>
      <c r="P113" s="996"/>
      <c r="Q113" s="2107"/>
      <c r="R113" s="996"/>
      <c r="S113" s="2107"/>
      <c r="T113" s="996"/>
      <c r="U113" s="2107"/>
      <c r="V113" s="996"/>
      <c r="W113" s="2938"/>
      <c r="X113" s="996"/>
      <c r="Y113" s="2938"/>
      <c r="Z113" s="996"/>
      <c r="AA113" s="997"/>
      <c r="AB113" s="261">
        <f t="shared" si="14"/>
        <v>313.5</v>
      </c>
      <c r="AC113" s="1009"/>
      <c r="AD113" s="998"/>
      <c r="AE113" s="261">
        <f>+'Exh F'!AF103+'Exhibit G'!AF95+' Exhbit I '!AG73</f>
        <v>250.00000000000003</v>
      </c>
      <c r="AF113" s="996"/>
      <c r="AG113" s="996"/>
      <c r="AH113" s="996">
        <f t="shared" si="15"/>
        <v>63.5</v>
      </c>
      <c r="AI113" s="431"/>
      <c r="AJ113" s="1871">
        <f t="shared" si="16"/>
        <v>0.254</v>
      </c>
    </row>
    <row r="114" spans="1:44" ht="16.5" customHeight="1">
      <c r="A114" s="482" t="s">
        <v>33</v>
      </c>
      <c r="B114" s="431"/>
      <c r="C114" s="996">
        <f>+'Exh F'!D104+'Exhibit G'!D96+' Exhbit I '!E74</f>
        <v>367.29999999999995</v>
      </c>
      <c r="D114" s="996"/>
      <c r="E114" s="996">
        <f>+'Exh F'!F104+'Exhibit G'!F96+' Exhbit I '!G74</f>
        <v>465.5</v>
      </c>
      <c r="F114" s="996"/>
      <c r="G114" s="2107"/>
      <c r="H114" s="996"/>
      <c r="I114" s="2107"/>
      <c r="J114" s="996"/>
      <c r="K114" s="2107"/>
      <c r="L114" s="996"/>
      <c r="M114" s="2107"/>
      <c r="N114" s="996"/>
      <c r="O114" s="2107"/>
      <c r="P114" s="996"/>
      <c r="Q114" s="2107"/>
      <c r="R114" s="996"/>
      <c r="S114" s="2107"/>
      <c r="T114" s="996"/>
      <c r="U114" s="2107"/>
      <c r="V114" s="996"/>
      <c r="W114" s="2938"/>
      <c r="X114" s="996"/>
      <c r="Y114" s="2938"/>
      <c r="Z114" s="996"/>
      <c r="AA114" s="997"/>
      <c r="AB114" s="261">
        <f t="shared" si="14"/>
        <v>832.8</v>
      </c>
      <c r="AC114" s="1009"/>
      <c r="AD114" s="998"/>
      <c r="AE114" s="261">
        <f>+'Exh F'!AF104+'Exhibit G'!AF96+' Exhbit I '!AG74</f>
        <v>961</v>
      </c>
      <c r="AF114" s="996"/>
      <c r="AG114" s="996"/>
      <c r="AH114" s="996">
        <f t="shared" si="15"/>
        <v>-128.19999999999999</v>
      </c>
      <c r="AI114" s="431"/>
      <c r="AJ114" s="1871">
        <f t="shared" si="16"/>
        <v>-0.13300000000000001</v>
      </c>
    </row>
    <row r="115" spans="1:44" ht="16.5" customHeight="1">
      <c r="A115" s="482" t="s">
        <v>34</v>
      </c>
      <c r="B115" s="431"/>
      <c r="C115" s="996">
        <f>+'Exh F'!D105+'Exhibit G'!D97+' Exhbit I '!E75</f>
        <v>25.799999999999997</v>
      </c>
      <c r="D115" s="996"/>
      <c r="E115" s="996">
        <f>+'Exh F'!F105+'Exhibit G'!F97+' Exhbit I '!G75</f>
        <v>69.400000000000006</v>
      </c>
      <c r="F115" s="996"/>
      <c r="G115" s="2107"/>
      <c r="H115" s="996"/>
      <c r="I115" s="2107"/>
      <c r="J115" s="996"/>
      <c r="K115" s="2107"/>
      <c r="L115" s="996"/>
      <c r="M115" s="2107"/>
      <c r="N115" s="996"/>
      <c r="O115" s="2107"/>
      <c r="P115" s="996"/>
      <c r="Q115" s="2107"/>
      <c r="R115" s="996"/>
      <c r="S115" s="2107"/>
      <c r="T115" s="996"/>
      <c r="U115" s="2107"/>
      <c r="V115" s="996"/>
      <c r="W115" s="2938"/>
      <c r="X115" s="996"/>
      <c r="Y115" s="2938"/>
      <c r="Z115" s="996"/>
      <c r="AA115" s="997"/>
      <c r="AB115" s="261">
        <f t="shared" si="14"/>
        <v>95.2</v>
      </c>
      <c r="AC115" s="1009"/>
      <c r="AD115" s="998"/>
      <c r="AE115" s="261">
        <f>+'Exh F'!AF105+'Exhibit G'!AF97+' Exhbit I '!AG75</f>
        <v>22.3</v>
      </c>
      <c r="AF115" s="996"/>
      <c r="AG115" s="996"/>
      <c r="AH115" s="996">
        <f t="shared" si="15"/>
        <v>72.900000000000006</v>
      </c>
      <c r="AI115" s="431"/>
      <c r="AJ115" s="1871">
        <f t="shared" si="16"/>
        <v>3.2690000000000001</v>
      </c>
    </row>
    <row r="116" spans="1:44" ht="16.5" customHeight="1">
      <c r="A116" s="482" t="s">
        <v>35</v>
      </c>
      <c r="B116" s="431"/>
      <c r="C116" s="996">
        <f>+'Exh F'!D106+'Exhibit G'!D98+' Exhbit I '!E76</f>
        <v>158.5</v>
      </c>
      <c r="D116" s="996"/>
      <c r="E116" s="996">
        <f>+'Exh F'!F106+'Exhibit G'!F98+' Exhbit I '!G76</f>
        <v>529</v>
      </c>
      <c r="F116" s="996"/>
      <c r="G116" s="2107"/>
      <c r="H116" s="996"/>
      <c r="I116" s="2107"/>
      <c r="J116" s="996"/>
      <c r="K116" s="2107"/>
      <c r="L116" s="996"/>
      <c r="M116" s="2107"/>
      <c r="N116" s="996"/>
      <c r="O116" s="2107"/>
      <c r="P116" s="996"/>
      <c r="Q116" s="2107"/>
      <c r="R116" s="996"/>
      <c r="S116" s="2107"/>
      <c r="T116" s="996"/>
      <c r="U116" s="2107"/>
      <c r="V116" s="996"/>
      <c r="W116" s="2938"/>
      <c r="X116" s="996"/>
      <c r="Y116" s="2938"/>
      <c r="Z116" s="996"/>
      <c r="AA116" s="997"/>
      <c r="AB116" s="996">
        <f>ROUND(SUM(C116:Y116),1)</f>
        <v>687.5</v>
      </c>
      <c r="AC116" s="1009"/>
      <c r="AD116" s="998"/>
      <c r="AE116" s="261">
        <f>+'Exh F'!AF106+'Exhibit G'!AF98+' Exhbit I '!AG76</f>
        <v>815.3</v>
      </c>
      <c r="AF116" s="996"/>
      <c r="AG116" s="996"/>
      <c r="AH116" s="996">
        <f>ROUND(SUM(AB116-AE116),1)</f>
        <v>-127.8</v>
      </c>
      <c r="AI116" s="431"/>
      <c r="AJ116" s="1871">
        <f t="shared" si="16"/>
        <v>-0.157</v>
      </c>
    </row>
    <row r="117" spans="1:44" ht="16.5" customHeight="1">
      <c r="A117" s="431" t="s">
        <v>36</v>
      </c>
      <c r="B117" s="431"/>
      <c r="C117" s="1013">
        <f>ROUND(SUM(C107:C116),1)</f>
        <v>5059.8999999999996</v>
      </c>
      <c r="D117" s="1004"/>
      <c r="E117" s="1013">
        <f>ROUND(SUM(E107:E116),1)</f>
        <v>9376.6</v>
      </c>
      <c r="F117" s="1004"/>
      <c r="G117" s="1013">
        <f>ROUND(SUM(G107:G116),1)</f>
        <v>0</v>
      </c>
      <c r="H117" s="1004"/>
      <c r="I117" s="1013">
        <f>ROUND(SUM(I107:I116),1)</f>
        <v>0</v>
      </c>
      <c r="J117" s="1004"/>
      <c r="K117" s="1013">
        <f>ROUND(SUM(K107:K116),1)</f>
        <v>0</v>
      </c>
      <c r="L117" s="1004"/>
      <c r="M117" s="1013">
        <f>ROUND(SUM(M107:M116),1)</f>
        <v>0</v>
      </c>
      <c r="N117" s="1004"/>
      <c r="O117" s="1013">
        <f>ROUND(SUM(O107:O116),1)</f>
        <v>0</v>
      </c>
      <c r="P117" s="1004"/>
      <c r="Q117" s="1013">
        <f>ROUND(SUM(Q107:Q116),1)</f>
        <v>0</v>
      </c>
      <c r="R117" s="1004"/>
      <c r="S117" s="1013">
        <f>ROUND(SUM(S107:S116),1)</f>
        <v>0</v>
      </c>
      <c r="T117" s="1004"/>
      <c r="U117" s="1013">
        <f>ROUND(SUM(U107:U116),1)</f>
        <v>0</v>
      </c>
      <c r="V117" s="1004"/>
      <c r="W117" s="1013">
        <f>ROUND(SUM(W107:W116),1)</f>
        <v>0</v>
      </c>
      <c r="X117" s="1004"/>
      <c r="Y117" s="1013">
        <f>ROUND(SUM(Y107:Y116),1)</f>
        <v>0</v>
      </c>
      <c r="Z117" s="1004"/>
      <c r="AA117" s="1005"/>
      <c r="AB117" s="1013">
        <f>ROUND(SUM(AB107:AB116),1)</f>
        <v>14436.5</v>
      </c>
      <c r="AC117" s="1014"/>
      <c r="AD117" s="1006"/>
      <c r="AE117" s="1013">
        <f>ROUND(SUM(AE107:AE116),1)</f>
        <v>14139.9</v>
      </c>
      <c r="AF117" s="1004"/>
      <c r="AG117" s="1004"/>
      <c r="AH117" s="1013">
        <f>ROUND(SUM(AH107:AH116),1)</f>
        <v>296.60000000000002</v>
      </c>
      <c r="AI117" s="986"/>
      <c r="AJ117" s="72">
        <f>ROUND(IF(AE117=0,0,AH117/(AE117)),3)</f>
        <v>2.1000000000000001E-2</v>
      </c>
      <c r="AK117" s="796"/>
      <c r="AL117" s="796"/>
    </row>
    <row r="118" spans="1:44" ht="16.5" customHeight="1">
      <c r="A118" s="431" t="s">
        <v>37</v>
      </c>
      <c r="B118" s="431"/>
      <c r="C118" s="1008"/>
      <c r="D118" s="996"/>
      <c r="E118" s="1008"/>
      <c r="F118" s="996"/>
      <c r="G118" s="1008"/>
      <c r="H118" s="996"/>
      <c r="I118" s="1008"/>
      <c r="J118" s="996"/>
      <c r="K118" s="1008"/>
      <c r="L118" s="996"/>
      <c r="M118" s="1008"/>
      <c r="N118" s="996"/>
      <c r="O118" s="1008"/>
      <c r="P118" s="996"/>
      <c r="Q118" s="1008"/>
      <c r="R118" s="996"/>
      <c r="S118" s="1008"/>
      <c r="T118" s="996"/>
      <c r="U118" s="1008"/>
      <c r="V118" s="996"/>
      <c r="W118" s="1008"/>
      <c r="X118" s="996"/>
      <c r="Y118" s="1008"/>
      <c r="Z118" s="996"/>
      <c r="AA118" s="997"/>
      <c r="AB118" s="1008"/>
      <c r="AC118" s="996"/>
      <c r="AD118" s="998"/>
      <c r="AE118" s="249"/>
      <c r="AF118" s="996"/>
      <c r="AG118" s="996"/>
      <c r="AH118" s="1177"/>
      <c r="AI118" s="431"/>
      <c r="AJ118" s="1721"/>
    </row>
    <row r="119" spans="1:44" ht="16.5" customHeight="1">
      <c r="A119" s="431" t="s">
        <v>143</v>
      </c>
      <c r="B119" s="431"/>
      <c r="C119" s="996">
        <f>+'Exh F'!D109+'Exhibit G'!D101+' Exhbit I '!E79</f>
        <v>1237.7</v>
      </c>
      <c r="D119" s="996"/>
      <c r="E119" s="996">
        <f>+'Exh F'!F109+'Exhibit G'!F101+' Exhbit I '!G79</f>
        <v>1023.6</v>
      </c>
      <c r="F119" s="996"/>
      <c r="G119" s="996"/>
      <c r="H119" s="996"/>
      <c r="I119" s="996"/>
      <c r="J119" s="996"/>
      <c r="K119" s="996"/>
      <c r="L119" s="996"/>
      <c r="M119" s="996"/>
      <c r="N119" s="996"/>
      <c r="O119" s="996"/>
      <c r="P119" s="996"/>
      <c r="Q119" s="996"/>
      <c r="R119" s="996"/>
      <c r="S119" s="1008"/>
      <c r="T119" s="996"/>
      <c r="U119" s="1008"/>
      <c r="V119" s="996"/>
      <c r="W119" s="2938"/>
      <c r="X119" s="996"/>
      <c r="Y119" s="2938"/>
      <c r="Z119" s="996"/>
      <c r="AA119" s="997"/>
      <c r="AB119" s="996">
        <f>ROUND(SUM(C119:Y119),1)</f>
        <v>2261.3000000000002</v>
      </c>
      <c r="AC119" s="996"/>
      <c r="AD119" s="998"/>
      <c r="AE119" s="249">
        <f>+'Exh F'!AF109+'Exhibit G'!AF101+' Exhbit I '!AG79</f>
        <v>2233.6</v>
      </c>
      <c r="AF119" s="996"/>
      <c r="AG119" s="996"/>
      <c r="AH119" s="996">
        <f>ROUND(SUM(AB119-AE119),1)</f>
        <v>27.7</v>
      </c>
      <c r="AI119" s="431"/>
      <c r="AJ119" s="1871">
        <f>ROUND(IF(AE119=0,0,AH119/(AE119)),3)</f>
        <v>1.2E-2</v>
      </c>
    </row>
    <row r="120" spans="1:44" ht="16.5" customHeight="1">
      <c r="A120" s="431" t="s">
        <v>144</v>
      </c>
      <c r="B120" s="431"/>
      <c r="C120" s="996">
        <f>+'Exh F'!D110+'Exhibit G'!D102+'Exhibit H'!B51+' Exhbit I '!E80</f>
        <v>349.19999999999993</v>
      </c>
      <c r="D120" s="996"/>
      <c r="E120" s="996">
        <f>+'Exh F'!F110+'Exhibit G'!F102+'Exhibit H'!D51+' Exhbit I '!G80</f>
        <v>452.29999999999995</v>
      </c>
      <c r="F120" s="996"/>
      <c r="G120" s="996"/>
      <c r="H120" s="996"/>
      <c r="I120" s="996"/>
      <c r="J120" s="996"/>
      <c r="K120" s="996"/>
      <c r="L120" s="996"/>
      <c r="M120" s="996"/>
      <c r="N120" s="996"/>
      <c r="O120" s="996"/>
      <c r="P120" s="996"/>
      <c r="Q120" s="996"/>
      <c r="R120" s="996"/>
      <c r="S120" s="1008"/>
      <c r="T120" s="996"/>
      <c r="U120" s="1008"/>
      <c r="V120" s="996"/>
      <c r="W120" s="2938"/>
      <c r="X120" s="996"/>
      <c r="Y120" s="2938"/>
      <c r="Z120" s="996"/>
      <c r="AA120" s="997"/>
      <c r="AB120" s="996">
        <f>ROUND(SUM(C120:Y120),1)</f>
        <v>801.5</v>
      </c>
      <c r="AC120" s="996"/>
      <c r="AD120" s="998"/>
      <c r="AE120" s="249">
        <f>+'Exh F'!AF110+'Exhibit G'!AF102+'Exhibit H'!AD51+' Exhbit I '!AG80</f>
        <v>903.6</v>
      </c>
      <c r="AF120" s="996"/>
      <c r="AG120" s="996"/>
      <c r="AH120" s="996">
        <f>ROUND(SUM(AB120-AE120),1)</f>
        <v>-102.1</v>
      </c>
      <c r="AI120" s="431"/>
      <c r="AJ120" s="1871">
        <f>ROUND(IF(AE120=0,0,AH120/(AE120)),3)</f>
        <v>-0.113</v>
      </c>
    </row>
    <row r="121" spans="1:44" ht="16.5" customHeight="1">
      <c r="A121" s="431" t="s">
        <v>40</v>
      </c>
      <c r="B121" s="431"/>
      <c r="C121" s="996">
        <f>+'Exh F'!D111+'Exhibit G'!D103+' Exhbit I '!E81</f>
        <v>663.69999999999993</v>
      </c>
      <c r="D121" s="996"/>
      <c r="E121" s="996">
        <f>+'Exh F'!F111+'Exhibit G'!F103+' Exhbit I '!G81</f>
        <v>743.3</v>
      </c>
      <c r="F121" s="996"/>
      <c r="G121" s="996"/>
      <c r="H121" s="996"/>
      <c r="I121" s="996"/>
      <c r="J121" s="996"/>
      <c r="K121" s="996"/>
      <c r="L121" s="996"/>
      <c r="M121" s="996"/>
      <c r="N121" s="996"/>
      <c r="O121" s="996"/>
      <c r="P121" s="996"/>
      <c r="Q121" s="996"/>
      <c r="R121" s="996"/>
      <c r="S121" s="1008"/>
      <c r="T121" s="996"/>
      <c r="U121" s="1008"/>
      <c r="V121" s="996"/>
      <c r="W121" s="2938"/>
      <c r="X121" s="996"/>
      <c r="Y121" s="2938"/>
      <c r="Z121" s="996"/>
      <c r="AA121" s="997"/>
      <c r="AB121" s="996">
        <f>ROUND(SUM(C121:Y121),1)</f>
        <v>1407</v>
      </c>
      <c r="AC121" s="996"/>
      <c r="AD121" s="998"/>
      <c r="AE121" s="249">
        <f>+'Exh F'!AF111+'Exhibit G'!AF103+'Exhibit H'!AD52+' Exhbit I '!AG81</f>
        <v>1531</v>
      </c>
      <c r="AF121" s="996"/>
      <c r="AG121" s="996"/>
      <c r="AH121" s="996">
        <f>ROUND(SUM(AB121-AE121),1)</f>
        <v>-124</v>
      </c>
      <c r="AI121" s="431"/>
      <c r="AJ121" s="1871">
        <f>ROUND(IF(AE121=0,0,AH121/(AE121)),3)</f>
        <v>-8.1000000000000003E-2</v>
      </c>
    </row>
    <row r="122" spans="1:44" ht="16.5" customHeight="1">
      <c r="A122" s="431" t="s">
        <v>41</v>
      </c>
      <c r="B122" s="431"/>
      <c r="C122" s="1008"/>
      <c r="D122" s="996"/>
      <c r="E122" s="1008"/>
      <c r="F122" s="996"/>
      <c r="G122" s="1008"/>
      <c r="H122" s="996"/>
      <c r="I122" s="1008"/>
      <c r="J122" s="996"/>
      <c r="K122" s="1008"/>
      <c r="L122" s="996"/>
      <c r="M122" s="1008"/>
      <c r="N122" s="996"/>
      <c r="O122" s="1008"/>
      <c r="P122" s="996"/>
      <c r="Q122" s="1008"/>
      <c r="R122" s="996"/>
      <c r="S122" s="1008"/>
      <c r="T122" s="996"/>
      <c r="U122" s="1008"/>
      <c r="V122" s="996"/>
      <c r="W122" s="2938"/>
      <c r="X122" s="996"/>
      <c r="Y122" s="2938"/>
      <c r="Z122" s="996"/>
      <c r="AA122" s="997"/>
      <c r="AB122" s="996"/>
      <c r="AC122" s="996"/>
      <c r="AD122" s="998"/>
      <c r="AE122" s="1008"/>
      <c r="AF122" s="996"/>
      <c r="AG122" s="996"/>
      <c r="AH122" s="996"/>
      <c r="AI122" s="431"/>
      <c r="AJ122" s="1945"/>
    </row>
    <row r="123" spans="1:44" ht="16.5" customHeight="1">
      <c r="A123" s="431" t="s">
        <v>42</v>
      </c>
      <c r="B123" s="431"/>
      <c r="C123" s="996">
        <f>+'Exhibit H'!B53</f>
        <v>165.9</v>
      </c>
      <c r="D123" s="996"/>
      <c r="E123" s="996">
        <f>+'Exhibit H'!D53</f>
        <v>254.6</v>
      </c>
      <c r="F123" s="996"/>
      <c r="G123" s="996"/>
      <c r="H123" s="996"/>
      <c r="I123" s="996"/>
      <c r="J123" s="996"/>
      <c r="K123" s="996"/>
      <c r="L123" s="996"/>
      <c r="M123" s="996"/>
      <c r="N123" s="996"/>
      <c r="O123" s="996"/>
      <c r="P123" s="996"/>
      <c r="Q123" s="996"/>
      <c r="R123" s="996"/>
      <c r="S123" s="1008"/>
      <c r="T123" s="996"/>
      <c r="U123" s="1008"/>
      <c r="V123" s="996"/>
      <c r="W123" s="2938"/>
      <c r="X123" s="996"/>
      <c r="Y123" s="2938"/>
      <c r="Z123" s="996"/>
      <c r="AA123" s="997"/>
      <c r="AB123" s="996">
        <f>ROUND(SUM(C123:Y123),1)</f>
        <v>420.5</v>
      </c>
      <c r="AC123" s="996"/>
      <c r="AD123" s="998"/>
      <c r="AE123" s="249">
        <f>+'Exhibit H'!AD53</f>
        <v>390</v>
      </c>
      <c r="AF123" s="996"/>
      <c r="AG123" s="996"/>
      <c r="AH123" s="996">
        <f>ROUND(SUM(AB123-AE123),1)</f>
        <v>30.5</v>
      </c>
      <c r="AI123" s="431"/>
      <c r="AJ123" s="1871">
        <f>ROUND(IF(AE123=0,0,AH123/(AE123)),3)</f>
        <v>7.8E-2</v>
      </c>
    </row>
    <row r="124" spans="1:44" ht="16.5" customHeight="1">
      <c r="A124" s="1012" t="s">
        <v>145</v>
      </c>
      <c r="B124" s="431"/>
      <c r="C124" s="1001">
        <f>+'Exhibit G'!D104+' Exhbit I '!E82</f>
        <v>288.89999999999998</v>
      </c>
      <c r="D124" s="996"/>
      <c r="E124" s="1001">
        <f>+'Exhibit G'!F104+' Exhbit I '!G82</f>
        <v>426.3</v>
      </c>
      <c r="F124" s="996"/>
      <c r="G124" s="1001"/>
      <c r="H124" s="996"/>
      <c r="I124" s="1001"/>
      <c r="J124" s="996"/>
      <c r="K124" s="1001"/>
      <c r="L124" s="996"/>
      <c r="M124" s="1001"/>
      <c r="N124" s="996"/>
      <c r="O124" s="1001"/>
      <c r="P124" s="996"/>
      <c r="Q124" s="1001"/>
      <c r="R124" s="996"/>
      <c r="S124" s="1000"/>
      <c r="T124" s="996"/>
      <c r="U124" s="1000"/>
      <c r="V124" s="996"/>
      <c r="W124" s="2939"/>
      <c r="X124" s="996"/>
      <c r="Y124" s="2939"/>
      <c r="Z124" s="996"/>
      <c r="AA124" s="997"/>
      <c r="AB124" s="1000">
        <f>ROUND(SUM(C124:Y124),1)</f>
        <v>715.2</v>
      </c>
      <c r="AC124" s="996"/>
      <c r="AD124" s="998"/>
      <c r="AE124" s="1011">
        <f>+'Exhibit G'!AF104+' Exhbit I '!AG82</f>
        <v>636.5</v>
      </c>
      <c r="AF124" s="996"/>
      <c r="AG124" s="996"/>
      <c r="AH124" s="1000">
        <f>ROUND(SUM(AB124-AE124),1)</f>
        <v>78.7</v>
      </c>
      <c r="AI124" s="431"/>
      <c r="AJ124" s="2639">
        <f>ROUND(IF(AE124=0,0,AH124/(AE124)),3)</f>
        <v>0.124</v>
      </c>
    </row>
    <row r="125" spans="1:44" ht="16.5" customHeight="1">
      <c r="A125" s="431"/>
      <c r="B125" s="431"/>
      <c r="C125" s="1008"/>
      <c r="D125" s="996"/>
      <c r="E125" s="1008"/>
      <c r="F125" s="996"/>
      <c r="G125" s="1008"/>
      <c r="H125" s="996"/>
      <c r="I125" s="1008"/>
      <c r="J125" s="996"/>
      <c r="K125" s="1008"/>
      <c r="L125" s="996"/>
      <c r="M125" s="1008"/>
      <c r="N125" s="996"/>
      <c r="O125" s="1008"/>
      <c r="P125" s="996"/>
      <c r="Q125" s="1008"/>
      <c r="R125" s="996"/>
      <c r="S125" s="1008"/>
      <c r="T125" s="996"/>
      <c r="U125" s="1008"/>
      <c r="V125" s="996"/>
      <c r="W125" s="1008"/>
      <c r="X125" s="996"/>
      <c r="Y125" s="1008"/>
      <c r="Z125" s="996"/>
      <c r="AA125" s="997"/>
      <c r="AB125" s="1008"/>
      <c r="AC125" s="996"/>
      <c r="AD125" s="998"/>
      <c r="AE125" s="1008"/>
      <c r="AF125" s="996"/>
      <c r="AG125" s="996"/>
      <c r="AH125" s="1008"/>
      <c r="AI125" s="431"/>
      <c r="AJ125" s="1274"/>
    </row>
    <row r="126" spans="1:44" ht="16.5" customHeight="1">
      <c r="A126" s="410" t="s">
        <v>60</v>
      </c>
      <c r="B126" s="431"/>
      <c r="C126" s="1003">
        <f>ROUND(SUM(C117:C124),1)</f>
        <v>7765.3</v>
      </c>
      <c r="D126" s="1004"/>
      <c r="E126" s="1003">
        <f>ROUND(SUM(E117:E124),1)</f>
        <v>12276.7</v>
      </c>
      <c r="F126" s="1004"/>
      <c r="G126" s="1003">
        <f>ROUND(SUM(G117:G124),1)</f>
        <v>0</v>
      </c>
      <c r="H126" s="1004"/>
      <c r="I126" s="1003">
        <f>ROUND(SUM(I117:I124),1)</f>
        <v>0</v>
      </c>
      <c r="J126" s="1004"/>
      <c r="K126" s="1003">
        <f>ROUND(SUM(K117:K124),1)</f>
        <v>0</v>
      </c>
      <c r="L126" s="1004"/>
      <c r="M126" s="1003">
        <f>ROUND(SUM(M117:M124),1)</f>
        <v>0</v>
      </c>
      <c r="N126" s="1004"/>
      <c r="O126" s="1003">
        <f>ROUND(SUM(O117:O124),1)</f>
        <v>0</v>
      </c>
      <c r="P126" s="1004"/>
      <c r="Q126" s="1003">
        <f>ROUND(SUM(Q117:Q124),1)</f>
        <v>0</v>
      </c>
      <c r="R126" s="1004"/>
      <c r="S126" s="1003">
        <f>ROUND(SUM(S117:S124),1)</f>
        <v>0</v>
      </c>
      <c r="T126" s="1004"/>
      <c r="U126" s="1003">
        <f>ROUND(SUM(U117:U124),1)</f>
        <v>0</v>
      </c>
      <c r="V126" s="1004"/>
      <c r="W126" s="1003">
        <f>ROUND(SUM(W117:W124),1)</f>
        <v>0</v>
      </c>
      <c r="X126" s="1004"/>
      <c r="Y126" s="1003">
        <f>ROUND(SUM(Y117:Y124),1)</f>
        <v>0</v>
      </c>
      <c r="Z126" s="1004"/>
      <c r="AA126" s="1005"/>
      <c r="AB126" s="1003">
        <f>ROUND(SUM(AB117:AB124),1)</f>
        <v>20042</v>
      </c>
      <c r="AC126" s="1004"/>
      <c r="AD126" s="1006"/>
      <c r="AE126" s="1003">
        <f>ROUND(SUM(AE117:AE124),1)</f>
        <v>19834.599999999999</v>
      </c>
      <c r="AF126" s="1004"/>
      <c r="AG126" s="1004"/>
      <c r="AH126" s="1003">
        <f>ROUND(SUM(AB126-AE126),1)</f>
        <v>207.4</v>
      </c>
      <c r="AI126" s="986"/>
      <c r="AJ126" s="1974">
        <f>ROUND(IF(AE126=0,0,AH126/(AE126)),3)</f>
        <v>0.01</v>
      </c>
      <c r="AK126" s="796"/>
      <c r="AL126" s="796"/>
      <c r="AM126" s="796"/>
      <c r="AN126" s="796"/>
      <c r="AO126" s="796"/>
      <c r="AP126" s="796"/>
      <c r="AQ126" s="796"/>
      <c r="AR126" s="796"/>
    </row>
    <row r="127" spans="1:44" ht="16.5" customHeight="1">
      <c r="A127" s="410"/>
      <c r="B127" s="431"/>
      <c r="C127" s="996"/>
      <c r="D127" s="996"/>
      <c r="E127" s="996"/>
      <c r="F127" s="996"/>
      <c r="G127" s="996"/>
      <c r="H127" s="996"/>
      <c r="I127" s="996"/>
      <c r="J127" s="996"/>
      <c r="K127" s="996"/>
      <c r="L127" s="996"/>
      <c r="M127" s="996"/>
      <c r="N127" s="996"/>
      <c r="O127" s="996"/>
      <c r="P127" s="996"/>
      <c r="Q127" s="996"/>
      <c r="R127" s="996"/>
      <c r="S127" s="996"/>
      <c r="T127" s="996"/>
      <c r="U127" s="996"/>
      <c r="V127" s="996"/>
      <c r="W127" s="996"/>
      <c r="X127" s="996"/>
      <c r="Y127" s="996"/>
      <c r="Z127" s="996"/>
      <c r="AA127" s="997"/>
      <c r="AB127" s="996"/>
      <c r="AC127" s="996"/>
      <c r="AD127" s="998"/>
      <c r="AE127" s="996"/>
      <c r="AF127" s="996"/>
      <c r="AG127" s="996"/>
      <c r="AH127" s="1177"/>
      <c r="AI127" s="431"/>
      <c r="AJ127" s="1721"/>
    </row>
    <row r="128" spans="1:44" ht="16.5" customHeight="1">
      <c r="A128" s="410" t="s">
        <v>45</v>
      </c>
      <c r="B128" s="431"/>
      <c r="C128" s="996"/>
      <c r="D128" s="996"/>
      <c r="E128" s="996"/>
      <c r="F128" s="996"/>
      <c r="G128" s="996"/>
      <c r="H128" s="996"/>
      <c r="I128" s="996"/>
      <c r="J128" s="996"/>
      <c r="K128" s="996"/>
      <c r="L128" s="996"/>
      <c r="M128" s="996"/>
      <c r="N128" s="996"/>
      <c r="O128" s="996"/>
      <c r="P128" s="996"/>
      <c r="Q128" s="996"/>
      <c r="R128" s="996"/>
      <c r="S128" s="996"/>
      <c r="T128" s="996"/>
      <c r="U128" s="996"/>
      <c r="V128" s="996"/>
      <c r="W128" s="996"/>
      <c r="X128" s="996"/>
      <c r="Y128" s="996"/>
      <c r="Z128" s="996"/>
      <c r="AA128" s="997"/>
      <c r="AB128" s="996"/>
      <c r="AC128" s="996"/>
      <c r="AD128" s="998"/>
      <c r="AE128" s="996"/>
      <c r="AF128" s="996"/>
      <c r="AG128" s="996"/>
      <c r="AH128" s="1177"/>
      <c r="AI128" s="431"/>
      <c r="AJ128" s="1721"/>
    </row>
    <row r="129" spans="1:59" ht="16.5" customHeight="1">
      <c r="A129" s="410" t="s">
        <v>46</v>
      </c>
      <c r="B129" s="431"/>
      <c r="C129" s="1003">
        <f>ROUND(SUM(C103-C126),1)</f>
        <v>3311</v>
      </c>
      <c r="D129" s="1004"/>
      <c r="E129" s="1003">
        <f>ROUND(SUM(E103-E126),1)</f>
        <v>532.1</v>
      </c>
      <c r="F129" s="1004"/>
      <c r="G129" s="1003">
        <f>ROUND(SUM(G103-G126),1)</f>
        <v>0</v>
      </c>
      <c r="H129" s="1004"/>
      <c r="I129" s="1003">
        <f>ROUND(SUM(I103-I126),1)</f>
        <v>0</v>
      </c>
      <c r="J129" s="1004"/>
      <c r="K129" s="1003">
        <f>ROUND(SUM(K103-K126),1)</f>
        <v>0</v>
      </c>
      <c r="L129" s="1004"/>
      <c r="M129" s="1003">
        <f>ROUND(SUM(M103-M126),1)</f>
        <v>0</v>
      </c>
      <c r="N129" s="1004"/>
      <c r="O129" s="1003">
        <f>ROUND(SUM(O103-O126),1)</f>
        <v>0</v>
      </c>
      <c r="P129" s="1004"/>
      <c r="Q129" s="1003">
        <f>ROUND(SUM(Q103-Q126),1)</f>
        <v>0</v>
      </c>
      <c r="R129" s="1004"/>
      <c r="S129" s="1003">
        <f>ROUND(SUM(S103-S126),1)</f>
        <v>0</v>
      </c>
      <c r="T129" s="1004"/>
      <c r="U129" s="1003">
        <f>ROUND(SUM(U103-U126),1)</f>
        <v>0</v>
      </c>
      <c r="V129" s="1004"/>
      <c r="W129" s="1003">
        <f>ROUND(SUM(W103-W126),1)</f>
        <v>0</v>
      </c>
      <c r="X129" s="1004"/>
      <c r="Y129" s="1003">
        <f>ROUND(SUM(Y103-Y126),1)</f>
        <v>0</v>
      </c>
      <c r="Z129" s="1004"/>
      <c r="AA129" s="1005"/>
      <c r="AB129" s="1003">
        <f>ROUND(SUM(AB103-AB126),1)</f>
        <v>3843.1</v>
      </c>
      <c r="AC129" s="1004"/>
      <c r="AD129" s="1006"/>
      <c r="AE129" s="1003">
        <f>ROUND(SUM(AE103-AE126),1)</f>
        <v>3142.7</v>
      </c>
      <c r="AF129" s="1004"/>
      <c r="AG129" s="1004"/>
      <c r="AH129" s="1015">
        <f>ROUND(SUM(AB129-AE129),1)</f>
        <v>700.4</v>
      </c>
      <c r="AI129" s="986"/>
      <c r="AJ129" s="2786">
        <f>ROUND(IF(AE129=0,0,AH129/(AE129)),3)</f>
        <v>0.223</v>
      </c>
      <c r="AK129" s="796"/>
      <c r="AL129" s="796"/>
    </row>
    <row r="130" spans="1:59" ht="16.5" customHeight="1">
      <c r="A130" s="368"/>
      <c r="B130" s="431"/>
      <c r="C130" s="1007"/>
      <c r="D130" s="996"/>
      <c r="E130" s="1007"/>
      <c r="F130" s="996"/>
      <c r="G130" s="1007"/>
      <c r="H130" s="996"/>
      <c r="I130" s="1007"/>
      <c r="J130" s="996"/>
      <c r="K130" s="1007"/>
      <c r="L130" s="996"/>
      <c r="M130" s="1007"/>
      <c r="N130" s="996"/>
      <c r="O130" s="1007"/>
      <c r="P130" s="996"/>
      <c r="Q130" s="1007"/>
      <c r="R130" s="996"/>
      <c r="S130" s="1007"/>
      <c r="T130" s="996"/>
      <c r="U130" s="1007"/>
      <c r="V130" s="996"/>
      <c r="W130" s="1007"/>
      <c r="X130" s="996"/>
      <c r="Y130" s="1007"/>
      <c r="Z130" s="1010"/>
      <c r="AA130" s="997"/>
      <c r="AB130" s="1007"/>
      <c r="AC130" s="996"/>
      <c r="AD130" s="998"/>
      <c r="AE130" s="1007"/>
      <c r="AF130" s="996"/>
      <c r="AG130" s="996"/>
      <c r="AH130" s="1177"/>
      <c r="AI130" s="431"/>
      <c r="AJ130" s="1721"/>
    </row>
    <row r="131" spans="1:59" ht="16.5" customHeight="1">
      <c r="A131" s="410" t="s">
        <v>47</v>
      </c>
      <c r="B131" s="431"/>
      <c r="C131" s="1008"/>
      <c r="D131" s="996"/>
      <c r="E131" s="1016"/>
      <c r="F131" s="1017"/>
      <c r="G131" s="1016"/>
      <c r="H131" s="1017"/>
      <c r="I131" s="1016"/>
      <c r="J131" s="1017"/>
      <c r="K131" s="1016"/>
      <c r="L131" s="1017"/>
      <c r="M131" s="1016"/>
      <c r="N131" s="1017"/>
      <c r="O131" s="1016"/>
      <c r="P131" s="1017"/>
      <c r="Q131" s="1016"/>
      <c r="R131" s="1017"/>
      <c r="S131" s="1016"/>
      <c r="T131" s="1017"/>
      <c r="U131" s="1016"/>
      <c r="V131" s="996"/>
      <c r="W131" s="1016"/>
      <c r="X131" s="996"/>
      <c r="Y131" s="1008"/>
      <c r="Z131" s="999"/>
      <c r="AA131" s="997"/>
      <c r="AB131" s="1008"/>
      <c r="AC131" s="999"/>
      <c r="AD131" s="996"/>
      <c r="AE131" s="1008"/>
      <c r="AF131" s="996"/>
      <c r="AG131" s="996"/>
      <c r="AH131" s="1177"/>
      <c r="AI131" s="431"/>
      <c r="AJ131" s="1721"/>
    </row>
    <row r="132" spans="1:59" ht="16.5" customHeight="1">
      <c r="A132" s="431" t="s">
        <v>48</v>
      </c>
      <c r="B132" s="431"/>
      <c r="C132" s="1018">
        <v>0</v>
      </c>
      <c r="D132" s="996"/>
      <c r="E132" s="1018">
        <v>0</v>
      </c>
      <c r="F132" s="1017"/>
      <c r="G132" s="1018"/>
      <c r="H132" s="1017"/>
      <c r="I132" s="1018"/>
      <c r="J132" s="1017"/>
      <c r="K132" s="1018"/>
      <c r="L132" s="1017"/>
      <c r="M132" s="1018"/>
      <c r="N132" s="1017"/>
      <c r="O132" s="1018"/>
      <c r="P132" s="1017"/>
      <c r="Q132" s="1018"/>
      <c r="R132" s="1017"/>
      <c r="S132" s="1018"/>
      <c r="T132" s="1017"/>
      <c r="U132" s="1018"/>
      <c r="V132" s="996"/>
      <c r="W132" s="1018"/>
      <c r="X132" s="996"/>
      <c r="Y132" s="1018"/>
      <c r="Z132" s="996"/>
      <c r="AA132" s="997"/>
      <c r="AB132" s="996">
        <f>ROUND(SUM(C132:Y132),1)</f>
        <v>0</v>
      </c>
      <c r="AC132" s="996"/>
      <c r="AD132" s="998"/>
      <c r="AE132" s="1019">
        <v>0</v>
      </c>
      <c r="AF132" s="996"/>
      <c r="AG132" s="996"/>
      <c r="AH132" s="996">
        <f>ROUND(SUM(AB132-AE132),1)</f>
        <v>0</v>
      </c>
      <c r="AI132" s="988"/>
      <c r="AJ132" s="2843">
        <f>ROUND(IF(AE132=0,0,AH132/(AE132)),3)</f>
        <v>0</v>
      </c>
    </row>
    <row r="133" spans="1:59" ht="16.5" customHeight="1">
      <c r="A133" s="431" t="s">
        <v>49</v>
      </c>
      <c r="B133" s="431"/>
      <c r="C133" s="1018">
        <f>+'Exh F'!D120+'Exh F'!D121+'Exh F'!D122+'Exh F'!D123+'Exhibit G'!D112+'Exhibit H'!B62+' Exhbit I '!E91</f>
        <v>4617.6000000000004</v>
      </c>
      <c r="D133" s="996"/>
      <c r="E133" s="1018">
        <f>+'Exh F'!F120+'Exh F'!F121+'Exh F'!F122+'Exh F'!F123+'Exhibit G'!F112+'Exhibit H'!D62+' Exhbit I '!G91</f>
        <v>2253.8000000000002</v>
      </c>
      <c r="F133" s="996"/>
      <c r="G133" s="1018"/>
      <c r="H133" s="996"/>
      <c r="I133" s="1018"/>
      <c r="J133" s="996"/>
      <c r="K133" s="1018"/>
      <c r="L133" s="996"/>
      <c r="M133" s="1018"/>
      <c r="N133" s="996"/>
      <c r="O133" s="1018"/>
      <c r="P133" s="996"/>
      <c r="Q133" s="1018"/>
      <c r="R133" s="996"/>
      <c r="S133" s="1018"/>
      <c r="T133" s="996"/>
      <c r="U133" s="1018"/>
      <c r="V133" s="996"/>
      <c r="W133" s="2940"/>
      <c r="X133" s="996"/>
      <c r="Y133" s="2940"/>
      <c r="Z133" s="996"/>
      <c r="AA133" s="997"/>
      <c r="AB133" s="996">
        <f>ROUND(SUM(C133:Y133),1)</f>
        <v>6871.4</v>
      </c>
      <c r="AC133" s="996"/>
      <c r="AD133" s="997"/>
      <c r="AE133" s="996">
        <f>+'Exhibit A'!AD49</f>
        <v>4739.2</v>
      </c>
      <c r="AF133" s="996"/>
      <c r="AG133" s="996"/>
      <c r="AH133" s="996">
        <f>ROUND(SUM(AB133-AE133),1)</f>
        <v>2132.1999999999998</v>
      </c>
      <c r="AI133" s="431"/>
      <c r="AJ133" s="2843">
        <f>ROUND(IF(AE133=0,0,AH133/(AE133)),3)</f>
        <v>0.45</v>
      </c>
    </row>
    <row r="134" spans="1:59" ht="16.5" customHeight="1">
      <c r="A134" s="431" t="s">
        <v>50</v>
      </c>
      <c r="C134" s="1137">
        <f>+'Exh F'!D124+'Exh F'!D125+'Exh F'!D126+'Exh F'!D127+'Exhibit G'!D113+'Exhibit H'!B63+' Exhbit I '!E92</f>
        <v>-4620.5999999999995</v>
      </c>
      <c r="D134" s="248"/>
      <c r="E134" s="1137">
        <f>+'Exh F'!F124+'Exh F'!F125+'Exh F'!F126+'Exh F'!F127+'Exhibit G'!F113+'Exhibit H'!D63+' Exhbit I '!G92</f>
        <v>-2256.7999999999997</v>
      </c>
      <c r="F134" s="248"/>
      <c r="G134" s="1137"/>
      <c r="H134" s="248"/>
      <c r="I134" s="1137"/>
      <c r="J134" s="248"/>
      <c r="K134" s="1137"/>
      <c r="L134" s="248"/>
      <c r="M134" s="1137"/>
      <c r="N134" s="248"/>
      <c r="O134" s="1137"/>
      <c r="P134" s="248"/>
      <c r="Q134" s="1137"/>
      <c r="R134" s="248"/>
      <c r="S134" s="2918"/>
      <c r="T134" s="248"/>
      <c r="U134" s="2918"/>
      <c r="V134" s="248"/>
      <c r="W134" s="2941"/>
      <c r="X134" s="248"/>
      <c r="Y134" s="2941"/>
      <c r="Z134" s="248"/>
      <c r="AA134" s="1020"/>
      <c r="AB134" s="1000">
        <f>ROUND(SUM(C134:Y134),1)</f>
        <v>-6877.4</v>
      </c>
      <c r="AC134" s="248"/>
      <c r="AD134" s="1020"/>
      <c r="AE134" s="1000">
        <f>+'Exhibit A'!AD50</f>
        <v>-4802.3</v>
      </c>
      <c r="AF134" s="248"/>
      <c r="AG134" s="248"/>
      <c r="AH134" s="1000">
        <f>ROUND(SUM(-AB134+AE134),1)</f>
        <v>2075.1</v>
      </c>
      <c r="AI134" s="1721"/>
      <c r="AJ134" s="2846">
        <f>-ROUND(IF(AE134=0,0,AH134/(AE134)),3)</f>
        <v>0.432</v>
      </c>
      <c r="AK134" s="2942"/>
    </row>
    <row r="135" spans="1:59" ht="16.5" customHeight="1">
      <c r="A135" s="431"/>
      <c r="C135" s="1008"/>
      <c r="D135" s="248"/>
      <c r="E135" s="1008"/>
      <c r="F135" s="248"/>
      <c r="G135" s="1008"/>
      <c r="H135" s="248"/>
      <c r="I135" s="1008"/>
      <c r="J135" s="248"/>
      <c r="K135" s="1008"/>
      <c r="L135" s="248"/>
      <c r="M135" s="1008"/>
      <c r="N135" s="248"/>
      <c r="O135" s="1008"/>
      <c r="P135" s="248"/>
      <c r="Q135" s="1008"/>
      <c r="R135" s="248"/>
      <c r="S135" s="1008"/>
      <c r="T135" s="248"/>
      <c r="U135" s="1008"/>
      <c r="V135" s="248"/>
      <c r="W135" s="1008"/>
      <c r="X135" s="248"/>
      <c r="Y135" s="1008"/>
      <c r="Z135" s="248"/>
      <c r="AA135" s="1020"/>
      <c r="AB135" s="1008"/>
      <c r="AC135" s="248"/>
      <c r="AD135" s="1020"/>
      <c r="AE135" s="1008"/>
      <c r="AF135" s="248"/>
      <c r="AG135" s="248"/>
      <c r="AH135" s="1008"/>
      <c r="AI135" s="1721"/>
      <c r="AJ135" s="1274"/>
    </row>
    <row r="136" spans="1:59" ht="16.5" customHeight="1">
      <c r="A136" s="410" t="s">
        <v>51</v>
      </c>
      <c r="C136" s="1003">
        <f>ROUND(SUM(C132:C134),1)</f>
        <v>-3</v>
      </c>
      <c r="D136" s="1021"/>
      <c r="E136" s="1003">
        <f>ROUND(SUM(E132:E134),1)</f>
        <v>-3</v>
      </c>
      <c r="F136" s="1021"/>
      <c r="G136" s="1003">
        <f>ROUND(SUM(G132:G134),1)</f>
        <v>0</v>
      </c>
      <c r="H136" s="1021"/>
      <c r="I136" s="1003">
        <f>ROUND(SUM(I132:I134),1)</f>
        <v>0</v>
      </c>
      <c r="J136" s="1021"/>
      <c r="K136" s="1003">
        <f>ROUND(SUM(K132:K134),1)</f>
        <v>0</v>
      </c>
      <c r="L136" s="1021"/>
      <c r="M136" s="1003">
        <f>ROUND(SUM(M132:M134),1)</f>
        <v>0</v>
      </c>
      <c r="N136" s="1021"/>
      <c r="O136" s="1003">
        <f>ROUND(SUM(O132:O134),1)</f>
        <v>0</v>
      </c>
      <c r="P136" s="1021"/>
      <c r="Q136" s="1003">
        <f>ROUND(SUM(Q132:Q134),1)</f>
        <v>0</v>
      </c>
      <c r="R136" s="1021"/>
      <c r="S136" s="1003">
        <f>ROUND(SUM(S132:S134),1)</f>
        <v>0</v>
      </c>
      <c r="T136" s="1021"/>
      <c r="U136" s="1003">
        <f>ROUND(SUM(U132:U134),1)</f>
        <v>0</v>
      </c>
      <c r="V136" s="1021"/>
      <c r="W136" s="1003">
        <f>ROUND(SUM(W132:W134),1)</f>
        <v>0</v>
      </c>
      <c r="X136" s="1021"/>
      <c r="Y136" s="1003">
        <f>ROUND(SUM(Y132:Y134),1)</f>
        <v>0</v>
      </c>
      <c r="Z136" s="1021"/>
      <c r="AA136" s="1022"/>
      <c r="AB136" s="1003">
        <f>ROUND(SUM(AB132:AB135),1)</f>
        <v>-6</v>
      </c>
      <c r="AC136" s="1021"/>
      <c r="AD136" s="1022"/>
      <c r="AE136" s="1003">
        <f>SUM(AE132:AE135)</f>
        <v>-63.100000000000364</v>
      </c>
      <c r="AF136" s="1021"/>
      <c r="AG136" s="1021"/>
      <c r="AH136" s="1003">
        <f>ROUND(SUM(+AH133-AH134+AH132),1)</f>
        <v>57.1</v>
      </c>
      <c r="AI136" s="410"/>
      <c r="AJ136" s="1974">
        <f>ROUND(IF(AE136=0,0,-AH136/(AE136)),3)</f>
        <v>0.90500000000000003</v>
      </c>
      <c r="AK136" s="796"/>
      <c r="AL136" s="796"/>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20"/>
      <c r="AB137" s="248"/>
      <c r="AC137" s="248"/>
      <c r="AD137" s="1020"/>
      <c r="AE137" s="248"/>
      <c r="AF137" s="248"/>
      <c r="AG137" s="248"/>
      <c r="AH137" s="1177"/>
      <c r="AI137" s="1721"/>
      <c r="AJ137" s="1721"/>
    </row>
    <row r="138" spans="1:59" ht="16.5" customHeight="1">
      <c r="A138" s="480" t="s">
        <v>45</v>
      </c>
      <c r="C138" s="1008"/>
      <c r="D138" s="248"/>
      <c r="E138" s="1008"/>
      <c r="F138" s="248"/>
      <c r="G138" s="1008"/>
      <c r="H138" s="248"/>
      <c r="I138" s="1008"/>
      <c r="J138" s="248"/>
      <c r="K138" s="1008"/>
      <c r="L138" s="248"/>
      <c r="M138" s="1008"/>
      <c r="N138" s="248"/>
      <c r="O138" s="1008"/>
      <c r="P138" s="248"/>
      <c r="Q138" s="1008"/>
      <c r="R138" s="248"/>
      <c r="S138" s="1008"/>
      <c r="T138" s="248"/>
      <c r="U138" s="1008"/>
      <c r="V138" s="248"/>
      <c r="W138" s="1008"/>
      <c r="X138" s="248"/>
      <c r="Y138" s="1008"/>
      <c r="Z138" s="248"/>
      <c r="AA138" s="1020"/>
      <c r="AB138" s="1008"/>
      <c r="AC138" s="248"/>
      <c r="AD138" s="1020"/>
      <c r="AE138" s="1008"/>
      <c r="AF138" s="248"/>
      <c r="AG138" s="248"/>
      <c r="AH138" s="1177"/>
      <c r="AI138" s="1721"/>
      <c r="AJ138" s="1721"/>
    </row>
    <row r="139" spans="1:59" ht="16.5" customHeight="1">
      <c r="A139" s="480" t="s">
        <v>52</v>
      </c>
      <c r="C139" s="1004"/>
      <c r="D139" s="1021"/>
      <c r="E139" s="1004"/>
      <c r="F139" s="1021"/>
      <c r="G139" s="1004"/>
      <c r="H139" s="1021"/>
      <c r="I139" s="1004"/>
      <c r="J139" s="1021"/>
      <c r="K139" s="1004"/>
      <c r="L139" s="1021"/>
      <c r="M139" s="1004"/>
      <c r="N139" s="1021"/>
      <c r="O139" s="1004"/>
      <c r="P139" s="1021"/>
      <c r="Q139" s="1004"/>
      <c r="R139" s="1021"/>
      <c r="S139" s="1004"/>
      <c r="T139" s="1021"/>
      <c r="U139" s="1004"/>
      <c r="V139" s="1021"/>
      <c r="W139" s="1004"/>
      <c r="X139" s="1021"/>
      <c r="Y139" s="1004"/>
      <c r="Z139" s="1021"/>
      <c r="AA139" s="1022"/>
      <c r="AB139" s="1004"/>
      <c r="AC139" s="1021"/>
      <c r="AD139" s="1022"/>
      <c r="AE139" s="1004"/>
      <c r="AF139" s="1021"/>
      <c r="AG139" s="1021"/>
      <c r="AH139" s="1899"/>
      <c r="AI139" s="410"/>
      <c r="AJ139" s="410"/>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6.5" customHeight="1">
      <c r="A140" s="480" t="s">
        <v>53</v>
      </c>
      <c r="C140" s="1023">
        <f>ROUND(SUM(C129+C136),1)</f>
        <v>3308</v>
      </c>
      <c r="D140" s="1021"/>
      <c r="E140" s="1023">
        <f>ROUND(SUM(E129+E136),1)</f>
        <v>529.1</v>
      </c>
      <c r="F140" s="1021"/>
      <c r="G140" s="1023">
        <f>ROUND(SUM(G129+G136),1)</f>
        <v>0</v>
      </c>
      <c r="H140" s="1021"/>
      <c r="I140" s="1023">
        <f>ROUND(SUM(I129+I136),1)</f>
        <v>0</v>
      </c>
      <c r="J140" s="1021"/>
      <c r="K140" s="1023">
        <f>ROUND(SUM(K129+K136),1)</f>
        <v>0</v>
      </c>
      <c r="L140" s="1021"/>
      <c r="M140" s="1023">
        <f>ROUND(SUM(M129+M136),1)</f>
        <v>0</v>
      </c>
      <c r="N140" s="1021"/>
      <c r="O140" s="1023">
        <f>ROUND(SUM(O129+O136),1)</f>
        <v>0</v>
      </c>
      <c r="P140" s="1021"/>
      <c r="Q140" s="1023">
        <f>ROUND(SUM(Q129+Q136),1)</f>
        <v>0</v>
      </c>
      <c r="R140" s="1021"/>
      <c r="S140" s="1023">
        <f>ROUND(SUM(S129+S136),1)</f>
        <v>0</v>
      </c>
      <c r="T140" s="1021"/>
      <c r="U140" s="1023">
        <f>ROUND(SUM(U129+U136),1)</f>
        <v>0</v>
      </c>
      <c r="V140" s="1021"/>
      <c r="W140" s="1023">
        <f>ROUND(SUM(W129+W136),1)</f>
        <v>0</v>
      </c>
      <c r="X140" s="1021"/>
      <c r="Y140" s="1023">
        <f>ROUND(SUM(Y129+Y136),1)</f>
        <v>0</v>
      </c>
      <c r="Z140" s="1021"/>
      <c r="AA140" s="1022"/>
      <c r="AB140" s="1023">
        <f>ROUND(SUM(AB129+AB136),1)</f>
        <v>3837.1</v>
      </c>
      <c r="AC140" s="1021"/>
      <c r="AD140" s="1022"/>
      <c r="AE140" s="1023">
        <f>AE129+AE136</f>
        <v>3079.5999999999995</v>
      </c>
      <c r="AF140" s="1021"/>
      <c r="AG140" s="1021"/>
      <c r="AH140" s="1015">
        <f>ROUND(SUM(AB140-AE140),1)</f>
        <v>757.5</v>
      </c>
      <c r="AI140" s="410"/>
      <c r="AJ140" s="2786">
        <f>ROUND(IF(AE140=0,0,AH140/(AE140)),3)</f>
        <v>0.246</v>
      </c>
      <c r="AK140" s="796"/>
      <c r="AL140" s="796"/>
      <c r="AM140" s="796"/>
      <c r="AN140" s="796"/>
      <c r="AO140" s="796"/>
      <c r="AP140" s="796"/>
      <c r="AQ140" s="796"/>
      <c r="AR140" s="796"/>
      <c r="AS140" s="796"/>
      <c r="AT140" s="796"/>
      <c r="AU140" s="796"/>
      <c r="AV140" s="796"/>
      <c r="AW140" s="796"/>
      <c r="AX140" s="796"/>
      <c r="AY140" s="796"/>
      <c r="AZ140" s="796"/>
      <c r="BA140" s="796"/>
      <c r="BB140" s="796"/>
      <c r="BC140" s="796"/>
      <c r="BD140" s="796"/>
      <c r="BE140" s="796"/>
      <c r="BF140" s="796"/>
      <c r="BG140" s="796"/>
    </row>
    <row r="141" spans="1:59" ht="16.5" customHeight="1">
      <c r="A141" s="410"/>
      <c r="C141" s="989"/>
      <c r="E141" s="989"/>
      <c r="G141" s="989"/>
      <c r="I141" s="989"/>
      <c r="K141" s="989"/>
      <c r="M141" s="989"/>
      <c r="O141" s="989"/>
      <c r="Q141" s="989"/>
      <c r="S141" s="989"/>
      <c r="U141" s="989"/>
      <c r="W141" s="989"/>
      <c r="Y141" s="989"/>
      <c r="AA141" s="1024"/>
      <c r="AB141" s="989"/>
      <c r="AD141" s="1024"/>
      <c r="AE141" s="989"/>
      <c r="AH141" s="1721"/>
      <c r="AI141" s="1721"/>
      <c r="AJ141" s="1721"/>
    </row>
    <row r="142" spans="1:59" ht="16.5" customHeight="1" thickBot="1">
      <c r="A142" s="1025" t="s">
        <v>146</v>
      </c>
      <c r="C142" s="1026">
        <f>ROUND(SUM(C16+C140),1)</f>
        <v>12663.6</v>
      </c>
      <c r="D142" s="473"/>
      <c r="E142" s="1026">
        <f>ROUND(SUM(E16+E140),1)</f>
        <v>13192.7</v>
      </c>
      <c r="F142" s="473"/>
      <c r="G142" s="1026">
        <f>ROUND(SUM(G16+G140),1)</f>
        <v>0</v>
      </c>
      <c r="H142" s="473"/>
      <c r="I142" s="1026">
        <f>ROUND(SUM(I16+I140),1)</f>
        <v>0</v>
      </c>
      <c r="J142" s="1027"/>
      <c r="K142" s="1026">
        <f>ROUND(SUM(K16+K140),1)</f>
        <v>0</v>
      </c>
      <c r="L142" s="1027"/>
      <c r="M142" s="1026">
        <f>ROUND(SUM(M16+M140),1)</f>
        <v>0</v>
      </c>
      <c r="N142" s="1027"/>
      <c r="O142" s="1026">
        <f>ROUND(SUM(O16+O140),1)</f>
        <v>0</v>
      </c>
      <c r="P142" s="1027"/>
      <c r="Q142" s="1026">
        <f>ROUND(SUM(Q16+Q140),1)</f>
        <v>0</v>
      </c>
      <c r="R142" s="1027"/>
      <c r="S142" s="1026">
        <f>ROUND(SUM(S16+S140),1)</f>
        <v>0</v>
      </c>
      <c r="T142" s="1027"/>
      <c r="U142" s="1026">
        <f>ROUND(SUM(U16+U140),1)</f>
        <v>0</v>
      </c>
      <c r="V142" s="1027"/>
      <c r="W142" s="1026">
        <f>ROUND(SUM(W16+W140),1)</f>
        <v>0</v>
      </c>
      <c r="X142" s="1027"/>
      <c r="Y142" s="1026">
        <f>ROUND(SUM(Y16+Y140),1)</f>
        <v>0</v>
      </c>
      <c r="Z142" s="473"/>
      <c r="AA142" s="1028"/>
      <c r="AB142" s="1026">
        <f>ROUND(SUM(AB16+AB140),1)</f>
        <v>13192.7</v>
      </c>
      <c r="AC142" s="473"/>
      <c r="AD142" s="1028"/>
      <c r="AE142" s="1026">
        <f>AE16+AE140</f>
        <v>7114.0999999999995</v>
      </c>
      <c r="AF142" s="473"/>
      <c r="AG142" s="473"/>
      <c r="AH142" s="1026">
        <f>ROUND(SUM(AB142-AE142),1)</f>
        <v>6078.6</v>
      </c>
      <c r="AI142" s="410"/>
      <c r="AJ142" s="127">
        <f>ROUND(IF(AE142=0,0,AH142/(AE142)),3)</f>
        <v>0.85399999999999998</v>
      </c>
      <c r="AK142" s="796"/>
    </row>
    <row r="143" spans="1:59" ht="16.5" customHeight="1" thickTop="1">
      <c r="A143" s="1029"/>
      <c r="C143" s="419"/>
      <c r="AH143" s="1721"/>
      <c r="AI143" s="1721"/>
      <c r="AJ143" s="1721"/>
    </row>
    <row r="144" spans="1:59" ht="16.5" customHeight="1">
      <c r="A144" s="683" t="s">
        <v>147</v>
      </c>
      <c r="AH144" s="1721"/>
      <c r="AI144" s="1721"/>
      <c r="AJ144" s="1721"/>
    </row>
    <row r="145" spans="1:36" ht="16.5" customHeight="1">
      <c r="A145" s="222"/>
      <c r="AH145" s="1721"/>
      <c r="AI145" s="1721"/>
      <c r="AJ145" s="1721"/>
    </row>
    <row r="146" spans="1:36" ht="16.5" customHeight="1">
      <c r="A146" s="222"/>
      <c r="AH146" s="1721"/>
      <c r="AI146" s="1721"/>
      <c r="AJ146" s="1721"/>
    </row>
    <row r="147" spans="1:36" ht="16.5" customHeight="1">
      <c r="A147" s="222"/>
      <c r="AH147" s="1721"/>
      <c r="AI147" s="1721"/>
      <c r="AJ147" s="1721"/>
    </row>
    <row r="148" spans="1:36" ht="16.5" customHeight="1">
      <c r="AH148" s="1721"/>
      <c r="AI148" s="1721"/>
      <c r="AJ148" s="1721"/>
    </row>
    <row r="149" spans="1:36" ht="16.5" customHeight="1">
      <c r="AH149" s="1721"/>
      <c r="AI149" s="1721"/>
      <c r="AJ149" s="1721"/>
    </row>
    <row r="150" spans="1:36" ht="16.5" customHeight="1">
      <c r="AH150" s="1721"/>
      <c r="AI150" s="1721"/>
      <c r="AJ150" s="1721"/>
    </row>
    <row r="151" spans="1:36" ht="16.5" customHeight="1">
      <c r="AH151" s="1721"/>
      <c r="AI151" s="1721"/>
      <c r="AJ151" s="1721"/>
    </row>
    <row r="152" spans="1:36" ht="16.5" customHeight="1">
      <c r="AH152" s="1721"/>
      <c r="AI152" s="1721"/>
      <c r="AJ152" s="1721"/>
    </row>
    <row r="153" spans="1:36" ht="16.5" customHeight="1">
      <c r="AH153" s="1721"/>
      <c r="AI153" s="1721"/>
      <c r="AJ153" s="1721"/>
    </row>
    <row r="154" spans="1:36" ht="16.5" customHeight="1">
      <c r="AH154" s="1721"/>
      <c r="AI154" s="1721"/>
      <c r="AJ154" s="1721"/>
    </row>
    <row r="155" spans="1:36" ht="16.5" customHeight="1">
      <c r="AH155" s="1721"/>
      <c r="AI155" s="1721"/>
      <c r="AJ155" s="1721"/>
    </row>
    <row r="156" spans="1:36" ht="16.5" customHeight="1">
      <c r="AH156" s="1721"/>
      <c r="AI156" s="1721"/>
      <c r="AJ156" s="1721"/>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6" orientation="landscape" useFirstPageNumber="1" r:id="rId2"/>
  <headerFooter scaleWithDoc="0" alignWithMargins="0">
    <oddFooter>&amp;C&amp;8&amp;P</oddFooter>
  </headerFooter>
  <ignoredErrors>
    <ignoredError sqref="AJ21:AJ23 AJ135:AJ142 AJ30:AJ47 AJ49:AJ116 AJ117:AJ131" unlockedFormula="1"/>
    <ignoredError sqref="AJ25:AJ28" formula="1" unlockedFormula="1"/>
    <ignoredError sqref="AH24:AJ24 AH29:AJ29 AH25:AI28" formula="1"/>
  </ignoredErrors>
  <drawing r:id="rId3"/>
</worksheet>
</file>

<file path=xl/worksheets/sheet17.xml><?xml version="1.0" encoding="utf-8"?>
<worksheet xmlns="http://schemas.openxmlformats.org/spreadsheetml/2006/main" xmlns:r="http://schemas.openxmlformats.org/officeDocument/2006/relationships">
  <dimension ref="A1:BG159"/>
  <sheetViews>
    <sheetView showGridLines="0" zoomScale="60" zoomScaleNormal="60" workbookViewId="0"/>
  </sheetViews>
  <sheetFormatPr defaultColWidth="8.88671875" defaultRowHeight="16.5" customHeight="1"/>
  <cols>
    <col min="1" max="1" width="43" style="420" customWidth="1"/>
    <col min="2" max="2" width="1.6640625" style="420" customWidth="1"/>
    <col min="3" max="3" width="13.21875" style="420" bestFit="1" customWidth="1"/>
    <col min="4" max="4" width="1.6640625" style="420" customWidth="1"/>
    <col min="5" max="5" width="13.21875" style="420" bestFit="1" customWidth="1"/>
    <col min="6" max="6" width="1.6640625" style="420" customWidth="1"/>
    <col min="7" max="7" width="12.44140625" style="420" customWidth="1"/>
    <col min="8" max="8" width="1.6640625" style="420" customWidth="1"/>
    <col min="9" max="9" width="13.6640625" style="420" customWidth="1"/>
    <col min="10" max="10" width="1.6640625" style="420" customWidth="1"/>
    <col min="11" max="11" width="14.5546875" style="420" customWidth="1"/>
    <col min="12" max="12" width="1.6640625" style="420" customWidth="1"/>
    <col min="13" max="13" width="13.33203125" style="420" customWidth="1"/>
    <col min="14" max="14" width="1.6640625" style="420" customWidth="1"/>
    <col min="15" max="15" width="14.21875" style="420" customWidth="1"/>
    <col min="16" max="16" width="1.6640625" style="420" customWidth="1"/>
    <col min="17" max="17" width="13.218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3.21875" style="420" customWidth="1"/>
    <col min="24" max="24" width="1.6640625" style="420" customWidth="1"/>
    <col min="25" max="25" width="13.21875" style="420" bestFit="1" customWidth="1"/>
    <col min="26" max="27" width="1.6640625" style="420" customWidth="1"/>
    <col min="28" max="28" width="15" style="420" customWidth="1"/>
    <col min="29" max="30" width="1.6640625" style="420" customWidth="1"/>
    <col min="31" max="31" width="13" style="420" customWidth="1"/>
    <col min="32" max="32" width="0.21875" style="420" customWidth="1"/>
    <col min="33" max="33" width="1.6640625" style="420" customWidth="1"/>
    <col min="34" max="34" width="12.77734375" style="420" bestFit="1" customWidth="1"/>
    <col min="35" max="35" width="1" style="420" customWidth="1"/>
    <col min="36" max="36" width="12.33203125" style="420" bestFit="1" customWidth="1"/>
    <col min="37" max="16384" width="8.88671875" style="420"/>
  </cols>
  <sheetData>
    <row r="1" spans="1:37" ht="15">
      <c r="A1" s="1915" t="s">
        <v>1231</v>
      </c>
    </row>
    <row r="2" spans="1:37" ht="15">
      <c r="A2" s="1738"/>
    </row>
    <row r="3" spans="1:37" ht="23.25">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3.25">
      <c r="A4" s="428" t="s">
        <v>1471</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3.25">
      <c r="A5" s="430" t="s">
        <v>1472</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12"/>
      <c r="AD5" s="3515"/>
      <c r="AE5" s="3515"/>
      <c r="AF5" s="3515"/>
      <c r="AG5" s="3515"/>
      <c r="AH5" s="3515"/>
      <c r="AI5" s="3515"/>
      <c r="AJ5" s="3515"/>
    </row>
    <row r="6" spans="1:37" ht="23.25">
      <c r="A6" s="430" t="s">
        <v>1541</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3.25">
      <c r="A7" s="428" t="s">
        <v>1116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5">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5">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5.7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8"/>
      <c r="AB12" s="3516" t="str">
        <f>+'Cashflow Governmental'!AB12:AJ12</f>
        <v xml:space="preserve">                                   2 Months Ended May 31</v>
      </c>
      <c r="AC12" s="3516"/>
      <c r="AD12" s="3516"/>
      <c r="AE12" s="3516"/>
      <c r="AF12" s="3516"/>
      <c r="AG12" s="3516"/>
      <c r="AH12" s="3516"/>
      <c r="AI12" s="3516"/>
      <c r="AJ12" s="3516"/>
    </row>
    <row r="13" spans="1:37" ht="15.75">
      <c r="A13" s="431"/>
      <c r="B13" s="431"/>
      <c r="C13" s="3440">
        <v>2015</v>
      </c>
      <c r="D13" s="986"/>
      <c r="E13" s="986"/>
      <c r="F13" s="986"/>
      <c r="G13" s="986"/>
      <c r="H13" s="986"/>
      <c r="I13" s="986"/>
      <c r="J13" s="986"/>
      <c r="K13" s="986"/>
      <c r="L13" s="986"/>
      <c r="M13" s="986"/>
      <c r="N13" s="986"/>
      <c r="O13" s="986"/>
      <c r="P13" s="986"/>
      <c r="Q13" s="986"/>
      <c r="R13" s="986"/>
      <c r="S13" s="986"/>
      <c r="T13" s="986"/>
      <c r="U13" s="3440">
        <v>2016</v>
      </c>
      <c r="V13" s="986"/>
      <c r="W13" s="986"/>
      <c r="X13" s="986"/>
      <c r="Y13" s="986"/>
      <c r="Z13" s="986"/>
      <c r="AA13" s="986"/>
      <c r="AB13" s="986"/>
      <c r="AC13" s="1515"/>
      <c r="AD13" s="1515"/>
      <c r="AE13" s="1515"/>
      <c r="AF13" s="986"/>
      <c r="AG13" s="986"/>
      <c r="AH13" s="1516" t="s">
        <v>8</v>
      </c>
      <c r="AI13" s="1514"/>
      <c r="AJ13" s="1516" t="s">
        <v>9</v>
      </c>
    </row>
    <row r="14" spans="1:37" ht="15.75">
      <c r="A14" s="431"/>
      <c r="B14" s="431"/>
      <c r="C14" s="1516" t="s">
        <v>129</v>
      </c>
      <c r="D14" s="986"/>
      <c r="E14" s="1516" t="s">
        <v>130</v>
      </c>
      <c r="F14" s="986"/>
      <c r="G14" s="1516" t="s">
        <v>131</v>
      </c>
      <c r="H14" s="986"/>
      <c r="I14" s="1516" t="s">
        <v>132</v>
      </c>
      <c r="J14" s="986"/>
      <c r="K14" s="1516" t="s">
        <v>133</v>
      </c>
      <c r="L14" s="986"/>
      <c r="M14" s="1516" t="s">
        <v>134</v>
      </c>
      <c r="N14" s="986"/>
      <c r="O14" s="1516" t="s">
        <v>135</v>
      </c>
      <c r="P14" s="986"/>
      <c r="Q14" s="1516" t="s">
        <v>136</v>
      </c>
      <c r="R14" s="986"/>
      <c r="S14" s="1516" t="s">
        <v>137</v>
      </c>
      <c r="T14" s="986"/>
      <c r="U14" s="1516" t="s">
        <v>138</v>
      </c>
      <c r="V14" s="986"/>
      <c r="W14" s="1516" t="s">
        <v>139</v>
      </c>
      <c r="X14" s="986"/>
      <c r="Y14" s="1516" t="s">
        <v>140</v>
      </c>
      <c r="Z14" s="986"/>
      <c r="AA14" s="986"/>
      <c r="AB14" s="1517">
        <v>2015</v>
      </c>
      <c r="AC14" s="986"/>
      <c r="AD14" s="986"/>
      <c r="AE14" s="1517">
        <v>2014</v>
      </c>
      <c r="AF14" s="1515"/>
      <c r="AG14" s="1515"/>
      <c r="AH14" s="1941" t="s">
        <v>13</v>
      </c>
      <c r="AI14" s="1514"/>
      <c r="AJ14" s="1941" t="s">
        <v>14</v>
      </c>
    </row>
    <row r="15" spans="1:37" ht="5.25" customHeight="1">
      <c r="A15" s="431"/>
      <c r="B15" s="431"/>
      <c r="C15" s="989"/>
      <c r="D15" s="431"/>
      <c r="E15" s="989"/>
      <c r="F15" s="431"/>
      <c r="G15" s="989"/>
      <c r="H15" s="431"/>
      <c r="I15" s="989"/>
      <c r="J15" s="431"/>
      <c r="K15" s="989"/>
      <c r="L15" s="431"/>
      <c r="M15" s="989"/>
      <c r="N15" s="431"/>
      <c r="O15" s="989" t="s">
        <v>16</v>
      </c>
      <c r="P15" s="431"/>
      <c r="Q15" s="989"/>
      <c r="R15" s="431"/>
      <c r="S15" s="989"/>
      <c r="T15" s="431"/>
      <c r="U15" s="989" t="s">
        <v>16</v>
      </c>
      <c r="V15" s="431"/>
      <c r="W15" s="989"/>
      <c r="X15" s="431"/>
      <c r="Y15" s="989"/>
      <c r="Z15" s="431"/>
      <c r="AA15" s="431"/>
      <c r="AB15" s="989"/>
      <c r="AC15" s="431"/>
      <c r="AD15" s="431"/>
      <c r="AE15" s="989"/>
      <c r="AF15" s="2124"/>
      <c r="AG15" s="2124"/>
      <c r="AI15" s="431"/>
    </row>
    <row r="16" spans="1:37" ht="15.75">
      <c r="A16" s="987" t="s">
        <v>141</v>
      </c>
      <c r="B16" s="431"/>
      <c r="C16" s="1334">
        <v>9890.7999999999993</v>
      </c>
      <c r="D16" s="990"/>
      <c r="E16" s="990">
        <f>C141</f>
        <v>14306.4</v>
      </c>
      <c r="F16" s="990"/>
      <c r="G16" s="990"/>
      <c r="H16" s="990"/>
      <c r="I16" s="990"/>
      <c r="J16" s="990"/>
      <c r="K16" s="990"/>
      <c r="L16" s="990"/>
      <c r="M16" s="990"/>
      <c r="N16" s="990"/>
      <c r="O16" s="990"/>
      <c r="P16" s="990"/>
      <c r="Q16" s="990"/>
      <c r="R16" s="990"/>
      <c r="S16" s="990"/>
      <c r="T16" s="990"/>
      <c r="U16" s="990"/>
      <c r="V16" s="990"/>
      <c r="W16" s="990"/>
      <c r="X16" s="990"/>
      <c r="Y16" s="990"/>
      <c r="Z16" s="990"/>
      <c r="AA16" s="1942"/>
      <c r="AB16" s="990">
        <f>C16</f>
        <v>9890.7999999999993</v>
      </c>
      <c r="AC16" s="990"/>
      <c r="AD16" s="992"/>
      <c r="AE16" s="990">
        <v>4789.1000000000004</v>
      </c>
      <c r="AF16" s="2125"/>
      <c r="AG16" s="2125"/>
      <c r="AH16" s="990">
        <f>ROUND(SUM(AB16-AE16),1)</f>
        <v>5101.7</v>
      </c>
      <c r="AI16" s="986"/>
      <c r="AJ16" s="514">
        <f>ROUND(SUM(AH16/AE16),3)</f>
        <v>1.0649999999999999</v>
      </c>
      <c r="AK16" s="796"/>
    </row>
    <row r="17" spans="1:36" ht="15">
      <c r="A17" s="431"/>
      <c r="B17" s="431"/>
      <c r="C17" s="431" t="s">
        <v>16</v>
      </c>
      <c r="D17" s="431"/>
      <c r="E17" s="993"/>
      <c r="F17" s="431"/>
      <c r="G17" s="993"/>
      <c r="H17" s="431"/>
      <c r="I17" s="993"/>
      <c r="J17" s="431"/>
      <c r="K17" s="993"/>
      <c r="L17" s="431"/>
      <c r="M17" s="993"/>
      <c r="N17" s="431"/>
      <c r="O17" s="993"/>
      <c r="P17" s="431"/>
      <c r="Q17" s="993"/>
      <c r="R17" s="431"/>
      <c r="S17" s="993"/>
      <c r="T17" s="431"/>
      <c r="U17" s="993"/>
      <c r="V17" s="431"/>
      <c r="W17" s="993"/>
      <c r="X17" s="431"/>
      <c r="Y17" s="993"/>
      <c r="Z17" s="431"/>
      <c r="AA17" s="1943"/>
      <c r="AB17" s="431" t="s">
        <v>16</v>
      </c>
      <c r="AC17" s="431"/>
      <c r="AD17" s="995"/>
      <c r="AE17" s="431" t="s">
        <v>16</v>
      </c>
      <c r="AF17" s="2124"/>
      <c r="AG17" s="2124"/>
      <c r="AH17" s="1721"/>
      <c r="AI17" s="431"/>
      <c r="AJ17" s="1721"/>
    </row>
    <row r="18" spans="1:36" ht="15.75">
      <c r="A18" s="410" t="s">
        <v>15</v>
      </c>
      <c r="B18" s="431"/>
      <c r="C18" s="431"/>
      <c r="D18" s="431"/>
      <c r="E18" s="993"/>
      <c r="F18" s="431"/>
      <c r="G18" s="993"/>
      <c r="H18" s="431"/>
      <c r="I18" s="993"/>
      <c r="J18" s="431"/>
      <c r="K18" s="993"/>
      <c r="L18" s="431"/>
      <c r="M18" s="993"/>
      <c r="N18" s="431"/>
      <c r="O18" s="993"/>
      <c r="P18" s="431"/>
      <c r="Q18" s="993"/>
      <c r="R18" s="431"/>
      <c r="S18" s="993"/>
      <c r="T18" s="431"/>
      <c r="U18" s="993"/>
      <c r="V18" s="431"/>
      <c r="W18" s="993"/>
      <c r="X18" s="431"/>
      <c r="Y18" s="993"/>
      <c r="Z18" s="431"/>
      <c r="AA18" s="1943"/>
      <c r="AB18" s="431"/>
      <c r="AC18" s="431"/>
      <c r="AD18" s="995"/>
      <c r="AE18" s="431"/>
      <c r="AF18" s="2124"/>
      <c r="AG18" s="2124"/>
      <c r="AH18" s="1721"/>
      <c r="AI18" s="431"/>
      <c r="AJ18" s="1721"/>
    </row>
    <row r="19" spans="1:36" ht="15.75">
      <c r="A19" s="491" t="s">
        <v>1373</v>
      </c>
      <c r="B19" s="431"/>
      <c r="C19" s="431"/>
      <c r="D19" s="431"/>
      <c r="E19" s="993"/>
      <c r="F19" s="431"/>
      <c r="G19" s="993"/>
      <c r="H19" s="431"/>
      <c r="I19" s="993"/>
      <c r="J19" s="431"/>
      <c r="K19" s="993"/>
      <c r="L19" s="431"/>
      <c r="M19" s="993"/>
      <c r="N19" s="431"/>
      <c r="O19" s="993"/>
      <c r="P19" s="431"/>
      <c r="Q19" s="993"/>
      <c r="R19" s="431"/>
      <c r="S19" s="993"/>
      <c r="T19" s="431"/>
      <c r="U19" s="993"/>
      <c r="V19" s="431"/>
      <c r="W19" s="993"/>
      <c r="X19" s="431"/>
      <c r="Y19" s="993"/>
      <c r="Z19" s="431"/>
      <c r="AA19" s="994"/>
      <c r="AB19" s="431"/>
      <c r="AC19" s="431"/>
      <c r="AD19" s="995"/>
      <c r="AE19" s="431"/>
      <c r="AF19" s="2124"/>
      <c r="AG19" s="2124"/>
      <c r="AH19" s="1721"/>
      <c r="AI19" s="431"/>
      <c r="AJ19" s="1721"/>
    </row>
    <row r="20" spans="1:36" ht="15">
      <c r="A20" s="2089" t="s">
        <v>1447</v>
      </c>
      <c r="B20" s="431"/>
      <c r="C20" s="431"/>
      <c r="D20" s="431"/>
      <c r="E20" s="993"/>
      <c r="F20" s="431"/>
      <c r="G20" s="993"/>
      <c r="H20" s="431"/>
      <c r="I20" s="993"/>
      <c r="J20" s="431"/>
      <c r="K20" s="993"/>
      <c r="L20" s="431"/>
      <c r="M20" s="993"/>
      <c r="N20" s="431"/>
      <c r="O20" s="993"/>
      <c r="P20" s="431"/>
      <c r="Q20" s="993"/>
      <c r="R20" s="431"/>
      <c r="S20" s="993"/>
      <c r="T20" s="431"/>
      <c r="U20" s="993"/>
      <c r="V20" s="431"/>
      <c r="W20" s="993"/>
      <c r="X20" s="431"/>
      <c r="Y20" s="993"/>
      <c r="Z20" s="431"/>
      <c r="AA20" s="1943"/>
      <c r="AB20" s="431"/>
      <c r="AC20" s="431"/>
      <c r="AD20" s="995"/>
      <c r="AE20" s="431"/>
      <c r="AF20" s="2124"/>
      <c r="AG20" s="2124"/>
      <c r="AH20" s="1721"/>
      <c r="AI20" s="431"/>
      <c r="AJ20" s="1721"/>
    </row>
    <row r="21" spans="1:36" ht="15">
      <c r="A21" s="1276" t="s">
        <v>1381</v>
      </c>
      <c r="B21" s="431"/>
      <c r="C21" s="996">
        <f>+'Exh F'!D19</f>
        <v>2961.1</v>
      </c>
      <c r="D21" s="996"/>
      <c r="E21" s="996">
        <f>+'Exh F'!F19</f>
        <v>2449.1999999999998</v>
      </c>
      <c r="F21" s="996"/>
      <c r="G21" s="996"/>
      <c r="H21" s="996"/>
      <c r="I21" s="996"/>
      <c r="J21" s="996"/>
      <c r="K21" s="996"/>
      <c r="L21" s="996"/>
      <c r="M21" s="996"/>
      <c r="N21" s="996"/>
      <c r="O21" s="996"/>
      <c r="P21" s="431"/>
      <c r="Q21" s="996"/>
      <c r="R21" s="431"/>
      <c r="S21" s="996"/>
      <c r="T21" s="431"/>
      <c r="U21" s="996"/>
      <c r="V21" s="431"/>
      <c r="W21" s="996"/>
      <c r="X21" s="431"/>
      <c r="Y21" s="996"/>
      <c r="Z21" s="431"/>
      <c r="AA21" s="1943"/>
      <c r="AB21" s="996">
        <f t="shared" ref="AB21:AB29" si="0">ROUND(SUM(C21:Y21),1)</f>
        <v>5410.3</v>
      </c>
      <c r="AC21" s="431"/>
      <c r="AD21" s="995"/>
      <c r="AE21" s="431">
        <f>+'Exh F'!AF19</f>
        <v>5181.8</v>
      </c>
      <c r="AF21" s="2124"/>
      <c r="AG21" s="2124"/>
      <c r="AH21" s="1177">
        <f>ROUND(SUM(+AB21-AE21),1)</f>
        <v>228.5</v>
      </c>
      <c r="AI21" s="2104"/>
      <c r="AJ21" s="1945">
        <f>ROUND(SUM(+AH21/AE21),3)</f>
        <v>4.3999999999999997E-2</v>
      </c>
    </row>
    <row r="22" spans="1:36" ht="15">
      <c r="A22" s="1276" t="s">
        <v>1382</v>
      </c>
      <c r="B22" s="431"/>
      <c r="C22" s="996">
        <f>+'Exh F'!D20</f>
        <v>5313.5</v>
      </c>
      <c r="D22" s="996"/>
      <c r="E22" s="996">
        <f>+'Exh F'!F20</f>
        <v>124.7</v>
      </c>
      <c r="F22" s="996"/>
      <c r="G22" s="996"/>
      <c r="H22" s="996"/>
      <c r="I22" s="996"/>
      <c r="J22" s="996"/>
      <c r="K22" s="996"/>
      <c r="L22" s="996"/>
      <c r="M22" s="996"/>
      <c r="N22" s="996"/>
      <c r="O22" s="996"/>
      <c r="P22" s="431"/>
      <c r="Q22" s="996"/>
      <c r="R22" s="431"/>
      <c r="S22" s="996"/>
      <c r="T22" s="431"/>
      <c r="U22" s="996"/>
      <c r="V22" s="431"/>
      <c r="W22" s="996"/>
      <c r="X22" s="431"/>
      <c r="Y22" s="996"/>
      <c r="Z22" s="431"/>
      <c r="AA22" s="1943"/>
      <c r="AB22" s="996">
        <f t="shared" si="0"/>
        <v>5438.2</v>
      </c>
      <c r="AC22" s="431"/>
      <c r="AD22" s="995"/>
      <c r="AE22" s="431">
        <f>+'Exh F'!AF20</f>
        <v>4152.5</v>
      </c>
      <c r="AF22" s="2124"/>
      <c r="AG22" s="2124"/>
      <c r="AH22" s="1177">
        <f t="shared" ref="AH22:AH28" si="1">ROUND(SUM(+AB22-AE22),1)</f>
        <v>1285.7</v>
      </c>
      <c r="AI22" s="2104"/>
      <c r="AJ22" s="1945">
        <f t="shared" ref="AJ22:AJ30" si="2">ROUND(SUM(+AH22/AE22),3)</f>
        <v>0.31</v>
      </c>
    </row>
    <row r="23" spans="1:36" ht="15">
      <c r="A23" s="1276" t="s">
        <v>1383</v>
      </c>
      <c r="B23" s="431"/>
      <c r="C23" s="996">
        <f>+'Exh F'!D21</f>
        <v>1687.1</v>
      </c>
      <c r="D23" s="996"/>
      <c r="E23" s="996">
        <f>+'Exh F'!F21</f>
        <v>78.2</v>
      </c>
      <c r="F23" s="996"/>
      <c r="G23" s="996"/>
      <c r="H23" s="996"/>
      <c r="I23" s="996"/>
      <c r="J23" s="996"/>
      <c r="K23" s="996"/>
      <c r="L23" s="996"/>
      <c r="M23" s="996"/>
      <c r="N23" s="996"/>
      <c r="O23" s="996"/>
      <c r="P23" s="431"/>
      <c r="Q23" s="996"/>
      <c r="R23" s="431"/>
      <c r="S23" s="996"/>
      <c r="T23" s="431"/>
      <c r="U23" s="996"/>
      <c r="V23" s="431"/>
      <c r="W23" s="996"/>
      <c r="X23" s="431"/>
      <c r="Y23" s="996"/>
      <c r="Z23" s="431"/>
      <c r="AA23" s="1943"/>
      <c r="AB23" s="996">
        <f t="shared" si="0"/>
        <v>1765.3</v>
      </c>
      <c r="AC23" s="431"/>
      <c r="AD23" s="995"/>
      <c r="AE23" s="431">
        <f>+'Exh F'!AF21</f>
        <v>1490.9</v>
      </c>
      <c r="AF23" s="2124"/>
      <c r="AG23" s="2124"/>
      <c r="AH23" s="1177">
        <f t="shared" si="1"/>
        <v>274.39999999999998</v>
      </c>
      <c r="AI23" s="2104"/>
      <c r="AJ23" s="1945">
        <f t="shared" si="2"/>
        <v>0.184</v>
      </c>
    </row>
    <row r="24" spans="1:36" ht="15">
      <c r="A24" s="2127" t="s">
        <v>1384</v>
      </c>
      <c r="B24" s="431"/>
      <c r="C24" s="996">
        <f>+'Exh F'!D22</f>
        <v>-144.80000000000001</v>
      </c>
      <c r="D24" s="996"/>
      <c r="E24" s="996">
        <f>+'Exh F'!F22</f>
        <v>-26.1</v>
      </c>
      <c r="F24" s="996"/>
      <c r="G24" s="996"/>
      <c r="H24" s="996"/>
      <c r="I24" s="996"/>
      <c r="J24" s="996"/>
      <c r="K24" s="996"/>
      <c r="L24" s="996"/>
      <c r="M24" s="996"/>
      <c r="N24" s="996"/>
      <c r="O24" s="996"/>
      <c r="P24" s="431"/>
      <c r="Q24" s="996"/>
      <c r="R24" s="431"/>
      <c r="S24" s="996"/>
      <c r="T24" s="431"/>
      <c r="U24" s="996"/>
      <c r="V24" s="431"/>
      <c r="W24" s="996"/>
      <c r="X24" s="431"/>
      <c r="Y24" s="996"/>
      <c r="Z24" s="431"/>
      <c r="AA24" s="1943"/>
      <c r="AB24" s="996">
        <f t="shared" si="0"/>
        <v>-170.9</v>
      </c>
      <c r="AC24" s="431"/>
      <c r="AD24" s="995"/>
      <c r="AE24" s="431">
        <f>+'Exh F'!AF22</f>
        <v>-151</v>
      </c>
      <c r="AF24" s="2124"/>
      <c r="AG24" s="2124"/>
      <c r="AH24" s="1177">
        <f>-ROUND(SUM(+AB24-AE24),1)</f>
        <v>19.899999999999999</v>
      </c>
      <c r="AI24" s="2104"/>
      <c r="AJ24" s="1945">
        <f>-ROUND(SUM(+AH24/AE24),3)</f>
        <v>0.13200000000000001</v>
      </c>
    </row>
    <row r="25" spans="1:36" ht="15">
      <c r="A25" s="2127" t="s">
        <v>1385</v>
      </c>
      <c r="B25" s="431"/>
      <c r="C25" s="996">
        <f>+'Exh F'!D23</f>
        <v>143.69999999999999</v>
      </c>
      <c r="D25" s="996"/>
      <c r="E25" s="996">
        <f>+'Exh F'!F23</f>
        <v>95.5</v>
      </c>
      <c r="F25" s="996"/>
      <c r="G25" s="996"/>
      <c r="H25" s="996"/>
      <c r="I25" s="996"/>
      <c r="J25" s="996"/>
      <c r="K25" s="996"/>
      <c r="L25" s="996"/>
      <c r="M25" s="996"/>
      <c r="N25" s="996"/>
      <c r="O25" s="996"/>
      <c r="P25" s="431"/>
      <c r="Q25" s="996"/>
      <c r="R25" s="431"/>
      <c r="S25" s="996"/>
      <c r="T25" s="431"/>
      <c r="U25" s="996"/>
      <c r="V25" s="431"/>
      <c r="W25" s="996"/>
      <c r="X25" s="431"/>
      <c r="Y25" s="996"/>
      <c r="Z25" s="431"/>
      <c r="AA25" s="1943"/>
      <c r="AB25" s="996">
        <f t="shared" si="0"/>
        <v>239.2</v>
      </c>
      <c r="AC25" s="431"/>
      <c r="AD25" s="995"/>
      <c r="AE25" s="431">
        <f>+'Exh F'!AF23</f>
        <v>239.1</v>
      </c>
      <c r="AF25" s="2124"/>
      <c r="AG25" s="2124"/>
      <c r="AH25" s="1177">
        <f t="shared" si="1"/>
        <v>0.1</v>
      </c>
      <c r="AI25" s="2104"/>
      <c r="AJ25" s="1945">
        <f t="shared" si="2"/>
        <v>0</v>
      </c>
    </row>
    <row r="26" spans="1:36" ht="15.75">
      <c r="A26" s="1277" t="s">
        <v>1386</v>
      </c>
      <c r="B26" s="431"/>
      <c r="C26" s="485">
        <f>ROUND(SUM(C21:C25),1)</f>
        <v>9960.6</v>
      </c>
      <c r="D26" s="431"/>
      <c r="E26" s="485">
        <f>ROUND(SUM(E21:E25),1)</f>
        <v>2721.5</v>
      </c>
      <c r="F26" s="431"/>
      <c r="G26" s="485">
        <f>ROUND(SUM(G21:G25),1)</f>
        <v>0</v>
      </c>
      <c r="H26" s="431"/>
      <c r="I26" s="485">
        <f>ROUND(SUM(I21:I25),1)</f>
        <v>0</v>
      </c>
      <c r="J26" s="431"/>
      <c r="K26" s="485">
        <f>ROUND(SUM(K21:K25),1)</f>
        <v>0</v>
      </c>
      <c r="L26" s="431"/>
      <c r="M26" s="485">
        <f>ROUND(SUM(M21:M25),1)</f>
        <v>0</v>
      </c>
      <c r="N26" s="431"/>
      <c r="O26" s="485">
        <f>ROUND(SUM(O21:O25),1)</f>
        <v>0</v>
      </c>
      <c r="P26" s="431"/>
      <c r="Q26" s="485">
        <f>ROUND(SUM(Q21:Q25),1)</f>
        <v>0</v>
      </c>
      <c r="R26" s="431"/>
      <c r="S26" s="485">
        <f>ROUND(SUM(S21:S25),1)</f>
        <v>0</v>
      </c>
      <c r="T26" s="431"/>
      <c r="U26" s="485">
        <f>ROUND(SUM(U21:U25),1)</f>
        <v>0</v>
      </c>
      <c r="V26" s="431"/>
      <c r="W26" s="485">
        <f>ROUND(SUM(W21:W25),1)</f>
        <v>0</v>
      </c>
      <c r="X26" s="431"/>
      <c r="Y26" s="485">
        <f>ROUND(SUM(Y21:Y25),1)</f>
        <v>0</v>
      </c>
      <c r="Z26" s="431"/>
      <c r="AA26" s="1943"/>
      <c r="AB26" s="485">
        <f>ROUND(SUM(AB21:AB25),1)</f>
        <v>12682.1</v>
      </c>
      <c r="AC26" s="431"/>
      <c r="AD26" s="995"/>
      <c r="AE26" s="485">
        <f>ROUND(SUM(AE21:AE25),1)</f>
        <v>10913.3</v>
      </c>
      <c r="AF26" s="2124"/>
      <c r="AG26" s="2124"/>
      <c r="AH26" s="256">
        <f t="shared" si="1"/>
        <v>1768.8</v>
      </c>
      <c r="AI26" s="2104"/>
      <c r="AJ26" s="529">
        <f t="shared" si="2"/>
        <v>0.16200000000000001</v>
      </c>
    </row>
    <row r="27" spans="1:36" ht="15">
      <c r="A27" s="2127" t="s">
        <v>1388</v>
      </c>
      <c r="B27" s="431"/>
      <c r="C27" s="996">
        <f>+'Exh F'!D25+'Exhibit G state'!D16</f>
        <v>0</v>
      </c>
      <c r="D27" s="431"/>
      <c r="E27" s="996">
        <f>+'Exh F'!F25+'Exhibit G state'!F16</f>
        <v>0</v>
      </c>
      <c r="F27" s="431"/>
      <c r="G27" s="996"/>
      <c r="H27" s="431"/>
      <c r="I27" s="996"/>
      <c r="J27" s="431"/>
      <c r="K27" s="996"/>
      <c r="L27" s="431"/>
      <c r="M27" s="996"/>
      <c r="N27" s="431"/>
      <c r="O27" s="996"/>
      <c r="P27" s="431"/>
      <c r="Q27" s="996"/>
      <c r="R27" s="431"/>
      <c r="S27" s="996"/>
      <c r="T27" s="431"/>
      <c r="U27" s="996"/>
      <c r="V27" s="431"/>
      <c r="W27" s="996"/>
      <c r="X27" s="431"/>
      <c r="Y27" s="996"/>
      <c r="Z27" s="431"/>
      <c r="AA27" s="1943"/>
      <c r="AB27" s="996">
        <f t="shared" si="0"/>
        <v>0</v>
      </c>
      <c r="AC27" s="431"/>
      <c r="AD27" s="995"/>
      <c r="AE27" s="996">
        <f>+'Exh F'!AF25+'Exhibit G state'!AH16</f>
        <v>0</v>
      </c>
      <c r="AF27" s="2124"/>
      <c r="AG27" s="2124"/>
      <c r="AH27" s="1177">
        <f t="shared" si="1"/>
        <v>0</v>
      </c>
      <c r="AI27" s="2104"/>
      <c r="AJ27" s="1871">
        <f>ROUND(IF(AE27=0,0,AH27/(AE27)),3)</f>
        <v>0</v>
      </c>
    </row>
    <row r="28" spans="1:36" ht="15">
      <c r="A28" s="2127" t="s">
        <v>1389</v>
      </c>
      <c r="B28" s="431"/>
      <c r="C28" s="996">
        <f>+'Exh F'!D26+'Exhibit H'!B16</f>
        <v>0</v>
      </c>
      <c r="D28" s="431"/>
      <c r="E28" s="996">
        <f>+'Exh F'!F26+'Exhibit H'!D16</f>
        <v>0</v>
      </c>
      <c r="F28" s="431"/>
      <c r="G28" s="996"/>
      <c r="H28" s="431"/>
      <c r="I28" s="996"/>
      <c r="J28" s="431"/>
      <c r="K28" s="996"/>
      <c r="L28" s="431"/>
      <c r="M28" s="996"/>
      <c r="N28" s="431"/>
      <c r="O28" s="996"/>
      <c r="P28" s="431"/>
      <c r="Q28" s="996"/>
      <c r="R28" s="431"/>
      <c r="S28" s="996"/>
      <c r="T28" s="431"/>
      <c r="U28" s="996"/>
      <c r="V28" s="431"/>
      <c r="W28" s="996"/>
      <c r="X28" s="431"/>
      <c r="Y28" s="996"/>
      <c r="Z28" s="431"/>
      <c r="AA28" s="1943"/>
      <c r="AB28" s="996">
        <f t="shared" si="0"/>
        <v>0</v>
      </c>
      <c r="AC28" s="431"/>
      <c r="AD28" s="995"/>
      <c r="AE28" s="996">
        <f>+'Exh F'!AF26+'Exhibit H'!AD16</f>
        <v>0</v>
      </c>
      <c r="AF28" s="2124"/>
      <c r="AG28" s="2124"/>
      <c r="AH28" s="1177">
        <f t="shared" si="1"/>
        <v>0</v>
      </c>
      <c r="AI28" s="2104"/>
      <c r="AJ28" s="1871">
        <f>ROUND(IF(AE28=0,0,AH28/(AE28)),3)</f>
        <v>0</v>
      </c>
    </row>
    <row r="29" spans="1:36" ht="15">
      <c r="A29" s="1276" t="s">
        <v>1390</v>
      </c>
      <c r="B29" s="996"/>
      <c r="C29" s="996">
        <f>+'Exh F'!D27</f>
        <v>-3242.2</v>
      </c>
      <c r="D29" s="996"/>
      <c r="E29" s="996">
        <f>+'Exh F'!F27</f>
        <v>-400.7</v>
      </c>
      <c r="F29" s="996"/>
      <c r="G29" s="996"/>
      <c r="H29" s="996"/>
      <c r="I29" s="996"/>
      <c r="J29" s="996"/>
      <c r="K29" s="996"/>
      <c r="L29" s="431"/>
      <c r="M29" s="996"/>
      <c r="N29" s="431"/>
      <c r="O29" s="996"/>
      <c r="P29" s="431"/>
      <c r="Q29" s="996"/>
      <c r="R29" s="431"/>
      <c r="S29" s="996"/>
      <c r="T29" s="431"/>
      <c r="U29" s="996"/>
      <c r="V29" s="431"/>
      <c r="W29" s="996"/>
      <c r="X29" s="431"/>
      <c r="Y29" s="996"/>
      <c r="Z29" s="431"/>
      <c r="AA29" s="1943"/>
      <c r="AB29" s="996">
        <f t="shared" si="0"/>
        <v>-3642.9</v>
      </c>
      <c r="AC29" s="431"/>
      <c r="AD29" s="995"/>
      <c r="AE29" s="431">
        <f>+'Exh F'!AF27</f>
        <v>-3458.1</v>
      </c>
      <c r="AF29" s="2124"/>
      <c r="AG29" s="2124"/>
      <c r="AH29" s="1177">
        <f>-ROUND(SUM(+AB29-AE29),1)</f>
        <v>184.8</v>
      </c>
      <c r="AI29" s="2104"/>
      <c r="AJ29" s="1945">
        <f>-ROUND(SUM(+AH29/AE29),3)</f>
        <v>5.2999999999999999E-2</v>
      </c>
    </row>
    <row r="30" spans="1:36" ht="15.75">
      <c r="A30" s="590" t="s">
        <v>1387</v>
      </c>
      <c r="B30" s="431"/>
      <c r="C30" s="485">
        <f>ROUND(SUM(C26+C27+C28+C29),1)</f>
        <v>6718.4</v>
      </c>
      <c r="D30" s="431"/>
      <c r="E30" s="485">
        <f>ROUND(SUM(E26+E27+E28+E29),1)</f>
        <v>2320.8000000000002</v>
      </c>
      <c r="F30" s="431"/>
      <c r="G30" s="485">
        <f>ROUND(SUM(G26+G27+G28+G29),1)</f>
        <v>0</v>
      </c>
      <c r="H30" s="431"/>
      <c r="I30" s="485">
        <f>ROUND(SUM(I26+I27+I28+I29),1)</f>
        <v>0</v>
      </c>
      <c r="J30" s="431"/>
      <c r="K30" s="485">
        <f>ROUND(SUM(K26+K27+K28+K29),1)</f>
        <v>0</v>
      </c>
      <c r="L30" s="431"/>
      <c r="M30" s="485">
        <f>ROUND(SUM(M26+M27+M28+M29),1)</f>
        <v>0</v>
      </c>
      <c r="N30" s="431"/>
      <c r="O30" s="485">
        <f>ROUND(SUM(O26+O27+O28+O29),1)</f>
        <v>0</v>
      </c>
      <c r="P30" s="431"/>
      <c r="Q30" s="485">
        <f>ROUND(SUM(Q26+Q27+Q28+Q29),1)</f>
        <v>0</v>
      </c>
      <c r="R30" s="431"/>
      <c r="S30" s="485">
        <f>ROUND(SUM(S26+S27+S28+S29),1)</f>
        <v>0</v>
      </c>
      <c r="T30" s="431"/>
      <c r="U30" s="485">
        <f>ROUND(SUM(U26+U27+U28+U29),1)</f>
        <v>0</v>
      </c>
      <c r="V30" s="431"/>
      <c r="W30" s="485">
        <f>ROUND(SUM(W26+W27+W28+W29),1)</f>
        <v>0</v>
      </c>
      <c r="X30" s="431"/>
      <c r="Y30" s="485">
        <f>ROUND(SUM(Y26+Y27+Y28+Y29),1)</f>
        <v>0</v>
      </c>
      <c r="Z30" s="431"/>
      <c r="AA30" s="1943"/>
      <c r="AB30" s="485">
        <f>ROUND(SUM(AB26+AB27+AB28+AB29),1)</f>
        <v>9039.2000000000007</v>
      </c>
      <c r="AC30" s="431"/>
      <c r="AD30" s="995"/>
      <c r="AE30" s="485">
        <f>ROUND(SUM(AE26+AE27+AE28+AE29),1)</f>
        <v>7455.2</v>
      </c>
      <c r="AF30" s="2124"/>
      <c r="AG30" s="2124"/>
      <c r="AH30" s="485">
        <f>ROUND(SUM(AH26+AH27+AH28-AH29),1)</f>
        <v>1584</v>
      </c>
      <c r="AI30" s="2103"/>
      <c r="AJ30" s="529">
        <f t="shared" si="2"/>
        <v>0.21199999999999999</v>
      </c>
    </row>
    <row r="31" spans="1:36" ht="15">
      <c r="A31" s="2089" t="s">
        <v>1444</v>
      </c>
      <c r="B31" s="431"/>
      <c r="C31" s="431"/>
      <c r="D31" s="431"/>
      <c r="E31" s="431"/>
      <c r="F31" s="431"/>
      <c r="G31" s="431"/>
      <c r="H31" s="431"/>
      <c r="I31" s="431"/>
      <c r="J31" s="431"/>
      <c r="K31" s="431"/>
      <c r="L31" s="431"/>
      <c r="M31" s="431"/>
      <c r="N31" s="431"/>
      <c r="O31" s="993"/>
      <c r="P31" s="431"/>
      <c r="Q31" s="993"/>
      <c r="R31" s="431"/>
      <c r="S31" s="993"/>
      <c r="T31" s="431"/>
      <c r="U31" s="993"/>
      <c r="V31" s="431"/>
      <c r="W31" s="993"/>
      <c r="X31" s="431"/>
      <c r="Y31" s="993"/>
      <c r="Z31" s="431"/>
      <c r="AA31" s="1943"/>
      <c r="AB31" s="431"/>
      <c r="AC31" s="431"/>
      <c r="AD31" s="995"/>
      <c r="AE31" s="431"/>
      <c r="AF31" s="2124"/>
      <c r="AG31" s="2124"/>
      <c r="AH31" s="1721"/>
      <c r="AI31" s="431"/>
      <c r="AJ31" s="1721"/>
    </row>
    <row r="32" spans="1:36" ht="15">
      <c r="A32" s="1276" t="s">
        <v>1393</v>
      </c>
      <c r="B32" s="431"/>
      <c r="C32" s="996">
        <f>+'Exh F'!D30+'Exhibit H'!B19+'Exhibit G state'!D20</f>
        <v>1046.0999999999999</v>
      </c>
      <c r="D32" s="996"/>
      <c r="E32" s="996">
        <f>+'Exh F'!F30+'Exhibit H'!D19+'Exhibit G state'!F20</f>
        <v>996.40000000000009</v>
      </c>
      <c r="F32" s="996"/>
      <c r="G32" s="996"/>
      <c r="H32" s="996"/>
      <c r="I32" s="996"/>
      <c r="J32" s="996"/>
      <c r="K32" s="996"/>
      <c r="L32" s="431"/>
      <c r="M32" s="996"/>
      <c r="N32" s="431"/>
      <c r="O32" s="996"/>
      <c r="P32" s="431"/>
      <c r="Q32" s="996"/>
      <c r="R32" s="431"/>
      <c r="S32" s="996"/>
      <c r="T32" s="431"/>
      <c r="U32" s="996"/>
      <c r="V32" s="431"/>
      <c r="W32" s="996"/>
      <c r="X32" s="431"/>
      <c r="Y32" s="996"/>
      <c r="Z32" s="431"/>
      <c r="AA32" s="1943"/>
      <c r="AB32" s="996">
        <f t="shared" ref="AB32:AB38" si="3">ROUND(SUM(C32:Y32),1)</f>
        <v>2042.5</v>
      </c>
      <c r="AC32" s="431"/>
      <c r="AD32" s="995"/>
      <c r="AE32" s="431">
        <f>+'Exh F'!AF30+'Exhibit H'!AD19+'Exhibit G state'!AH20</f>
        <v>1963.6</v>
      </c>
      <c r="AF32" s="2124"/>
      <c r="AG32" s="2124"/>
      <c r="AH32" s="1177">
        <f t="shared" ref="AH32:AH38" si="4">ROUND(SUM(+AB32-AE32),1)</f>
        <v>78.900000000000006</v>
      </c>
      <c r="AI32" s="2104"/>
      <c r="AJ32" s="1945">
        <f t="shared" ref="AJ32:AJ39" si="5">ROUND(SUM(+AH32/AE32),3)</f>
        <v>0.04</v>
      </c>
    </row>
    <row r="33" spans="1:36" ht="15">
      <c r="A33" s="1276" t="s">
        <v>1394</v>
      </c>
      <c r="B33" s="431"/>
      <c r="C33" s="996">
        <f>+'Exh F'!D31+'Exhibit G state'!D21</f>
        <v>1.5</v>
      </c>
      <c r="D33" s="996"/>
      <c r="E33" s="996">
        <f>+'Exh F'!F31+'Exhibit G state'!F21</f>
        <v>0.2</v>
      </c>
      <c r="F33" s="996"/>
      <c r="G33" s="996"/>
      <c r="H33" s="996"/>
      <c r="I33" s="996"/>
      <c r="J33" s="996"/>
      <c r="K33" s="996"/>
      <c r="L33" s="431"/>
      <c r="M33" s="996"/>
      <c r="N33" s="431"/>
      <c r="O33" s="996"/>
      <c r="P33" s="431"/>
      <c r="Q33" s="996"/>
      <c r="R33" s="431"/>
      <c r="S33" s="996"/>
      <c r="T33" s="431"/>
      <c r="U33" s="996"/>
      <c r="V33" s="431"/>
      <c r="W33" s="996"/>
      <c r="X33" s="431"/>
      <c r="Y33" s="996"/>
      <c r="Z33" s="431"/>
      <c r="AA33" s="1943"/>
      <c r="AB33" s="996">
        <f t="shared" si="3"/>
        <v>1.7</v>
      </c>
      <c r="AC33" s="431"/>
      <c r="AD33" s="995"/>
      <c r="AE33" s="431">
        <f>+'Exh F'!AF31+'Exhibit G state'!AH21</f>
        <v>1.7</v>
      </c>
      <c r="AF33" s="2124"/>
      <c r="AG33" s="2124"/>
      <c r="AH33" s="1177">
        <f t="shared" si="4"/>
        <v>0</v>
      </c>
      <c r="AI33" s="2104"/>
      <c r="AJ33" s="1945">
        <f t="shared" si="5"/>
        <v>0</v>
      </c>
    </row>
    <row r="34" spans="1:36" ht="15">
      <c r="A34" s="1276" t="s">
        <v>1395</v>
      </c>
      <c r="B34" s="431"/>
      <c r="C34" s="996">
        <f>+'Exh F'!D32+'Exhibit G state'!D22</f>
        <v>95.100000000000009</v>
      </c>
      <c r="D34" s="996"/>
      <c r="E34" s="996">
        <f>+'Exh F'!F32+'Exhibit G state'!F22</f>
        <v>98.800000000000011</v>
      </c>
      <c r="F34" s="996"/>
      <c r="G34" s="996"/>
      <c r="H34" s="996"/>
      <c r="I34" s="996"/>
      <c r="J34" s="996"/>
      <c r="K34" s="996"/>
      <c r="L34" s="431"/>
      <c r="M34" s="996"/>
      <c r="N34" s="431"/>
      <c r="O34" s="996"/>
      <c r="P34" s="431"/>
      <c r="Q34" s="996"/>
      <c r="R34" s="431"/>
      <c r="S34" s="996"/>
      <c r="T34" s="431"/>
      <c r="U34" s="996"/>
      <c r="V34" s="431"/>
      <c r="W34" s="996"/>
      <c r="X34" s="431"/>
      <c r="Y34" s="996"/>
      <c r="Z34" s="431"/>
      <c r="AA34" s="1943"/>
      <c r="AB34" s="996">
        <f t="shared" si="3"/>
        <v>193.9</v>
      </c>
      <c r="AC34" s="431"/>
      <c r="AD34" s="995"/>
      <c r="AE34" s="431">
        <f>+'Exh F'!AF32+'Exhibit G state'!AH22</f>
        <v>230.70000000000002</v>
      </c>
      <c r="AF34" s="2124"/>
      <c r="AG34" s="2124"/>
      <c r="AH34" s="1177">
        <f t="shared" si="4"/>
        <v>-36.799999999999997</v>
      </c>
      <c r="AI34" s="2104"/>
      <c r="AJ34" s="1945">
        <f t="shared" si="5"/>
        <v>-0.16</v>
      </c>
    </row>
    <row r="35" spans="1:36" ht="15">
      <c r="A35" s="1276" t="s">
        <v>1396</v>
      </c>
      <c r="B35" s="431"/>
      <c r="C35" s="996">
        <f>+'Exh F'!D33+'Exhibit G state'!D23</f>
        <v>8.6999999999999993</v>
      </c>
      <c r="D35" s="996"/>
      <c r="E35" s="996">
        <f>+'Exh F'!F33+'Exhibit G state'!F23</f>
        <v>8.6</v>
      </c>
      <c r="F35" s="996"/>
      <c r="G35" s="996"/>
      <c r="H35" s="996"/>
      <c r="I35" s="996"/>
      <c r="J35" s="996"/>
      <c r="K35" s="996"/>
      <c r="L35" s="431"/>
      <c r="M35" s="996"/>
      <c r="N35" s="431"/>
      <c r="O35" s="996"/>
      <c r="P35" s="431"/>
      <c r="Q35" s="996"/>
      <c r="R35" s="431"/>
      <c r="S35" s="996"/>
      <c r="T35" s="431"/>
      <c r="U35" s="996"/>
      <c r="V35" s="431"/>
      <c r="W35" s="996"/>
      <c r="X35" s="431"/>
      <c r="Y35" s="996"/>
      <c r="Z35" s="431"/>
      <c r="AA35" s="1943"/>
      <c r="AB35" s="996">
        <f t="shared" si="3"/>
        <v>17.3</v>
      </c>
      <c r="AC35" s="431"/>
      <c r="AD35" s="995"/>
      <c r="AE35" s="431">
        <f>+'Exh F'!AF33+'Exhibit G state'!AH23</f>
        <v>18.5</v>
      </c>
      <c r="AF35" s="2124"/>
      <c r="AG35" s="2124"/>
      <c r="AH35" s="1177">
        <f t="shared" si="4"/>
        <v>-1.2</v>
      </c>
      <c r="AI35" s="2104"/>
      <c r="AJ35" s="1945">
        <f t="shared" si="5"/>
        <v>-6.5000000000000002E-2</v>
      </c>
    </row>
    <row r="36" spans="1:36" ht="15">
      <c r="A36" s="1276" t="s">
        <v>1397</v>
      </c>
      <c r="B36" s="431"/>
      <c r="C36" s="996">
        <f>+'Exh F'!D34+'Exhibit G state'!D24</f>
        <v>19.899999999999999</v>
      </c>
      <c r="D36" s="996"/>
      <c r="E36" s="996">
        <f>+'Exh F'!F34+'Exhibit G state'!F24</f>
        <v>20.3</v>
      </c>
      <c r="F36" s="996"/>
      <c r="G36" s="996"/>
      <c r="H36" s="996"/>
      <c r="I36" s="996"/>
      <c r="J36" s="996"/>
      <c r="K36" s="996"/>
      <c r="L36" s="431"/>
      <c r="M36" s="996"/>
      <c r="N36" s="431"/>
      <c r="O36" s="996"/>
      <c r="P36" s="431"/>
      <c r="Q36" s="996"/>
      <c r="R36" s="431"/>
      <c r="S36" s="996"/>
      <c r="T36" s="431"/>
      <c r="U36" s="996"/>
      <c r="V36" s="431"/>
      <c r="W36" s="996"/>
      <c r="X36" s="431"/>
      <c r="Y36" s="996"/>
      <c r="Z36" s="431"/>
      <c r="AA36" s="1943"/>
      <c r="AB36" s="996">
        <f t="shared" si="3"/>
        <v>40.200000000000003</v>
      </c>
      <c r="AC36" s="431"/>
      <c r="AD36" s="995"/>
      <c r="AE36" s="431">
        <f>+'Exh F'!AF34+'Exhibit G state'!AH24</f>
        <v>38.4</v>
      </c>
      <c r="AF36" s="2124"/>
      <c r="AG36" s="2124"/>
      <c r="AH36" s="1177">
        <f t="shared" si="4"/>
        <v>1.8</v>
      </c>
      <c r="AI36" s="2104"/>
      <c r="AJ36" s="1945">
        <f t="shared" si="5"/>
        <v>4.7E-2</v>
      </c>
    </row>
    <row r="37" spans="1:36" ht="15">
      <c r="A37" s="1276" t="s">
        <v>1398</v>
      </c>
      <c r="B37" s="431"/>
      <c r="C37" s="996">
        <f>+'Exh F'!D35+'Exhibit G state'!D25</f>
        <v>0</v>
      </c>
      <c r="D37" s="996"/>
      <c r="E37" s="996">
        <f>+'Exh F'!F35+'Exhibit G state'!F25</f>
        <v>0</v>
      </c>
      <c r="F37" s="996"/>
      <c r="G37" s="996"/>
      <c r="H37" s="996"/>
      <c r="I37" s="996"/>
      <c r="J37" s="996"/>
      <c r="K37" s="996"/>
      <c r="L37" s="431"/>
      <c r="M37" s="996"/>
      <c r="N37" s="431"/>
      <c r="O37" s="996"/>
      <c r="P37" s="431"/>
      <c r="Q37" s="996"/>
      <c r="R37" s="431"/>
      <c r="S37" s="996"/>
      <c r="T37" s="431"/>
      <c r="U37" s="996"/>
      <c r="V37" s="431"/>
      <c r="W37" s="996"/>
      <c r="X37" s="431"/>
      <c r="Y37" s="996"/>
      <c r="Z37" s="431"/>
      <c r="AA37" s="1943"/>
      <c r="AB37" s="996">
        <f t="shared" si="3"/>
        <v>0</v>
      </c>
      <c r="AC37" s="431"/>
      <c r="AD37" s="995"/>
      <c r="AE37" s="996">
        <f>+'Exh F'!AF35+'Exhibit G state'!AH25</f>
        <v>0</v>
      </c>
      <c r="AF37" s="2124"/>
      <c r="AG37" s="2124"/>
      <c r="AH37" s="1177">
        <f t="shared" si="4"/>
        <v>0</v>
      </c>
      <c r="AI37" s="2104"/>
      <c r="AJ37" s="1871">
        <f>ROUND(IF(AE37=0,0,AH37/(AE37)),3)</f>
        <v>0</v>
      </c>
    </row>
    <row r="38" spans="1:36" ht="15">
      <c r="A38" s="2128" t="s">
        <v>1399</v>
      </c>
      <c r="B38" s="431"/>
      <c r="C38" s="996">
        <f>+'Exh F'!D36+'Exhibit G state'!D26</f>
        <v>19.2</v>
      </c>
      <c r="D38" s="996"/>
      <c r="E38" s="996">
        <f>+'Exh F'!F36+'Exhibit G state'!F26</f>
        <v>0.6</v>
      </c>
      <c r="F38" s="996"/>
      <c r="G38" s="996"/>
      <c r="H38" s="996"/>
      <c r="I38" s="996"/>
      <c r="J38" s="996"/>
      <c r="K38" s="996"/>
      <c r="L38" s="431"/>
      <c r="M38" s="996"/>
      <c r="N38" s="431"/>
      <c r="O38" s="996"/>
      <c r="P38" s="431"/>
      <c r="Q38" s="996"/>
      <c r="R38" s="431"/>
      <c r="S38" s="996"/>
      <c r="T38" s="431"/>
      <c r="U38" s="996"/>
      <c r="V38" s="431"/>
      <c r="W38" s="996"/>
      <c r="X38" s="431"/>
      <c r="Y38" s="996"/>
      <c r="Z38" s="431"/>
      <c r="AA38" s="1943"/>
      <c r="AB38" s="996">
        <f t="shared" si="3"/>
        <v>19.8</v>
      </c>
      <c r="AC38" s="431"/>
      <c r="AD38" s="995"/>
      <c r="AE38" s="431">
        <f>+'Exh F'!AF36+'Exhibit G state'!AH26</f>
        <v>21.2</v>
      </c>
      <c r="AF38" s="2124"/>
      <c r="AG38" s="2124"/>
      <c r="AH38" s="1177">
        <f t="shared" si="4"/>
        <v>-1.4</v>
      </c>
      <c r="AI38" s="2104"/>
      <c r="AJ38" s="1945">
        <f t="shared" si="5"/>
        <v>-6.6000000000000003E-2</v>
      </c>
    </row>
    <row r="39" spans="1:36" ht="15.75">
      <c r="A39" s="590" t="s">
        <v>1392</v>
      </c>
      <c r="B39" s="431"/>
      <c r="C39" s="485">
        <f>ROUND(SUM(C32:C38),1)</f>
        <v>1190.5</v>
      </c>
      <c r="D39" s="431"/>
      <c r="E39" s="485">
        <f>ROUND(SUM(E32:E38),1)</f>
        <v>1124.9000000000001</v>
      </c>
      <c r="F39" s="431"/>
      <c r="G39" s="485">
        <f>ROUND(SUM(G32:G38),1)</f>
        <v>0</v>
      </c>
      <c r="H39" s="431"/>
      <c r="I39" s="485">
        <f>ROUND(SUM(I32:I38),1)</f>
        <v>0</v>
      </c>
      <c r="J39" s="431"/>
      <c r="K39" s="485">
        <f>ROUND(SUM(K32:K38),1)</f>
        <v>0</v>
      </c>
      <c r="L39" s="431"/>
      <c r="M39" s="485">
        <f>ROUND(SUM(M32:M38),1)</f>
        <v>0</v>
      </c>
      <c r="N39" s="431"/>
      <c r="O39" s="485">
        <f>ROUND(SUM(O32:O38),1)</f>
        <v>0</v>
      </c>
      <c r="P39" s="431"/>
      <c r="Q39" s="485">
        <f>ROUND(SUM(Q32:Q38),1)</f>
        <v>0</v>
      </c>
      <c r="R39" s="431"/>
      <c r="S39" s="485">
        <f>ROUND(SUM(S32:S38),1)</f>
        <v>0</v>
      </c>
      <c r="T39" s="431"/>
      <c r="U39" s="485">
        <f>ROUND(SUM(U32:U38),1)</f>
        <v>0</v>
      </c>
      <c r="V39" s="431"/>
      <c r="W39" s="485">
        <f>ROUND(SUM(W32:W38),1)</f>
        <v>0</v>
      </c>
      <c r="X39" s="431"/>
      <c r="Y39" s="485">
        <f>ROUND(SUM(Y32:Y38),1)</f>
        <v>0</v>
      </c>
      <c r="Z39" s="431"/>
      <c r="AA39" s="1943"/>
      <c r="AB39" s="485">
        <f>ROUND(SUM(AB32:AB38),1)</f>
        <v>2315.4</v>
      </c>
      <c r="AC39" s="431"/>
      <c r="AD39" s="995"/>
      <c r="AE39" s="485">
        <f>ROUND(SUM(AE32:AE38),1)</f>
        <v>2274.1</v>
      </c>
      <c r="AF39" s="2124"/>
      <c r="AG39" s="2124"/>
      <c r="AH39" s="485">
        <f>ROUND(SUM(AH32:AH38),1)</f>
        <v>41.3</v>
      </c>
      <c r="AI39" s="2103"/>
      <c r="AJ39" s="529">
        <f t="shared" si="5"/>
        <v>1.7999999999999999E-2</v>
      </c>
    </row>
    <row r="40" spans="1:36" ht="15">
      <c r="A40" s="2089" t="s">
        <v>1445</v>
      </c>
      <c r="B40" s="431"/>
      <c r="C40" s="431"/>
      <c r="D40" s="431"/>
      <c r="E40" s="431"/>
      <c r="F40" s="431"/>
      <c r="G40" s="431"/>
      <c r="H40" s="431"/>
      <c r="I40" s="431"/>
      <c r="J40" s="431"/>
      <c r="K40" s="431"/>
      <c r="L40" s="431"/>
      <c r="M40" s="431"/>
      <c r="N40" s="431"/>
      <c r="O40" s="993"/>
      <c r="P40" s="431"/>
      <c r="Q40" s="993"/>
      <c r="R40" s="431"/>
      <c r="S40" s="993"/>
      <c r="T40" s="431"/>
      <c r="U40" s="993"/>
      <c r="V40" s="431"/>
      <c r="W40" s="993"/>
      <c r="X40" s="431"/>
      <c r="Y40" s="993"/>
      <c r="Z40" s="431"/>
      <c r="AA40" s="1943"/>
      <c r="AB40" s="431"/>
      <c r="AC40" s="431"/>
      <c r="AD40" s="995"/>
      <c r="AE40" s="431"/>
      <c r="AF40" s="2124"/>
      <c r="AG40" s="2124"/>
      <c r="AH40" s="1721"/>
      <c r="AI40" s="431"/>
      <c r="AJ40" s="1721"/>
    </row>
    <row r="41" spans="1:36" ht="15">
      <c r="A41" s="1276" t="s">
        <v>1401</v>
      </c>
      <c r="B41" s="431"/>
      <c r="C41" s="996">
        <f>+'Exh F'!D39+'Exhibit G state'!D29</f>
        <v>181.7</v>
      </c>
      <c r="D41" s="996"/>
      <c r="E41" s="996">
        <f>+'Exh F'!F39+'Exhibit G state'!F29</f>
        <v>-28.700000000000003</v>
      </c>
      <c r="F41" s="996"/>
      <c r="G41" s="996"/>
      <c r="H41" s="996"/>
      <c r="I41" s="996"/>
      <c r="J41" s="996"/>
      <c r="K41" s="996"/>
      <c r="L41" s="996"/>
      <c r="M41" s="996"/>
      <c r="N41" s="431"/>
      <c r="O41" s="996"/>
      <c r="P41" s="431"/>
      <c r="Q41" s="996"/>
      <c r="R41" s="431"/>
      <c r="S41" s="996"/>
      <c r="T41" s="431"/>
      <c r="U41" s="996"/>
      <c r="V41" s="431"/>
      <c r="W41" s="996"/>
      <c r="X41" s="431"/>
      <c r="Y41" s="996"/>
      <c r="Z41" s="431"/>
      <c r="AA41" s="1943"/>
      <c r="AB41" s="996">
        <f>ROUND(SUM(C41:Y41),1)</f>
        <v>153</v>
      </c>
      <c r="AC41" s="431"/>
      <c r="AD41" s="995"/>
      <c r="AE41" s="431">
        <f>+'Exh F'!AF39+'Exhibit G state'!AH29</f>
        <v>191.4</v>
      </c>
      <c r="AF41" s="2124"/>
      <c r="AG41" s="2124"/>
      <c r="AH41" s="1177">
        <f t="shared" ref="AH41:AH53" si="6">ROUND(SUM(+AB41-AE41),1)</f>
        <v>-38.4</v>
      </c>
      <c r="AI41" s="2104"/>
      <c r="AJ41" s="1945">
        <f t="shared" ref="AJ41:AJ53" si="7">ROUND(SUM(+AH41/AE41),3)</f>
        <v>-0.20100000000000001</v>
      </c>
    </row>
    <row r="42" spans="1:36" ht="15">
      <c r="A42" s="1276" t="s">
        <v>1402</v>
      </c>
      <c r="B42" s="431"/>
      <c r="C42" s="996">
        <f>+'Exhibit G state'!D30+'Exh F'!D40</f>
        <v>4.9000000000000004</v>
      </c>
      <c r="D42" s="996"/>
      <c r="E42" s="996">
        <f>+'Exhibit G state'!F30+'Exh F'!F40</f>
        <v>4</v>
      </c>
      <c r="F42" s="996"/>
      <c r="G42" s="996"/>
      <c r="H42" s="996"/>
      <c r="I42" s="996"/>
      <c r="J42" s="996"/>
      <c r="K42" s="996"/>
      <c r="L42" s="996"/>
      <c r="M42" s="996"/>
      <c r="N42" s="431"/>
      <c r="O42" s="996"/>
      <c r="P42" s="431"/>
      <c r="Q42" s="996"/>
      <c r="R42" s="431"/>
      <c r="S42" s="996"/>
      <c r="T42" s="431"/>
      <c r="U42" s="996"/>
      <c r="V42" s="431"/>
      <c r="W42" s="996"/>
      <c r="X42" s="431"/>
      <c r="Y42" s="996"/>
      <c r="Z42" s="431"/>
      <c r="AA42" s="1943"/>
      <c r="AB42" s="996">
        <f>ROUND(SUM(C42:Y42),1)</f>
        <v>8.9</v>
      </c>
      <c r="AC42" s="431"/>
      <c r="AD42" s="995"/>
      <c r="AE42" s="431">
        <f>+'Exhibit G state'!AH30+'Exh F'!AF40</f>
        <v>5.0999999999999996</v>
      </c>
      <c r="AF42" s="2124"/>
      <c r="AG42" s="2124"/>
      <c r="AH42" s="1177">
        <f t="shared" si="6"/>
        <v>3.8</v>
      </c>
      <c r="AI42" s="2104"/>
      <c r="AJ42" s="1945">
        <f t="shared" si="7"/>
        <v>0.745</v>
      </c>
    </row>
    <row r="43" spans="1:36" ht="15">
      <c r="A43" s="1276" t="s">
        <v>1403</v>
      </c>
      <c r="B43" s="431"/>
      <c r="C43" s="996">
        <f>+'Exh F'!D41+'Exhibit G state'!D31</f>
        <v>6.2</v>
      </c>
      <c r="D43" s="996"/>
      <c r="E43" s="996">
        <f>+'Exh F'!F41+'Exhibit G state'!F31</f>
        <v>9.2000000000000011</v>
      </c>
      <c r="F43" s="996"/>
      <c r="G43" s="996"/>
      <c r="H43" s="996"/>
      <c r="I43" s="996"/>
      <c r="J43" s="996"/>
      <c r="K43" s="996"/>
      <c r="L43" s="996"/>
      <c r="M43" s="996"/>
      <c r="N43" s="431"/>
      <c r="O43" s="996"/>
      <c r="P43" s="431"/>
      <c r="Q43" s="996"/>
      <c r="R43" s="431"/>
      <c r="S43" s="996"/>
      <c r="T43" s="431"/>
      <c r="U43" s="996"/>
      <c r="V43" s="431"/>
      <c r="W43" s="996"/>
      <c r="X43" s="431"/>
      <c r="Y43" s="996"/>
      <c r="Z43" s="431"/>
      <c r="AA43" s="1943"/>
      <c r="AB43" s="996">
        <f>ROUND(SUM(C43:Y43),1)</f>
        <v>15.4</v>
      </c>
      <c r="AC43" s="431"/>
      <c r="AD43" s="995"/>
      <c r="AE43" s="431">
        <f>+'Exh F'!AF41+'Exhibit G state'!AH31</f>
        <v>8.1</v>
      </c>
      <c r="AF43" s="2124"/>
      <c r="AG43" s="2124"/>
      <c r="AH43" s="1177">
        <f t="shared" si="6"/>
        <v>7.3</v>
      </c>
      <c r="AI43" s="2104"/>
      <c r="AJ43" s="1945">
        <f t="shared" si="7"/>
        <v>0.90100000000000002</v>
      </c>
    </row>
    <row r="44" spans="1:36" ht="15">
      <c r="A44" s="1276" t="s">
        <v>1404</v>
      </c>
      <c r="B44" s="431"/>
      <c r="C44" s="996">
        <f>+'Exh F'!D42+'Exhibit G state'!D32</f>
        <v>30.4</v>
      </c>
      <c r="D44" s="996"/>
      <c r="E44" s="996">
        <f>+'Exh F'!F42+'Exhibit G state'!F32</f>
        <v>-13.5</v>
      </c>
      <c r="F44" s="996"/>
      <c r="G44" s="996"/>
      <c r="H44" s="996"/>
      <c r="I44" s="996"/>
      <c r="J44" s="996"/>
      <c r="K44" s="996"/>
      <c r="L44" s="996"/>
      <c r="M44" s="996"/>
      <c r="N44" s="431"/>
      <c r="O44" s="996"/>
      <c r="P44" s="431"/>
      <c r="Q44" s="996"/>
      <c r="R44" s="431"/>
      <c r="S44" s="996"/>
      <c r="T44" s="431"/>
      <c r="U44" s="996"/>
      <c r="V44" s="431"/>
      <c r="W44" s="996"/>
      <c r="X44" s="431"/>
      <c r="Y44" s="996"/>
      <c r="Z44" s="431"/>
      <c r="AA44" s="1943"/>
      <c r="AB44" s="996">
        <f>ROUND(SUM(C44:Y44),1)</f>
        <v>16.899999999999999</v>
      </c>
      <c r="AC44" s="431"/>
      <c r="AD44" s="995"/>
      <c r="AE44" s="431">
        <f>+'Exh F'!AF42+'Exhibit G state'!AH32</f>
        <v>392.6</v>
      </c>
      <c r="AF44" s="2124"/>
      <c r="AG44" s="2124"/>
      <c r="AH44" s="1177">
        <f t="shared" si="6"/>
        <v>-375.7</v>
      </c>
      <c r="AI44" s="2104"/>
      <c r="AJ44" s="1945">
        <f t="shared" si="7"/>
        <v>-0.95699999999999996</v>
      </c>
    </row>
    <row r="45" spans="1:36" ht="15">
      <c r="A45" s="1276" t="s">
        <v>1405</v>
      </c>
      <c r="B45" s="431"/>
      <c r="C45" s="996">
        <f>+'Exh F'!D43+'Exhibit G state'!D33</f>
        <v>40.6</v>
      </c>
      <c r="D45" s="996"/>
      <c r="E45" s="996">
        <f>+'Exh F'!F43+'Exhibit G state'!F33</f>
        <v>39.9</v>
      </c>
      <c r="F45" s="996"/>
      <c r="G45" s="996"/>
      <c r="H45" s="996"/>
      <c r="I45" s="996"/>
      <c r="J45" s="996"/>
      <c r="K45" s="996"/>
      <c r="L45" s="996"/>
      <c r="M45" s="996"/>
      <c r="N45" s="431"/>
      <c r="O45" s="996"/>
      <c r="P45" s="431"/>
      <c r="Q45" s="996"/>
      <c r="R45" s="431"/>
      <c r="S45" s="996"/>
      <c r="T45" s="431"/>
      <c r="U45" s="996"/>
      <c r="V45" s="431"/>
      <c r="W45" s="996"/>
      <c r="X45" s="431"/>
      <c r="Y45" s="996"/>
      <c r="Z45" s="431"/>
      <c r="AA45" s="1943"/>
      <c r="AB45" s="996">
        <f>ROUND(SUM(C45:Y45),1)</f>
        <v>80.5</v>
      </c>
      <c r="AC45" s="431"/>
      <c r="AD45" s="995"/>
      <c r="AE45" s="431">
        <f>+'Exh F'!AF43+'Exhibit G state'!AH33</f>
        <v>85</v>
      </c>
      <c r="AF45" s="2124"/>
      <c r="AG45" s="2124"/>
      <c r="AH45" s="1177">
        <f t="shared" si="6"/>
        <v>-4.5</v>
      </c>
      <c r="AI45" s="2104"/>
      <c r="AJ45" s="1945">
        <f t="shared" si="7"/>
        <v>-5.2999999999999999E-2</v>
      </c>
    </row>
    <row r="46" spans="1:36" ht="15.75">
      <c r="A46" s="590" t="s">
        <v>1400</v>
      </c>
      <c r="B46" s="431"/>
      <c r="C46" s="485">
        <f>ROUND(SUM(C41:C45),1)</f>
        <v>263.8</v>
      </c>
      <c r="D46" s="431"/>
      <c r="E46" s="485">
        <f>ROUND(SUM(E41:E45),1)</f>
        <v>10.9</v>
      </c>
      <c r="F46" s="431"/>
      <c r="G46" s="485">
        <f>ROUND(SUM(G41:G45),1)</f>
        <v>0</v>
      </c>
      <c r="H46" s="431"/>
      <c r="I46" s="485">
        <f>ROUND(SUM(I41:I45),1)</f>
        <v>0</v>
      </c>
      <c r="J46" s="431"/>
      <c r="K46" s="485">
        <f>ROUND(SUM(K41:K45),1)</f>
        <v>0</v>
      </c>
      <c r="L46" s="431"/>
      <c r="M46" s="485">
        <f>ROUND(SUM(M41:M45),1)</f>
        <v>0</v>
      </c>
      <c r="N46" s="431"/>
      <c r="O46" s="485">
        <f>ROUND(SUM(O41:O45),1)</f>
        <v>0</v>
      </c>
      <c r="P46" s="431"/>
      <c r="Q46" s="485">
        <f>ROUND(SUM(Q41:Q45),1)</f>
        <v>0</v>
      </c>
      <c r="R46" s="431"/>
      <c r="S46" s="485">
        <f>ROUND(SUM(S41:S45),1)</f>
        <v>0</v>
      </c>
      <c r="T46" s="431"/>
      <c r="U46" s="485">
        <f>ROUND(SUM(U41:U45),1)</f>
        <v>0</v>
      </c>
      <c r="V46" s="431"/>
      <c r="W46" s="485">
        <f>ROUND(SUM(W41:W45),1)</f>
        <v>0</v>
      </c>
      <c r="X46" s="431"/>
      <c r="Y46" s="485">
        <f>ROUND(SUM(Y41:Y45),1)</f>
        <v>0</v>
      </c>
      <c r="Z46" s="431"/>
      <c r="AA46" s="1943"/>
      <c r="AB46" s="485">
        <f>ROUND(SUM(AB41:AB45),1)</f>
        <v>274.7</v>
      </c>
      <c r="AC46" s="431"/>
      <c r="AD46" s="995"/>
      <c r="AE46" s="485">
        <f>ROUND(SUM(AE41:AE45),1)</f>
        <v>682.2</v>
      </c>
      <c r="AF46" s="2124"/>
      <c r="AG46" s="2124"/>
      <c r="AH46" s="485">
        <f>ROUND(SUM(AH41:AH45),1)</f>
        <v>-407.5</v>
      </c>
      <c r="AI46" s="2103"/>
      <c r="AJ46" s="529">
        <f t="shared" si="7"/>
        <v>-0.59699999999999998</v>
      </c>
    </row>
    <row r="47" spans="1:36" ht="15">
      <c r="A47" s="2089" t="s">
        <v>1446</v>
      </c>
      <c r="B47" s="431"/>
      <c r="C47" s="431"/>
      <c r="D47" s="431"/>
      <c r="E47" s="431"/>
      <c r="F47" s="431"/>
      <c r="G47" s="431"/>
      <c r="H47" s="431"/>
      <c r="I47" s="431"/>
      <c r="J47" s="431"/>
      <c r="K47" s="431"/>
      <c r="L47" s="431"/>
      <c r="M47" s="431"/>
      <c r="N47" s="431"/>
      <c r="O47" s="993"/>
      <c r="P47" s="431"/>
      <c r="Q47" s="993"/>
      <c r="R47" s="431"/>
      <c r="S47" s="993"/>
      <c r="T47" s="431"/>
      <c r="U47" s="993"/>
      <c r="V47" s="431"/>
      <c r="W47" s="993"/>
      <c r="X47" s="431"/>
      <c r="Y47" s="993"/>
      <c r="Z47" s="431"/>
      <c r="AA47" s="1943"/>
      <c r="AB47" s="431"/>
      <c r="AC47" s="431"/>
      <c r="AD47" s="995"/>
      <c r="AE47" s="431"/>
      <c r="AF47" s="2124"/>
      <c r="AG47" s="2124"/>
      <c r="AH47" s="1721"/>
      <c r="AI47" s="431"/>
      <c r="AJ47" s="1721"/>
    </row>
    <row r="48" spans="1:36" ht="15">
      <c r="A48" s="1276" t="s">
        <v>1408</v>
      </c>
      <c r="B48" s="431"/>
      <c r="C48" s="996">
        <f>+'Exh F'!D46</f>
        <v>0</v>
      </c>
      <c r="D48" s="996"/>
      <c r="E48" s="996">
        <f>+'Exh F'!F46</f>
        <v>0</v>
      </c>
      <c r="F48" s="996"/>
      <c r="G48" s="996"/>
      <c r="H48" s="996"/>
      <c r="I48" s="996"/>
      <c r="J48" s="996"/>
      <c r="K48" s="996"/>
      <c r="L48" s="431"/>
      <c r="M48" s="996"/>
      <c r="N48" s="431"/>
      <c r="O48" s="996"/>
      <c r="P48" s="431"/>
      <c r="Q48" s="996"/>
      <c r="R48" s="431"/>
      <c r="S48" s="996"/>
      <c r="T48" s="431"/>
      <c r="U48" s="996"/>
      <c r="V48" s="431"/>
      <c r="W48" s="996"/>
      <c r="X48" s="431"/>
      <c r="Y48" s="996"/>
      <c r="Z48" s="431"/>
      <c r="AA48" s="1943"/>
      <c r="AB48" s="996">
        <f t="shared" ref="AB48:AB53" si="8">ROUND(SUM(C48:Y48),1)</f>
        <v>0</v>
      </c>
      <c r="AC48" s="431"/>
      <c r="AD48" s="995"/>
      <c r="AE48" s="996">
        <f>+'Exh F'!AF46</f>
        <v>0</v>
      </c>
      <c r="AF48" s="2124"/>
      <c r="AG48" s="2124"/>
      <c r="AH48" s="1177">
        <f t="shared" si="6"/>
        <v>0</v>
      </c>
      <c r="AI48" s="431"/>
      <c r="AJ48" s="2843">
        <f>ROUND(IF(AE48=0,0,AH48/(AE48)),3)</f>
        <v>0</v>
      </c>
    </row>
    <row r="49" spans="1:36" ht="15">
      <c r="A49" s="1276" t="s">
        <v>1409</v>
      </c>
      <c r="B49" s="431"/>
      <c r="C49" s="996">
        <f>+'Exh F'!D47</f>
        <v>148.9</v>
      </c>
      <c r="D49" s="996"/>
      <c r="E49" s="996">
        <f>+'Exh F'!F47</f>
        <v>149.19999999999999</v>
      </c>
      <c r="F49" s="996"/>
      <c r="G49" s="996"/>
      <c r="H49" s="996"/>
      <c r="I49" s="996"/>
      <c r="J49" s="996"/>
      <c r="K49" s="996"/>
      <c r="L49" s="431"/>
      <c r="M49" s="996"/>
      <c r="N49" s="431"/>
      <c r="O49" s="996"/>
      <c r="P49" s="431"/>
      <c r="Q49" s="996"/>
      <c r="R49" s="431"/>
      <c r="S49" s="996"/>
      <c r="T49" s="431"/>
      <c r="U49" s="996"/>
      <c r="V49" s="431"/>
      <c r="W49" s="996"/>
      <c r="X49" s="431"/>
      <c r="Y49" s="996"/>
      <c r="Z49" s="431"/>
      <c r="AA49" s="1943"/>
      <c r="AB49" s="996">
        <f t="shared" si="8"/>
        <v>298.10000000000002</v>
      </c>
      <c r="AC49" s="431"/>
      <c r="AD49" s="995"/>
      <c r="AE49" s="431">
        <f>+'Exh F'!AF47</f>
        <v>203.1</v>
      </c>
      <c r="AF49" s="2124"/>
      <c r="AG49" s="2124"/>
      <c r="AH49" s="1177">
        <f t="shared" si="6"/>
        <v>95</v>
      </c>
      <c r="AI49" s="431"/>
      <c r="AJ49" s="1945">
        <f t="shared" si="7"/>
        <v>0.46800000000000003</v>
      </c>
    </row>
    <row r="50" spans="1:36" ht="15">
      <c r="A50" s="1276" t="s">
        <v>1410</v>
      </c>
      <c r="B50" s="431"/>
      <c r="C50" s="996">
        <f>+'Exh F'!D48</f>
        <v>0.9</v>
      </c>
      <c r="D50" s="996"/>
      <c r="E50" s="996">
        <f>+'Exh F'!F48</f>
        <v>1.5</v>
      </c>
      <c r="F50" s="996"/>
      <c r="G50" s="996"/>
      <c r="H50" s="996"/>
      <c r="I50" s="996"/>
      <c r="J50" s="996"/>
      <c r="K50" s="996"/>
      <c r="L50" s="431"/>
      <c r="M50" s="996"/>
      <c r="N50" s="431"/>
      <c r="O50" s="996"/>
      <c r="P50" s="431"/>
      <c r="Q50" s="996"/>
      <c r="R50" s="431"/>
      <c r="S50" s="996"/>
      <c r="T50" s="431"/>
      <c r="U50" s="996"/>
      <c r="V50" s="431"/>
      <c r="W50" s="996"/>
      <c r="X50" s="431"/>
      <c r="Y50" s="996"/>
      <c r="Z50" s="431"/>
      <c r="AA50" s="1943"/>
      <c r="AB50" s="996">
        <f t="shared" si="8"/>
        <v>2.4</v>
      </c>
      <c r="AC50" s="431"/>
      <c r="AD50" s="995"/>
      <c r="AE50" s="431">
        <f>+'Exh F'!AF48</f>
        <v>2.5</v>
      </c>
      <c r="AF50" s="2124"/>
      <c r="AG50" s="2124"/>
      <c r="AH50" s="1177">
        <f t="shared" si="6"/>
        <v>-0.1</v>
      </c>
      <c r="AI50" s="431"/>
      <c r="AJ50" s="1945">
        <f t="shared" si="7"/>
        <v>-0.04</v>
      </c>
    </row>
    <row r="51" spans="1:36" ht="15">
      <c r="A51" s="1276" t="s">
        <v>1411</v>
      </c>
      <c r="B51" s="431"/>
      <c r="C51" s="996">
        <f>+'Exh F'!D49+'Exhibit H'!B22</f>
        <v>86.3</v>
      </c>
      <c r="D51" s="996"/>
      <c r="E51" s="996">
        <f>+'Exh F'!F49+'Exhibit H'!D22</f>
        <v>97</v>
      </c>
      <c r="F51" s="996"/>
      <c r="G51" s="996"/>
      <c r="H51" s="996"/>
      <c r="I51" s="996"/>
      <c r="J51" s="996"/>
      <c r="K51" s="996"/>
      <c r="L51" s="431"/>
      <c r="M51" s="996"/>
      <c r="N51" s="431"/>
      <c r="O51" s="996"/>
      <c r="P51" s="431"/>
      <c r="Q51" s="996"/>
      <c r="R51" s="431"/>
      <c r="S51" s="996"/>
      <c r="T51" s="431"/>
      <c r="U51" s="996"/>
      <c r="V51" s="431"/>
      <c r="W51" s="996"/>
      <c r="X51" s="431"/>
      <c r="Y51" s="996"/>
      <c r="Z51" s="431"/>
      <c r="AA51" s="1943"/>
      <c r="AB51" s="996">
        <f t="shared" si="8"/>
        <v>183.3</v>
      </c>
      <c r="AC51" s="431"/>
      <c r="AD51" s="995"/>
      <c r="AE51" s="431">
        <f>+'Exh F'!AF49+' Exhibit I State'!AI28+'Exhibit H'!AD22</f>
        <v>146.19999999999999</v>
      </c>
      <c r="AF51" s="2124"/>
      <c r="AG51" s="2124"/>
      <c r="AH51" s="1177">
        <f t="shared" si="6"/>
        <v>37.1</v>
      </c>
      <c r="AI51" s="431"/>
      <c r="AJ51" s="1945">
        <f t="shared" si="7"/>
        <v>0.254</v>
      </c>
    </row>
    <row r="52" spans="1:36" ht="15">
      <c r="A52" s="1276" t="s">
        <v>1412</v>
      </c>
      <c r="B52" s="431"/>
      <c r="C52" s="996">
        <f>+'Exh F'!D50</f>
        <v>0</v>
      </c>
      <c r="D52" s="996"/>
      <c r="E52" s="996">
        <f>+'Exh F'!F50</f>
        <v>0.1</v>
      </c>
      <c r="F52" s="996"/>
      <c r="G52" s="996"/>
      <c r="H52" s="996"/>
      <c r="I52" s="996"/>
      <c r="J52" s="996"/>
      <c r="K52" s="996"/>
      <c r="L52" s="431"/>
      <c r="M52" s="996"/>
      <c r="N52" s="431"/>
      <c r="O52" s="996"/>
      <c r="P52" s="431"/>
      <c r="Q52" s="996"/>
      <c r="R52" s="431"/>
      <c r="S52" s="996"/>
      <c r="T52" s="431"/>
      <c r="U52" s="996"/>
      <c r="V52" s="431"/>
      <c r="W52" s="996"/>
      <c r="X52" s="431"/>
      <c r="Y52" s="996"/>
      <c r="Z52" s="431"/>
      <c r="AA52" s="1943"/>
      <c r="AB52" s="996">
        <f t="shared" si="8"/>
        <v>0.1</v>
      </c>
      <c r="AC52" s="431"/>
      <c r="AD52" s="995"/>
      <c r="AE52" s="431">
        <f>+'Exh F'!AF50</f>
        <v>0.1</v>
      </c>
      <c r="AF52" s="2124"/>
      <c r="AG52" s="2124"/>
      <c r="AH52" s="1177">
        <f t="shared" si="6"/>
        <v>0</v>
      </c>
      <c r="AI52" s="431"/>
      <c r="AJ52" s="1945">
        <f t="shared" si="7"/>
        <v>0</v>
      </c>
    </row>
    <row r="53" spans="1:36" ht="15">
      <c r="A53" s="2128" t="s">
        <v>1413</v>
      </c>
      <c r="B53" s="431"/>
      <c r="C53" s="996">
        <f>+'Exh F'!D51+'Exhibit G state'!D36</f>
        <v>132.6</v>
      </c>
      <c r="D53" s="996"/>
      <c r="E53" s="996">
        <f>+'Exh F'!F51+'Exhibit G state'!F36</f>
        <v>87.3</v>
      </c>
      <c r="F53" s="996"/>
      <c r="G53" s="996"/>
      <c r="H53" s="996"/>
      <c r="I53" s="996"/>
      <c r="J53" s="996"/>
      <c r="K53" s="996"/>
      <c r="L53" s="431"/>
      <c r="M53" s="996"/>
      <c r="N53" s="431"/>
      <c r="O53" s="996"/>
      <c r="P53" s="431"/>
      <c r="Q53" s="996"/>
      <c r="R53" s="431"/>
      <c r="S53" s="996"/>
      <c r="T53" s="431"/>
      <c r="U53" s="996"/>
      <c r="V53" s="431"/>
      <c r="W53" s="996"/>
      <c r="X53" s="431"/>
      <c r="Y53" s="996"/>
      <c r="Z53" s="431"/>
      <c r="AA53" s="1943"/>
      <c r="AB53" s="996">
        <f t="shared" si="8"/>
        <v>219.9</v>
      </c>
      <c r="AC53" s="431"/>
      <c r="AD53" s="995"/>
      <c r="AE53" s="2124">
        <f>+'Exh F'!AF51+'Exhibit G state'!AH36</f>
        <v>225</v>
      </c>
      <c r="AF53" s="2124"/>
      <c r="AG53" s="2124"/>
      <c r="AH53" s="1177">
        <f t="shared" si="6"/>
        <v>-5.0999999999999996</v>
      </c>
      <c r="AI53" s="431"/>
      <c r="AJ53" s="1945">
        <f t="shared" si="7"/>
        <v>-2.3E-2</v>
      </c>
    </row>
    <row r="54" spans="1:36" ht="15.75">
      <c r="A54" s="590" t="s">
        <v>1406</v>
      </c>
      <c r="B54" s="431"/>
      <c r="C54" s="1289">
        <f>ROUND(SUM(C48:C53),1)</f>
        <v>368.7</v>
      </c>
      <c r="D54" s="431"/>
      <c r="E54" s="1289">
        <f>ROUND(SUM(E48:E53),1)</f>
        <v>335.1</v>
      </c>
      <c r="F54" s="431"/>
      <c r="G54" s="1289">
        <f>ROUND(SUM(G48:G53),1)</f>
        <v>0</v>
      </c>
      <c r="H54" s="431"/>
      <c r="I54" s="1289">
        <f>ROUND(SUM(I48:I53),1)</f>
        <v>0</v>
      </c>
      <c r="J54" s="431"/>
      <c r="K54" s="1289">
        <f>ROUND(SUM(K48:K53),1)</f>
        <v>0</v>
      </c>
      <c r="L54" s="431"/>
      <c r="M54" s="1289">
        <f>ROUND(SUM(M48:M53),1)</f>
        <v>0</v>
      </c>
      <c r="N54" s="431"/>
      <c r="O54" s="1289">
        <f>ROUND(SUM(O48:O53),1)</f>
        <v>0</v>
      </c>
      <c r="P54" s="431"/>
      <c r="Q54" s="1289">
        <f>ROUND(SUM(Q48:Q53),1)</f>
        <v>0</v>
      </c>
      <c r="R54" s="431"/>
      <c r="S54" s="1289">
        <f>ROUND(SUM(S48:S53),1)</f>
        <v>0</v>
      </c>
      <c r="T54" s="431"/>
      <c r="U54" s="1289">
        <f>ROUND(SUM(U48:U53),1)</f>
        <v>0</v>
      </c>
      <c r="V54" s="431"/>
      <c r="W54" s="1289">
        <f>ROUND(SUM(W48:W53),1)</f>
        <v>0</v>
      </c>
      <c r="X54" s="431"/>
      <c r="Y54" s="1289">
        <f>ROUND(SUM(Y48:Y53),1)</f>
        <v>0</v>
      </c>
      <c r="Z54" s="431"/>
      <c r="AA54" s="1943"/>
      <c r="AB54" s="1289">
        <f>ROUND(SUM(AB48:AB53),1)</f>
        <v>703.8</v>
      </c>
      <c r="AC54" s="431"/>
      <c r="AD54" s="995"/>
      <c r="AE54" s="485">
        <f>ROUND(SUM(AE48:AE53),1)</f>
        <v>576.9</v>
      </c>
      <c r="AF54" s="2124"/>
      <c r="AG54" s="2124"/>
      <c r="AH54" s="485">
        <f>ROUND(SUM(AH48:AH53),1)</f>
        <v>126.9</v>
      </c>
      <c r="AI54" s="2103"/>
      <c r="AJ54" s="2115">
        <f>ROUND(SUM(+AH54/AE54),3)</f>
        <v>0.22</v>
      </c>
    </row>
    <row r="55" spans="1:36" ht="15.75">
      <c r="A55" s="431"/>
      <c r="B55" s="431"/>
      <c r="C55" s="1008"/>
      <c r="D55" s="996"/>
      <c r="E55" s="1008"/>
      <c r="F55" s="1008"/>
      <c r="G55" s="1008"/>
      <c r="H55" s="1008"/>
      <c r="I55" s="1008"/>
      <c r="J55" s="1008"/>
      <c r="K55" s="1008"/>
      <c r="L55" s="1008"/>
      <c r="M55" s="1008"/>
      <c r="N55" s="1008"/>
      <c r="O55" s="1008"/>
      <c r="P55" s="1008"/>
      <c r="Q55" s="1008"/>
      <c r="R55" s="1008"/>
      <c r="S55" s="1008"/>
      <c r="T55" s="1008"/>
      <c r="U55" s="1008"/>
      <c r="V55" s="1008"/>
      <c r="W55" s="1008"/>
      <c r="X55" s="1008"/>
      <c r="Y55" s="1008"/>
      <c r="Z55" s="996"/>
      <c r="AA55" s="1944"/>
      <c r="AB55" s="2122"/>
      <c r="AC55" s="996"/>
      <c r="AD55" s="998"/>
      <c r="AE55" s="1008"/>
      <c r="AF55" s="1008"/>
      <c r="AG55" s="1008"/>
      <c r="AH55" s="1008"/>
      <c r="AI55" s="431"/>
      <c r="AJ55" s="2087"/>
    </row>
    <row r="56" spans="1:36" ht="15.75">
      <c r="A56" s="590" t="s">
        <v>1374</v>
      </c>
      <c r="B56" s="222"/>
      <c r="C56" s="195">
        <f>ROUND(SUM(C54+C46+C39+C30),1)</f>
        <v>8541.4</v>
      </c>
      <c r="D56" s="261"/>
      <c r="E56" s="195">
        <f>ROUND(SUM(E54+E46+E39+E30),1)</f>
        <v>3791.7</v>
      </c>
      <c r="F56" s="261"/>
      <c r="G56" s="195">
        <f>ROUND(SUM(G54+G46+G39+G30),1)</f>
        <v>0</v>
      </c>
      <c r="H56" s="261"/>
      <c r="I56" s="195">
        <f>ROUND(SUM(I54+I46+I39+I30),1)</f>
        <v>0</v>
      </c>
      <c r="J56" s="261"/>
      <c r="K56" s="195">
        <f>ROUND(SUM(K54+K46+K39+K30),1)</f>
        <v>0</v>
      </c>
      <c r="L56" s="261"/>
      <c r="M56" s="195">
        <f>ROUND(SUM(M54+M46+M39+M30),1)</f>
        <v>0</v>
      </c>
      <c r="N56" s="261"/>
      <c r="O56" s="617">
        <f>ROUND(SUM(O54+O46+O39+O30),1)</f>
        <v>0</v>
      </c>
      <c r="P56" s="261"/>
      <c r="Q56" s="617">
        <f>ROUND(SUM(Q54+Q46+Q39+Q30),1)</f>
        <v>0</v>
      </c>
      <c r="R56" s="261"/>
      <c r="S56" s="617">
        <f>ROUND(SUM(S30+S39+S46+S54),1)</f>
        <v>0</v>
      </c>
      <c r="T56" s="261"/>
      <c r="U56" s="617">
        <f>ROUND(SUM(U30+U39+U46+U54),1)</f>
        <v>0</v>
      </c>
      <c r="V56" s="261"/>
      <c r="W56" s="617">
        <f>ROUND(SUM(W30+W39+W46+W54),1)</f>
        <v>0</v>
      </c>
      <c r="X56" s="368"/>
      <c r="Y56" s="617">
        <f>ROUND(SUM(Y30+Y39+Y46+Y54),1)</f>
        <v>0</v>
      </c>
      <c r="Z56" s="368"/>
      <c r="AA56" s="237"/>
      <c r="AB56" s="1015">
        <f>ROUND(SUM(C56:Y56),1)</f>
        <v>12333.1</v>
      </c>
      <c r="AC56" s="261"/>
      <c r="AD56" s="250"/>
      <c r="AE56" s="617">
        <f>ROUND(SUM(+AE30+AE39+AE46+AE54),1)</f>
        <v>10988.4</v>
      </c>
      <c r="AF56" s="249"/>
      <c r="AG56" s="1292"/>
      <c r="AH56" s="617">
        <f>ROUND(+AB56-AE56,1)</f>
        <v>1344.7</v>
      </c>
      <c r="AI56" s="1921"/>
      <c r="AJ56" s="526">
        <f>ROUND(SUM(+AH56/AE56),3)</f>
        <v>0.122</v>
      </c>
    </row>
    <row r="57" spans="1:36" ht="15">
      <c r="A57" s="431"/>
      <c r="B57" s="431"/>
      <c r="C57" s="996"/>
      <c r="D57" s="996"/>
      <c r="E57" s="996"/>
      <c r="F57" s="996"/>
      <c r="G57" s="996"/>
      <c r="H57" s="996"/>
      <c r="I57" s="996"/>
      <c r="J57" s="996"/>
      <c r="K57" s="996"/>
      <c r="L57" s="996"/>
      <c r="M57" s="996"/>
      <c r="N57" s="996"/>
      <c r="O57" s="996"/>
      <c r="P57" s="996"/>
      <c r="Q57" s="996"/>
      <c r="R57" s="996"/>
      <c r="S57" s="996"/>
      <c r="T57" s="996"/>
      <c r="U57" s="996"/>
      <c r="V57" s="996"/>
      <c r="X57" s="996"/>
      <c r="Y57" s="996"/>
      <c r="Z57" s="996"/>
      <c r="AA57" s="1944"/>
      <c r="AB57" s="996"/>
      <c r="AC57" s="996"/>
      <c r="AD57" s="998"/>
      <c r="AE57" s="996"/>
      <c r="AF57" s="1008"/>
      <c r="AG57" s="1008"/>
      <c r="AH57" s="996"/>
      <c r="AI57" s="431"/>
      <c r="AJ57" s="1945"/>
    </row>
    <row r="58" spans="1:36" ht="15.75">
      <c r="A58" s="491" t="s">
        <v>1308</v>
      </c>
      <c r="B58" s="431"/>
      <c r="C58" s="996"/>
      <c r="D58" s="996"/>
      <c r="E58" s="996"/>
      <c r="F58" s="996"/>
      <c r="G58" s="996"/>
      <c r="H58" s="996"/>
      <c r="I58" s="996"/>
      <c r="J58" s="996"/>
      <c r="K58" s="996"/>
      <c r="L58" s="996"/>
      <c r="M58" s="996"/>
      <c r="N58" s="996"/>
      <c r="O58" s="996"/>
      <c r="P58" s="996"/>
      <c r="Q58" s="996"/>
      <c r="R58" s="996"/>
      <c r="S58" s="996"/>
      <c r="T58" s="996"/>
      <c r="U58" s="996"/>
      <c r="V58" s="996"/>
      <c r="X58" s="996"/>
      <c r="Y58" s="996"/>
      <c r="Z58" s="996"/>
      <c r="AA58" s="997"/>
      <c r="AB58" s="996"/>
      <c r="AC58" s="996"/>
      <c r="AD58" s="998"/>
      <c r="AE58" s="996"/>
      <c r="AF58" s="1008"/>
      <c r="AG58" s="1008"/>
      <c r="AH58" s="996"/>
      <c r="AI58" s="431"/>
      <c r="AJ58" s="1871"/>
    </row>
    <row r="59" spans="1:36" ht="15">
      <c r="A59" s="1837" t="s">
        <v>1436</v>
      </c>
      <c r="B59" s="431"/>
      <c r="C59" s="996"/>
      <c r="D59" s="996"/>
      <c r="E59" s="996"/>
      <c r="F59" s="996"/>
      <c r="G59" s="996"/>
      <c r="H59" s="996"/>
      <c r="I59" s="996"/>
      <c r="J59" s="996"/>
      <c r="K59" s="996"/>
      <c r="L59" s="996"/>
      <c r="M59" s="996"/>
      <c r="N59" s="996"/>
      <c r="O59" s="996"/>
      <c r="P59" s="996"/>
      <c r="Q59" s="996"/>
      <c r="R59" s="996"/>
      <c r="S59" s="996"/>
      <c r="T59" s="996"/>
      <c r="U59" s="996"/>
      <c r="V59" s="996"/>
      <c r="X59" s="996"/>
      <c r="Y59" s="996"/>
      <c r="Z59" s="996"/>
      <c r="AA59" s="997"/>
      <c r="AB59" s="996"/>
      <c r="AC59" s="996"/>
      <c r="AD59" s="998"/>
      <c r="AE59" s="996"/>
      <c r="AF59" s="1008"/>
      <c r="AG59" s="1008"/>
      <c r="AH59" s="996"/>
      <c r="AI59" s="431"/>
      <c r="AJ59" s="1871"/>
    </row>
    <row r="60" spans="1:36" ht="15">
      <c r="A60" s="1837" t="s">
        <v>1306</v>
      </c>
      <c r="B60" s="431"/>
      <c r="C60" s="996">
        <f>+'Exh F'!D58+'Exhibit G state'!D43</f>
        <v>0.8</v>
      </c>
      <c r="D60" s="996"/>
      <c r="E60" s="996">
        <f>+'Exh F'!F58+'Exhibit G state'!F43</f>
        <v>0.6</v>
      </c>
      <c r="F60" s="996"/>
      <c r="G60" s="996"/>
      <c r="H60" s="996"/>
      <c r="I60" s="996"/>
      <c r="J60" s="996"/>
      <c r="K60" s="996"/>
      <c r="L60" s="996"/>
      <c r="M60" s="996"/>
      <c r="N60" s="996"/>
      <c r="O60" s="996"/>
      <c r="P60" s="996"/>
      <c r="Q60" s="996"/>
      <c r="R60" s="996"/>
      <c r="S60" s="996"/>
      <c r="T60" s="996"/>
      <c r="U60" s="996"/>
      <c r="V60" s="996"/>
      <c r="W60" s="2938"/>
      <c r="X60" s="996"/>
      <c r="Y60" s="2938"/>
      <c r="Z60" s="996"/>
      <c r="AA60" s="997"/>
      <c r="AB60" s="996">
        <f>ROUND(SUM(C60:Y60),1)</f>
        <v>1.4</v>
      </c>
      <c r="AC60" s="996"/>
      <c r="AD60" s="998"/>
      <c r="AE60" s="996">
        <f>+'Exh F'!AF58+'Exhibit G state'!AH43</f>
        <v>2.6</v>
      </c>
      <c r="AF60" s="1008"/>
      <c r="AG60" s="1008"/>
      <c r="AH60" s="996">
        <f t="shared" ref="AH60:AH98" si="9">ROUND(SUM(AB60-AE60),1)</f>
        <v>-1.2</v>
      </c>
      <c r="AI60" s="431"/>
      <c r="AJ60" s="1945">
        <f t="shared" ref="AJ60:AJ98" si="10">ROUND(SUM(AH60/AE60),3)</f>
        <v>-0.46200000000000002</v>
      </c>
    </row>
    <row r="61" spans="1:36" ht="15">
      <c r="A61" s="1837" t="s">
        <v>1307</v>
      </c>
      <c r="B61" s="431"/>
      <c r="C61" s="996">
        <f>+'Exh F'!D59</f>
        <v>0.5</v>
      </c>
      <c r="D61" s="996"/>
      <c r="E61" s="996">
        <f>+'Exh F'!F59</f>
        <v>0</v>
      </c>
      <c r="F61" s="996"/>
      <c r="G61" s="996"/>
      <c r="H61" s="996"/>
      <c r="I61" s="996"/>
      <c r="J61" s="996"/>
      <c r="K61" s="996"/>
      <c r="L61" s="996"/>
      <c r="M61" s="996"/>
      <c r="N61" s="996"/>
      <c r="O61" s="996"/>
      <c r="P61" s="996"/>
      <c r="Q61" s="996"/>
      <c r="R61" s="996"/>
      <c r="S61" s="996"/>
      <c r="T61" s="996"/>
      <c r="U61" s="996"/>
      <c r="V61" s="996"/>
      <c r="W61" s="2938"/>
      <c r="X61" s="996"/>
      <c r="Y61" s="2938"/>
      <c r="Z61" s="996"/>
      <c r="AA61" s="997"/>
      <c r="AB61" s="996">
        <f>ROUND(SUM(C61:Y61),1)</f>
        <v>0.5</v>
      </c>
      <c r="AC61" s="996"/>
      <c r="AD61" s="998"/>
      <c r="AE61" s="996">
        <f>+'Exh F'!AF59</f>
        <v>0.1</v>
      </c>
      <c r="AF61" s="1008"/>
      <c r="AG61" s="1008"/>
      <c r="AH61" s="996">
        <f t="shared" si="9"/>
        <v>0.4</v>
      </c>
      <c r="AI61" s="431"/>
      <c r="AJ61" s="1945">
        <f t="shared" si="10"/>
        <v>4</v>
      </c>
    </row>
    <row r="62" spans="1:36" ht="15">
      <c r="A62" s="1837" t="s">
        <v>1437</v>
      </c>
      <c r="B62" s="431"/>
      <c r="C62" s="996"/>
      <c r="D62" s="996"/>
      <c r="E62" s="996"/>
      <c r="F62" s="996"/>
      <c r="G62" s="996"/>
      <c r="H62" s="996"/>
      <c r="I62" s="996"/>
      <c r="J62" s="996"/>
      <c r="K62" s="996"/>
      <c r="L62" s="996"/>
      <c r="M62" s="996"/>
      <c r="N62" s="996"/>
      <c r="O62" s="996"/>
      <c r="P62" s="996"/>
      <c r="Q62" s="996"/>
      <c r="R62" s="996"/>
      <c r="S62" s="996"/>
      <c r="T62" s="996"/>
      <c r="U62" s="996"/>
      <c r="V62" s="996"/>
      <c r="W62" s="2938"/>
      <c r="X62" s="996"/>
      <c r="Y62" s="2938"/>
      <c r="Z62" s="996"/>
      <c r="AA62" s="997"/>
      <c r="AB62" s="996"/>
      <c r="AC62" s="996"/>
      <c r="AD62" s="998"/>
      <c r="AE62" s="996"/>
      <c r="AF62" s="1008"/>
      <c r="AG62" s="1008"/>
      <c r="AH62" s="996" t="s">
        <v>16</v>
      </c>
      <c r="AI62" s="431" t="s">
        <v>16</v>
      </c>
      <c r="AJ62" s="1871" t="s">
        <v>16</v>
      </c>
    </row>
    <row r="63" spans="1:36" ht="15">
      <c r="A63" s="1837" t="s">
        <v>1311</v>
      </c>
      <c r="B63" s="431"/>
      <c r="C63" s="996">
        <f>+'Exh F'!D61+'Exhibit G state'!D45</f>
        <v>75.7</v>
      </c>
      <c r="D63" s="996"/>
      <c r="E63" s="996">
        <f>+'Exh F'!F61+'Exhibit G state'!F45</f>
        <v>261</v>
      </c>
      <c r="F63" s="996"/>
      <c r="G63" s="996"/>
      <c r="H63" s="996"/>
      <c r="I63" s="996"/>
      <c r="J63" s="996"/>
      <c r="K63" s="996"/>
      <c r="L63" s="996"/>
      <c r="M63" s="996"/>
      <c r="N63" s="996"/>
      <c r="O63" s="996"/>
      <c r="P63" s="996"/>
      <c r="Q63" s="996"/>
      <c r="R63" s="996"/>
      <c r="S63" s="996"/>
      <c r="T63" s="996"/>
      <c r="U63" s="996"/>
      <c r="V63" s="996"/>
      <c r="W63" s="2938"/>
      <c r="X63" s="996"/>
      <c r="Y63" s="2938"/>
      <c r="Z63" s="996"/>
      <c r="AA63" s="997"/>
      <c r="AB63" s="996">
        <f>ROUND(SUM(C63:Y63),1)</f>
        <v>336.7</v>
      </c>
      <c r="AC63" s="996"/>
      <c r="AD63" s="998"/>
      <c r="AE63" s="996">
        <f>+'Exh F'!AF61+'Exhibit G state'!AH45</f>
        <v>1121.7</v>
      </c>
      <c r="AF63" s="1008"/>
      <c r="AG63" s="1008"/>
      <c r="AH63" s="996">
        <f t="shared" si="9"/>
        <v>-785</v>
      </c>
      <c r="AI63" s="431"/>
      <c r="AJ63" s="1945">
        <f t="shared" si="10"/>
        <v>-0.7</v>
      </c>
    </row>
    <row r="64" spans="1:36" ht="15">
      <c r="A64" s="1837" t="s">
        <v>1312</v>
      </c>
      <c r="B64" s="431"/>
      <c r="C64" s="996">
        <f>+'Exh F'!D62+'Exhibit G state'!D46</f>
        <v>376.8</v>
      </c>
      <c r="D64" s="996"/>
      <c r="E64" s="996">
        <f>+'Exh F'!F62+'Exhibit G state'!F46</f>
        <v>425.79999999999995</v>
      </c>
      <c r="F64" s="996"/>
      <c r="G64" s="996"/>
      <c r="H64" s="996"/>
      <c r="I64" s="996"/>
      <c r="J64" s="996"/>
      <c r="K64" s="996"/>
      <c r="L64" s="996"/>
      <c r="M64" s="996"/>
      <c r="N64" s="996"/>
      <c r="O64" s="996"/>
      <c r="P64" s="996"/>
      <c r="Q64" s="996"/>
      <c r="R64" s="996"/>
      <c r="S64" s="996"/>
      <c r="T64" s="996"/>
      <c r="U64" s="996"/>
      <c r="V64" s="996"/>
      <c r="W64" s="2938"/>
      <c r="X64" s="996"/>
      <c r="Y64" s="2938"/>
      <c r="Z64" s="996"/>
      <c r="AA64" s="997"/>
      <c r="AB64" s="996">
        <f>ROUND(SUM(C64:Y64),1)</f>
        <v>802.6</v>
      </c>
      <c r="AC64" s="996"/>
      <c r="AD64" s="998"/>
      <c r="AE64" s="996">
        <f>+'Exh F'!AF62+'Exhibit G state'!AH46+'Exhibit H'!AD29</f>
        <v>771.4</v>
      </c>
      <c r="AF64" s="1008"/>
      <c r="AG64" s="1008"/>
      <c r="AH64" s="996">
        <f t="shared" si="9"/>
        <v>31.2</v>
      </c>
      <c r="AI64" s="431"/>
      <c r="AJ64" s="1945">
        <f t="shared" si="10"/>
        <v>0.04</v>
      </c>
    </row>
    <row r="65" spans="1:36" ht="15">
      <c r="A65" s="1837" t="s">
        <v>1313</v>
      </c>
      <c r="B65" s="431"/>
      <c r="C65" s="996">
        <f>+'Exh F'!D63+'Exhibit G state'!D47</f>
        <v>0.7</v>
      </c>
      <c r="D65" s="996"/>
      <c r="E65" s="996">
        <f>+'Exh F'!F63+'Exhibit G state'!F47</f>
        <v>-0.1</v>
      </c>
      <c r="F65" s="996"/>
      <c r="G65" s="996"/>
      <c r="H65" s="996"/>
      <c r="I65" s="996"/>
      <c r="J65" s="996"/>
      <c r="K65" s="996"/>
      <c r="L65" s="996"/>
      <c r="M65" s="996"/>
      <c r="N65" s="996"/>
      <c r="O65" s="996"/>
      <c r="P65" s="996"/>
      <c r="Q65" s="996"/>
      <c r="R65" s="996"/>
      <c r="S65" s="996"/>
      <c r="T65" s="996"/>
      <c r="U65" s="996"/>
      <c r="V65" s="996"/>
      <c r="W65" s="2938"/>
      <c r="X65" s="996"/>
      <c r="Y65" s="2938"/>
      <c r="Z65" s="996"/>
      <c r="AA65" s="997"/>
      <c r="AB65" s="996">
        <f>ROUND(SUM(C65:Y65),1)</f>
        <v>0.6</v>
      </c>
      <c r="AC65" s="996"/>
      <c r="AD65" s="998"/>
      <c r="AE65" s="996">
        <f>+'Exh F'!AF63+'Exhibit G state'!AH47</f>
        <v>0.5</v>
      </c>
      <c r="AF65" s="1008"/>
      <c r="AG65" s="1008"/>
      <c r="AH65" s="996">
        <f t="shared" si="9"/>
        <v>0.1</v>
      </c>
      <c r="AI65" s="431"/>
      <c r="AJ65" s="1871">
        <f>ROUND(IF(AE65=0,0,AH65/(AE65)),3)</f>
        <v>0.2</v>
      </c>
    </row>
    <row r="66" spans="1:36" ht="15">
      <c r="A66" s="1837" t="s">
        <v>1314</v>
      </c>
      <c r="B66" s="431"/>
      <c r="C66" s="996">
        <f>+'Exh F'!D64+'Exhibit G state'!D48</f>
        <v>18.2</v>
      </c>
      <c r="D66" s="996"/>
      <c r="E66" s="996">
        <f>+'Exh F'!F64+'Exhibit G state'!F48</f>
        <v>19.400000000000002</v>
      </c>
      <c r="F66" s="996"/>
      <c r="G66" s="996"/>
      <c r="H66" s="996"/>
      <c r="I66" s="996"/>
      <c r="J66" s="996"/>
      <c r="K66" s="996"/>
      <c r="L66" s="996"/>
      <c r="M66" s="996"/>
      <c r="N66" s="996"/>
      <c r="O66" s="996"/>
      <c r="P66" s="996"/>
      <c r="Q66" s="996"/>
      <c r="R66" s="996"/>
      <c r="S66" s="996"/>
      <c r="T66" s="996"/>
      <c r="U66" s="996"/>
      <c r="V66" s="996"/>
      <c r="W66" s="2938"/>
      <c r="X66" s="996"/>
      <c r="Y66" s="2938"/>
      <c r="Z66" s="996"/>
      <c r="AA66" s="997"/>
      <c r="AB66" s="996">
        <f>ROUND(SUM(C66:Y66),1)</f>
        <v>37.6</v>
      </c>
      <c r="AC66" s="996"/>
      <c r="AD66" s="998"/>
      <c r="AE66" s="996">
        <f>+'Exh F'!AF64+'Exhibit G state'!AH48</f>
        <v>33.700000000000003</v>
      </c>
      <c r="AF66" s="1008"/>
      <c r="AG66" s="1008"/>
      <c r="AH66" s="996">
        <f t="shared" si="9"/>
        <v>3.9</v>
      </c>
      <c r="AI66" s="431"/>
      <c r="AJ66" s="1945">
        <f t="shared" si="10"/>
        <v>0.11600000000000001</v>
      </c>
    </row>
    <row r="67" spans="1:36" ht="15">
      <c r="A67" s="1837" t="s">
        <v>1442</v>
      </c>
      <c r="B67" s="431"/>
      <c r="C67" s="996"/>
      <c r="D67" s="996"/>
      <c r="E67" s="996"/>
      <c r="F67" s="996"/>
      <c r="G67" s="996"/>
      <c r="H67" s="996"/>
      <c r="I67" s="996"/>
      <c r="J67" s="996"/>
      <c r="K67" s="996"/>
      <c r="L67" s="996"/>
      <c r="M67" s="996"/>
      <c r="N67" s="996"/>
      <c r="O67" s="996"/>
      <c r="P67" s="996"/>
      <c r="Q67" s="996"/>
      <c r="R67" s="996"/>
      <c r="S67" s="996"/>
      <c r="T67" s="996"/>
      <c r="U67" s="996"/>
      <c r="V67" s="996"/>
      <c r="W67" s="2938"/>
      <c r="X67" s="996"/>
      <c r="Y67" s="2938"/>
      <c r="Z67" s="996"/>
      <c r="AA67" s="997"/>
      <c r="AB67" s="996"/>
      <c r="AC67" s="996"/>
      <c r="AD67" s="998"/>
      <c r="AE67" s="996"/>
      <c r="AF67" s="1008"/>
      <c r="AG67" s="1008"/>
      <c r="AH67" s="996"/>
      <c r="AI67" s="431"/>
      <c r="AJ67" s="1871"/>
    </row>
    <row r="68" spans="1:36" ht="15">
      <c r="A68" s="1837" t="s">
        <v>1315</v>
      </c>
      <c r="B68" s="431"/>
      <c r="C68" s="996">
        <f>+'Exh F'!D66+'Exhibit H'!B31</f>
        <v>6.9</v>
      </c>
      <c r="D68" s="996"/>
      <c r="E68" s="996">
        <f>+'Exh F'!F66+'Exhibit H'!D31</f>
        <v>5.5</v>
      </c>
      <c r="F68" s="996"/>
      <c r="G68" s="996"/>
      <c r="H68" s="996"/>
      <c r="I68" s="996"/>
      <c r="J68" s="996"/>
      <c r="K68" s="996"/>
      <c r="L68" s="996"/>
      <c r="M68" s="996"/>
      <c r="N68" s="996"/>
      <c r="O68" s="996"/>
      <c r="P68" s="996"/>
      <c r="Q68" s="996"/>
      <c r="R68" s="996"/>
      <c r="S68" s="996"/>
      <c r="T68" s="996"/>
      <c r="U68" s="996"/>
      <c r="V68" s="996"/>
      <c r="W68" s="2938"/>
      <c r="X68" s="996"/>
      <c r="Y68" s="2938"/>
      <c r="Z68" s="996"/>
      <c r="AA68" s="997"/>
      <c r="AB68" s="996">
        <f t="shared" ref="AB68:AB74" si="11">ROUND(SUM(C68:Y68),1)</f>
        <v>12.4</v>
      </c>
      <c r="AC68" s="996"/>
      <c r="AD68" s="998"/>
      <c r="AE68" s="996">
        <f>+'Exh F'!AF66+'Exhibit H'!AD31</f>
        <v>11.4</v>
      </c>
      <c r="AF68" s="1008"/>
      <c r="AG68" s="1008"/>
      <c r="AH68" s="996">
        <f t="shared" si="9"/>
        <v>1</v>
      </c>
      <c r="AI68" s="431"/>
      <c r="AJ68" s="1945">
        <f t="shared" si="10"/>
        <v>8.7999999999999995E-2</v>
      </c>
    </row>
    <row r="69" spans="1:36" ht="15">
      <c r="A69" s="1837" t="s">
        <v>1316</v>
      </c>
      <c r="B69" s="431"/>
      <c r="C69" s="996">
        <f>+'Exh F'!D67+'Exhibit G state'!D50+'Exhibit H'!B32</f>
        <v>77.099999999999994</v>
      </c>
      <c r="D69" s="996"/>
      <c r="E69" s="996">
        <f>+'Exh F'!F67+'Exhibit G state'!F50+'Exhibit H'!D32</f>
        <v>69.900000000000006</v>
      </c>
      <c r="F69" s="996"/>
      <c r="G69" s="996"/>
      <c r="H69" s="996"/>
      <c r="I69" s="996"/>
      <c r="J69" s="996"/>
      <c r="K69" s="996"/>
      <c r="L69" s="996"/>
      <c r="M69" s="996"/>
      <c r="N69" s="996"/>
      <c r="O69" s="996"/>
      <c r="P69" s="996"/>
      <c r="Q69" s="996"/>
      <c r="R69" s="996"/>
      <c r="S69" s="996"/>
      <c r="T69" s="996"/>
      <c r="U69" s="996"/>
      <c r="V69" s="996"/>
      <c r="W69" s="2938"/>
      <c r="X69" s="996"/>
      <c r="Y69" s="2938"/>
      <c r="Z69" s="996"/>
      <c r="AA69" s="997"/>
      <c r="AB69" s="996">
        <f t="shared" si="11"/>
        <v>147</v>
      </c>
      <c r="AC69" s="996"/>
      <c r="AD69" s="998"/>
      <c r="AE69" s="996">
        <f>+'Exh F'!AF67+'Exhibit G state'!AH50+'Exhibit H'!AD32</f>
        <v>125.39999999999999</v>
      </c>
      <c r="AF69" s="1008"/>
      <c r="AG69" s="1008"/>
      <c r="AH69" s="996">
        <f t="shared" si="9"/>
        <v>21.6</v>
      </c>
      <c r="AI69" s="431"/>
      <c r="AJ69" s="1945">
        <f t="shared" si="10"/>
        <v>0.17199999999999999</v>
      </c>
    </row>
    <row r="70" spans="1:36" ht="15">
      <c r="A70" s="1837" t="s">
        <v>1317</v>
      </c>
      <c r="B70" s="431"/>
      <c r="C70" s="996">
        <f>+'Exh F'!D68+'Exhibit G state'!D51+'Exhibit H'!B33</f>
        <v>27.6</v>
      </c>
      <c r="D70" s="996"/>
      <c r="E70" s="996">
        <f>+'Exh F'!F68+'Exhibit G state'!F51+'Exhibit H'!D33</f>
        <v>25.5</v>
      </c>
      <c r="F70" s="996"/>
      <c r="G70" s="996"/>
      <c r="H70" s="996"/>
      <c r="I70" s="996"/>
      <c r="J70" s="996"/>
      <c r="K70" s="996"/>
      <c r="L70" s="996"/>
      <c r="M70" s="996"/>
      <c r="N70" s="996"/>
      <c r="O70" s="996"/>
      <c r="P70" s="996"/>
      <c r="Q70" s="996"/>
      <c r="R70" s="996"/>
      <c r="S70" s="996"/>
      <c r="T70" s="996"/>
      <c r="U70" s="996"/>
      <c r="V70" s="996"/>
      <c r="W70" s="2938"/>
      <c r="X70" s="996"/>
      <c r="Y70" s="2938"/>
      <c r="Z70" s="996"/>
      <c r="AA70" s="997"/>
      <c r="AB70" s="996">
        <f t="shared" si="11"/>
        <v>53.1</v>
      </c>
      <c r="AC70" s="996"/>
      <c r="AD70" s="998"/>
      <c r="AE70" s="996">
        <f>+'Exh F'!AF68+'Exhibit G state'!AH51+'Exhibit H'!AD33</f>
        <v>40.5</v>
      </c>
      <c r="AF70" s="1008"/>
      <c r="AG70" s="1008"/>
      <c r="AH70" s="996">
        <f t="shared" si="9"/>
        <v>12.6</v>
      </c>
      <c r="AI70" s="431"/>
      <c r="AJ70" s="1945">
        <f t="shared" si="10"/>
        <v>0.311</v>
      </c>
    </row>
    <row r="71" spans="1:36" ht="15">
      <c r="A71" s="1837" t="s">
        <v>1318</v>
      </c>
      <c r="B71" s="431"/>
      <c r="C71" s="996">
        <f>+'Exh F'!D69+'Exhibit G state'!D52+'Exhibit H'!B34</f>
        <v>0.1</v>
      </c>
      <c r="D71" s="996"/>
      <c r="E71" s="996">
        <f>+'Exh F'!F69+'Exhibit G state'!F52+'Exhibit H'!D34</f>
        <v>0.3</v>
      </c>
      <c r="F71" s="996"/>
      <c r="G71" s="996"/>
      <c r="H71" s="996"/>
      <c r="I71" s="996"/>
      <c r="J71" s="996"/>
      <c r="K71" s="996"/>
      <c r="L71" s="996"/>
      <c r="M71" s="996"/>
      <c r="N71" s="996"/>
      <c r="O71" s="996"/>
      <c r="P71" s="996"/>
      <c r="Q71" s="996"/>
      <c r="R71" s="996"/>
      <c r="S71" s="996"/>
      <c r="T71" s="996"/>
      <c r="U71" s="996"/>
      <c r="V71" s="996"/>
      <c r="W71" s="2938"/>
      <c r="X71" s="996"/>
      <c r="Y71" s="2938"/>
      <c r="Z71" s="996"/>
      <c r="AA71" s="997"/>
      <c r="AB71" s="996">
        <f t="shared" si="11"/>
        <v>0.4</v>
      </c>
      <c r="AC71" s="996"/>
      <c r="AD71" s="998"/>
      <c r="AE71" s="996">
        <f>+'Exh F'!AF69+'Exhibit G state'!AH52+'Exhibit H'!AD34</f>
        <v>1.4000000000000001</v>
      </c>
      <c r="AF71" s="1008"/>
      <c r="AG71" s="1008"/>
      <c r="AH71" s="996">
        <f t="shared" si="9"/>
        <v>-1</v>
      </c>
      <c r="AI71" s="431"/>
      <c r="AJ71" s="1945">
        <f t="shared" si="10"/>
        <v>-0.71399999999999997</v>
      </c>
    </row>
    <row r="72" spans="1:36" ht="15">
      <c r="A72" s="1837" t="s">
        <v>1319</v>
      </c>
      <c r="B72" s="431"/>
      <c r="C72" s="996">
        <f>+'Exh F'!D70+'Exhibit G state'!D53+'Exhibit H'!B35</f>
        <v>69.5</v>
      </c>
      <c r="D72" s="996"/>
      <c r="E72" s="996">
        <f>+'Exh F'!F70+'Exhibit G state'!F53+'Exhibit H'!D35</f>
        <v>50</v>
      </c>
      <c r="F72" s="996"/>
      <c r="G72" s="996"/>
      <c r="H72" s="996"/>
      <c r="I72" s="996"/>
      <c r="J72" s="996"/>
      <c r="K72" s="996"/>
      <c r="L72" s="996"/>
      <c r="M72" s="996"/>
      <c r="N72" s="996"/>
      <c r="O72" s="996"/>
      <c r="P72" s="996"/>
      <c r="Q72" s="996"/>
      <c r="R72" s="996"/>
      <c r="S72" s="996"/>
      <c r="T72" s="996"/>
      <c r="U72" s="996"/>
      <c r="V72" s="996"/>
      <c r="W72" s="2938"/>
      <c r="X72" s="996"/>
      <c r="Y72" s="2938"/>
      <c r="Z72" s="996"/>
      <c r="AA72" s="997"/>
      <c r="AB72" s="996">
        <f t="shared" si="11"/>
        <v>119.5</v>
      </c>
      <c r="AC72" s="996"/>
      <c r="AD72" s="998"/>
      <c r="AE72" s="996">
        <f>+'Exh F'!AF70+'Exhibit G state'!AH53+'Exhibit H'!AD35</f>
        <v>138.80000000000001</v>
      </c>
      <c r="AF72" s="1008"/>
      <c r="AG72" s="1008"/>
      <c r="AH72" s="996">
        <f t="shared" si="9"/>
        <v>-19.3</v>
      </c>
      <c r="AI72" s="431"/>
      <c r="AJ72" s="1871">
        <f>ROUND(IF(AE72=0,0,AH72/(AE72)),3)</f>
        <v>-0.13900000000000001</v>
      </c>
    </row>
    <row r="73" spans="1:36" ht="15">
      <c r="A73" s="1837" t="s">
        <v>1320</v>
      </c>
      <c r="B73" s="431"/>
      <c r="C73" s="996">
        <f>+'Exh F'!D71+'Exhibit G state'!D54+'Exhibit H'!B36</f>
        <v>16.600000000000001</v>
      </c>
      <c r="D73" s="996"/>
      <c r="E73" s="996">
        <f>+'Exh F'!F71+'Exhibit G state'!F54+'Exhibit H'!D36</f>
        <v>27.400000000000002</v>
      </c>
      <c r="F73" s="996"/>
      <c r="G73" s="996"/>
      <c r="H73" s="996"/>
      <c r="I73" s="996"/>
      <c r="J73" s="996"/>
      <c r="K73" s="996"/>
      <c r="L73" s="996"/>
      <c r="M73" s="996"/>
      <c r="N73" s="996"/>
      <c r="O73" s="996"/>
      <c r="P73" s="996"/>
      <c r="Q73" s="996"/>
      <c r="R73" s="996"/>
      <c r="S73" s="996"/>
      <c r="T73" s="996"/>
      <c r="U73" s="996"/>
      <c r="V73" s="996"/>
      <c r="W73" s="2938"/>
      <c r="X73" s="996"/>
      <c r="Y73" s="2938"/>
      <c r="Z73" s="996"/>
      <c r="AA73" s="997"/>
      <c r="AB73" s="996">
        <f t="shared" si="11"/>
        <v>44</v>
      </c>
      <c r="AC73" s="996"/>
      <c r="AD73" s="998"/>
      <c r="AE73" s="996">
        <f>+'Exh F'!AF71+'Exhibit G state'!AH54+'Exhibit H'!AD36</f>
        <v>35.700000000000003</v>
      </c>
      <c r="AF73" s="1008"/>
      <c r="AG73" s="1008"/>
      <c r="AH73" s="996">
        <f t="shared" si="9"/>
        <v>8.3000000000000007</v>
      </c>
      <c r="AI73" s="431"/>
      <c r="AJ73" s="1945">
        <f t="shared" si="10"/>
        <v>0.23200000000000001</v>
      </c>
    </row>
    <row r="74" spans="1:36" ht="15">
      <c r="A74" s="1837" t="s">
        <v>1309</v>
      </c>
      <c r="B74" s="431"/>
      <c r="C74" s="996">
        <f>+'Exh F'!D72+'Exhibit G state'!D55</f>
        <v>17.7</v>
      </c>
      <c r="D74" s="996"/>
      <c r="E74" s="996">
        <f>+'Exh F'!F72+'Exhibit G state'!F55</f>
        <v>1410.8</v>
      </c>
      <c r="F74" s="996"/>
      <c r="G74" s="996"/>
      <c r="H74" s="996"/>
      <c r="I74" s="996"/>
      <c r="J74" s="996"/>
      <c r="K74" s="996"/>
      <c r="L74" s="996"/>
      <c r="M74" s="996"/>
      <c r="N74" s="996"/>
      <c r="O74" s="996"/>
      <c r="P74" s="996"/>
      <c r="Q74" s="996"/>
      <c r="R74" s="996"/>
      <c r="S74" s="996"/>
      <c r="T74" s="996"/>
      <c r="U74" s="996"/>
      <c r="V74" s="996"/>
      <c r="W74" s="2938"/>
      <c r="X74" s="996"/>
      <c r="Y74" s="2938"/>
      <c r="Z74" s="996"/>
      <c r="AA74" s="997"/>
      <c r="AB74" s="996">
        <f t="shared" si="11"/>
        <v>1428.5</v>
      </c>
      <c r="AC74" s="996"/>
      <c r="AD74" s="998"/>
      <c r="AE74" s="996">
        <f>+'Exh F'!AF72+'Exhibit G state'!AH55</f>
        <v>776.2</v>
      </c>
      <c r="AF74" s="1008"/>
      <c r="AG74" s="1008"/>
      <c r="AH74" s="996">
        <f t="shared" si="9"/>
        <v>652.29999999999995</v>
      </c>
      <c r="AI74" s="431"/>
      <c r="AJ74" s="1945">
        <f t="shared" si="10"/>
        <v>0.84</v>
      </c>
    </row>
    <row r="75" spans="1:36" ht="15">
      <c r="A75" s="1837" t="s">
        <v>1439</v>
      </c>
      <c r="B75" s="431"/>
      <c r="C75" s="996"/>
      <c r="D75" s="996"/>
      <c r="E75" s="996"/>
      <c r="F75" s="996"/>
      <c r="G75" s="996"/>
      <c r="H75" s="996"/>
      <c r="I75" s="996"/>
      <c r="J75" s="996"/>
      <c r="K75" s="996"/>
      <c r="L75" s="996"/>
      <c r="M75" s="996"/>
      <c r="N75" s="996"/>
      <c r="O75" s="996"/>
      <c r="P75" s="996"/>
      <c r="Q75" s="996"/>
      <c r="R75" s="996"/>
      <c r="S75" s="996"/>
      <c r="T75" s="996"/>
      <c r="U75" s="996"/>
      <c r="V75" s="996"/>
      <c r="W75" s="2938"/>
      <c r="X75" s="996"/>
      <c r="Y75" s="2938"/>
      <c r="Z75" s="996"/>
      <c r="AA75" s="997"/>
      <c r="AB75" s="996"/>
      <c r="AC75" s="996"/>
      <c r="AD75" s="998"/>
      <c r="AE75" s="996"/>
      <c r="AF75" s="1008"/>
      <c r="AG75" s="1008"/>
      <c r="AH75" s="996"/>
      <c r="AI75" s="431"/>
      <c r="AJ75" s="1871"/>
    </row>
    <row r="76" spans="1:36" ht="15">
      <c r="A76" s="1837" t="s">
        <v>1321</v>
      </c>
      <c r="B76" s="431"/>
      <c r="C76" s="996">
        <f>+'Exhibit G state'!D57</f>
        <v>43.5</v>
      </c>
      <c r="D76" s="996"/>
      <c r="E76" s="996">
        <f>+'Exhibit G state'!F57</f>
        <v>0.6</v>
      </c>
      <c r="F76" s="996"/>
      <c r="G76" s="996"/>
      <c r="H76" s="996"/>
      <c r="I76" s="996"/>
      <c r="J76" s="996"/>
      <c r="K76" s="996"/>
      <c r="L76" s="996"/>
      <c r="M76" s="996"/>
      <c r="N76" s="996"/>
      <c r="O76" s="996"/>
      <c r="P76" s="996"/>
      <c r="Q76" s="996"/>
      <c r="R76" s="996"/>
      <c r="S76" s="996"/>
      <c r="T76" s="996"/>
      <c r="U76" s="996"/>
      <c r="V76" s="996"/>
      <c r="W76" s="2938"/>
      <c r="X76" s="996"/>
      <c r="Y76" s="2938"/>
      <c r="Z76" s="996"/>
      <c r="AA76" s="997"/>
      <c r="AB76" s="996">
        <f>ROUND(SUM(C76:Y76),1)</f>
        <v>44.1</v>
      </c>
      <c r="AC76" s="996"/>
      <c r="AD76" s="998"/>
      <c r="AE76" s="996">
        <f>+'Exhibit G state'!AH57</f>
        <v>5.7</v>
      </c>
      <c r="AF76" s="1008"/>
      <c r="AG76" s="1008"/>
      <c r="AH76" s="996">
        <f t="shared" si="9"/>
        <v>38.4</v>
      </c>
      <c r="AI76" s="431"/>
      <c r="AJ76" s="1945">
        <f t="shared" si="10"/>
        <v>6.7370000000000001</v>
      </c>
    </row>
    <row r="77" spans="1:36" ht="15">
      <c r="A77" s="1837" t="s">
        <v>1322</v>
      </c>
      <c r="B77" s="431"/>
      <c r="C77" s="996">
        <f>+'Exhibit G state'!D58</f>
        <v>226.4</v>
      </c>
      <c r="D77" s="996"/>
      <c r="E77" s="996">
        <f>+'Exhibit G state'!F58</f>
        <v>191.2</v>
      </c>
      <c r="F77" s="996"/>
      <c r="G77" s="996"/>
      <c r="H77" s="996"/>
      <c r="I77" s="996"/>
      <c r="J77" s="996"/>
      <c r="K77" s="996"/>
      <c r="L77" s="996"/>
      <c r="M77" s="996"/>
      <c r="N77" s="996"/>
      <c r="O77" s="996"/>
      <c r="P77" s="996"/>
      <c r="Q77" s="996"/>
      <c r="R77" s="996"/>
      <c r="S77" s="996"/>
      <c r="T77" s="996"/>
      <c r="U77" s="996"/>
      <c r="V77" s="996"/>
      <c r="W77" s="2938"/>
      <c r="X77" s="996"/>
      <c r="Y77" s="2938"/>
      <c r="Z77" s="996"/>
      <c r="AA77" s="997"/>
      <c r="AB77" s="996">
        <f>ROUND(SUM(C77:Y77),1)</f>
        <v>417.6</v>
      </c>
      <c r="AC77" s="996"/>
      <c r="AD77" s="998"/>
      <c r="AE77" s="996">
        <f>+'Exhibit G state'!AH58</f>
        <v>402.5</v>
      </c>
      <c r="AF77" s="1008"/>
      <c r="AG77" s="1008"/>
      <c r="AH77" s="996">
        <f t="shared" si="9"/>
        <v>15.1</v>
      </c>
      <c r="AI77" s="431"/>
      <c r="AJ77" s="1945">
        <f t="shared" si="10"/>
        <v>3.7999999999999999E-2</v>
      </c>
    </row>
    <row r="78" spans="1:36" ht="15">
      <c r="A78" s="1837" t="s">
        <v>1323</v>
      </c>
      <c r="B78" s="431"/>
      <c r="C78" s="996">
        <f>+'Exhibit G state'!D59</f>
        <v>94.5</v>
      </c>
      <c r="D78" s="996"/>
      <c r="E78" s="996">
        <f>+'Exhibit G state'!F59</f>
        <v>73.400000000000006</v>
      </c>
      <c r="F78" s="996"/>
      <c r="G78" s="996"/>
      <c r="H78" s="996"/>
      <c r="I78" s="996"/>
      <c r="J78" s="996"/>
      <c r="K78" s="996"/>
      <c r="L78" s="996"/>
      <c r="M78" s="996"/>
      <c r="N78" s="996"/>
      <c r="O78" s="996"/>
      <c r="P78" s="996"/>
      <c r="Q78" s="996"/>
      <c r="R78" s="996"/>
      <c r="S78" s="996"/>
      <c r="T78" s="996"/>
      <c r="U78" s="996"/>
      <c r="V78" s="996"/>
      <c r="W78" s="2938"/>
      <c r="X78" s="996"/>
      <c r="Y78" s="2938"/>
      <c r="Z78" s="996"/>
      <c r="AA78" s="997"/>
      <c r="AB78" s="996">
        <f>ROUND(SUM(C78:Y78),1)</f>
        <v>167.9</v>
      </c>
      <c r="AC78" s="996"/>
      <c r="AD78" s="998"/>
      <c r="AE78" s="996">
        <f>+'Exhibit G state'!AH59</f>
        <v>163.19999999999999</v>
      </c>
      <c r="AF78" s="1008"/>
      <c r="AG78" s="1008"/>
      <c r="AH78" s="996">
        <f t="shared" si="9"/>
        <v>4.7</v>
      </c>
      <c r="AI78" s="431"/>
      <c r="AJ78" s="1945">
        <f t="shared" si="10"/>
        <v>2.9000000000000001E-2</v>
      </c>
    </row>
    <row r="79" spans="1:36" ht="15">
      <c r="A79" s="1837" t="s">
        <v>1310</v>
      </c>
      <c r="B79" s="431"/>
      <c r="C79" s="996">
        <f>+'Exh F'!D73+'Exhibit H'!B37+'Exhibit G state'!D60</f>
        <v>2.8</v>
      </c>
      <c r="D79" s="996"/>
      <c r="E79" s="996">
        <f>+'Exh F'!F73+'Exhibit H'!D37+'Exhibit G state'!F60</f>
        <v>4.0999999999999996</v>
      </c>
      <c r="F79" s="996"/>
      <c r="G79" s="996"/>
      <c r="H79" s="996"/>
      <c r="I79" s="996"/>
      <c r="J79" s="996"/>
      <c r="K79" s="996"/>
      <c r="L79" s="996"/>
      <c r="M79" s="996"/>
      <c r="N79" s="996"/>
      <c r="O79" s="996"/>
      <c r="P79" s="996"/>
      <c r="Q79" s="996"/>
      <c r="R79" s="996"/>
      <c r="S79" s="996"/>
      <c r="T79" s="996"/>
      <c r="U79" s="996"/>
      <c r="V79" s="996"/>
      <c r="W79" s="2938"/>
      <c r="X79" s="996"/>
      <c r="Y79" s="2938"/>
      <c r="Z79" s="996"/>
      <c r="AA79" s="997"/>
      <c r="AB79" s="996">
        <f>ROUND(SUM(C79:Y79),1)</f>
        <v>6.9</v>
      </c>
      <c r="AC79" s="996"/>
      <c r="AD79" s="998"/>
      <c r="AE79" s="996">
        <f>+'Exh F'!AF73+'Exhibit H'!AD37+'Exhibit G state'!AH60</f>
        <v>4.8</v>
      </c>
      <c r="AF79" s="1008"/>
      <c r="AG79" s="1008"/>
      <c r="AH79" s="996">
        <f t="shared" si="9"/>
        <v>2.1</v>
      </c>
      <c r="AI79" s="431"/>
      <c r="AJ79" s="1945">
        <f t="shared" si="10"/>
        <v>0.438</v>
      </c>
    </row>
    <row r="80" spans="1:36" ht="15">
      <c r="A80" s="1837" t="s">
        <v>1440</v>
      </c>
      <c r="B80" s="431"/>
      <c r="C80" s="996"/>
      <c r="D80" s="996"/>
      <c r="E80" s="996"/>
      <c r="F80" s="996"/>
      <c r="G80" s="996"/>
      <c r="H80" s="996"/>
      <c r="I80" s="996"/>
      <c r="J80" s="996"/>
      <c r="K80" s="996"/>
      <c r="L80" s="996"/>
      <c r="M80" s="996"/>
      <c r="N80" s="996"/>
      <c r="O80" s="996"/>
      <c r="P80" s="996"/>
      <c r="Q80" s="996"/>
      <c r="R80" s="996"/>
      <c r="S80" s="996"/>
      <c r="T80" s="996"/>
      <c r="U80" s="996"/>
      <c r="V80" s="996"/>
      <c r="W80" s="2938"/>
      <c r="X80" s="996"/>
      <c r="Y80" s="2938"/>
      <c r="Z80" s="996"/>
      <c r="AA80" s="997"/>
      <c r="AB80" s="996"/>
      <c r="AC80" s="996"/>
      <c r="AD80" s="998"/>
      <c r="AE80" s="996"/>
      <c r="AF80" s="1008"/>
      <c r="AG80" s="1008"/>
      <c r="AH80" s="996"/>
      <c r="AI80" s="431"/>
      <c r="AJ80" s="1871"/>
    </row>
    <row r="81" spans="1:36" ht="15">
      <c r="A81" s="1837" t="s">
        <v>1324</v>
      </c>
      <c r="B81" s="431"/>
      <c r="C81" s="996">
        <f>+'Exhibit G state'!D62</f>
        <v>0</v>
      </c>
      <c r="D81" s="996"/>
      <c r="E81" s="996">
        <f>+'Exhibit G state'!F62</f>
        <v>0</v>
      </c>
      <c r="F81" s="996"/>
      <c r="G81" s="996"/>
      <c r="H81" s="996"/>
      <c r="I81" s="996"/>
      <c r="J81" s="996"/>
      <c r="K81" s="996"/>
      <c r="L81" s="996"/>
      <c r="M81" s="996"/>
      <c r="N81" s="996"/>
      <c r="O81" s="996"/>
      <c r="P81" s="996"/>
      <c r="Q81" s="996"/>
      <c r="R81" s="996"/>
      <c r="S81" s="996"/>
      <c r="T81" s="996"/>
      <c r="U81" s="996"/>
      <c r="V81" s="996"/>
      <c r="W81" s="2938"/>
      <c r="X81" s="996"/>
      <c r="Y81" s="2938"/>
      <c r="Z81" s="996"/>
      <c r="AA81" s="997"/>
      <c r="AB81" s="996">
        <f t="shared" ref="AB81:AB86" si="12">ROUND(SUM(C81:Y81),1)</f>
        <v>0</v>
      </c>
      <c r="AC81" s="996"/>
      <c r="AD81" s="998"/>
      <c r="AE81" s="996">
        <f>+'Exhibit G state'!AH62</f>
        <v>0</v>
      </c>
      <c r="AF81" s="1008"/>
      <c r="AG81" s="1008"/>
      <c r="AH81" s="996">
        <f t="shared" si="9"/>
        <v>0</v>
      </c>
      <c r="AI81" s="431"/>
      <c r="AJ81" s="1871">
        <f>ROUND(IF(AE81=0,0,AH81/(AE81)),3)</f>
        <v>0</v>
      </c>
    </row>
    <row r="82" spans="1:36" ht="15">
      <c r="A82" s="1837" t="s">
        <v>1325</v>
      </c>
      <c r="B82" s="431"/>
      <c r="C82" s="996">
        <f>+'Exh F'!D75+'Exhibit G state'!D63</f>
        <v>0</v>
      </c>
      <c r="D82" s="996"/>
      <c r="E82" s="996">
        <f>+'Exh F'!F75+'Exhibit G state'!F63</f>
        <v>0</v>
      </c>
      <c r="F82" s="996"/>
      <c r="G82" s="996"/>
      <c r="H82" s="996"/>
      <c r="I82" s="996"/>
      <c r="J82" s="996"/>
      <c r="K82" s="996"/>
      <c r="L82" s="996"/>
      <c r="M82" s="996"/>
      <c r="N82" s="996"/>
      <c r="O82" s="996"/>
      <c r="P82" s="996"/>
      <c r="Q82" s="996"/>
      <c r="R82" s="996"/>
      <c r="S82" s="996"/>
      <c r="T82" s="996"/>
      <c r="U82" s="996"/>
      <c r="V82" s="996"/>
      <c r="W82" s="2938"/>
      <c r="X82" s="996"/>
      <c r="Y82" s="2938"/>
      <c r="Z82" s="996"/>
      <c r="AA82" s="997"/>
      <c r="AB82" s="996">
        <f t="shared" si="12"/>
        <v>0</v>
      </c>
      <c r="AC82" s="996"/>
      <c r="AD82" s="998"/>
      <c r="AE82" s="996">
        <f>+'Exh F'!AF75+'Exhibit G state'!AH63</f>
        <v>22.599999999999998</v>
      </c>
      <c r="AF82" s="1008"/>
      <c r="AG82" s="1008"/>
      <c r="AH82" s="996">
        <f t="shared" si="9"/>
        <v>-22.6</v>
      </c>
      <c r="AI82" s="431"/>
      <c r="AJ82" s="2834">
        <f>ROUND(IF(AE82=0,0,AH82/(AE82)),3)</f>
        <v>-1</v>
      </c>
    </row>
    <row r="83" spans="1:36" ht="15">
      <c r="A83" s="1837" t="s">
        <v>1326</v>
      </c>
      <c r="B83" s="431"/>
      <c r="C83" s="996">
        <f>+'Exh F'!D76+'Exhibit G state'!D64</f>
        <v>0.2</v>
      </c>
      <c r="D83" s="996"/>
      <c r="E83" s="996">
        <f>+'Exh F'!F76+'Exhibit G state'!F64</f>
        <v>5.7</v>
      </c>
      <c r="F83" s="996"/>
      <c r="G83" s="996"/>
      <c r="H83" s="996"/>
      <c r="I83" s="996"/>
      <c r="J83" s="996"/>
      <c r="K83" s="996"/>
      <c r="L83" s="996"/>
      <c r="M83" s="996"/>
      <c r="N83" s="996"/>
      <c r="O83" s="996"/>
      <c r="P83" s="996"/>
      <c r="Q83" s="996"/>
      <c r="R83" s="996"/>
      <c r="S83" s="996"/>
      <c r="T83" s="996"/>
      <c r="U83" s="996"/>
      <c r="V83" s="996"/>
      <c r="W83" s="2938"/>
      <c r="X83" s="996"/>
      <c r="Y83" s="2938"/>
      <c r="Z83" s="996"/>
      <c r="AA83" s="997"/>
      <c r="AB83" s="996">
        <f t="shared" si="12"/>
        <v>5.9</v>
      </c>
      <c r="AC83" s="996"/>
      <c r="AD83" s="998"/>
      <c r="AE83" s="996">
        <f>+'Exh F'!AF76+'Exhibit G state'!AH64</f>
        <v>14.6</v>
      </c>
      <c r="AF83" s="1008"/>
      <c r="AG83" s="1008"/>
      <c r="AH83" s="996">
        <f t="shared" si="9"/>
        <v>-8.6999999999999993</v>
      </c>
      <c r="AI83" s="431"/>
      <c r="AJ83" s="1945">
        <f t="shared" si="10"/>
        <v>-0.59599999999999997</v>
      </c>
    </row>
    <row r="84" spans="1:36" ht="15">
      <c r="A84" s="1837" t="s">
        <v>1327</v>
      </c>
      <c r="B84" s="431"/>
      <c r="C84" s="996">
        <f>+'Exh F'!D77+'Exhibit G state'!D65</f>
        <v>0.2</v>
      </c>
      <c r="D84" s="996"/>
      <c r="E84" s="996">
        <f>+'Exh F'!F77+'Exhibit G state'!F65</f>
        <v>0.7</v>
      </c>
      <c r="F84" s="996"/>
      <c r="G84" s="996"/>
      <c r="H84" s="996"/>
      <c r="I84" s="996"/>
      <c r="J84" s="996"/>
      <c r="K84" s="996"/>
      <c r="L84" s="996"/>
      <c r="M84" s="996"/>
      <c r="N84" s="996"/>
      <c r="O84" s="996"/>
      <c r="P84" s="996"/>
      <c r="Q84" s="996"/>
      <c r="R84" s="996"/>
      <c r="S84" s="996"/>
      <c r="T84" s="996"/>
      <c r="U84" s="996"/>
      <c r="V84" s="996"/>
      <c r="W84" s="2938"/>
      <c r="X84" s="996"/>
      <c r="Y84" s="2938"/>
      <c r="Z84" s="996"/>
      <c r="AA84" s="997"/>
      <c r="AB84" s="996">
        <f t="shared" si="12"/>
        <v>0.9</v>
      </c>
      <c r="AC84" s="996"/>
      <c r="AD84" s="998"/>
      <c r="AE84" s="996">
        <f>+'Exh F'!AF77+'Exhibit G state'!AH65</f>
        <v>2</v>
      </c>
      <c r="AF84" s="1008"/>
      <c r="AG84" s="1008"/>
      <c r="AH84" s="996">
        <f t="shared" si="9"/>
        <v>-1.1000000000000001</v>
      </c>
      <c r="AI84" s="431"/>
      <c r="AJ84" s="1945">
        <f t="shared" si="10"/>
        <v>-0.55000000000000004</v>
      </c>
    </row>
    <row r="85" spans="1:36" ht="15">
      <c r="A85" s="1837" t="s">
        <v>1328</v>
      </c>
      <c r="B85" s="431"/>
      <c r="C85" s="996">
        <f>+'Exh F'!D78+'Exhibit H'!B38+'Exhibit G state'!D66</f>
        <v>39.700000000000003</v>
      </c>
      <c r="D85" s="996"/>
      <c r="E85" s="996">
        <f>+'Exh F'!F78+'Exhibit H'!D38+'Exhibit G state'!F66</f>
        <v>8.4</v>
      </c>
      <c r="F85" s="996"/>
      <c r="G85" s="996"/>
      <c r="H85" s="996"/>
      <c r="I85" s="996"/>
      <c r="J85" s="996"/>
      <c r="K85" s="996"/>
      <c r="L85" s="996"/>
      <c r="M85" s="996"/>
      <c r="N85" s="996"/>
      <c r="O85" s="996"/>
      <c r="P85" s="996"/>
      <c r="Q85" s="996"/>
      <c r="R85" s="996"/>
      <c r="S85" s="996"/>
      <c r="T85" s="996"/>
      <c r="U85" s="996"/>
      <c r="V85" s="996"/>
      <c r="W85" s="2938"/>
      <c r="X85" s="996"/>
      <c r="Y85" s="2938"/>
      <c r="Z85" s="996"/>
      <c r="AA85" s="997"/>
      <c r="AB85" s="996">
        <f t="shared" si="12"/>
        <v>48.1</v>
      </c>
      <c r="AC85" s="996"/>
      <c r="AD85" s="998"/>
      <c r="AE85" s="996">
        <f>+'Exh F'!AF78+'Exhibit H'!AD38+'Exhibit G state'!AH66</f>
        <v>40.4</v>
      </c>
      <c r="AF85" s="1008"/>
      <c r="AG85" s="1008"/>
      <c r="AH85" s="996">
        <f t="shared" si="9"/>
        <v>7.7</v>
      </c>
      <c r="AI85" s="431"/>
      <c r="AJ85" s="1945">
        <f t="shared" si="10"/>
        <v>0.191</v>
      </c>
    </row>
    <row r="86" spans="1:36" ht="15">
      <c r="A86" s="1837" t="s">
        <v>1329</v>
      </c>
      <c r="B86" s="431"/>
      <c r="C86" s="996">
        <f>+'Exh F'!D79+'Exhibit H'!B39+'Exhibit G state'!D67</f>
        <v>34</v>
      </c>
      <c r="D86" s="996"/>
      <c r="E86" s="996">
        <f>+'Exh F'!F79+'Exhibit H'!D39+'Exhibit G state'!F67</f>
        <v>21.2</v>
      </c>
      <c r="F86" s="996"/>
      <c r="G86" s="996"/>
      <c r="H86" s="996"/>
      <c r="I86" s="996"/>
      <c r="J86" s="996"/>
      <c r="K86" s="996"/>
      <c r="L86" s="996"/>
      <c r="M86" s="996"/>
      <c r="N86" s="996"/>
      <c r="O86" s="996"/>
      <c r="P86" s="996"/>
      <c r="Q86" s="996"/>
      <c r="R86" s="996"/>
      <c r="S86" s="996"/>
      <c r="T86" s="996"/>
      <c r="U86" s="996"/>
      <c r="V86" s="996"/>
      <c r="W86" s="2938"/>
      <c r="X86" s="996"/>
      <c r="Y86" s="2938"/>
      <c r="Z86" s="996"/>
      <c r="AA86" s="997"/>
      <c r="AB86" s="996">
        <f t="shared" si="12"/>
        <v>55.2</v>
      </c>
      <c r="AC86" s="996"/>
      <c r="AD86" s="998"/>
      <c r="AE86" s="996">
        <f>+'Exh F'!AF79+'Exhibit H'!AD39+'Exhibit G state'!AH67</f>
        <v>61.099999999999994</v>
      </c>
      <c r="AF86" s="1008"/>
      <c r="AG86" s="1008"/>
      <c r="AH86" s="996">
        <f t="shared" si="9"/>
        <v>-5.9</v>
      </c>
      <c r="AI86" s="431"/>
      <c r="AJ86" s="1945">
        <f t="shared" si="10"/>
        <v>-9.7000000000000003E-2</v>
      </c>
    </row>
    <row r="87" spans="1:36" ht="15">
      <c r="A87" s="1837" t="s">
        <v>1441</v>
      </c>
      <c r="B87" s="431"/>
      <c r="C87" s="996"/>
      <c r="D87" s="996"/>
      <c r="E87" s="996"/>
      <c r="F87" s="996"/>
      <c r="G87" s="996"/>
      <c r="H87" s="996"/>
      <c r="I87" s="996"/>
      <c r="J87" s="996"/>
      <c r="K87" s="996"/>
      <c r="L87" s="996"/>
      <c r="M87" s="996"/>
      <c r="N87" s="996"/>
      <c r="O87" s="996"/>
      <c r="P87" s="996"/>
      <c r="Q87" s="996"/>
      <c r="R87" s="996"/>
      <c r="S87" s="996"/>
      <c r="T87" s="996"/>
      <c r="U87" s="996"/>
      <c r="V87" s="996"/>
      <c r="W87" s="2938"/>
      <c r="X87" s="996"/>
      <c r="Y87" s="2938"/>
      <c r="Z87" s="996"/>
      <c r="AA87" s="997"/>
      <c r="AB87" s="996"/>
      <c r="AC87" s="996"/>
      <c r="AD87" s="998"/>
      <c r="AE87" s="996"/>
      <c r="AF87" s="1008"/>
      <c r="AG87" s="1008"/>
      <c r="AH87" s="996"/>
      <c r="AI87" s="431"/>
      <c r="AJ87" s="1871"/>
    </row>
    <row r="88" spans="1:36" ht="15">
      <c r="A88" s="1837" t="s">
        <v>1330</v>
      </c>
      <c r="B88" s="431"/>
      <c r="C88" s="996">
        <f>+'Exh F'!D81+'Exhibit G state'!D69</f>
        <v>0.6</v>
      </c>
      <c r="D88" s="996"/>
      <c r="E88" s="996">
        <f>+'Exh F'!F81+'Exhibit G state'!F69</f>
        <v>16.100000000000001</v>
      </c>
      <c r="F88" s="996"/>
      <c r="G88" s="996"/>
      <c r="H88" s="996"/>
      <c r="I88" s="996"/>
      <c r="J88" s="996"/>
      <c r="K88" s="996"/>
      <c r="L88" s="996"/>
      <c r="M88" s="996"/>
      <c r="N88" s="996"/>
      <c r="O88" s="996"/>
      <c r="P88" s="996"/>
      <c r="Q88" s="996"/>
      <c r="R88" s="996"/>
      <c r="S88" s="996"/>
      <c r="T88" s="996"/>
      <c r="U88" s="996"/>
      <c r="V88" s="996"/>
      <c r="W88" s="2938"/>
      <c r="X88" s="996"/>
      <c r="Y88" s="2938"/>
      <c r="Z88" s="996"/>
      <c r="AA88" s="997"/>
      <c r="AB88" s="996">
        <f t="shared" ref="AB88:AB98" si="13">ROUND(SUM(C88:Y88),1)</f>
        <v>16.7</v>
      </c>
      <c r="AC88" s="996"/>
      <c r="AD88" s="998"/>
      <c r="AE88" s="996">
        <f>+'Exh F'!AF81+'Exhibit G state'!AH69</f>
        <v>9.1</v>
      </c>
      <c r="AF88" s="1008"/>
      <c r="AG88" s="1008"/>
      <c r="AH88" s="996">
        <f t="shared" si="9"/>
        <v>7.6</v>
      </c>
      <c r="AI88" s="431"/>
      <c r="AJ88" s="1945">
        <f t="shared" si="10"/>
        <v>0.83499999999999996</v>
      </c>
    </row>
    <row r="89" spans="1:36" ht="15">
      <c r="A89" s="1837" t="s">
        <v>1331</v>
      </c>
      <c r="B89" s="431"/>
      <c r="C89" s="996">
        <f>+'Exhibit G state'!D70</f>
        <v>0.1</v>
      </c>
      <c r="D89" s="996"/>
      <c r="E89" s="996">
        <f>+'Exhibit G state'!F70</f>
        <v>0.1</v>
      </c>
      <c r="F89" s="996"/>
      <c r="G89" s="996"/>
      <c r="H89" s="996"/>
      <c r="I89" s="996"/>
      <c r="J89" s="996"/>
      <c r="K89" s="996"/>
      <c r="L89" s="996"/>
      <c r="M89" s="996"/>
      <c r="N89" s="996"/>
      <c r="O89" s="996"/>
      <c r="P89" s="996"/>
      <c r="Q89" s="996"/>
      <c r="R89" s="996"/>
      <c r="S89" s="996"/>
      <c r="T89" s="996"/>
      <c r="U89" s="996"/>
      <c r="V89" s="996"/>
      <c r="W89" s="2938"/>
      <c r="X89" s="996"/>
      <c r="Y89" s="2938"/>
      <c r="Z89" s="996"/>
      <c r="AA89" s="997"/>
      <c r="AB89" s="996">
        <f t="shared" si="13"/>
        <v>0.2</v>
      </c>
      <c r="AC89" s="996"/>
      <c r="AD89" s="998"/>
      <c r="AE89" s="996">
        <f>+'Exhibit G state'!AH70</f>
        <v>4.5</v>
      </c>
      <c r="AF89" s="1008"/>
      <c r="AG89" s="1008"/>
      <c r="AH89" s="996">
        <f t="shared" si="9"/>
        <v>-4.3</v>
      </c>
      <c r="AI89" s="431"/>
      <c r="AJ89" s="1945">
        <f t="shared" si="10"/>
        <v>-0.95599999999999996</v>
      </c>
    </row>
    <row r="90" spans="1:36" ht="15">
      <c r="A90" s="1837" t="s">
        <v>1332</v>
      </c>
      <c r="B90" s="431"/>
      <c r="C90" s="996">
        <f>+'Exh F'!D82+'Exhibit G state'!D71</f>
        <v>1</v>
      </c>
      <c r="D90" s="996"/>
      <c r="E90" s="996">
        <f>+'Exh F'!F82+'Exhibit G state'!F71</f>
        <v>0.7</v>
      </c>
      <c r="F90" s="996"/>
      <c r="G90" s="996"/>
      <c r="H90" s="996"/>
      <c r="I90" s="996"/>
      <c r="J90" s="996"/>
      <c r="K90" s="996"/>
      <c r="L90" s="996"/>
      <c r="M90" s="996"/>
      <c r="N90" s="996"/>
      <c r="O90" s="996"/>
      <c r="P90" s="996"/>
      <c r="Q90" s="996"/>
      <c r="R90" s="996"/>
      <c r="S90" s="996"/>
      <c r="T90" s="996"/>
      <c r="U90" s="996"/>
      <c r="V90" s="996"/>
      <c r="W90" s="2938"/>
      <c r="X90" s="996"/>
      <c r="Y90" s="2938"/>
      <c r="Z90" s="996"/>
      <c r="AA90" s="997"/>
      <c r="AB90" s="996">
        <f t="shared" si="13"/>
        <v>1.7</v>
      </c>
      <c r="AC90" s="996"/>
      <c r="AD90" s="998"/>
      <c r="AE90" s="996">
        <f>+'Exh F'!AF82+'Exhibit G state'!AH71</f>
        <v>1.3</v>
      </c>
      <c r="AF90" s="1008"/>
      <c r="AG90" s="1008"/>
      <c r="AH90" s="996">
        <f t="shared" si="9"/>
        <v>0.4</v>
      </c>
      <c r="AI90" s="431"/>
      <c r="AJ90" s="1945">
        <f t="shared" si="10"/>
        <v>0.308</v>
      </c>
    </row>
    <row r="91" spans="1:36" ht="15">
      <c r="A91" s="1837" t="s">
        <v>1333</v>
      </c>
      <c r="B91" s="431"/>
      <c r="C91" s="996">
        <f>+'Exh F'!D83+'Exhibit G state'!D72</f>
        <v>1.4</v>
      </c>
      <c r="D91" s="996"/>
      <c r="E91" s="996">
        <f>+'Exh F'!F83+'Exhibit G state'!F72</f>
        <v>12</v>
      </c>
      <c r="F91" s="996"/>
      <c r="G91" s="996"/>
      <c r="H91" s="996"/>
      <c r="I91" s="996"/>
      <c r="J91" s="996"/>
      <c r="K91" s="996"/>
      <c r="L91" s="996"/>
      <c r="M91" s="996"/>
      <c r="N91" s="996"/>
      <c r="O91" s="996"/>
      <c r="P91" s="996"/>
      <c r="Q91" s="996"/>
      <c r="R91" s="996"/>
      <c r="S91" s="996"/>
      <c r="T91" s="996"/>
      <c r="U91" s="996"/>
      <c r="V91" s="996"/>
      <c r="W91" s="2938"/>
      <c r="X91" s="996"/>
      <c r="Y91" s="2938"/>
      <c r="Z91" s="996"/>
      <c r="AA91" s="997"/>
      <c r="AB91" s="996">
        <f t="shared" si="13"/>
        <v>13.4</v>
      </c>
      <c r="AC91" s="996"/>
      <c r="AD91" s="998"/>
      <c r="AE91" s="996">
        <f>+'Exh F'!AF83+'Exhibit G state'!AH72</f>
        <v>11.2</v>
      </c>
      <c r="AF91" s="1008"/>
      <c r="AG91" s="1008"/>
      <c r="AH91" s="996">
        <f t="shared" si="9"/>
        <v>2.2000000000000002</v>
      </c>
      <c r="AI91" s="431"/>
      <c r="AJ91" s="1945">
        <f t="shared" si="10"/>
        <v>0.19600000000000001</v>
      </c>
    </row>
    <row r="92" spans="1:36" ht="15">
      <c r="A92" s="1837" t="s">
        <v>1334</v>
      </c>
      <c r="B92" s="431"/>
      <c r="C92" s="996">
        <f>+'Exhibit H'!B41+'Exhibit G state'!D73</f>
        <v>-756.09999999999991</v>
      </c>
      <c r="D92" s="996"/>
      <c r="E92" s="996">
        <f>+'Exhibit H'!D41+'Exhibit G state'!F73</f>
        <v>322.89999999999998</v>
      </c>
      <c r="F92" s="996"/>
      <c r="G92" s="996"/>
      <c r="H92" s="996"/>
      <c r="I92" s="996"/>
      <c r="J92" s="996"/>
      <c r="K92" s="996"/>
      <c r="L92" s="996"/>
      <c r="M92" s="996"/>
      <c r="N92" s="996"/>
      <c r="O92" s="996"/>
      <c r="P92" s="996"/>
      <c r="Q92" s="996"/>
      <c r="R92" s="996"/>
      <c r="S92" s="996"/>
      <c r="T92" s="996"/>
      <c r="U92" s="996"/>
      <c r="V92" s="996"/>
      <c r="W92" s="2938"/>
      <c r="X92" s="996"/>
      <c r="Y92" s="2938"/>
      <c r="Z92" s="996"/>
      <c r="AA92" s="997"/>
      <c r="AB92" s="996">
        <f t="shared" si="13"/>
        <v>-433.2</v>
      </c>
      <c r="AC92" s="996"/>
      <c r="AD92" s="998"/>
      <c r="AE92" s="996">
        <f>+'Exhibit H'!AD41+'Exhibit G state'!AH73</f>
        <v>452.5</v>
      </c>
      <c r="AF92" s="1008"/>
      <c r="AG92" s="1008"/>
      <c r="AH92" s="996">
        <f t="shared" si="9"/>
        <v>-885.7</v>
      </c>
      <c r="AI92" s="431"/>
      <c r="AJ92" s="1945">
        <f t="shared" si="10"/>
        <v>-1.9570000000000001</v>
      </c>
    </row>
    <row r="93" spans="1:36" ht="15">
      <c r="A93" s="1837" t="s">
        <v>1335</v>
      </c>
      <c r="B93" s="431"/>
      <c r="C93" s="996">
        <f>+'Exhibit G state'!D74</f>
        <v>3.4</v>
      </c>
      <c r="D93" s="996"/>
      <c r="E93" s="996">
        <f>+'Exhibit G state'!F74</f>
        <v>0</v>
      </c>
      <c r="F93" s="996"/>
      <c r="G93" s="996"/>
      <c r="H93" s="996"/>
      <c r="I93" s="996"/>
      <c r="J93" s="996"/>
      <c r="K93" s="996"/>
      <c r="L93" s="996"/>
      <c r="M93" s="996"/>
      <c r="N93" s="996"/>
      <c r="O93" s="996"/>
      <c r="P93" s="996"/>
      <c r="Q93" s="996"/>
      <c r="R93" s="996"/>
      <c r="S93" s="996"/>
      <c r="T93" s="996"/>
      <c r="U93" s="996"/>
      <c r="V93" s="996"/>
      <c r="W93" s="2938"/>
      <c r="X93" s="996"/>
      <c r="Y93" s="2938"/>
      <c r="Z93" s="996"/>
      <c r="AA93" s="997"/>
      <c r="AB93" s="996">
        <f t="shared" si="13"/>
        <v>3.4</v>
      </c>
      <c r="AC93" s="996"/>
      <c r="AD93" s="998"/>
      <c r="AE93" s="996">
        <f>+'Exhibit G state'!AH74+'Exh F'!AF84</f>
        <v>1.1000000000000001</v>
      </c>
      <c r="AF93" s="1008"/>
      <c r="AG93" s="1008"/>
      <c r="AH93" s="996">
        <f t="shared" si="9"/>
        <v>2.2999999999999998</v>
      </c>
      <c r="AI93" s="431"/>
      <c r="AJ93" s="2781">
        <f t="shared" si="10"/>
        <v>2.0910000000000002</v>
      </c>
    </row>
    <row r="94" spans="1:36" ht="15">
      <c r="A94" s="1837" t="s">
        <v>1336</v>
      </c>
      <c r="B94" s="431"/>
      <c r="C94" s="996">
        <f>+'Exh F'!D85+'Exhibit G state'!D75</f>
        <v>82.2</v>
      </c>
      <c r="D94" s="996"/>
      <c r="E94" s="996">
        <f>+'Exh F'!F85+'Exhibit G state'!F75</f>
        <v>1053.5</v>
      </c>
      <c r="F94" s="996"/>
      <c r="G94" s="996"/>
      <c r="H94" s="996"/>
      <c r="I94" s="996"/>
      <c r="J94" s="996"/>
      <c r="K94" s="996"/>
      <c r="L94" s="996"/>
      <c r="M94" s="996"/>
      <c r="N94" s="996"/>
      <c r="O94" s="996"/>
      <c r="P94" s="996"/>
      <c r="Q94" s="996"/>
      <c r="R94" s="996"/>
      <c r="S94" s="996"/>
      <c r="T94" s="996"/>
      <c r="U94" s="996"/>
      <c r="V94" s="996"/>
      <c r="W94" s="2938"/>
      <c r="X94" s="996"/>
      <c r="Y94" s="2938"/>
      <c r="Z94" s="996"/>
      <c r="AA94" s="997"/>
      <c r="AB94" s="996">
        <f t="shared" si="13"/>
        <v>1135.7</v>
      </c>
      <c r="AC94" s="996"/>
      <c r="AD94" s="998"/>
      <c r="AE94" s="996">
        <f>+'Exh F'!AF85+'Exhibit G state'!AH75</f>
        <v>22.700000000000003</v>
      </c>
      <c r="AF94" s="1008"/>
      <c r="AG94" s="1008"/>
      <c r="AH94" s="996">
        <f t="shared" si="9"/>
        <v>1113</v>
      </c>
      <c r="AI94" s="431"/>
      <c r="AJ94" s="2781">
        <f t="shared" si="10"/>
        <v>49.030999999999999</v>
      </c>
    </row>
    <row r="95" spans="1:36" ht="15">
      <c r="A95" s="1837" t="s">
        <v>1337</v>
      </c>
      <c r="B95" s="431"/>
      <c r="C95" s="996">
        <f>+'Exh F'!D86+'Exhibit G state'!D76</f>
        <v>8.4</v>
      </c>
      <c r="D95" s="996"/>
      <c r="E95" s="996">
        <f>+'Exh F'!F86+'Exhibit G state'!F76</f>
        <v>7.9</v>
      </c>
      <c r="F95" s="996"/>
      <c r="G95" s="996"/>
      <c r="H95" s="996"/>
      <c r="I95" s="996"/>
      <c r="J95" s="996"/>
      <c r="K95" s="996"/>
      <c r="L95" s="996"/>
      <c r="M95" s="996"/>
      <c r="N95" s="996"/>
      <c r="O95" s="996"/>
      <c r="P95" s="996"/>
      <c r="Q95" s="996"/>
      <c r="R95" s="996"/>
      <c r="S95" s="996"/>
      <c r="T95" s="996"/>
      <c r="U95" s="996"/>
      <c r="V95" s="996"/>
      <c r="W95" s="2938"/>
      <c r="X95" s="996"/>
      <c r="Y95" s="2938"/>
      <c r="Z95" s="996"/>
      <c r="AA95" s="997"/>
      <c r="AB95" s="996">
        <f t="shared" si="13"/>
        <v>16.3</v>
      </c>
      <c r="AC95" s="996"/>
      <c r="AD95" s="998"/>
      <c r="AE95" s="996">
        <f>+'Exh F'!AF86+'Exhibit G state'!AH76</f>
        <v>10.7</v>
      </c>
      <c r="AF95" s="1008"/>
      <c r="AG95" s="1008"/>
      <c r="AH95" s="996">
        <f t="shared" si="9"/>
        <v>5.6</v>
      </c>
      <c r="AI95" s="431"/>
      <c r="AJ95" s="1945">
        <f t="shared" si="10"/>
        <v>0.52300000000000002</v>
      </c>
    </row>
    <row r="96" spans="1:36" ht="15">
      <c r="A96" s="1837" t="s">
        <v>1338</v>
      </c>
      <c r="B96" s="431"/>
      <c r="C96" s="996">
        <f>+'Exh F'!D87+'Exhibit G state'!D77</f>
        <v>11</v>
      </c>
      <c r="D96" s="996"/>
      <c r="E96" s="996">
        <f>+'Exh F'!F87+'Exhibit G state'!F77</f>
        <v>-3</v>
      </c>
      <c r="F96" s="996"/>
      <c r="G96" s="996"/>
      <c r="H96" s="996"/>
      <c r="I96" s="996"/>
      <c r="J96" s="996"/>
      <c r="K96" s="996"/>
      <c r="L96" s="996"/>
      <c r="M96" s="996"/>
      <c r="N96" s="996"/>
      <c r="O96" s="996"/>
      <c r="P96" s="996"/>
      <c r="Q96" s="996"/>
      <c r="R96" s="996"/>
      <c r="S96" s="996"/>
      <c r="T96" s="996"/>
      <c r="U96" s="996"/>
      <c r="V96" s="996"/>
      <c r="W96" s="2938"/>
      <c r="X96" s="996"/>
      <c r="Y96" s="2938"/>
      <c r="Z96" s="996"/>
      <c r="AA96" s="997"/>
      <c r="AB96" s="996">
        <f t="shared" si="13"/>
        <v>8</v>
      </c>
      <c r="AC96" s="996"/>
      <c r="AD96" s="998"/>
      <c r="AE96" s="996">
        <f>+'Exh F'!AF87+'Exhibit G state'!AH77</f>
        <v>11</v>
      </c>
      <c r="AF96" s="1008"/>
      <c r="AG96" s="1008"/>
      <c r="AH96" s="996">
        <f t="shared" si="9"/>
        <v>-3</v>
      </c>
      <c r="AI96" s="431"/>
      <c r="AJ96" s="1945">
        <f t="shared" si="10"/>
        <v>-0.27300000000000002</v>
      </c>
    </row>
    <row r="97" spans="1:45" ht="15">
      <c r="A97" s="1837" t="s">
        <v>1339</v>
      </c>
      <c r="B97" s="431"/>
      <c r="C97" s="996">
        <f>+'Exh F'!D88+'Exhibit G state'!D78</f>
        <v>1.9</v>
      </c>
      <c r="D97" s="996"/>
      <c r="E97" s="996">
        <f>+'Exh F'!F88+'Exhibit G state'!F78</f>
        <v>4.2</v>
      </c>
      <c r="F97" s="996"/>
      <c r="G97" s="996"/>
      <c r="H97" s="996"/>
      <c r="I97" s="996"/>
      <c r="J97" s="996"/>
      <c r="K97" s="996"/>
      <c r="L97" s="996"/>
      <c r="M97" s="996"/>
      <c r="N97" s="996"/>
      <c r="O97" s="996"/>
      <c r="P97" s="996"/>
      <c r="Q97" s="996"/>
      <c r="R97" s="996"/>
      <c r="S97" s="996"/>
      <c r="T97" s="996"/>
      <c r="U97" s="996"/>
      <c r="V97" s="996"/>
      <c r="W97" s="2938"/>
      <c r="X97" s="996"/>
      <c r="Y97" s="2938"/>
      <c r="Z97" s="996"/>
      <c r="AA97" s="997"/>
      <c r="AB97" s="996">
        <f t="shared" si="13"/>
        <v>6.1</v>
      </c>
      <c r="AC97" s="996"/>
      <c r="AD97" s="998"/>
      <c r="AE97" s="996">
        <f>+'Exh F'!AF88+'Exhibit G state'!AH78+'Exhibit H'!AD42</f>
        <v>2</v>
      </c>
      <c r="AF97" s="1008"/>
      <c r="AG97" s="1008"/>
      <c r="AH97" s="996">
        <f t="shared" si="9"/>
        <v>4.0999999999999996</v>
      </c>
      <c r="AI97" s="431"/>
      <c r="AJ97" s="1945">
        <f t="shared" si="10"/>
        <v>2.0499999999999998</v>
      </c>
    </row>
    <row r="98" spans="1:45" ht="15">
      <c r="A98" s="1837" t="s">
        <v>1340</v>
      </c>
      <c r="B98" s="431"/>
      <c r="C98" s="996">
        <f>+'Exhibit G state'!D79</f>
        <v>125.2</v>
      </c>
      <c r="D98" s="996"/>
      <c r="E98" s="996">
        <f>+'Exhibit G state'!F79</f>
        <v>76.099999999999994</v>
      </c>
      <c r="F98" s="996"/>
      <c r="G98" s="996"/>
      <c r="H98" s="996"/>
      <c r="I98" s="996"/>
      <c r="J98" s="996"/>
      <c r="K98" s="996"/>
      <c r="L98" s="996"/>
      <c r="M98" s="996"/>
      <c r="N98" s="996"/>
      <c r="O98" s="996"/>
      <c r="P98" s="996"/>
      <c r="Q98" s="996"/>
      <c r="R98" s="996"/>
      <c r="S98" s="996"/>
      <c r="T98" s="996"/>
      <c r="U98" s="996"/>
      <c r="V98" s="996"/>
      <c r="W98" s="2938"/>
      <c r="X98" s="996"/>
      <c r="Y98" s="2938"/>
      <c r="Z98" s="996"/>
      <c r="AA98" s="997"/>
      <c r="AB98" s="996">
        <f t="shared" si="13"/>
        <v>201.3</v>
      </c>
      <c r="AC98" s="996"/>
      <c r="AD98" s="998"/>
      <c r="AE98" s="996">
        <f>+'Exhibit G state'!AH79</f>
        <v>144.80000000000001</v>
      </c>
      <c r="AF98" s="1008"/>
      <c r="AG98" s="1008"/>
      <c r="AH98" s="996">
        <f t="shared" si="9"/>
        <v>56.5</v>
      </c>
      <c r="AI98" s="431"/>
      <c r="AJ98" s="1945">
        <f t="shared" si="10"/>
        <v>0.39</v>
      </c>
    </row>
    <row r="99" spans="1:45" ht="15.75">
      <c r="A99" s="590" t="s">
        <v>1375</v>
      </c>
      <c r="B99" s="413"/>
      <c r="C99" s="485">
        <f>ROUND(SUM(C60:C98),1)</f>
        <v>608.6</v>
      </c>
      <c r="D99" s="2114"/>
      <c r="E99" s="485">
        <f>ROUND(SUM(E60:E98),1)</f>
        <v>4091.9</v>
      </c>
      <c r="F99" s="2114"/>
      <c r="G99" s="485">
        <f>ROUND(SUM(G60:G98),1)</f>
        <v>0</v>
      </c>
      <c r="H99" s="1899"/>
      <c r="I99" s="485">
        <f>ROUND(SUM(I60:I98),1)</f>
        <v>0</v>
      </c>
      <c r="J99" s="1899"/>
      <c r="K99" s="485">
        <f>ROUND(SUM(K60:K98),1)</f>
        <v>0</v>
      </c>
      <c r="L99" s="1899"/>
      <c r="M99" s="485">
        <f>ROUND(SUM(M60:M98),1)</f>
        <v>0</v>
      </c>
      <c r="N99" s="1899"/>
      <c r="O99" s="485">
        <f>ROUND(SUM(O60:O98),1)</f>
        <v>0</v>
      </c>
      <c r="P99" s="1899"/>
      <c r="Q99" s="485">
        <f>ROUND(SUM(Q60:Q98),1)</f>
        <v>0</v>
      </c>
      <c r="R99" s="1899"/>
      <c r="S99" s="485">
        <f>ROUND(SUM(S60:S98),1)</f>
        <v>0</v>
      </c>
      <c r="T99" s="1899"/>
      <c r="U99" s="485">
        <f>ROUND(SUM(U60:U98),1)</f>
        <v>0</v>
      </c>
      <c r="V99" s="1899"/>
      <c r="W99" s="485">
        <f>ROUND(SUM(W60:W98),1)</f>
        <v>0</v>
      </c>
      <c r="X99" s="410"/>
      <c r="Y99" s="485">
        <f>ROUND(SUM(Y60:Y98),1)</f>
        <v>0</v>
      </c>
      <c r="Z99" s="410"/>
      <c r="AA99" s="486"/>
      <c r="AB99" s="485">
        <f>ROUND(SUM(AB60:AB98),1)</f>
        <v>4700.5</v>
      </c>
      <c r="AC99" s="1899"/>
      <c r="AD99" s="259"/>
      <c r="AE99" s="485">
        <f>ROUND(SUM(AE60:AE98),1)</f>
        <v>4447.2</v>
      </c>
      <c r="AF99" s="273"/>
      <c r="AG99" s="2123"/>
      <c r="AH99" s="485">
        <f>ROUND(SUM(AH60:AH98),1)</f>
        <v>253.3</v>
      </c>
      <c r="AI99" s="273"/>
      <c r="AJ99" s="2115">
        <f>ROUND(SUM(+AH99/AE99),3)</f>
        <v>5.7000000000000002E-2</v>
      </c>
    </row>
    <row r="100" spans="1:45" ht="15">
      <c r="A100" s="431"/>
      <c r="B100" s="431"/>
      <c r="C100" s="996"/>
      <c r="D100" s="996"/>
      <c r="E100" s="996"/>
      <c r="F100" s="996"/>
      <c r="G100" s="996"/>
      <c r="H100" s="996"/>
      <c r="I100" s="996"/>
      <c r="J100" s="996"/>
      <c r="K100" s="996"/>
      <c r="L100" s="996"/>
      <c r="M100" s="996"/>
      <c r="N100" s="996"/>
      <c r="O100" s="996"/>
      <c r="P100" s="996"/>
      <c r="Q100" s="996"/>
      <c r="R100" s="996"/>
      <c r="S100" s="996"/>
      <c r="T100" s="996"/>
      <c r="U100" s="996"/>
      <c r="V100" s="996"/>
      <c r="X100" s="996"/>
      <c r="Y100" s="996"/>
      <c r="Z100" s="996"/>
      <c r="AA100" s="1944"/>
      <c r="AB100" s="996"/>
      <c r="AC100" s="1008"/>
      <c r="AD100" s="997"/>
      <c r="AE100" s="996"/>
      <c r="AF100" s="1008"/>
      <c r="AG100" s="1008"/>
      <c r="AH100" s="996"/>
      <c r="AI100" s="431"/>
      <c r="AJ100" s="1945"/>
    </row>
    <row r="101" spans="1:45" ht="15">
      <c r="A101" s="431" t="s">
        <v>22</v>
      </c>
      <c r="B101" s="431"/>
      <c r="C101" s="1001">
        <f>+'Exh F'!D91+'Exhibit G state'!D82+'Exhibit H'!B45</f>
        <v>0</v>
      </c>
      <c r="D101" s="996"/>
      <c r="E101" s="1001">
        <f>+'Exh F'!F91+'Exhibit G state'!F82+'Exhibit H'!D45</f>
        <v>0.1</v>
      </c>
      <c r="F101" s="996"/>
      <c r="G101" s="1001"/>
      <c r="H101" s="996"/>
      <c r="I101" s="1001"/>
      <c r="J101" s="996"/>
      <c r="K101" s="1001"/>
      <c r="L101" s="996"/>
      <c r="M101" s="1001"/>
      <c r="N101" s="996"/>
      <c r="O101" s="1001"/>
      <c r="P101" s="996"/>
      <c r="Q101" s="1001"/>
      <c r="R101" s="996"/>
      <c r="S101" s="1001"/>
      <c r="T101" s="996"/>
      <c r="U101" s="1001"/>
      <c r="V101" s="996"/>
      <c r="W101" s="1001"/>
      <c r="X101" s="996"/>
      <c r="Y101" s="1001"/>
      <c r="Z101" s="996"/>
      <c r="AA101" s="997"/>
      <c r="AB101" s="1001">
        <f>ROUND(SUM(C101:Y101),1)</f>
        <v>0.1</v>
      </c>
      <c r="AC101" s="996"/>
      <c r="AD101" s="998"/>
      <c r="AE101" s="1001">
        <f>+'Exh F'!AF91+'Exhibit G state'!AH82+'Exhibit H'!AD45</f>
        <v>0.5</v>
      </c>
      <c r="AF101" s="1008"/>
      <c r="AG101" s="1008"/>
      <c r="AH101" s="1001">
        <f>ROUND(SUM(AB101-AE101),1)</f>
        <v>-0.4</v>
      </c>
      <c r="AI101" s="431"/>
      <c r="AJ101" s="1945">
        <f>ROUND(SUM(AH101/AE101),3)</f>
        <v>-0.8</v>
      </c>
    </row>
    <row r="102" spans="1:45" ht="15">
      <c r="A102" s="431"/>
      <c r="B102" s="431"/>
      <c r="C102" s="996"/>
      <c r="D102" s="996"/>
      <c r="E102" s="996"/>
      <c r="F102" s="996"/>
      <c r="G102" s="996"/>
      <c r="H102" s="996"/>
      <c r="I102" s="996"/>
      <c r="J102" s="996"/>
      <c r="K102" s="996"/>
      <c r="L102" s="996"/>
      <c r="M102" s="996"/>
      <c r="N102" s="996"/>
      <c r="O102" s="996"/>
      <c r="P102" s="996"/>
      <c r="Q102" s="996"/>
      <c r="R102" s="996"/>
      <c r="S102" s="996"/>
      <c r="T102" s="996"/>
      <c r="U102" s="996"/>
      <c r="V102" s="996"/>
      <c r="W102" s="996"/>
      <c r="X102" s="996"/>
      <c r="Y102" s="996"/>
      <c r="Z102" s="996"/>
      <c r="AA102" s="997"/>
      <c r="AB102" s="996"/>
      <c r="AC102" s="996"/>
      <c r="AD102" s="998"/>
      <c r="AE102" s="996"/>
      <c r="AF102" s="1008"/>
      <c r="AG102" s="1008"/>
      <c r="AH102" s="996"/>
      <c r="AI102" s="431"/>
      <c r="AJ102" s="1002"/>
    </row>
    <row r="103" spans="1:45" ht="15.75">
      <c r="A103" s="221" t="s">
        <v>156</v>
      </c>
      <c r="B103" s="222"/>
      <c r="C103" s="1745">
        <f>ROUND(SUM(C101+C99+C56),1)</f>
        <v>9150</v>
      </c>
      <c r="D103" s="1899"/>
      <c r="E103" s="1745">
        <f>ROUND(SUM(E101+E99+E56),1)</f>
        <v>7883.7</v>
      </c>
      <c r="F103" s="1899"/>
      <c r="G103" s="1745">
        <f>ROUND(SUM(G101+G99+G56),1)</f>
        <v>0</v>
      </c>
      <c r="H103" s="1899"/>
      <c r="I103" s="1745">
        <f>ROUND(SUM(I101+I99+I56),1)</f>
        <v>0</v>
      </c>
      <c r="J103" s="1899"/>
      <c r="K103" s="1745">
        <f>ROUND(SUM(K101+K99+K56),1)</f>
        <v>0</v>
      </c>
      <c r="L103" s="1899"/>
      <c r="M103" s="1745">
        <f>ROUND(SUM(M101+M99+M56),1)</f>
        <v>0</v>
      </c>
      <c r="N103" s="1899"/>
      <c r="O103" s="1745">
        <f>ROUND(SUM(O101+O99+O56),1)</f>
        <v>0</v>
      </c>
      <c r="P103" s="1899"/>
      <c r="Q103" s="1745">
        <f>ROUND(SUM(Q101+Q99+Q56),1)</f>
        <v>0</v>
      </c>
      <c r="R103" s="1899"/>
      <c r="S103" s="1745">
        <f>ROUND(SUM(S101+S99+S56),1)</f>
        <v>0</v>
      </c>
      <c r="T103" s="1899"/>
      <c r="U103" s="1745">
        <f>ROUND(SUM(U101+U99+U56),1)</f>
        <v>0</v>
      </c>
      <c r="V103" s="1899"/>
      <c r="W103" s="1745">
        <f>ROUND(SUM(W101+W99+W56),1)</f>
        <v>0</v>
      </c>
      <c r="X103" s="410"/>
      <c r="Y103" s="1745">
        <f>ROUND(SUM(Y101+Y99+Y56),1)</f>
        <v>0</v>
      </c>
      <c r="Z103" s="478"/>
      <c r="AA103" s="479"/>
      <c r="AB103" s="1745">
        <f>ROUND(SUM(AB101+AB99+AB56),1)</f>
        <v>17033.7</v>
      </c>
      <c r="AC103" s="1899"/>
      <c r="AD103" s="259"/>
      <c r="AE103" s="1745">
        <f>ROUND(SUM(AE101+AE99+AE56),1)</f>
        <v>15436.1</v>
      </c>
      <c r="AF103" s="273"/>
      <c r="AG103" s="2123"/>
      <c r="AH103" s="1745">
        <f>ROUND(SUM(AH101+AH99+AH56),1)</f>
        <v>1597.6</v>
      </c>
      <c r="AI103" s="273"/>
      <c r="AJ103" s="526">
        <f>ROUND(SUM(+AH103/AE103),3)</f>
        <v>0.10299999999999999</v>
      </c>
      <c r="AK103" s="796"/>
      <c r="AL103" s="796"/>
      <c r="AM103" s="796"/>
      <c r="AN103" s="796"/>
      <c r="AO103" s="796"/>
      <c r="AP103" s="796"/>
      <c r="AQ103" s="796"/>
      <c r="AR103" s="796"/>
      <c r="AS103" s="796"/>
    </row>
    <row r="104" spans="1:45" ht="15.75">
      <c r="A104" s="410"/>
      <c r="B104" s="431"/>
      <c r="C104" s="1007"/>
      <c r="D104" s="996"/>
      <c r="E104" s="1007"/>
      <c r="F104" s="996"/>
      <c r="G104" s="1007"/>
      <c r="H104" s="996"/>
      <c r="I104" s="1007"/>
      <c r="J104" s="996"/>
      <c r="K104" s="1007"/>
      <c r="L104" s="996"/>
      <c r="M104" s="1007"/>
      <c r="N104" s="996"/>
      <c r="O104" s="1007"/>
      <c r="P104" s="996"/>
      <c r="Q104" s="1007"/>
      <c r="R104" s="996"/>
      <c r="S104" s="1007"/>
      <c r="T104" s="996"/>
      <c r="U104" s="1007"/>
      <c r="V104" s="996"/>
      <c r="W104" s="1007"/>
      <c r="X104" s="996"/>
      <c r="Y104" s="1007"/>
      <c r="Z104" s="996"/>
      <c r="AA104" s="997"/>
      <c r="AB104" s="1007"/>
      <c r="AC104" s="996"/>
      <c r="AD104" s="998"/>
      <c r="AE104" s="1007"/>
      <c r="AF104" s="1008"/>
      <c r="AG104" s="1008"/>
      <c r="AH104" s="1177"/>
      <c r="AI104" s="431"/>
      <c r="AJ104" s="1721"/>
    </row>
    <row r="105" spans="1:45" ht="15.75">
      <c r="A105" s="410" t="s">
        <v>24</v>
      </c>
      <c r="B105" s="431"/>
      <c r="C105" s="1008"/>
      <c r="D105" s="996"/>
      <c r="E105" s="1008"/>
      <c r="F105" s="996"/>
      <c r="G105" s="1008"/>
      <c r="H105" s="996"/>
      <c r="I105" s="1008"/>
      <c r="J105" s="996"/>
      <c r="K105" s="1008"/>
      <c r="L105" s="996"/>
      <c r="M105" s="1008"/>
      <c r="N105" s="996"/>
      <c r="O105" s="1008"/>
      <c r="P105" s="996"/>
      <c r="Q105" s="1008"/>
      <c r="R105" s="996"/>
      <c r="S105" s="1008"/>
      <c r="T105" s="996"/>
      <c r="U105" s="1008"/>
      <c r="V105" s="996"/>
      <c r="W105" s="1008"/>
      <c r="X105" s="996"/>
      <c r="Y105" s="1008"/>
      <c r="Z105" s="996"/>
      <c r="AA105" s="997"/>
      <c r="AB105" s="1008"/>
      <c r="AC105" s="996"/>
      <c r="AD105" s="998"/>
      <c r="AE105" s="1008"/>
      <c r="AF105" s="1008"/>
      <c r="AG105" s="1008"/>
      <c r="AH105" s="1177"/>
      <c r="AI105" s="431"/>
      <c r="AJ105" s="1721"/>
    </row>
    <row r="106" spans="1:45" ht="15">
      <c r="A106" s="431" t="s">
        <v>142</v>
      </c>
      <c r="B106" s="431"/>
      <c r="C106" s="996"/>
      <c r="D106" s="996"/>
      <c r="E106" s="996"/>
      <c r="F106" s="996"/>
      <c r="G106" s="996"/>
      <c r="H106" s="996"/>
      <c r="I106" s="996"/>
      <c r="J106" s="996"/>
      <c r="K106" s="996"/>
      <c r="L106" s="996"/>
      <c r="M106" s="996"/>
      <c r="N106" s="996"/>
      <c r="O106" s="996"/>
      <c r="P106" s="996"/>
      <c r="Q106" s="996"/>
      <c r="R106" s="996"/>
      <c r="S106" s="996"/>
      <c r="T106" s="996"/>
      <c r="U106" s="996"/>
      <c r="V106" s="996"/>
      <c r="W106" s="996"/>
      <c r="X106" s="996"/>
      <c r="Y106" s="996"/>
      <c r="Z106" s="996"/>
      <c r="AA106" s="997"/>
      <c r="AB106" s="996"/>
      <c r="AC106" s="996"/>
      <c r="AD106" s="998"/>
      <c r="AE106" s="1177"/>
      <c r="AF106" s="1008"/>
      <c r="AG106" s="1008"/>
      <c r="AH106" s="996"/>
      <c r="AI106" s="431"/>
      <c r="AJ106" s="1945"/>
    </row>
    <row r="107" spans="1:45" ht="15">
      <c r="A107" s="1949" t="s">
        <v>26</v>
      </c>
      <c r="B107" s="431"/>
      <c r="C107" s="996">
        <f>+'Exh F'!D97+'Exhibit G state'!D88</f>
        <v>571.70000000000005</v>
      </c>
      <c r="D107" s="996"/>
      <c r="E107" s="996">
        <f>+'Exh F'!F97+'Exhibit G state'!F88</f>
        <v>2823.7999999999997</v>
      </c>
      <c r="F107" s="996"/>
      <c r="G107" s="2107"/>
      <c r="H107" s="996"/>
      <c r="I107" s="2107"/>
      <c r="J107" s="996"/>
      <c r="K107" s="2107"/>
      <c r="L107" s="996"/>
      <c r="M107" s="2107"/>
      <c r="N107" s="996"/>
      <c r="O107" s="2107"/>
      <c r="P107" s="996"/>
      <c r="Q107" s="2107"/>
      <c r="R107" s="996"/>
      <c r="S107" s="2107"/>
      <c r="T107" s="996"/>
      <c r="U107" s="2107"/>
      <c r="V107" s="996"/>
      <c r="W107" s="2938"/>
      <c r="X107" s="996"/>
      <c r="Y107" s="2938"/>
      <c r="Z107" s="996"/>
      <c r="AA107" s="997"/>
      <c r="AB107" s="1177">
        <f>ROUND(SUM(C107:Y107),1)</f>
        <v>3395.5</v>
      </c>
      <c r="AC107" s="996"/>
      <c r="AD107" s="998"/>
      <c r="AE107" s="1177">
        <f>+'Exh F'!AF97+'Exhibit G state'!AH88</f>
        <v>3339.6</v>
      </c>
      <c r="AF107" s="1008"/>
      <c r="AG107" s="1008"/>
      <c r="AH107" s="996">
        <f>ROUND(SUM(AB107-AE107),1)</f>
        <v>55.9</v>
      </c>
      <c r="AI107" s="431"/>
      <c r="AJ107" s="1945">
        <f>ROUND(SUM(AH107/AE107),3)</f>
        <v>1.7000000000000001E-2</v>
      </c>
    </row>
    <row r="108" spans="1:45" ht="15">
      <c r="A108" s="1949" t="s">
        <v>27</v>
      </c>
      <c r="B108" s="431"/>
      <c r="C108" s="996">
        <f>+'Exh F'!D98+'Exhibit G state'!D89</f>
        <v>0</v>
      </c>
      <c r="D108" s="996"/>
      <c r="E108" s="996">
        <f>+'Exh F'!F98+'Exhibit G state'!F89</f>
        <v>0.9</v>
      </c>
      <c r="F108" s="996"/>
      <c r="G108" s="2107"/>
      <c r="H108" s="996"/>
      <c r="I108" s="2107"/>
      <c r="J108" s="996"/>
      <c r="K108" s="2107"/>
      <c r="L108" s="996"/>
      <c r="M108" s="2107"/>
      <c r="N108" s="996"/>
      <c r="O108" s="2107"/>
      <c r="P108" s="996"/>
      <c r="Q108" s="2107"/>
      <c r="R108" s="996"/>
      <c r="S108" s="2107"/>
      <c r="T108" s="996"/>
      <c r="U108" s="2107"/>
      <c r="V108" s="996"/>
      <c r="W108" s="2938"/>
      <c r="X108" s="996"/>
      <c r="Y108" s="2938"/>
      <c r="Z108" s="996"/>
      <c r="AA108" s="997"/>
      <c r="AB108" s="1177">
        <f t="shared" ref="AB108:AB115" si="14">ROUND(SUM(C108:Y108),1)</f>
        <v>0.9</v>
      </c>
      <c r="AC108" s="996"/>
      <c r="AD108" s="998"/>
      <c r="AE108" s="1177">
        <f>+'Exh F'!AF98+'Exhibit G state'!AH89</f>
        <v>0.4</v>
      </c>
      <c r="AF108" s="1008"/>
      <c r="AG108" s="1008"/>
      <c r="AH108" s="996">
        <f t="shared" ref="AH108:AH115" si="15">ROUND(SUM(AB108-AE108),1)</f>
        <v>0.5</v>
      </c>
      <c r="AI108" s="431"/>
      <c r="AJ108" s="1945">
        <f t="shared" ref="AJ108:AJ115" si="16">ROUND(SUM(AH108/AE108),3)</f>
        <v>1.25</v>
      </c>
    </row>
    <row r="109" spans="1:45" ht="15">
      <c r="A109" s="1949" t="s">
        <v>28</v>
      </c>
      <c r="B109" s="431"/>
      <c r="C109" s="996">
        <f>+'Exh F'!D99+'Exhibit G state'!D90</f>
        <v>14.3</v>
      </c>
      <c r="D109" s="996"/>
      <c r="E109" s="996">
        <f>+'Exh F'!F99+'Exhibit G state'!F90</f>
        <v>31.6</v>
      </c>
      <c r="F109" s="996"/>
      <c r="G109" s="2107"/>
      <c r="H109" s="996"/>
      <c r="I109" s="2107"/>
      <c r="J109" s="996"/>
      <c r="K109" s="2107"/>
      <c r="L109" s="996"/>
      <c r="M109" s="2107"/>
      <c r="N109" s="996"/>
      <c r="O109" s="2107"/>
      <c r="P109" s="996"/>
      <c r="Q109" s="2107"/>
      <c r="R109" s="996"/>
      <c r="S109" s="2107"/>
      <c r="T109" s="996"/>
      <c r="U109" s="2107"/>
      <c r="V109" s="996"/>
      <c r="W109" s="2938"/>
      <c r="X109" s="996"/>
      <c r="Y109" s="2938"/>
      <c r="Z109" s="996"/>
      <c r="AA109" s="997"/>
      <c r="AB109" s="1177">
        <f t="shared" si="14"/>
        <v>45.9</v>
      </c>
      <c r="AC109" s="996"/>
      <c r="AD109" s="998"/>
      <c r="AE109" s="1177">
        <f>+'Exh F'!AF99+'Exhibit G state'!AH90</f>
        <v>35.299999999999997</v>
      </c>
      <c r="AF109" s="1008"/>
      <c r="AG109" s="1008"/>
      <c r="AH109" s="996">
        <f t="shared" si="15"/>
        <v>10.6</v>
      </c>
      <c r="AI109" s="431"/>
      <c r="AJ109" s="1945">
        <f t="shared" si="16"/>
        <v>0.3</v>
      </c>
    </row>
    <row r="110" spans="1:45" ht="15">
      <c r="A110" s="1949" t="s">
        <v>29</v>
      </c>
      <c r="B110" s="431"/>
      <c r="C110" s="996"/>
      <c r="D110" s="996"/>
      <c r="E110" s="996"/>
      <c r="F110" s="996"/>
      <c r="G110" s="2107"/>
      <c r="H110" s="996"/>
      <c r="I110" s="2107"/>
      <c r="J110" s="996"/>
      <c r="K110" s="2107"/>
      <c r="L110" s="996"/>
      <c r="M110" s="2107"/>
      <c r="N110" s="996"/>
      <c r="O110" s="2107"/>
      <c r="P110" s="996"/>
      <c r="Q110" s="2107"/>
      <c r="R110" s="996"/>
      <c r="S110" s="2107"/>
      <c r="T110" s="996"/>
      <c r="U110" s="2107"/>
      <c r="V110" s="996"/>
      <c r="W110" s="2938"/>
      <c r="X110" s="996"/>
      <c r="Y110" s="2938"/>
      <c r="Z110" s="996"/>
      <c r="AA110" s="997"/>
      <c r="AB110" s="1177"/>
      <c r="AC110" s="996"/>
      <c r="AD110" s="998"/>
      <c r="AE110" s="1259"/>
      <c r="AF110" s="1008"/>
      <c r="AG110" s="1008"/>
      <c r="AH110" s="996" t="s">
        <v>16</v>
      </c>
      <c r="AI110" s="431"/>
      <c r="AJ110" s="1945"/>
    </row>
    <row r="111" spans="1:45" ht="15">
      <c r="A111" s="1950" t="s">
        <v>30</v>
      </c>
      <c r="B111" s="431"/>
      <c r="C111" s="996">
        <f>+'Exh F'!D101+'Exhibit G state'!D92</f>
        <v>1633.1999999999998</v>
      </c>
      <c r="D111" s="996"/>
      <c r="E111" s="996">
        <f>+'Exh F'!F101+'Exhibit G state'!F92</f>
        <v>1908.8999999999999</v>
      </c>
      <c r="F111" s="996"/>
      <c r="G111" s="2107"/>
      <c r="H111" s="996"/>
      <c r="I111" s="2107"/>
      <c r="J111" s="996"/>
      <c r="K111" s="2107"/>
      <c r="L111" s="996"/>
      <c r="M111" s="2107"/>
      <c r="N111" s="996"/>
      <c r="O111" s="2107"/>
      <c r="P111" s="996"/>
      <c r="Q111" s="2107"/>
      <c r="R111" s="996"/>
      <c r="S111" s="2107"/>
      <c r="T111" s="996"/>
      <c r="U111" s="2107"/>
      <c r="V111" s="996"/>
      <c r="W111" s="2938"/>
      <c r="X111" s="996"/>
      <c r="Y111" s="2938"/>
      <c r="Z111" s="996"/>
      <c r="AA111" s="997"/>
      <c r="AB111" s="1177">
        <f t="shared" si="14"/>
        <v>3542.1</v>
      </c>
      <c r="AC111" s="996"/>
      <c r="AD111" s="998"/>
      <c r="AE111" s="1177">
        <f>+'Exh F'!AF101+'Exhibit G state'!AH92</f>
        <v>2901.2</v>
      </c>
      <c r="AF111" s="1008"/>
      <c r="AG111" s="1008"/>
      <c r="AH111" s="996">
        <f t="shared" si="15"/>
        <v>640.9</v>
      </c>
      <c r="AI111" s="431"/>
      <c r="AJ111" s="1945">
        <f t="shared" si="16"/>
        <v>0.221</v>
      </c>
      <c r="AK111" s="419"/>
    </row>
    <row r="112" spans="1:45" ht="15">
      <c r="A112" s="1949" t="s">
        <v>31</v>
      </c>
      <c r="B112" s="431"/>
      <c r="C112" s="996">
        <f>+'Exh F'!D102+'Exhibit G state'!D93</f>
        <v>98.8</v>
      </c>
      <c r="D112" s="996"/>
      <c r="E112" s="996">
        <f>+'Exh F'!F102+'Exhibit G state'!F93</f>
        <v>260.60000000000002</v>
      </c>
      <c r="F112" s="996"/>
      <c r="G112" s="2107"/>
      <c r="H112" s="996"/>
      <c r="I112" s="2107"/>
      <c r="J112" s="996"/>
      <c r="K112" s="2107"/>
      <c r="L112" s="996"/>
      <c r="M112" s="2107"/>
      <c r="N112" s="996"/>
      <c r="O112" s="2107"/>
      <c r="P112" s="996"/>
      <c r="Q112" s="2107"/>
      <c r="R112" s="996"/>
      <c r="S112" s="2107"/>
      <c r="T112" s="996"/>
      <c r="U112" s="2107"/>
      <c r="V112" s="996"/>
      <c r="W112" s="2938"/>
      <c r="X112" s="996"/>
      <c r="Y112" s="2938"/>
      <c r="Z112" s="996"/>
      <c r="AA112" s="997"/>
      <c r="AB112" s="1177">
        <f t="shared" si="14"/>
        <v>359.4</v>
      </c>
      <c r="AC112" s="1946"/>
      <c r="AD112" s="996"/>
      <c r="AE112" s="1177">
        <f>+'Exh F'!AF102+'Exhibit G state'!AH93</f>
        <v>299.89999999999998</v>
      </c>
      <c r="AF112" s="1008"/>
      <c r="AG112" s="1008"/>
      <c r="AH112" s="996">
        <f t="shared" si="15"/>
        <v>59.5</v>
      </c>
      <c r="AI112" s="431"/>
      <c r="AJ112" s="1945">
        <f t="shared" si="16"/>
        <v>0.19800000000000001</v>
      </c>
    </row>
    <row r="113" spans="1:44" ht="15">
      <c r="A113" s="1949" t="s">
        <v>32</v>
      </c>
      <c r="B113" s="431"/>
      <c r="C113" s="996">
        <f>+'Exh F'!D103+'Exhibit G state'!D94</f>
        <v>14.6</v>
      </c>
      <c r="D113" s="996"/>
      <c r="E113" s="996">
        <f>+'Exh F'!F103+'Exhibit G state'!F94</f>
        <v>44.5</v>
      </c>
      <c r="F113" s="996"/>
      <c r="G113" s="2107"/>
      <c r="H113" s="996"/>
      <c r="I113" s="2107"/>
      <c r="J113" s="996"/>
      <c r="K113" s="2107"/>
      <c r="L113" s="996"/>
      <c r="M113" s="2107"/>
      <c r="N113" s="996"/>
      <c r="O113" s="2107"/>
      <c r="P113" s="996"/>
      <c r="Q113" s="2107"/>
      <c r="R113" s="996"/>
      <c r="S113" s="2107"/>
      <c r="T113" s="996"/>
      <c r="U113" s="2107"/>
      <c r="V113" s="996"/>
      <c r="W113" s="2938"/>
      <c r="X113" s="996"/>
      <c r="Y113" s="2938"/>
      <c r="Z113" s="996"/>
      <c r="AA113" s="997"/>
      <c r="AB113" s="1177">
        <f t="shared" si="14"/>
        <v>59.1</v>
      </c>
      <c r="AC113" s="1951"/>
      <c r="AD113" s="998"/>
      <c r="AE113" s="1177">
        <f>+'Exh F'!AF103+'Exhibit G state'!AH94</f>
        <v>43.1</v>
      </c>
      <c r="AF113" s="1008"/>
      <c r="AG113" s="1008"/>
      <c r="AH113" s="996">
        <f t="shared" si="15"/>
        <v>16</v>
      </c>
      <c r="AI113" s="431"/>
      <c r="AJ113" s="1945">
        <f t="shared" si="16"/>
        <v>0.371</v>
      </c>
    </row>
    <row r="114" spans="1:44" ht="15">
      <c r="A114" s="1949" t="s">
        <v>33</v>
      </c>
      <c r="B114" s="431"/>
      <c r="C114" s="996">
        <f>+'Exh F'!D104+'Exhibit G state'!D95</f>
        <v>132.69999999999999</v>
      </c>
      <c r="D114" s="996"/>
      <c r="E114" s="996">
        <f>+'Exh F'!F104+'Exhibit G state'!F95</f>
        <v>139</v>
      </c>
      <c r="F114" s="996"/>
      <c r="G114" s="2107"/>
      <c r="H114" s="996"/>
      <c r="I114" s="2107"/>
      <c r="J114" s="996"/>
      <c r="K114" s="2107"/>
      <c r="L114" s="996"/>
      <c r="M114" s="2107"/>
      <c r="N114" s="996"/>
      <c r="O114" s="2107"/>
      <c r="P114" s="996"/>
      <c r="Q114" s="2107"/>
      <c r="R114" s="996"/>
      <c r="S114" s="2107"/>
      <c r="T114" s="996"/>
      <c r="U114" s="2107"/>
      <c r="V114" s="996"/>
      <c r="W114" s="2938"/>
      <c r="X114" s="996"/>
      <c r="Y114" s="2938"/>
      <c r="Z114" s="996"/>
      <c r="AA114" s="997"/>
      <c r="AB114" s="1177">
        <f t="shared" si="14"/>
        <v>271.7</v>
      </c>
      <c r="AC114" s="1951"/>
      <c r="AD114" s="998"/>
      <c r="AE114" s="1177">
        <f>+'Exh F'!AF104+'Exhibit G state'!AH95</f>
        <v>331.2</v>
      </c>
      <c r="AF114" s="1008"/>
      <c r="AG114" s="1008"/>
      <c r="AH114" s="996">
        <f t="shared" si="15"/>
        <v>-59.5</v>
      </c>
      <c r="AI114" s="431"/>
      <c r="AJ114" s="1945">
        <f t="shared" si="16"/>
        <v>-0.18</v>
      </c>
    </row>
    <row r="115" spans="1:44" ht="15">
      <c r="A115" s="1949" t="s">
        <v>34</v>
      </c>
      <c r="B115" s="431"/>
      <c r="C115" s="996">
        <f>+'Exh F'!D105+'Exhibit G state'!D96</f>
        <v>4.5999999999999996</v>
      </c>
      <c r="D115" s="996"/>
      <c r="E115" s="996">
        <f>+'Exh F'!F105+'Exhibit G state'!F96</f>
        <v>8.6999999999999993</v>
      </c>
      <c r="F115" s="996"/>
      <c r="G115" s="2107"/>
      <c r="H115" s="996"/>
      <c r="I115" s="2107"/>
      <c r="J115" s="996"/>
      <c r="K115" s="2107"/>
      <c r="L115" s="996"/>
      <c r="M115" s="2107"/>
      <c r="N115" s="996"/>
      <c r="O115" s="2107"/>
      <c r="P115" s="996"/>
      <c r="Q115" s="2107"/>
      <c r="R115" s="996"/>
      <c r="S115" s="2107"/>
      <c r="T115" s="996"/>
      <c r="U115" s="2107"/>
      <c r="V115" s="996"/>
      <c r="W115" s="2938"/>
      <c r="X115" s="996"/>
      <c r="Y115" s="2938"/>
      <c r="Z115" s="996"/>
      <c r="AA115" s="997"/>
      <c r="AB115" s="1177">
        <f t="shared" si="14"/>
        <v>13.3</v>
      </c>
      <c r="AC115" s="1951"/>
      <c r="AD115" s="998"/>
      <c r="AE115" s="1177">
        <f>+'Exh F'!AF105+'Exhibit G state'!AH96</f>
        <v>16.3</v>
      </c>
      <c r="AF115" s="1008"/>
      <c r="AG115" s="1008"/>
      <c r="AH115" s="996">
        <f t="shared" si="15"/>
        <v>-3</v>
      </c>
      <c r="AI115" s="431"/>
      <c r="AJ115" s="1945">
        <f t="shared" si="16"/>
        <v>-0.184</v>
      </c>
    </row>
    <row r="116" spans="1:44" ht="15">
      <c r="A116" s="1949" t="s">
        <v>35</v>
      </c>
      <c r="B116" s="431"/>
      <c r="C116" s="996">
        <f>+'Exh F'!D106+'Exhibit G state'!D97</f>
        <v>125.3</v>
      </c>
      <c r="D116" s="996"/>
      <c r="E116" s="996">
        <f>+'Exh F'!F106+'Exhibit G state'!F97</f>
        <v>494.5</v>
      </c>
      <c r="F116" s="996"/>
      <c r="G116" s="2107"/>
      <c r="H116" s="996"/>
      <c r="I116" s="2107"/>
      <c r="J116" s="996"/>
      <c r="K116" s="2107"/>
      <c r="L116" s="996"/>
      <c r="M116" s="2107"/>
      <c r="N116" s="996"/>
      <c r="O116" s="2107"/>
      <c r="P116" s="996"/>
      <c r="Q116" s="2107"/>
      <c r="R116" s="996"/>
      <c r="S116" s="2107"/>
      <c r="T116" s="996"/>
      <c r="U116" s="2107"/>
      <c r="V116" s="996"/>
      <c r="W116" s="2938"/>
      <c r="X116" s="996"/>
      <c r="Y116" s="2938"/>
      <c r="Z116" s="996"/>
      <c r="AA116" s="997"/>
      <c r="AB116" s="996">
        <f>ROUND(SUM(C116:Y116),1)</f>
        <v>619.79999999999995</v>
      </c>
      <c r="AC116" s="1951"/>
      <c r="AD116" s="998"/>
      <c r="AE116" s="1177">
        <f>+'Exh F'!AF106+'Exhibit G state'!AH97</f>
        <v>721.19999999999993</v>
      </c>
      <c r="AF116" s="1008"/>
      <c r="AG116" s="1008"/>
      <c r="AH116" s="996">
        <f>ROUND(SUM(AB116-AE116),1)</f>
        <v>-101.4</v>
      </c>
      <c r="AI116" s="431"/>
      <c r="AJ116" s="1274">
        <f>ROUND(SUM(AH116/AE116),3)</f>
        <v>-0.14099999999999999</v>
      </c>
    </row>
    <row r="117" spans="1:44" ht="15.75">
      <c r="A117" s="431" t="s">
        <v>36</v>
      </c>
      <c r="B117" s="431"/>
      <c r="C117" s="1013">
        <f>ROUND(SUM(C107:C116),1)</f>
        <v>2595.1999999999998</v>
      </c>
      <c r="D117" s="1004"/>
      <c r="E117" s="1013">
        <f>ROUND(SUM(E107:E116),1)</f>
        <v>5712.5</v>
      </c>
      <c r="F117" s="1004"/>
      <c r="G117" s="1013">
        <f>ROUND(SUM(G107:G116),1)</f>
        <v>0</v>
      </c>
      <c r="H117" s="1004"/>
      <c r="I117" s="1013">
        <f>ROUND(SUM(I107:I116),1)</f>
        <v>0</v>
      </c>
      <c r="J117" s="1004"/>
      <c r="K117" s="1013">
        <f>ROUND(SUM(K107:K116),1)</f>
        <v>0</v>
      </c>
      <c r="L117" s="1004"/>
      <c r="M117" s="1013">
        <f>ROUND(SUM(M107:M116),1)</f>
        <v>0</v>
      </c>
      <c r="N117" s="1004"/>
      <c r="O117" s="1013">
        <f>ROUND(SUM(O107:O116),1)</f>
        <v>0</v>
      </c>
      <c r="P117" s="1004"/>
      <c r="Q117" s="1013">
        <f>ROUND(SUM(Q107:Q116),1)</f>
        <v>0</v>
      </c>
      <c r="R117" s="1004"/>
      <c r="S117" s="1013">
        <f>ROUND(SUM(S107:S116),1)</f>
        <v>0</v>
      </c>
      <c r="T117" s="1004"/>
      <c r="U117" s="1013">
        <f>ROUND(SUM(U107:U116),1)</f>
        <v>0</v>
      </c>
      <c r="V117" s="1004"/>
      <c r="W117" s="1013">
        <f>ROUND(SUM(W107:W116),1)</f>
        <v>0</v>
      </c>
      <c r="X117" s="1004"/>
      <c r="Y117" s="1013">
        <f>ROUND(SUM(Y107:Y116),1)</f>
        <v>0</v>
      </c>
      <c r="Z117" s="1004"/>
      <c r="AA117" s="1005"/>
      <c r="AB117" s="1013">
        <f>ROUND(SUM(AB107:AB116),1)</f>
        <v>8307.7000000000007</v>
      </c>
      <c r="AC117" s="1953"/>
      <c r="AD117" s="1006"/>
      <c r="AE117" s="485">
        <f>ROUND(SUM(AE107:AE116),1)</f>
        <v>7688.2</v>
      </c>
      <c r="AF117" s="2122"/>
      <c r="AG117" s="2122"/>
      <c r="AH117" s="485">
        <f>ROUND(SUM(AH107:AH116),1)</f>
        <v>619.5</v>
      </c>
      <c r="AI117" s="986"/>
      <c r="AJ117" s="529">
        <f>ROUND(SUM(AH117/AE117),3)</f>
        <v>8.1000000000000003E-2</v>
      </c>
      <c r="AK117" s="796"/>
      <c r="AL117" s="796"/>
    </row>
    <row r="118" spans="1:44" ht="15">
      <c r="A118" s="431" t="s">
        <v>37</v>
      </c>
      <c r="B118" s="431"/>
      <c r="C118" s="1008"/>
      <c r="D118" s="996"/>
      <c r="E118" s="1008"/>
      <c r="F118" s="996"/>
      <c r="G118" s="1008"/>
      <c r="H118" s="996"/>
      <c r="I118" s="1008"/>
      <c r="J118" s="996"/>
      <c r="K118" s="1008"/>
      <c r="L118" s="996"/>
      <c r="M118" s="1008"/>
      <c r="N118" s="996"/>
      <c r="O118" s="1008"/>
      <c r="P118" s="996"/>
      <c r="Q118" s="1008"/>
      <c r="R118" s="996"/>
      <c r="S118" s="1008"/>
      <c r="T118" s="996"/>
      <c r="U118" s="1008"/>
      <c r="V118" s="996"/>
      <c r="W118" s="1008"/>
      <c r="X118" s="996"/>
      <c r="Y118" s="1008"/>
      <c r="Z118" s="996"/>
      <c r="AA118" s="997"/>
      <c r="AB118" s="1008"/>
      <c r="AC118" s="996"/>
      <c r="AD118" s="998"/>
      <c r="AE118" s="1921"/>
      <c r="AF118" s="1008"/>
      <c r="AG118" s="1008"/>
      <c r="AH118" s="1177"/>
      <c r="AI118" s="431"/>
      <c r="AJ118" s="1721"/>
    </row>
    <row r="119" spans="1:44" ht="15">
      <c r="A119" s="431" t="s">
        <v>143</v>
      </c>
      <c r="B119" s="431"/>
      <c r="C119" s="996">
        <f>+'Exh F'!D109+'Exhibit G state'!D100</f>
        <v>1186.9000000000001</v>
      </c>
      <c r="D119" s="996"/>
      <c r="E119" s="996">
        <f>+'Exh F'!F109+'Exhibit G state'!F100</f>
        <v>977.6</v>
      </c>
      <c r="F119" s="996"/>
      <c r="G119" s="1008"/>
      <c r="H119" s="996"/>
      <c r="I119" s="1008"/>
      <c r="J119" s="996"/>
      <c r="K119" s="1008"/>
      <c r="L119" s="996"/>
      <c r="M119" s="1008"/>
      <c r="N119" s="996"/>
      <c r="O119" s="1008"/>
      <c r="P119" s="996"/>
      <c r="Q119" s="1008"/>
      <c r="R119" s="996"/>
      <c r="S119" s="1008"/>
      <c r="T119" s="996"/>
      <c r="U119" s="1008"/>
      <c r="V119" s="996"/>
      <c r="W119" s="2938"/>
      <c r="X119" s="996"/>
      <c r="Y119" s="2938"/>
      <c r="Z119" s="996"/>
      <c r="AA119" s="997"/>
      <c r="AB119" s="996">
        <f>ROUND(SUM(C119:Y119),1)</f>
        <v>2164.5</v>
      </c>
      <c r="AC119" s="996"/>
      <c r="AD119" s="998"/>
      <c r="AE119" s="1177">
        <f>+'Exh F'!AF109+'Exhibit G state'!AH100</f>
        <v>2140.1</v>
      </c>
      <c r="AF119" s="1008"/>
      <c r="AG119" s="1008"/>
      <c r="AH119" s="996">
        <f>ROUND(SUM(AB119-AE119),1)</f>
        <v>24.4</v>
      </c>
      <c r="AI119" s="431"/>
      <c r="AJ119" s="1945">
        <f>ROUND(SUM(AH119/AE119),3)</f>
        <v>1.0999999999999999E-2</v>
      </c>
    </row>
    <row r="120" spans="1:44" ht="15">
      <c r="A120" s="431" t="s">
        <v>144</v>
      </c>
      <c r="B120" s="431"/>
      <c r="C120" s="996">
        <f>+'Exh F'!D110+'Exhibit G state'!D101+'Exhibit H'!B51</f>
        <v>291.89999999999998</v>
      </c>
      <c r="D120" s="996"/>
      <c r="E120" s="996">
        <f>+'Exh F'!F110+'Exhibit G state'!F101+'Exhibit H'!D51</f>
        <v>375</v>
      </c>
      <c r="F120" s="996"/>
      <c r="G120" s="1008"/>
      <c r="H120" s="996"/>
      <c r="I120" s="1008"/>
      <c r="J120" s="996"/>
      <c r="K120" s="1008"/>
      <c r="L120" s="996"/>
      <c r="M120" s="1008"/>
      <c r="N120" s="996"/>
      <c r="O120" s="1008"/>
      <c r="P120" s="996"/>
      <c r="Q120" s="1008"/>
      <c r="R120" s="996"/>
      <c r="S120" s="1008"/>
      <c r="T120" s="996"/>
      <c r="U120" s="1008"/>
      <c r="V120" s="996"/>
      <c r="W120" s="2938"/>
      <c r="X120" s="996"/>
      <c r="Y120" s="2938"/>
      <c r="Z120" s="996"/>
      <c r="AA120" s="997"/>
      <c r="AB120" s="996">
        <f>ROUND(SUM(C120:Y120),1)</f>
        <v>666.9</v>
      </c>
      <c r="AC120" s="996"/>
      <c r="AD120" s="998"/>
      <c r="AE120" s="1177">
        <f>+'Exh F'!AF110+'Exhibit G state'!AH101+'Exhibit H'!AD51</f>
        <v>750</v>
      </c>
      <c r="AF120" s="1008"/>
      <c r="AG120" s="1008"/>
      <c r="AH120" s="996">
        <f>ROUND(SUM(AB120-AE120),1)</f>
        <v>-83.1</v>
      </c>
      <c r="AI120" s="431"/>
      <c r="AJ120" s="1945">
        <f>ROUND(SUM(AH120/AE120),3)</f>
        <v>-0.111</v>
      </c>
    </row>
    <row r="121" spans="1:44" ht="15">
      <c r="A121" s="431" t="s">
        <v>40</v>
      </c>
      <c r="B121" s="431"/>
      <c r="C121" s="996">
        <f>+'Exh F'!D111+'Exhibit G state'!D102</f>
        <v>650.4</v>
      </c>
      <c r="D121" s="996"/>
      <c r="E121" s="996">
        <f>+'Exh F'!F111+'Exhibit G state'!F102</f>
        <v>699.1</v>
      </c>
      <c r="F121" s="996"/>
      <c r="G121" s="1008"/>
      <c r="H121" s="996"/>
      <c r="I121" s="1008"/>
      <c r="J121" s="996"/>
      <c r="K121" s="1008"/>
      <c r="L121" s="996"/>
      <c r="M121" s="1008"/>
      <c r="N121" s="996"/>
      <c r="O121" s="1008"/>
      <c r="P121" s="996"/>
      <c r="Q121" s="1008"/>
      <c r="R121" s="996"/>
      <c r="S121" s="1008"/>
      <c r="T121" s="996"/>
      <c r="U121" s="1008"/>
      <c r="V121" s="996"/>
      <c r="W121" s="2938"/>
      <c r="X121" s="996"/>
      <c r="Y121" s="2938"/>
      <c r="Z121" s="996"/>
      <c r="AA121" s="997"/>
      <c r="AB121" s="996">
        <f>ROUND(SUM(C121:Y121),1)</f>
        <v>1349.5</v>
      </c>
      <c r="AC121" s="996"/>
      <c r="AD121" s="998"/>
      <c r="AE121" s="1177">
        <f>+'Exh F'!AF111+'Exhibit G state'!AH102</f>
        <v>1515.1</v>
      </c>
      <c r="AF121" s="1008"/>
      <c r="AG121" s="1008"/>
      <c r="AH121" s="996">
        <f>ROUND(SUM(AB121-AE121),1)</f>
        <v>-165.6</v>
      </c>
      <c r="AI121" s="431"/>
      <c r="AJ121" s="1945">
        <f>ROUND(SUM(AH121/AE121),3)</f>
        <v>-0.109</v>
      </c>
    </row>
    <row r="122" spans="1:44" ht="15">
      <c r="A122" s="431" t="s">
        <v>41</v>
      </c>
      <c r="B122" s="431"/>
      <c r="C122" s="1008"/>
      <c r="D122" s="996"/>
      <c r="E122" s="1008"/>
      <c r="F122" s="996"/>
      <c r="G122" s="1008"/>
      <c r="H122" s="996"/>
      <c r="I122" s="1008"/>
      <c r="J122" s="996"/>
      <c r="K122" s="1008"/>
      <c r="L122" s="996"/>
      <c r="M122" s="1008"/>
      <c r="N122" s="996"/>
      <c r="O122" s="1008"/>
      <c r="P122" s="996"/>
      <c r="Q122" s="1008"/>
      <c r="R122" s="996"/>
      <c r="S122" s="1008"/>
      <c r="T122" s="996"/>
      <c r="U122" s="1008"/>
      <c r="V122" s="996"/>
      <c r="W122" s="2938"/>
      <c r="X122" s="996"/>
      <c r="Y122" s="2938"/>
      <c r="Z122" s="996"/>
      <c r="AA122" s="997"/>
      <c r="AB122" s="996"/>
      <c r="AC122" s="996"/>
      <c r="AD122" s="998"/>
      <c r="AE122" s="1008"/>
      <c r="AF122" s="1008"/>
      <c r="AG122" s="1008"/>
      <c r="AH122" s="996"/>
      <c r="AI122" s="431"/>
      <c r="AJ122" s="1945"/>
    </row>
    <row r="123" spans="1:44" ht="15">
      <c r="A123" s="431" t="s">
        <v>42</v>
      </c>
      <c r="B123" s="431"/>
      <c r="C123" s="996">
        <f>+'Exhibit H'!B53</f>
        <v>165.9</v>
      </c>
      <c r="D123" s="996"/>
      <c r="E123" s="996">
        <f>+'Exhibit H'!D53</f>
        <v>254.6</v>
      </c>
      <c r="F123" s="996"/>
      <c r="G123" s="1008"/>
      <c r="H123" s="996"/>
      <c r="I123" s="1008"/>
      <c r="J123" s="996"/>
      <c r="K123" s="1008"/>
      <c r="L123" s="996"/>
      <c r="M123" s="1008"/>
      <c r="N123" s="996"/>
      <c r="O123" s="1008"/>
      <c r="P123" s="996"/>
      <c r="Q123" s="1008"/>
      <c r="R123" s="996"/>
      <c r="S123" s="1008"/>
      <c r="T123" s="996"/>
      <c r="U123" s="1008"/>
      <c r="V123" s="996"/>
      <c r="W123" s="2938"/>
      <c r="X123" s="996"/>
      <c r="Y123" s="2938"/>
      <c r="Z123" s="996"/>
      <c r="AA123" s="997"/>
      <c r="AB123" s="996">
        <f>ROUND(SUM(C123:Y123),1)</f>
        <v>420.5</v>
      </c>
      <c r="AC123" s="996"/>
      <c r="AD123" s="998"/>
      <c r="AE123" s="1921">
        <f>+'Exhibit H'!AD53</f>
        <v>390</v>
      </c>
      <c r="AF123" s="1008"/>
      <c r="AG123" s="1008"/>
      <c r="AH123" s="996">
        <f>ROUND(SUM(AB123-AE123),1)</f>
        <v>30.5</v>
      </c>
      <c r="AI123" s="431"/>
      <c r="AJ123" s="1945">
        <f>ROUND(SUM(AH123/AE123),3)</f>
        <v>7.8E-2</v>
      </c>
    </row>
    <row r="124" spans="1:44" ht="15">
      <c r="A124" s="1012" t="s">
        <v>145</v>
      </c>
      <c r="B124" s="431"/>
      <c r="C124" s="1001">
        <f>+'Exhibit G state'!D103</f>
        <v>0</v>
      </c>
      <c r="D124" s="996"/>
      <c r="E124" s="1001">
        <f>+'Exhibit G state'!F103</f>
        <v>0.2</v>
      </c>
      <c r="F124" s="996"/>
      <c r="G124" s="1001"/>
      <c r="H124" s="996"/>
      <c r="I124" s="1001"/>
      <c r="J124" s="996"/>
      <c r="K124" s="1001"/>
      <c r="L124" s="996"/>
      <c r="M124" s="1001"/>
      <c r="N124" s="996"/>
      <c r="O124" s="1001"/>
      <c r="P124" s="996"/>
      <c r="Q124" s="1001"/>
      <c r="R124" s="996"/>
      <c r="S124" s="1001"/>
      <c r="T124" s="996"/>
      <c r="U124" s="1001"/>
      <c r="V124" s="996"/>
      <c r="W124" s="2939"/>
      <c r="X124" s="996"/>
      <c r="Y124" s="2939"/>
      <c r="Z124" s="996"/>
      <c r="AA124" s="997"/>
      <c r="AB124" s="1001">
        <f>ROUND(SUM(C124:Y124),1)</f>
        <v>0.2</v>
      </c>
      <c r="AC124" s="996"/>
      <c r="AD124" s="998"/>
      <c r="AE124" s="1907">
        <f>+'Exhibit G state'!AH103</f>
        <v>0.3</v>
      </c>
      <c r="AF124" s="1008"/>
      <c r="AG124" s="1008"/>
      <c r="AH124" s="1001">
        <f>ROUND(SUM(AB124-AE124),1)</f>
        <v>-0.1</v>
      </c>
      <c r="AI124" s="431"/>
      <c r="AJ124" s="1954">
        <f>ROUND(SUM(AH124/AE124),3)</f>
        <v>-0.33300000000000002</v>
      </c>
    </row>
    <row r="125" spans="1:44" ht="16.5" customHeight="1">
      <c r="A125" s="431"/>
      <c r="B125" s="431"/>
      <c r="C125" s="1008"/>
      <c r="D125" s="996"/>
      <c r="E125" s="1008"/>
      <c r="F125" s="996"/>
      <c r="G125" s="1008"/>
      <c r="H125" s="996"/>
      <c r="I125" s="1008"/>
      <c r="J125" s="996"/>
      <c r="K125" s="1008"/>
      <c r="L125" s="996"/>
      <c r="M125" s="1008"/>
      <c r="N125" s="996"/>
      <c r="O125" s="1008"/>
      <c r="P125" s="996"/>
      <c r="Q125" s="1008"/>
      <c r="R125" s="996"/>
      <c r="S125" s="1008"/>
      <c r="T125" s="996"/>
      <c r="U125" s="1008"/>
      <c r="V125" s="996"/>
      <c r="W125" s="1008"/>
      <c r="X125" s="996"/>
      <c r="Y125" s="1008"/>
      <c r="Z125" s="996"/>
      <c r="AA125" s="997"/>
      <c r="AB125" s="1008"/>
      <c r="AC125" s="996"/>
      <c r="AD125" s="998"/>
      <c r="AE125" s="1008"/>
      <c r="AF125" s="1008"/>
      <c r="AG125" s="1008"/>
      <c r="AH125" s="1008"/>
      <c r="AI125" s="431"/>
      <c r="AJ125" s="1274"/>
    </row>
    <row r="126" spans="1:44" ht="16.5" customHeight="1">
      <c r="A126" s="410" t="s">
        <v>60</v>
      </c>
      <c r="B126" s="431"/>
      <c r="C126" s="1947">
        <f>ROUND(SUM(C117:C124),1)</f>
        <v>4890.3</v>
      </c>
      <c r="D126" s="1004"/>
      <c r="E126" s="1947">
        <f>ROUND(SUM(E117:E124),1)</f>
        <v>8019</v>
      </c>
      <c r="F126" s="1004"/>
      <c r="G126" s="1947">
        <f>ROUND(SUM(G117:G124),1)</f>
        <v>0</v>
      </c>
      <c r="H126" s="1004"/>
      <c r="I126" s="1947">
        <f>ROUND(SUM(I117:I124),1)</f>
        <v>0</v>
      </c>
      <c r="J126" s="1004"/>
      <c r="K126" s="1947">
        <f>ROUND(SUM(K117:K124),1)</f>
        <v>0</v>
      </c>
      <c r="L126" s="1004"/>
      <c r="M126" s="1947">
        <f>ROUND(SUM(M117:M124),1)</f>
        <v>0</v>
      </c>
      <c r="N126" s="1004"/>
      <c r="O126" s="1947">
        <f>ROUND(SUM(O117:O124),1)</f>
        <v>0</v>
      </c>
      <c r="P126" s="1004"/>
      <c r="Q126" s="1947">
        <f>ROUND(SUM(Q117:Q124),1)</f>
        <v>0</v>
      </c>
      <c r="R126" s="1004"/>
      <c r="S126" s="1947">
        <f>ROUND(SUM(S117:S124),1)</f>
        <v>0</v>
      </c>
      <c r="T126" s="1004"/>
      <c r="U126" s="1947">
        <f>ROUND(SUM(U117:U124),1)</f>
        <v>0</v>
      </c>
      <c r="V126" s="1004"/>
      <c r="W126" s="1947">
        <f>ROUND(SUM(W117:W124),1)</f>
        <v>0</v>
      </c>
      <c r="X126" s="1004"/>
      <c r="Y126" s="1947">
        <f>ROUND(SUM(Y117:Y124),1)</f>
        <v>0</v>
      </c>
      <c r="Z126" s="1004"/>
      <c r="AA126" s="1005"/>
      <c r="AB126" s="1947">
        <f>ROUND(SUM(AB117:AB124),1)</f>
        <v>12909.3</v>
      </c>
      <c r="AC126" s="1004"/>
      <c r="AD126" s="1006"/>
      <c r="AE126" s="1745">
        <f>ROUND(SUM(AE117:AE125),1)</f>
        <v>12483.7</v>
      </c>
      <c r="AF126" s="2122"/>
      <c r="AG126" s="2122"/>
      <c r="AH126" s="1745">
        <f>ROUND(SUM(AH117:AH125),1)</f>
        <v>425.6</v>
      </c>
      <c r="AI126" s="986"/>
      <c r="AJ126" s="1948">
        <f>ROUND(SUM(AH126/AE126),3)</f>
        <v>3.4000000000000002E-2</v>
      </c>
      <c r="AK126" s="796"/>
      <c r="AL126" s="796"/>
      <c r="AM126" s="796"/>
      <c r="AN126" s="796"/>
      <c r="AO126" s="796"/>
      <c r="AP126" s="796"/>
      <c r="AQ126" s="796"/>
      <c r="AR126" s="796"/>
    </row>
    <row r="127" spans="1:44" ht="16.5" customHeight="1">
      <c r="A127" s="410"/>
      <c r="B127" s="431"/>
      <c r="C127" s="996"/>
      <c r="D127" s="996"/>
      <c r="E127" s="996"/>
      <c r="F127" s="996"/>
      <c r="G127" s="996"/>
      <c r="H127" s="996"/>
      <c r="I127" s="996"/>
      <c r="J127" s="996"/>
      <c r="K127" s="996"/>
      <c r="L127" s="996"/>
      <c r="M127" s="996"/>
      <c r="N127" s="996"/>
      <c r="O127" s="996"/>
      <c r="P127" s="996"/>
      <c r="Q127" s="996"/>
      <c r="R127" s="996"/>
      <c r="S127" s="996"/>
      <c r="T127" s="996"/>
      <c r="U127" s="996"/>
      <c r="V127" s="996"/>
      <c r="W127" s="996"/>
      <c r="X127" s="996"/>
      <c r="Y127" s="996"/>
      <c r="Z127" s="996"/>
      <c r="AA127" s="997"/>
      <c r="AB127" s="996"/>
      <c r="AC127" s="996"/>
      <c r="AD127" s="998"/>
      <c r="AE127" s="996"/>
      <c r="AF127" s="1008"/>
      <c r="AG127" s="1008"/>
      <c r="AH127" s="1177"/>
      <c r="AI127" s="431"/>
      <c r="AJ127" s="1721"/>
    </row>
    <row r="128" spans="1:44" ht="16.5" customHeight="1">
      <c r="A128" s="410" t="s">
        <v>45</v>
      </c>
      <c r="B128" s="431"/>
      <c r="C128" s="996"/>
      <c r="D128" s="996"/>
      <c r="E128" s="996"/>
      <c r="F128" s="996"/>
      <c r="G128" s="996"/>
      <c r="H128" s="996"/>
      <c r="I128" s="996"/>
      <c r="J128" s="996"/>
      <c r="K128" s="996"/>
      <c r="L128" s="996"/>
      <c r="M128" s="996"/>
      <c r="N128" s="996"/>
      <c r="O128" s="996"/>
      <c r="P128" s="996"/>
      <c r="Q128" s="996"/>
      <c r="R128" s="996"/>
      <c r="S128" s="996"/>
      <c r="T128" s="996"/>
      <c r="U128" s="996"/>
      <c r="V128" s="996"/>
      <c r="W128" s="996"/>
      <c r="X128" s="996"/>
      <c r="Y128" s="996"/>
      <c r="Z128" s="996"/>
      <c r="AA128" s="997"/>
      <c r="AB128" s="996"/>
      <c r="AC128" s="996"/>
      <c r="AD128" s="998"/>
      <c r="AE128" s="996"/>
      <c r="AF128" s="1008"/>
      <c r="AG128" s="1008"/>
      <c r="AH128" s="1177"/>
      <c r="AI128" s="431"/>
      <c r="AJ128" s="1721"/>
    </row>
    <row r="129" spans="1:59" ht="16.5" customHeight="1">
      <c r="A129" s="410" t="s">
        <v>46</v>
      </c>
      <c r="B129" s="431"/>
      <c r="C129" s="1947">
        <f>ROUND(SUM(C103-C126),1)</f>
        <v>4259.7</v>
      </c>
      <c r="D129" s="1004"/>
      <c r="E129" s="1947">
        <f>ROUND(SUM(E103-E126),1)</f>
        <v>-135.30000000000001</v>
      </c>
      <c r="F129" s="1004"/>
      <c r="G129" s="1947">
        <f>ROUND(SUM(G103-G126),1)</f>
        <v>0</v>
      </c>
      <c r="H129" s="1004"/>
      <c r="I129" s="1947">
        <f>ROUND(SUM(I103-I126),1)</f>
        <v>0</v>
      </c>
      <c r="J129" s="1004"/>
      <c r="K129" s="1947">
        <f>ROUND(SUM(K103-K126),1)</f>
        <v>0</v>
      </c>
      <c r="L129" s="1004"/>
      <c r="M129" s="1947">
        <f>ROUND(SUM(M103-M126),1)</f>
        <v>0</v>
      </c>
      <c r="N129" s="1004"/>
      <c r="O129" s="1947">
        <f>ROUND(SUM(O103-O126),1)</f>
        <v>0</v>
      </c>
      <c r="P129" s="1004"/>
      <c r="Q129" s="1947">
        <f>ROUND(SUM(Q103-Q126),1)</f>
        <v>0</v>
      </c>
      <c r="R129" s="1004"/>
      <c r="S129" s="1947">
        <f>ROUND(SUM(S103-S126),1)</f>
        <v>0</v>
      </c>
      <c r="T129" s="1004"/>
      <c r="U129" s="1947">
        <f>ROUND(SUM(U103-U126),1)</f>
        <v>0</v>
      </c>
      <c r="V129" s="1004"/>
      <c r="W129" s="1947">
        <f>ROUND(SUM(W103-W126),1)</f>
        <v>0</v>
      </c>
      <c r="X129" s="1004"/>
      <c r="Y129" s="1947">
        <f>ROUND(SUM(Y103-Y126),1)</f>
        <v>0</v>
      </c>
      <c r="Z129" s="1004"/>
      <c r="AA129" s="1005"/>
      <c r="AB129" s="1947">
        <f>ROUND(SUM(AB103-AB126),1)</f>
        <v>4124.3999999999996</v>
      </c>
      <c r="AC129" s="1004"/>
      <c r="AD129" s="1006"/>
      <c r="AE129" s="1947">
        <f>ROUND(SUM(AE103-AE126),1)</f>
        <v>2952.4</v>
      </c>
      <c r="AF129" s="2122"/>
      <c r="AG129" s="2122"/>
      <c r="AH129" s="1955">
        <f>ROUND(SUM(AB129-AE129),1)</f>
        <v>1172</v>
      </c>
      <c r="AI129" s="986"/>
      <c r="AJ129" s="1948">
        <f>ROUND(SUM(AH129/AE129),3)</f>
        <v>0.39700000000000002</v>
      </c>
      <c r="AK129" s="796"/>
      <c r="AL129" s="796"/>
    </row>
    <row r="130" spans="1:59" ht="16.5" customHeight="1">
      <c r="A130" s="1721"/>
      <c r="B130" s="431"/>
      <c r="C130" s="1007"/>
      <c r="D130" s="996"/>
      <c r="E130" s="1007"/>
      <c r="F130" s="996"/>
      <c r="G130" s="1007"/>
      <c r="H130" s="996"/>
      <c r="I130" s="1007"/>
      <c r="J130" s="996"/>
      <c r="K130" s="1007"/>
      <c r="L130" s="996"/>
      <c r="M130" s="1007"/>
      <c r="N130" s="996"/>
      <c r="O130" s="1007"/>
      <c r="P130" s="996"/>
      <c r="Q130" s="1007"/>
      <c r="R130" s="996"/>
      <c r="S130" s="1007"/>
      <c r="T130" s="996"/>
      <c r="U130" s="1007"/>
      <c r="V130" s="996"/>
      <c r="W130" s="1007"/>
      <c r="X130" s="996"/>
      <c r="Y130" s="1007"/>
      <c r="Z130" s="1010"/>
      <c r="AA130" s="997"/>
      <c r="AB130" s="1007"/>
      <c r="AC130" s="996"/>
      <c r="AD130" s="998"/>
      <c r="AE130" s="1007"/>
      <c r="AF130" s="1008"/>
      <c r="AG130" s="1008"/>
      <c r="AH130" s="1177"/>
      <c r="AI130" s="431"/>
      <c r="AJ130" s="1721"/>
    </row>
    <row r="131" spans="1:59" ht="16.5" customHeight="1">
      <c r="A131" s="410" t="s">
        <v>47</v>
      </c>
      <c r="B131" s="431"/>
      <c r="C131" s="1008"/>
      <c r="D131" s="996"/>
      <c r="E131" s="1016"/>
      <c r="F131" s="1017"/>
      <c r="G131" s="1016"/>
      <c r="H131" s="1017"/>
      <c r="I131" s="1016"/>
      <c r="J131" s="1017"/>
      <c r="K131" s="1016"/>
      <c r="L131" s="1017"/>
      <c r="M131" s="1016"/>
      <c r="N131" s="1017"/>
      <c r="O131" s="1016"/>
      <c r="P131" s="1017"/>
      <c r="Q131" s="1016"/>
      <c r="R131" s="1017"/>
      <c r="S131" s="1016"/>
      <c r="T131" s="1017"/>
      <c r="U131" s="1016"/>
      <c r="V131" s="996"/>
      <c r="W131" s="1016"/>
      <c r="X131" s="996"/>
      <c r="Y131" s="1008"/>
      <c r="Z131" s="1952"/>
      <c r="AA131" s="997"/>
      <c r="AB131" s="1008"/>
      <c r="AC131" s="1952"/>
      <c r="AD131" s="996"/>
      <c r="AE131" s="1008"/>
      <c r="AF131" s="1008"/>
      <c r="AG131" s="1008"/>
      <c r="AH131" s="1177"/>
      <c r="AI131" s="431"/>
      <c r="AJ131" s="1721"/>
    </row>
    <row r="132" spans="1:59" ht="16.5" customHeight="1">
      <c r="A132" s="431" t="s">
        <v>1490</v>
      </c>
      <c r="B132" s="431"/>
      <c r="C132" s="1018">
        <f>+'Exh F'!D120+'Exh F'!D121+'Exh F'!D122+'Exh F'!D123+'Exhibit G state'!D111+'Exhibit H'!B62</f>
        <v>4552</v>
      </c>
      <c r="D132" s="996"/>
      <c r="E132" s="1018">
        <f>+'Exh F'!F120+'Exh F'!F121+'Exh F'!F122+'Exh F'!F123+'Exhibit G state'!F111+'Exhibit H'!D62</f>
        <v>2118.8000000000002</v>
      </c>
      <c r="F132" s="996"/>
      <c r="G132" s="1018"/>
      <c r="H132" s="996"/>
      <c r="I132" s="1018"/>
      <c r="J132" s="996"/>
      <c r="K132" s="1018"/>
      <c r="L132" s="996"/>
      <c r="M132" s="1018"/>
      <c r="N132" s="996"/>
      <c r="O132" s="1018"/>
      <c r="P132" s="996"/>
      <c r="Q132" s="1018"/>
      <c r="R132" s="996"/>
      <c r="S132" s="1018"/>
      <c r="T132" s="996"/>
      <c r="U132" s="1018"/>
      <c r="V132" s="996"/>
      <c r="W132" s="2940"/>
      <c r="X132" s="996"/>
      <c r="Y132" s="2940"/>
      <c r="Z132" s="996"/>
      <c r="AA132" s="997"/>
      <c r="AB132" s="996">
        <f>ROUND(SUM(C132:Y132),1)</f>
        <v>6670.8</v>
      </c>
      <c r="AC132" s="996"/>
      <c r="AD132" s="997"/>
      <c r="AE132" s="996">
        <v>4695.6000000000004</v>
      </c>
      <c r="AF132" s="1008"/>
      <c r="AG132" s="1008"/>
      <c r="AH132" s="996">
        <f>ROUND(SUM(AB132-AE132),1)</f>
        <v>1975.2</v>
      </c>
      <c r="AI132" s="431"/>
      <c r="AJ132" s="1945">
        <f>ROUND(SUM(AH132/AE132),3)</f>
        <v>0.42099999999999999</v>
      </c>
    </row>
    <row r="133" spans="1:59" ht="16.5" customHeight="1">
      <c r="A133" s="431" t="s">
        <v>1491</v>
      </c>
      <c r="C133" s="1137">
        <f>+'Exh F'!D124+'Exh F'!D125+'Exh F'!D126+'Exh F'!D127+'Exhibit G state'!D112+'Exhibit H'!B63</f>
        <v>-4396.1000000000004</v>
      </c>
      <c r="D133" s="248"/>
      <c r="E133" s="1137">
        <f>+'Exh F'!F124+'Exh F'!F125+'Exh F'!F126+'Exh F'!F127+'Exhibit G state'!F112+'Exhibit H'!D63</f>
        <v>-2170.8000000000002</v>
      </c>
      <c r="F133" s="248"/>
      <c r="G133" s="1137"/>
      <c r="H133" s="248"/>
      <c r="I133" s="1137"/>
      <c r="J133" s="248"/>
      <c r="K133" s="1137"/>
      <c r="L133" s="248"/>
      <c r="M133" s="1137"/>
      <c r="N133" s="248"/>
      <c r="O133" s="1137"/>
      <c r="P133" s="248"/>
      <c r="Q133" s="1137"/>
      <c r="R133" s="248"/>
      <c r="S133" s="1137"/>
      <c r="T133" s="248"/>
      <c r="U133" s="1137"/>
      <c r="V133" s="248"/>
      <c r="W133" s="2941"/>
      <c r="X133" s="248"/>
      <c r="Y133" s="2941"/>
      <c r="Z133" s="248"/>
      <c r="AA133" s="1020"/>
      <c r="AB133" s="1001">
        <f>ROUND(SUM(C133:Y133),1)</f>
        <v>-6566.9</v>
      </c>
      <c r="AC133" s="248"/>
      <c r="AD133" s="1020"/>
      <c r="AE133" s="1001">
        <v>-4342.8</v>
      </c>
      <c r="AF133" s="1007"/>
      <c r="AG133" s="1007"/>
      <c r="AH133" s="1001">
        <f>ROUND(SUM(-AB133+AE133),1)</f>
        <v>2224.1</v>
      </c>
      <c r="AI133" s="1721"/>
      <c r="AJ133" s="1956">
        <f>ROUND(SUM(-AH133/AE133),3)</f>
        <v>0.51200000000000001</v>
      </c>
    </row>
    <row r="134" spans="1:59" ht="16.5" customHeight="1">
      <c r="A134" s="431"/>
      <c r="C134" s="1008"/>
      <c r="D134" s="248"/>
      <c r="E134" s="1008"/>
      <c r="F134" s="248"/>
      <c r="G134" s="1008"/>
      <c r="H134" s="248"/>
      <c r="I134" s="1008"/>
      <c r="J134" s="248"/>
      <c r="K134" s="1008"/>
      <c r="L134" s="248"/>
      <c r="M134" s="1008"/>
      <c r="N134" s="248"/>
      <c r="O134" s="1008"/>
      <c r="P134" s="248"/>
      <c r="Q134" s="1008"/>
      <c r="R134" s="248"/>
      <c r="S134" s="1008"/>
      <c r="T134" s="248"/>
      <c r="U134" s="1008"/>
      <c r="V134" s="248"/>
      <c r="W134" s="1008"/>
      <c r="X134" s="248"/>
      <c r="Y134" s="1008"/>
      <c r="Z134" s="248"/>
      <c r="AA134" s="1020"/>
      <c r="AB134" s="1008"/>
      <c r="AC134" s="248"/>
      <c r="AD134" s="1020"/>
      <c r="AE134" s="1008"/>
      <c r="AF134" s="1007"/>
      <c r="AG134" s="1007"/>
      <c r="AH134" s="1008"/>
      <c r="AI134" s="1721"/>
      <c r="AJ134" s="1274"/>
    </row>
    <row r="135" spans="1:59" ht="16.5" customHeight="1">
      <c r="A135" s="410" t="s">
        <v>51</v>
      </c>
      <c r="C135" s="1947">
        <f>ROUND(SUM(C132:C133),1)</f>
        <v>155.9</v>
      </c>
      <c r="D135" s="1021"/>
      <c r="E135" s="1947">
        <f>ROUND(SUM(E132:E133),1)</f>
        <v>-52</v>
      </c>
      <c r="F135" s="1021"/>
      <c r="G135" s="1947">
        <f>ROUND(SUM(G132:G133),1)</f>
        <v>0</v>
      </c>
      <c r="H135" s="1021"/>
      <c r="I135" s="1947">
        <f>ROUND(SUM(I132:I133),1)</f>
        <v>0</v>
      </c>
      <c r="J135" s="1021"/>
      <c r="K135" s="1947">
        <f>ROUND(SUM(K132:K133),1)</f>
        <v>0</v>
      </c>
      <c r="L135" s="1021"/>
      <c r="M135" s="1947">
        <f>ROUND(SUM(M132:M133),1)</f>
        <v>0</v>
      </c>
      <c r="N135" s="1021"/>
      <c r="O135" s="1947">
        <f>ROUND(SUM(O132:O133),1)</f>
        <v>0</v>
      </c>
      <c r="P135" s="1021"/>
      <c r="Q135" s="1947">
        <f>ROUND(SUM(Q132:Q133),1)</f>
        <v>0</v>
      </c>
      <c r="R135" s="1021"/>
      <c r="S135" s="1947">
        <f>ROUND(SUM(S132:S133),1)</f>
        <v>0</v>
      </c>
      <c r="T135" s="1021"/>
      <c r="U135" s="1947">
        <f>ROUND(SUM(U132:U133),1)</f>
        <v>0</v>
      </c>
      <c r="V135" s="1021"/>
      <c r="W135" s="1947">
        <f>ROUND(SUM(W132:W133),1)</f>
        <v>0</v>
      </c>
      <c r="X135" s="1021"/>
      <c r="Y135" s="1947">
        <f>ROUND(SUM(Y132:Y133),1)</f>
        <v>0</v>
      </c>
      <c r="Z135" s="1021"/>
      <c r="AA135" s="1022"/>
      <c r="AB135" s="1947">
        <f>ROUND(SUM(AB132:AB133),1)</f>
        <v>103.9</v>
      </c>
      <c r="AC135" s="1021"/>
      <c r="AD135" s="1022"/>
      <c r="AE135" s="1947">
        <f>ROUND(SUM(AE132:AE133),1)</f>
        <v>352.8</v>
      </c>
      <c r="AF135" s="1285"/>
      <c r="AG135" s="1007"/>
      <c r="AH135" s="1947">
        <f>ROUND(SUM(AH132-AH133),1)</f>
        <v>-248.9</v>
      </c>
      <c r="AI135" s="410"/>
      <c r="AJ135" s="1957">
        <f>-ROUND(SUM(-AH135/AE135),3)</f>
        <v>-0.70499999999999996</v>
      </c>
      <c r="AK135" s="796"/>
      <c r="AL135" s="796"/>
    </row>
    <row r="136" spans="1:59" ht="16.5" customHeight="1">
      <c r="A136" s="1721"/>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20"/>
      <c r="AB136" s="248"/>
      <c r="AC136" s="248"/>
      <c r="AD136" s="1020"/>
      <c r="AE136" s="248"/>
      <c r="AF136" s="1007"/>
      <c r="AG136" s="419"/>
      <c r="AH136" s="1177"/>
      <c r="AI136" s="1721"/>
      <c r="AJ136" s="1721"/>
    </row>
    <row r="137" spans="1:59" ht="16.5" customHeight="1">
      <c r="A137" s="480" t="s">
        <v>45</v>
      </c>
      <c r="C137" s="1008"/>
      <c r="D137" s="248"/>
      <c r="E137" s="1008"/>
      <c r="F137" s="248"/>
      <c r="G137" s="1008"/>
      <c r="H137" s="248"/>
      <c r="I137" s="1008"/>
      <c r="J137" s="248"/>
      <c r="K137" s="1008"/>
      <c r="L137" s="248"/>
      <c r="M137" s="1008"/>
      <c r="N137" s="248"/>
      <c r="O137" s="1008"/>
      <c r="P137" s="248"/>
      <c r="Q137" s="1008"/>
      <c r="R137" s="248"/>
      <c r="S137" s="1008"/>
      <c r="T137" s="248"/>
      <c r="U137" s="1008"/>
      <c r="V137" s="248"/>
      <c r="W137" s="1008"/>
      <c r="X137" s="248"/>
      <c r="Y137" s="1008"/>
      <c r="Z137" s="248"/>
      <c r="AA137" s="1020"/>
      <c r="AB137" s="1008"/>
      <c r="AC137" s="248"/>
      <c r="AD137" s="1020"/>
      <c r="AE137" s="1008"/>
      <c r="AF137" s="1007"/>
      <c r="AG137" s="2126"/>
      <c r="AH137" s="1177"/>
      <c r="AI137" s="1721"/>
      <c r="AJ137" s="1721"/>
    </row>
    <row r="138" spans="1:59" ht="16.5" customHeight="1">
      <c r="A138" s="480" t="s">
        <v>52</v>
      </c>
      <c r="C138" s="1004"/>
      <c r="D138" s="1021"/>
      <c r="E138" s="1004"/>
      <c r="F138" s="1021"/>
      <c r="G138" s="1004"/>
      <c r="H138" s="1021"/>
      <c r="I138" s="1004"/>
      <c r="J138" s="1021"/>
      <c r="K138" s="1004"/>
      <c r="L138" s="1021"/>
      <c r="M138" s="1004"/>
      <c r="N138" s="1021"/>
      <c r="O138" s="1004"/>
      <c r="P138" s="1021"/>
      <c r="Q138" s="1004"/>
      <c r="R138" s="1021"/>
      <c r="S138" s="1004"/>
      <c r="T138" s="1021"/>
      <c r="U138" s="1004"/>
      <c r="V138" s="1021"/>
      <c r="W138" s="1004"/>
      <c r="X138" s="1021"/>
      <c r="Y138" s="1004"/>
      <c r="Z138" s="1021"/>
      <c r="AA138" s="1022"/>
      <c r="AB138" s="1004"/>
      <c r="AC138" s="1021"/>
      <c r="AD138" s="1022"/>
      <c r="AE138" s="1004"/>
      <c r="AF138" s="1007"/>
      <c r="AG138" s="419"/>
      <c r="AH138" s="1899"/>
      <c r="AI138" s="410"/>
      <c r="AJ138" s="410"/>
      <c r="AK138" s="796"/>
      <c r="AL138" s="796"/>
      <c r="AM138" s="796"/>
      <c r="AN138" s="796"/>
      <c r="AO138" s="796"/>
      <c r="AP138" s="796"/>
      <c r="AQ138" s="796"/>
      <c r="AR138" s="796"/>
      <c r="AS138" s="796"/>
      <c r="AT138" s="796"/>
      <c r="AU138" s="796"/>
      <c r="AV138" s="796"/>
      <c r="AW138" s="796"/>
      <c r="AX138" s="796"/>
      <c r="AY138" s="796"/>
      <c r="AZ138" s="796"/>
      <c r="BA138" s="796"/>
      <c r="BB138" s="796"/>
      <c r="BC138" s="796"/>
      <c r="BD138" s="796"/>
      <c r="BE138" s="796"/>
      <c r="BF138" s="796"/>
      <c r="BG138" s="796"/>
    </row>
    <row r="139" spans="1:59" ht="16.5" customHeight="1">
      <c r="A139" s="480" t="s">
        <v>53</v>
      </c>
      <c r="C139" s="1023">
        <f>ROUND(SUM(C129+C135),1)</f>
        <v>4415.6000000000004</v>
      </c>
      <c r="D139" s="1021"/>
      <c r="E139" s="1023">
        <f>ROUND(SUM(E129+E135),1)</f>
        <v>-187.3</v>
      </c>
      <c r="F139" s="1021"/>
      <c r="G139" s="1023">
        <f>ROUND(SUM(G129+G135),1)</f>
        <v>0</v>
      </c>
      <c r="H139" s="1021"/>
      <c r="I139" s="1023">
        <f>ROUND(SUM(I129+I135),1)</f>
        <v>0</v>
      </c>
      <c r="J139" s="1021"/>
      <c r="K139" s="1023">
        <f>ROUND(SUM(K129+K135),1)</f>
        <v>0</v>
      </c>
      <c r="L139" s="1021"/>
      <c r="M139" s="1023">
        <f>ROUND(SUM(M129+M135),1)</f>
        <v>0</v>
      </c>
      <c r="N139" s="1021"/>
      <c r="O139" s="1023">
        <f>ROUND(SUM(O129+O135),1)</f>
        <v>0</v>
      </c>
      <c r="P139" s="1021"/>
      <c r="Q139" s="1023">
        <f>ROUND(SUM(Q129+Q135),1)</f>
        <v>0</v>
      </c>
      <c r="R139" s="1021"/>
      <c r="S139" s="1023">
        <f>ROUND(SUM(S129+S135),1)</f>
        <v>0</v>
      </c>
      <c r="T139" s="1021"/>
      <c r="U139" s="1023">
        <f>ROUND(SUM(U129+U135),1)</f>
        <v>0</v>
      </c>
      <c r="V139" s="1021"/>
      <c r="W139" s="1023">
        <f>ROUND(SUM(W129+W135),1)</f>
        <v>0</v>
      </c>
      <c r="X139" s="1021"/>
      <c r="Y139" s="1023">
        <f>ROUND(SUM(Y129+Y135),1)</f>
        <v>0</v>
      </c>
      <c r="Z139" s="1021"/>
      <c r="AA139" s="1022"/>
      <c r="AB139" s="1023">
        <f>ROUND(SUM(AB129+AB135),1)</f>
        <v>4228.3</v>
      </c>
      <c r="AC139" s="1021"/>
      <c r="AD139" s="1022"/>
      <c r="AE139" s="1023">
        <f>ROUND(SUM(AE129+AE135),1)</f>
        <v>3305.2</v>
      </c>
      <c r="AF139" s="1007"/>
      <c r="AG139" s="1028"/>
      <c r="AH139" s="1955">
        <f>ROUND(SUM(AB139-AE139),1)</f>
        <v>923.1</v>
      </c>
      <c r="AI139" s="410"/>
      <c r="AJ139" s="1957">
        <f>ROUND(SUM(-AH139/AE139*-1),3)</f>
        <v>0.27900000000000003</v>
      </c>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5.75">
      <c r="A140" s="410"/>
      <c r="C140" s="989"/>
      <c r="E140" s="989"/>
      <c r="G140" s="989"/>
      <c r="I140" s="989"/>
      <c r="K140" s="989"/>
      <c r="M140" s="989"/>
      <c r="O140" s="989"/>
      <c r="Q140" s="989"/>
      <c r="S140" s="989"/>
      <c r="U140" s="989"/>
      <c r="W140" s="989"/>
      <c r="Y140" s="989"/>
      <c r="AA140" s="1024"/>
      <c r="AB140" s="989"/>
      <c r="AD140" s="1024"/>
      <c r="AE140" s="989"/>
      <c r="AF140" s="1007"/>
      <c r="AG140" s="1028"/>
      <c r="AH140" s="1721"/>
      <c r="AI140" s="1721"/>
      <c r="AJ140" s="1721"/>
    </row>
    <row r="141" spans="1:59" thickBot="1">
      <c r="A141" s="1025" t="s">
        <v>146</v>
      </c>
      <c r="C141" s="1026">
        <f>ROUND(SUM(C16+C139),1)</f>
        <v>14306.4</v>
      </c>
      <c r="D141" s="473"/>
      <c r="E141" s="1026">
        <f>ROUND(SUM(E16+E139),1)</f>
        <v>14119.1</v>
      </c>
      <c r="F141" s="473"/>
      <c r="G141" s="1026">
        <f>ROUND(SUM(G16+G139),1)</f>
        <v>0</v>
      </c>
      <c r="H141" s="473"/>
      <c r="I141" s="1026">
        <f>ROUND(SUM(I16+I139),1)</f>
        <v>0</v>
      </c>
      <c r="J141" s="1027"/>
      <c r="K141" s="1026">
        <f>ROUND(SUM(K16+K139),1)</f>
        <v>0</v>
      </c>
      <c r="L141" s="1027"/>
      <c r="M141" s="1026">
        <f>ROUND(SUM(M16+M139),1)</f>
        <v>0</v>
      </c>
      <c r="N141" s="1027"/>
      <c r="O141" s="1026">
        <f>ROUND(SUM(O16+O139),1)</f>
        <v>0</v>
      </c>
      <c r="P141" s="1027"/>
      <c r="Q141" s="1026">
        <f>ROUND(SUM(Q16+Q139),1)</f>
        <v>0</v>
      </c>
      <c r="R141" s="1027"/>
      <c r="S141" s="1026">
        <f>ROUND(SUM(S16+S139),1)</f>
        <v>0</v>
      </c>
      <c r="T141" s="1027"/>
      <c r="U141" s="1026">
        <f>ROUND(SUM(U16+U139),1)</f>
        <v>0</v>
      </c>
      <c r="V141" s="1027"/>
      <c r="W141" s="1026">
        <f>ROUND(SUM(W16+W139),1)</f>
        <v>0</v>
      </c>
      <c r="X141" s="1027"/>
      <c r="Y141" s="1026">
        <f>ROUND(SUM(Y16+Y139),1)</f>
        <v>0</v>
      </c>
      <c r="Z141" s="473"/>
      <c r="AA141" s="1028"/>
      <c r="AB141" s="1026">
        <f>ROUND(SUM(AB16+AB139),1)</f>
        <v>14119.1</v>
      </c>
      <c r="AC141" s="473"/>
      <c r="AD141" s="1028"/>
      <c r="AE141" s="1026">
        <f>ROUND(SUM(AE16+AE139),1)</f>
        <v>8094.3</v>
      </c>
      <c r="AF141" s="1007"/>
      <c r="AG141" s="1028"/>
      <c r="AH141" s="1026">
        <f>ROUND(SUM(AB141-AE141),1)</f>
        <v>6024.8</v>
      </c>
      <c r="AI141" s="410"/>
      <c r="AJ141" s="532">
        <f>ROUND(SUM(AH141/AE141),3)</f>
        <v>0.74399999999999999</v>
      </c>
      <c r="AK141" s="796"/>
    </row>
    <row r="142" spans="1:59" thickTop="1">
      <c r="A142" s="1029"/>
      <c r="C142" s="419"/>
      <c r="AH142" s="1721"/>
      <c r="AI142" s="1721"/>
      <c r="AJ142" s="1721"/>
    </row>
    <row r="143" spans="1:59" ht="15">
      <c r="A143" s="1131" t="s">
        <v>1473</v>
      </c>
      <c r="AH143" s="1721"/>
      <c r="AI143" s="1721"/>
      <c r="AJ143" s="1721"/>
    </row>
    <row r="144" spans="1:59" ht="15">
      <c r="A144" s="1131" t="s">
        <v>1426</v>
      </c>
      <c r="AH144" s="1721"/>
      <c r="AI144" s="1721"/>
      <c r="AJ144" s="1721"/>
    </row>
    <row r="145" spans="1:36" ht="15">
      <c r="A145" s="2397" t="s">
        <v>1523</v>
      </c>
      <c r="AH145" s="1721"/>
      <c r="AI145" s="1721"/>
      <c r="AJ145" s="1721"/>
    </row>
    <row r="146" spans="1:36" ht="16.5" customHeight="1">
      <c r="AH146" s="1721"/>
      <c r="AI146" s="1721"/>
      <c r="AJ146" s="1721"/>
    </row>
    <row r="147" spans="1:36" ht="16.5" customHeight="1">
      <c r="AH147" s="1721"/>
      <c r="AI147" s="1721"/>
      <c r="AJ147" s="1721"/>
    </row>
    <row r="148" spans="1:36" ht="16.5" customHeight="1">
      <c r="AH148" s="1721"/>
      <c r="AI148" s="1721"/>
      <c r="AJ148" s="1721"/>
    </row>
    <row r="149" spans="1:36" ht="16.5" customHeight="1">
      <c r="AH149" s="1721"/>
      <c r="AI149" s="1721"/>
      <c r="AJ149" s="1721"/>
    </row>
    <row r="150" spans="1:36" ht="16.5" customHeight="1">
      <c r="AH150" s="1721"/>
      <c r="AI150" s="1721"/>
      <c r="AJ150" s="1721"/>
    </row>
    <row r="151" spans="1:36" ht="16.5" customHeight="1">
      <c r="AH151" s="1721"/>
      <c r="AI151" s="1721"/>
      <c r="AJ151" s="1721"/>
    </row>
    <row r="152" spans="1:36" ht="16.5" customHeight="1">
      <c r="AH152" s="1721"/>
      <c r="AI152" s="1721"/>
      <c r="AJ152" s="1721"/>
    </row>
    <row r="153" spans="1:36" ht="16.5" customHeight="1">
      <c r="AH153" s="1721"/>
      <c r="AI153" s="1721"/>
      <c r="AJ153" s="1721"/>
    </row>
    <row r="154" spans="1:36" ht="16.5" customHeight="1">
      <c r="AH154" s="1721"/>
      <c r="AI154" s="1721"/>
      <c r="AJ154" s="1721"/>
    </row>
    <row r="155" spans="1:36" ht="16.5" customHeight="1">
      <c r="AH155" s="1721"/>
      <c r="AI155" s="1721"/>
      <c r="AJ155" s="1721"/>
    </row>
    <row r="156" spans="1:36" ht="16.5" customHeight="1">
      <c r="AH156" s="1721"/>
      <c r="AI156" s="1721"/>
      <c r="AJ156" s="1721"/>
    </row>
    <row r="157" spans="1:36" ht="16.5" customHeight="1">
      <c r="AH157" s="1721"/>
      <c r="AI157" s="1721"/>
      <c r="AJ157" s="1721"/>
    </row>
    <row r="158" spans="1:36" ht="16.5" customHeight="1">
      <c r="AH158" s="1721"/>
      <c r="AI158" s="1721"/>
      <c r="AJ158" s="1721"/>
    </row>
    <row r="159" spans="1:36" ht="16.5" customHeight="1">
      <c r="AH159" s="1721"/>
      <c r="AI159" s="1721"/>
      <c r="AJ159" s="1721"/>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27:AJ28" unlockedFormula="1"/>
    <ignoredError sqref="AB26 AH24 AJ24" formula="1"/>
    <ignoredError sqref="AJ63:AJ75 AJ90:AJ92 AJ37 AJ80:AJ81 AJ94:AJ97" formula="1" unlockedFormula="1"/>
  </ignoredErrors>
  <drawing r:id="rId3"/>
</worksheet>
</file>

<file path=xl/worksheets/sheet18.xml><?xml version="1.0" encoding="utf-8"?>
<worksheet xmlns="http://schemas.openxmlformats.org/spreadsheetml/2006/main" xmlns:r="http://schemas.openxmlformats.org/officeDocument/2006/relationships">
  <sheetPr codeName="Sheet16"/>
  <dimension ref="A1:AL210"/>
  <sheetViews>
    <sheetView showGridLines="0" zoomScale="70" zoomScaleNormal="70" workbookViewId="0"/>
  </sheetViews>
  <sheetFormatPr defaultColWidth="8.88671875" defaultRowHeight="12.75"/>
  <cols>
    <col min="1" max="1" width="5.109375" style="411" customWidth="1"/>
    <col min="2" max="2" width="48.5546875" style="411" customWidth="1"/>
    <col min="3" max="3" width="1.109375" style="411" customWidth="1"/>
    <col min="4" max="4" width="12.44140625" style="411" bestFit="1" customWidth="1"/>
    <col min="5" max="5" width="1.6640625" style="411" customWidth="1"/>
    <col min="6" max="6" width="12" style="411" customWidth="1"/>
    <col min="7" max="7" width="1.6640625" style="411" customWidth="1"/>
    <col min="8" max="8" width="12.33203125" style="411" customWidth="1"/>
    <col min="9" max="9" width="1.6640625" style="411" customWidth="1"/>
    <col min="10" max="10" width="13.77734375" style="2156" customWidth="1"/>
    <col min="11" max="11" width="1.6640625" style="411" customWidth="1"/>
    <col min="12" max="12" width="12.33203125" style="411" bestFit="1" customWidth="1"/>
    <col min="13" max="13" width="1.6640625" style="411" customWidth="1"/>
    <col min="14" max="14" width="13.88671875" style="411" customWidth="1"/>
    <col min="15" max="15" width="1.6640625" style="411" customWidth="1"/>
    <col min="16" max="16" width="12.33203125" style="411" customWidth="1"/>
    <col min="17" max="17" width="1.6640625" style="411" customWidth="1"/>
    <col min="18" max="18" width="12.21875" style="411" customWidth="1"/>
    <col min="19" max="19" width="1.6640625" style="411" customWidth="1"/>
    <col min="20" max="20" width="10.6640625" style="411" customWidth="1"/>
    <col min="21" max="21" width="1.6640625" style="411" customWidth="1"/>
    <col min="22" max="22" width="11.33203125" style="411" customWidth="1"/>
    <col min="23" max="23" width="1.6640625" style="411" customWidth="1"/>
    <col min="24" max="24" width="10.6640625" style="411" customWidth="1"/>
    <col min="25" max="25" width="1.6640625" style="411" customWidth="1"/>
    <col min="26" max="26" width="10.6640625" style="411" customWidth="1"/>
    <col min="27" max="27" width="1.5546875" style="411" customWidth="1"/>
    <col min="28" max="28" width="1.6640625" style="411" customWidth="1"/>
    <col min="29" max="29" width="12.33203125" style="411" bestFit="1" customWidth="1"/>
    <col min="30" max="30" width="1.44140625" style="411" customWidth="1"/>
    <col min="31" max="31" width="1.33203125" style="411" customWidth="1"/>
    <col min="32" max="32" width="12.33203125" style="2162" bestFit="1" customWidth="1"/>
    <col min="33" max="33" width="1" style="411" customWidth="1"/>
    <col min="34" max="34" width="1.109375" style="411" customWidth="1"/>
    <col min="35" max="35" width="13.109375" style="411" bestFit="1" customWidth="1"/>
    <col min="36" max="36" width="1" style="417" customWidth="1"/>
    <col min="37" max="37" width="13.6640625" style="460" bestFit="1" customWidth="1"/>
    <col min="38" max="38" width="10.33203125" style="411" customWidth="1"/>
    <col min="39" max="16384" width="8.88671875" style="411"/>
  </cols>
  <sheetData>
    <row r="1" spans="1:37" ht="15">
      <c r="B1" s="1190" t="s">
        <v>1231</v>
      </c>
    </row>
    <row r="2" spans="1:37">
      <c r="A2" s="457"/>
      <c r="B2" s="458"/>
      <c r="C2" s="458"/>
      <c r="D2" s="458"/>
      <c r="E2" s="458"/>
      <c r="F2" s="458"/>
      <c r="G2" s="458"/>
      <c r="H2" s="458"/>
      <c r="I2" s="458"/>
      <c r="J2" s="2157"/>
      <c r="K2" s="458"/>
      <c r="L2" s="458"/>
      <c r="M2" s="458"/>
      <c r="N2" s="458"/>
      <c r="O2" s="458"/>
      <c r="P2" s="458"/>
      <c r="Q2" s="458"/>
      <c r="R2" s="458"/>
      <c r="S2" s="458"/>
      <c r="T2" s="458"/>
      <c r="U2" s="458"/>
      <c r="V2" s="458"/>
      <c r="W2" s="458"/>
      <c r="X2" s="458"/>
      <c r="Y2" s="458"/>
      <c r="Z2" s="458"/>
      <c r="AA2" s="458"/>
      <c r="AB2" s="458"/>
      <c r="AC2" s="458"/>
      <c r="AD2" s="458"/>
      <c r="AE2" s="458"/>
      <c r="AF2" s="1832"/>
      <c r="AG2" s="458"/>
      <c r="AH2" s="459"/>
    </row>
    <row r="3" spans="1:37">
      <c r="A3" s="457"/>
      <c r="B3" s="458"/>
      <c r="C3" s="458"/>
      <c r="D3" s="458"/>
      <c r="E3" s="458"/>
      <c r="F3" s="458"/>
      <c r="G3" s="458"/>
      <c r="H3" s="458"/>
      <c r="I3" s="458"/>
      <c r="J3" s="2157"/>
      <c r="K3" s="458"/>
      <c r="L3" s="458"/>
      <c r="M3" s="458"/>
      <c r="N3" s="458"/>
      <c r="O3" s="458"/>
      <c r="P3" s="458"/>
      <c r="Q3" s="458"/>
      <c r="R3" s="458"/>
      <c r="S3" s="458"/>
      <c r="T3" s="458"/>
      <c r="U3" s="458"/>
      <c r="V3" s="458"/>
      <c r="W3" s="458"/>
      <c r="X3" s="458"/>
      <c r="Y3" s="458"/>
      <c r="Z3" s="458"/>
      <c r="AA3" s="458"/>
      <c r="AB3" s="458"/>
      <c r="AC3" s="458"/>
      <c r="AD3" s="458"/>
      <c r="AE3" s="458"/>
      <c r="AF3" s="1832"/>
      <c r="AG3" s="458"/>
      <c r="AH3" s="459"/>
    </row>
    <row r="4" spans="1:37">
      <c r="A4" s="457"/>
      <c r="B4" s="458"/>
      <c r="C4" s="458"/>
      <c r="D4" s="458"/>
      <c r="E4" s="458"/>
      <c r="F4" s="458"/>
      <c r="G4" s="458"/>
      <c r="H4" s="458"/>
      <c r="I4" s="458"/>
      <c r="J4" s="2157"/>
      <c r="K4" s="458"/>
      <c r="L4" s="458"/>
      <c r="M4" s="458"/>
      <c r="N4" s="458"/>
      <c r="O4" s="458"/>
      <c r="P4" s="458"/>
      <c r="Q4" s="458"/>
      <c r="R4" s="458"/>
      <c r="S4" s="458"/>
      <c r="T4" s="458"/>
      <c r="U4" s="458"/>
      <c r="V4" s="458"/>
      <c r="W4" s="458"/>
      <c r="X4" s="458"/>
      <c r="Y4" s="458"/>
      <c r="Z4" s="458"/>
      <c r="AA4" s="458"/>
      <c r="AB4" s="458"/>
      <c r="AC4" s="458"/>
      <c r="AD4" s="458"/>
      <c r="AE4" s="458"/>
      <c r="AF4" s="1832"/>
      <c r="AG4" s="458"/>
      <c r="AH4" s="459"/>
    </row>
    <row r="5" spans="1:37" ht="18">
      <c r="A5" s="457"/>
      <c r="B5" s="461" t="s">
        <v>0</v>
      </c>
      <c r="C5" s="458"/>
      <c r="D5" s="458"/>
      <c r="E5" s="458"/>
      <c r="F5" s="358"/>
      <c r="G5" s="458"/>
      <c r="H5" s="458"/>
      <c r="I5" s="458"/>
      <c r="J5" s="2157"/>
      <c r="K5" s="458"/>
      <c r="L5" s="458"/>
      <c r="M5" s="221"/>
      <c r="N5" s="413"/>
      <c r="O5" s="458"/>
      <c r="P5" s="458"/>
      <c r="Q5" s="458"/>
      <c r="R5" s="458"/>
      <c r="S5" s="458"/>
      <c r="T5" s="458"/>
      <c r="U5" s="458"/>
      <c r="V5" s="458"/>
      <c r="W5" s="458"/>
      <c r="X5" s="458"/>
      <c r="Y5" s="458"/>
      <c r="Z5" s="458"/>
      <c r="AA5" s="458"/>
      <c r="AB5" s="458"/>
      <c r="AC5" s="458"/>
      <c r="AD5" s="458"/>
      <c r="AE5" s="458"/>
      <c r="AF5" s="1832"/>
      <c r="AG5" s="458"/>
      <c r="AH5" s="459"/>
      <c r="AK5" s="465" t="s">
        <v>152</v>
      </c>
    </row>
    <row r="6" spans="1:37" ht="18">
      <c r="A6" s="457"/>
      <c r="B6" s="462" t="s">
        <v>151</v>
      </c>
      <c r="C6" s="458"/>
      <c r="D6" s="458"/>
      <c r="E6" s="458"/>
      <c r="F6" s="358"/>
      <c r="G6" s="458"/>
      <c r="H6" s="458"/>
      <c r="I6" s="458"/>
      <c r="J6" s="2157"/>
      <c r="K6" s="458"/>
      <c r="L6" s="458"/>
      <c r="M6" s="221"/>
      <c r="N6" s="413"/>
      <c r="O6" s="458"/>
      <c r="P6" s="458"/>
      <c r="Q6" s="458"/>
      <c r="R6" s="458"/>
      <c r="S6" s="458"/>
      <c r="T6" s="458"/>
      <c r="U6" s="458"/>
      <c r="V6" s="458"/>
      <c r="W6" s="458"/>
      <c r="X6" s="458"/>
      <c r="Y6" s="458"/>
      <c r="Z6" s="458"/>
      <c r="AA6" s="458"/>
      <c r="AB6" s="458"/>
      <c r="AC6" s="463"/>
      <c r="AD6" s="463"/>
      <c r="AE6" s="463"/>
      <c r="AF6" s="2163"/>
      <c r="AG6" s="464"/>
      <c r="AH6" s="459"/>
    </row>
    <row r="7" spans="1:37" ht="18">
      <c r="A7" s="457"/>
      <c r="B7" s="462" t="s">
        <v>153</v>
      </c>
      <c r="C7" s="458"/>
      <c r="D7" s="458"/>
      <c r="E7" s="458"/>
      <c r="F7" s="358"/>
      <c r="G7" s="458"/>
      <c r="H7" s="458"/>
      <c r="I7" s="458"/>
      <c r="J7" s="2157"/>
      <c r="K7" s="458"/>
      <c r="L7" s="458"/>
      <c r="M7" s="221"/>
      <c r="N7" s="413"/>
      <c r="O7" s="458"/>
      <c r="P7" s="458"/>
      <c r="Q7" s="458"/>
      <c r="R7" s="458"/>
      <c r="S7" s="458"/>
      <c r="T7" s="458"/>
      <c r="U7" s="458"/>
      <c r="V7" s="458"/>
      <c r="W7" s="458"/>
      <c r="X7" s="458"/>
      <c r="Y7" s="458"/>
      <c r="Z7" s="458"/>
      <c r="AA7" s="458"/>
      <c r="AB7" s="458"/>
      <c r="AD7" s="466"/>
      <c r="AE7" s="466"/>
      <c r="AH7" s="459"/>
    </row>
    <row r="8" spans="1:37" ht="18" customHeight="1">
      <c r="A8" s="457"/>
      <c r="B8" s="3197" t="s">
        <v>1541</v>
      </c>
      <c r="C8" s="458"/>
      <c r="D8" s="458"/>
      <c r="E8" s="458"/>
      <c r="F8" s="358"/>
      <c r="G8" s="458"/>
      <c r="H8" s="458"/>
      <c r="I8" s="458"/>
      <c r="J8" s="2157"/>
      <c r="K8" s="458"/>
      <c r="L8" s="458"/>
      <c r="M8" s="221"/>
      <c r="N8" s="413"/>
      <c r="O8" s="458"/>
      <c r="P8" s="458"/>
      <c r="Q8" s="458"/>
      <c r="R8" s="458"/>
      <c r="S8" s="458"/>
      <c r="T8" s="458"/>
      <c r="U8" s="458"/>
      <c r="V8" s="458"/>
      <c r="W8" s="458"/>
      <c r="X8" s="458"/>
      <c r="Y8" s="458"/>
      <c r="Z8" s="458"/>
      <c r="AA8" s="458"/>
      <c r="AB8" s="458"/>
      <c r="AC8" s="458"/>
      <c r="AD8" s="458"/>
      <c r="AE8" s="458"/>
      <c r="AF8" s="1832"/>
      <c r="AG8" s="458"/>
      <c r="AH8" s="459"/>
    </row>
    <row r="9" spans="1:37" ht="15" customHeight="1">
      <c r="A9" s="457"/>
      <c r="B9" s="462" t="s">
        <v>1116</v>
      </c>
      <c r="C9" s="458"/>
      <c r="D9" s="458"/>
      <c r="E9" s="458"/>
      <c r="F9" s="358"/>
      <c r="G9" s="458"/>
      <c r="H9" s="458"/>
      <c r="I9" s="458"/>
      <c r="J9" s="2157"/>
      <c r="K9" s="458"/>
      <c r="L9" s="413"/>
      <c r="M9" s="221"/>
      <c r="N9" s="458"/>
      <c r="O9" s="458"/>
      <c r="P9" s="458"/>
      <c r="Q9" s="458"/>
      <c r="R9" s="458"/>
      <c r="S9" s="458"/>
      <c r="T9" s="458"/>
      <c r="U9" s="458"/>
      <c r="V9" s="458"/>
      <c r="W9" s="458"/>
      <c r="X9" s="458"/>
      <c r="Y9" s="458"/>
      <c r="Z9" s="458"/>
      <c r="AA9" s="458"/>
      <c r="AB9" s="458"/>
      <c r="AC9" s="458"/>
      <c r="AD9" s="458"/>
      <c r="AE9" s="458"/>
      <c r="AF9" s="1832"/>
      <c r="AG9" s="458"/>
      <c r="AH9" s="459"/>
    </row>
    <row r="10" spans="1:37" ht="15.75">
      <c r="A10" s="457"/>
      <c r="B10" s="458"/>
      <c r="C10" s="458"/>
      <c r="D10" s="458"/>
      <c r="E10" s="458"/>
      <c r="F10" s="358"/>
      <c r="G10" s="458"/>
      <c r="H10" s="458"/>
      <c r="I10" s="458"/>
      <c r="J10" s="2157"/>
      <c r="K10" s="458"/>
      <c r="L10" s="458"/>
      <c r="M10" s="458"/>
      <c r="N10" s="458"/>
      <c r="O10" s="458"/>
      <c r="P10" s="458"/>
      <c r="Q10" s="458"/>
      <c r="R10" s="458"/>
      <c r="S10" s="458"/>
      <c r="T10" s="458"/>
      <c r="U10" s="458"/>
      <c r="V10" s="458"/>
      <c r="W10" s="458"/>
      <c r="X10" s="458"/>
      <c r="Y10" s="458"/>
      <c r="Z10" s="458"/>
      <c r="AA10" s="458"/>
      <c r="AB10" s="3517" t="s">
        <v>1593</v>
      </c>
      <c r="AC10" s="3517"/>
      <c r="AD10" s="3517"/>
      <c r="AE10" s="3517"/>
      <c r="AF10" s="3517"/>
      <c r="AG10" s="3517"/>
      <c r="AH10" s="3517"/>
      <c r="AI10" s="3517"/>
      <c r="AJ10" s="3517"/>
      <c r="AK10" s="3517"/>
    </row>
    <row r="11" spans="1:37" ht="15" customHeight="1">
      <c r="A11" s="457"/>
      <c r="B11" s="222"/>
      <c r="C11" s="222"/>
      <c r="D11" s="1519">
        <v>2015</v>
      </c>
      <c r="E11" s="221"/>
      <c r="F11" s="1520"/>
      <c r="G11" s="221"/>
      <c r="H11" s="413"/>
      <c r="I11" s="221"/>
      <c r="J11" s="313"/>
      <c r="K11" s="221"/>
      <c r="L11" s="413"/>
      <c r="M11" s="221"/>
      <c r="N11" s="413"/>
      <c r="O11" s="221"/>
      <c r="P11" s="413"/>
      <c r="Q11" s="221"/>
      <c r="R11" s="413"/>
      <c r="S11" s="221"/>
      <c r="T11" s="413"/>
      <c r="U11" s="221"/>
      <c r="V11" s="1519">
        <v>2016</v>
      </c>
      <c r="W11" s="221"/>
      <c r="X11" s="413"/>
      <c r="Y11" s="221"/>
      <c r="Z11" s="413"/>
      <c r="AA11" s="413"/>
      <c r="AB11" s="221"/>
      <c r="AC11" s="414"/>
      <c r="AD11" s="479"/>
      <c r="AE11" s="479"/>
      <c r="AF11" s="2145"/>
      <c r="AG11" s="414"/>
      <c r="AH11" s="1522"/>
      <c r="AI11" s="1523" t="s">
        <v>8</v>
      </c>
      <c r="AJ11" s="414"/>
      <c r="AK11" s="1524" t="s">
        <v>9</v>
      </c>
    </row>
    <row r="12" spans="1:37" ht="15" customHeight="1">
      <c r="A12" s="457"/>
      <c r="B12" s="222"/>
      <c r="C12" s="222"/>
      <c r="D12" s="1505" t="s">
        <v>129</v>
      </c>
      <c r="E12" s="221"/>
      <c r="F12" s="1525" t="s">
        <v>130</v>
      </c>
      <c r="G12" s="221"/>
      <c r="H12" s="1525" t="s">
        <v>131</v>
      </c>
      <c r="I12" s="221"/>
      <c r="J12" s="2158" t="s">
        <v>132</v>
      </c>
      <c r="K12" s="221"/>
      <c r="L12" s="1526" t="s">
        <v>133</v>
      </c>
      <c r="M12" s="221"/>
      <c r="N12" s="1526" t="s">
        <v>134</v>
      </c>
      <c r="O12" s="221"/>
      <c r="P12" s="1526" t="s">
        <v>135</v>
      </c>
      <c r="Q12" s="221"/>
      <c r="R12" s="1526" t="s">
        <v>136</v>
      </c>
      <c r="S12" s="221"/>
      <c r="T12" s="1526" t="s">
        <v>137</v>
      </c>
      <c r="U12" s="221"/>
      <c r="V12" s="1526" t="s">
        <v>154</v>
      </c>
      <c r="W12" s="221"/>
      <c r="X12" s="1526" t="s">
        <v>139</v>
      </c>
      <c r="Y12" s="221"/>
      <c r="Z12" s="1526" t="s">
        <v>140</v>
      </c>
      <c r="AA12" s="1524"/>
      <c r="AB12" s="221"/>
      <c r="AC12" s="1527">
        <v>2015</v>
      </c>
      <c r="AD12" s="221" t="s">
        <v>16</v>
      </c>
      <c r="AE12" s="221"/>
      <c r="AF12" s="2164">
        <v>2014</v>
      </c>
      <c r="AG12" s="1528"/>
      <c r="AH12" s="1522"/>
      <c r="AI12" s="1529" t="s">
        <v>13</v>
      </c>
      <c r="AJ12" s="413"/>
      <c r="AK12" s="1530" t="s">
        <v>14</v>
      </c>
    </row>
    <row r="13" spans="1:37" ht="5.25" customHeight="1">
      <c r="A13" s="457"/>
      <c r="B13" s="222"/>
      <c r="C13" s="222"/>
      <c r="D13" s="235" t="s">
        <v>16</v>
      </c>
      <c r="E13" s="222"/>
      <c r="F13" s="468"/>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65"/>
      <c r="AG13" s="229"/>
      <c r="AH13" s="469"/>
    </row>
    <row r="14" spans="1:37" ht="15" customHeight="1">
      <c r="A14" s="353"/>
      <c r="B14" s="227" t="s">
        <v>141</v>
      </c>
      <c r="C14" s="223"/>
      <c r="D14" s="295">
        <v>7299.5</v>
      </c>
      <c r="E14" s="470"/>
      <c r="F14" s="295">
        <f>D136</f>
        <v>10343.6</v>
      </c>
      <c r="G14" s="470"/>
      <c r="H14" s="295"/>
      <c r="I14" s="470"/>
      <c r="J14" s="337"/>
      <c r="K14" s="470"/>
      <c r="L14" s="295"/>
      <c r="M14" s="470"/>
      <c r="N14" s="295"/>
      <c r="O14" s="470"/>
      <c r="P14" s="295"/>
      <c r="Q14" s="470"/>
      <c r="R14" s="295"/>
      <c r="S14" s="470"/>
      <c r="T14" s="295"/>
      <c r="U14" s="470"/>
      <c r="V14" s="295"/>
      <c r="W14" s="295"/>
      <c r="X14" s="295"/>
      <c r="Y14" s="470"/>
      <c r="Z14" s="470"/>
      <c r="AA14" s="470"/>
      <c r="AB14" s="471"/>
      <c r="AC14" s="295">
        <f>D14</f>
        <v>7299.5</v>
      </c>
      <c r="AD14" s="470"/>
      <c r="AE14" s="471"/>
      <c r="AF14" s="337">
        <v>2235.1999999999998</v>
      </c>
      <c r="AG14" s="470"/>
      <c r="AH14" s="472"/>
      <c r="AI14" s="295">
        <f>ROUND(SUM(+AC14-AF14),1)</f>
        <v>5064.3</v>
      </c>
      <c r="AJ14" s="2773"/>
      <c r="AK14" s="2833">
        <f>ROUND(IF(AF14=0,0,AI14/(AF14)),3)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9"/>
      <c r="AI15" s="458"/>
      <c r="AJ15" s="2104"/>
      <c r="AK15" s="1607"/>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9"/>
      <c r="AI16" s="458"/>
      <c r="AJ16" s="2104"/>
      <c r="AK16" s="1607"/>
    </row>
    <row r="17" spans="1:37" ht="15" customHeight="1">
      <c r="A17" s="353"/>
      <c r="B17" s="491" t="s">
        <v>1373</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9"/>
      <c r="AI17" s="458"/>
      <c r="AJ17" s="2104"/>
      <c r="AK17" s="1607"/>
    </row>
    <row r="18" spans="1:37" ht="15" customHeight="1">
      <c r="A18" s="353"/>
      <c r="B18" s="2089" t="s">
        <v>1447</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9"/>
      <c r="AI18" s="458"/>
      <c r="AJ18" s="2104"/>
      <c r="AK18" s="1607"/>
    </row>
    <row r="19" spans="1:37" ht="15" customHeight="1">
      <c r="A19" s="353"/>
      <c r="B19" s="1276" t="s">
        <v>1381</v>
      </c>
      <c r="C19" s="223"/>
      <c r="D19" s="3193">
        <v>2961.1</v>
      </c>
      <c r="E19" s="1679"/>
      <c r="F19" s="3193">
        <v>2449.1999999999998</v>
      </c>
      <c r="G19" s="1679"/>
      <c r="H19" s="1679"/>
      <c r="I19" s="2130"/>
      <c r="J19" s="2159"/>
      <c r="K19" s="223"/>
      <c r="L19" s="1142"/>
      <c r="M19" s="223"/>
      <c r="N19" s="261"/>
      <c r="O19" s="261"/>
      <c r="P19" s="261"/>
      <c r="Q19" s="261"/>
      <c r="R19" s="261"/>
      <c r="S19" s="261"/>
      <c r="T19" s="261"/>
      <c r="U19" s="261"/>
      <c r="V19" s="261"/>
      <c r="W19" s="261"/>
      <c r="X19" s="261"/>
      <c r="Y19" s="261"/>
      <c r="Z19" s="261"/>
      <c r="AA19" s="222"/>
      <c r="AB19" s="237"/>
      <c r="AC19" s="261">
        <f>ROUND(SUM(D19:Z19),1)</f>
        <v>5410.3</v>
      </c>
      <c r="AD19" s="223"/>
      <c r="AE19" s="237"/>
      <c r="AF19" s="85">
        <v>5181.8</v>
      </c>
      <c r="AG19" s="222"/>
      <c r="AH19" s="469"/>
      <c r="AI19" s="1177">
        <f>ROUND(SUM(+AC19-AF19),1)</f>
        <v>228.5</v>
      </c>
      <c r="AJ19" s="2104"/>
      <c r="AK19" s="1871">
        <f>ROUND(IF(AF19=0,0,AI19/(AF19)),3)</f>
        <v>4.3999999999999997E-2</v>
      </c>
    </row>
    <row r="20" spans="1:37" ht="15" customHeight="1">
      <c r="A20" s="353"/>
      <c r="B20" s="1276" t="s">
        <v>1382</v>
      </c>
      <c r="C20" s="223"/>
      <c r="D20" s="3193">
        <v>5313.5</v>
      </c>
      <c r="E20" s="1142"/>
      <c r="F20" s="1142">
        <v>124.7</v>
      </c>
      <c r="G20" s="1142"/>
      <c r="H20" s="1142"/>
      <c r="I20" s="223"/>
      <c r="J20" s="319"/>
      <c r="K20" s="223"/>
      <c r="L20" s="1142"/>
      <c r="M20" s="223"/>
      <c r="N20" s="261"/>
      <c r="O20" s="261"/>
      <c r="P20" s="261"/>
      <c r="Q20" s="261"/>
      <c r="R20" s="261"/>
      <c r="S20" s="261"/>
      <c r="T20" s="261"/>
      <c r="U20" s="261"/>
      <c r="V20" s="261"/>
      <c r="W20" s="261"/>
      <c r="X20" s="261"/>
      <c r="Y20" s="261"/>
      <c r="Z20" s="261"/>
      <c r="AA20" s="222"/>
      <c r="AB20" s="237"/>
      <c r="AC20" s="261">
        <f>ROUND(SUM(D20:Z20),1)</f>
        <v>5438.2</v>
      </c>
      <c r="AD20" s="223"/>
      <c r="AE20" s="237"/>
      <c r="AF20" s="85">
        <v>4152.5</v>
      </c>
      <c r="AG20" s="222"/>
      <c r="AH20" s="469"/>
      <c r="AI20" s="1177">
        <f>ROUND(SUM(+AC20-AF20),1)</f>
        <v>1285.7</v>
      </c>
      <c r="AJ20" s="2104"/>
      <c r="AK20" s="1871">
        <f>ROUND(IF(AF20=0,0,AI20/(AF20)),3)</f>
        <v>0.31</v>
      </c>
    </row>
    <row r="21" spans="1:37" ht="15" customHeight="1">
      <c r="A21" s="353"/>
      <c r="B21" s="1276" t="s">
        <v>1383</v>
      </c>
      <c r="C21" s="223"/>
      <c r="D21" s="3193">
        <v>1687.1</v>
      </c>
      <c r="E21" s="1142"/>
      <c r="F21" s="1142">
        <v>78.2</v>
      </c>
      <c r="G21" s="1142"/>
      <c r="H21" s="1142"/>
      <c r="I21" s="223"/>
      <c r="J21" s="319"/>
      <c r="K21" s="223"/>
      <c r="L21" s="1142"/>
      <c r="M21" s="223"/>
      <c r="N21" s="261"/>
      <c r="O21" s="261"/>
      <c r="P21" s="261"/>
      <c r="Q21" s="261"/>
      <c r="R21" s="261"/>
      <c r="S21" s="261"/>
      <c r="T21" s="261"/>
      <c r="U21" s="261"/>
      <c r="V21" s="261"/>
      <c r="W21" s="261"/>
      <c r="X21" s="261"/>
      <c r="Y21" s="261"/>
      <c r="Z21" s="261"/>
      <c r="AA21" s="222"/>
      <c r="AB21" s="237"/>
      <c r="AC21" s="261">
        <f>ROUND(SUM(D21:Z21),1)</f>
        <v>1765.3</v>
      </c>
      <c r="AD21" s="223"/>
      <c r="AE21" s="237"/>
      <c r="AF21" s="85">
        <v>1490.9</v>
      </c>
      <c r="AG21" s="222"/>
      <c r="AH21" s="469"/>
      <c r="AI21" s="1177">
        <f>ROUND(SUM(+AC21-AF21),1)</f>
        <v>274.39999999999998</v>
      </c>
      <c r="AJ21" s="2104"/>
      <c r="AK21" s="1871">
        <f>ROUND(IF(AF21=0,0,AI21/(AF21)),3)</f>
        <v>0.184</v>
      </c>
    </row>
    <row r="22" spans="1:37" ht="15" customHeight="1">
      <c r="A22" s="353"/>
      <c r="B22" s="2127" t="s">
        <v>1384</v>
      </c>
      <c r="C22" s="223"/>
      <c r="D22" s="3193">
        <v>-144.80000000000001</v>
      </c>
      <c r="E22" s="1142"/>
      <c r="F22" s="1142">
        <v>-26.1</v>
      </c>
      <c r="G22" s="1142"/>
      <c r="H22" s="1142"/>
      <c r="I22" s="223"/>
      <c r="J22" s="319"/>
      <c r="K22" s="223"/>
      <c r="L22" s="1142"/>
      <c r="M22" s="223"/>
      <c r="N22" s="261"/>
      <c r="O22" s="261"/>
      <c r="P22" s="261"/>
      <c r="Q22" s="261"/>
      <c r="R22" s="261"/>
      <c r="S22" s="261"/>
      <c r="T22" s="261"/>
      <c r="U22" s="261"/>
      <c r="V22" s="261"/>
      <c r="W22" s="261"/>
      <c r="X22" s="261"/>
      <c r="Y22" s="261"/>
      <c r="Z22" s="261"/>
      <c r="AA22" s="222"/>
      <c r="AB22" s="237"/>
      <c r="AC22" s="261">
        <f>ROUND(SUM(D22:Z22),1)</f>
        <v>-170.9</v>
      </c>
      <c r="AD22" s="223"/>
      <c r="AE22" s="237"/>
      <c r="AF22" s="85">
        <v>-151</v>
      </c>
      <c r="AG22" s="222"/>
      <c r="AH22" s="469"/>
      <c r="AI22" s="1177">
        <f>-ROUND(SUM(+AC22-AF22),1)</f>
        <v>19.899999999999999</v>
      </c>
      <c r="AJ22" s="2104"/>
      <c r="AK22" s="2843">
        <f>-ROUND(IF(AF22=0,0,AI22/(AF22)),3)</f>
        <v>0.13200000000000001</v>
      </c>
    </row>
    <row r="23" spans="1:37" ht="15" customHeight="1">
      <c r="A23" s="353"/>
      <c r="B23" s="2127" t="s">
        <v>1385</v>
      </c>
      <c r="C23" s="223"/>
      <c r="D23" s="3193">
        <v>143.69999999999999</v>
      </c>
      <c r="E23" s="1142"/>
      <c r="F23" s="1142">
        <v>95.5</v>
      </c>
      <c r="G23" s="1142"/>
      <c r="H23" s="1142"/>
      <c r="I23" s="223"/>
      <c r="J23" s="319"/>
      <c r="K23" s="223"/>
      <c r="L23" s="1142"/>
      <c r="M23" s="223"/>
      <c r="N23" s="261"/>
      <c r="O23" s="261"/>
      <c r="P23" s="261"/>
      <c r="Q23" s="261"/>
      <c r="R23" s="261"/>
      <c r="S23" s="261"/>
      <c r="T23" s="261"/>
      <c r="U23" s="261"/>
      <c r="V23" s="261"/>
      <c r="W23" s="261"/>
      <c r="X23" s="261"/>
      <c r="Y23" s="261"/>
      <c r="Z23" s="261"/>
      <c r="AA23" s="222"/>
      <c r="AB23" s="237"/>
      <c r="AC23" s="261">
        <f>ROUND(SUM(D23:Z23),1)</f>
        <v>239.2</v>
      </c>
      <c r="AD23" s="223"/>
      <c r="AE23" s="237"/>
      <c r="AF23" s="85">
        <v>239.1</v>
      </c>
      <c r="AG23" s="222"/>
      <c r="AH23" s="469"/>
      <c r="AI23" s="1177">
        <f>ROUND(SUM(+AC23-AF23),1)</f>
        <v>0.1</v>
      </c>
      <c r="AJ23" s="2104"/>
      <c r="AK23" s="1871">
        <f>ROUND(IF(AF23=0,0,AI23/(AF23)),3)</f>
        <v>0</v>
      </c>
    </row>
    <row r="24" spans="1:37" ht="15" customHeight="1">
      <c r="A24" s="353"/>
      <c r="B24" s="1277" t="s">
        <v>1386</v>
      </c>
      <c r="C24" s="223"/>
      <c r="D24" s="485">
        <f>ROUND(SUM(D19:D23),1)</f>
        <v>9960.6</v>
      </c>
      <c r="E24" s="223"/>
      <c r="F24" s="485">
        <f>ROUND(SUM(F19:F23),1)</f>
        <v>2721.5</v>
      </c>
      <c r="G24" s="223"/>
      <c r="H24" s="485">
        <f>ROUND(SUM(H19:H23),1)</f>
        <v>0</v>
      </c>
      <c r="I24" s="223"/>
      <c r="J24" s="1289">
        <f>ROUND(SUM(J19:J23),1)</f>
        <v>0</v>
      </c>
      <c r="K24" s="223"/>
      <c r="L24" s="485">
        <f>ROUND(SUM(L19:L23),1)</f>
        <v>0</v>
      </c>
      <c r="M24" s="223"/>
      <c r="N24" s="485">
        <f>ROUND(SUM(N19:N23),1)</f>
        <v>0</v>
      </c>
      <c r="O24" s="261"/>
      <c r="P24" s="485">
        <f>ROUND(SUM(P19:P23),1)</f>
        <v>0</v>
      </c>
      <c r="Q24" s="261"/>
      <c r="R24" s="485">
        <f>ROUND(SUM(R19:R23),1)</f>
        <v>0</v>
      </c>
      <c r="S24" s="261"/>
      <c r="T24" s="485">
        <f>ROUND(SUM(T19:T23),1)</f>
        <v>0</v>
      </c>
      <c r="U24" s="261"/>
      <c r="V24" s="485">
        <f>ROUND(SUM(V19:V23),1)</f>
        <v>0</v>
      </c>
      <c r="W24" s="261"/>
      <c r="X24" s="485">
        <f>ROUND(SUM(X19:X23),1)</f>
        <v>0</v>
      </c>
      <c r="Y24" s="261"/>
      <c r="Z24" s="485">
        <f>ROUND(SUM(Z19:Z23),1)</f>
        <v>0</v>
      </c>
      <c r="AA24" s="222"/>
      <c r="AB24" s="237"/>
      <c r="AC24" s="485">
        <f>ROUND(SUM(AC19:AC23),1)</f>
        <v>12682.1</v>
      </c>
      <c r="AD24" s="223"/>
      <c r="AE24" s="237"/>
      <c r="AF24" s="1289">
        <f>ROUND(SUM(AF19:AF23),1)</f>
        <v>10913.3</v>
      </c>
      <c r="AG24" s="222"/>
      <c r="AH24" s="469"/>
      <c r="AI24" s="485">
        <f>ROUND(SUM(AC24-AF24),1)</f>
        <v>1768.8</v>
      </c>
      <c r="AJ24" s="2104"/>
      <c r="AK24" s="2115">
        <f>ROUND(SUM(+AI24/AF24),3)</f>
        <v>0.16200000000000001</v>
      </c>
    </row>
    <row r="25" spans="1:37" ht="15" customHeight="1">
      <c r="A25" s="353"/>
      <c r="B25" s="2127" t="s">
        <v>1388</v>
      </c>
      <c r="C25" s="223"/>
      <c r="D25" s="1464">
        <v>-3.1</v>
      </c>
      <c r="E25" s="1142"/>
      <c r="F25" s="1464">
        <v>0</v>
      </c>
      <c r="G25" s="1142"/>
      <c r="H25" s="1464"/>
      <c r="I25" s="223"/>
      <c r="J25" s="319"/>
      <c r="K25" s="223"/>
      <c r="L25" s="1464"/>
      <c r="M25" s="223"/>
      <c r="N25" s="261"/>
      <c r="O25" s="261"/>
      <c r="P25" s="261"/>
      <c r="Q25" s="261"/>
      <c r="R25" s="261"/>
      <c r="S25" s="261"/>
      <c r="T25" s="261"/>
      <c r="U25" s="261"/>
      <c r="V25" s="261"/>
      <c r="W25" s="261"/>
      <c r="X25" s="261"/>
      <c r="Y25" s="261"/>
      <c r="Z25" s="261"/>
      <c r="AA25" s="222"/>
      <c r="AB25" s="237"/>
      <c r="AC25" s="261">
        <f>ROUND(SUM(D25:Z25),1)</f>
        <v>-3.1</v>
      </c>
      <c r="AD25" s="223"/>
      <c r="AE25" s="237"/>
      <c r="AF25" s="2649">
        <v>0</v>
      </c>
      <c r="AG25" s="222"/>
      <c r="AH25" s="469"/>
      <c r="AI25" s="1177">
        <f>-ROUND(SUM(+AC25-AF25),1)</f>
        <v>3.1</v>
      </c>
      <c r="AJ25" s="2104"/>
      <c r="AK25" s="2843">
        <f>-ROUND(IF(AF25=0,1,AI25/(AF25)),3)*-1</f>
        <v>1</v>
      </c>
    </row>
    <row r="26" spans="1:37" ht="15" customHeight="1">
      <c r="A26" s="353"/>
      <c r="B26" s="2127" t="s">
        <v>1389</v>
      </c>
      <c r="C26" s="223"/>
      <c r="D26" s="3209">
        <v>-1679.6</v>
      </c>
      <c r="E26" s="1142"/>
      <c r="F26" s="1208">
        <v>-580.20000000000005</v>
      </c>
      <c r="G26" s="1142"/>
      <c r="H26" s="1208"/>
      <c r="I26" s="223"/>
      <c r="J26" s="319"/>
      <c r="K26" s="223"/>
      <c r="L26" s="1208"/>
      <c r="M26" s="223"/>
      <c r="N26" s="261"/>
      <c r="O26" s="261"/>
      <c r="P26" s="261"/>
      <c r="Q26" s="261"/>
      <c r="R26" s="261"/>
      <c r="S26" s="261"/>
      <c r="T26" s="261"/>
      <c r="U26" s="261"/>
      <c r="V26" s="261"/>
      <c r="W26" s="261"/>
      <c r="X26" s="261"/>
      <c r="Y26" s="261"/>
      <c r="Z26" s="261"/>
      <c r="AA26" s="222"/>
      <c r="AB26" s="237"/>
      <c r="AC26" s="261">
        <f>ROUND(SUM(D26:Z26),1)</f>
        <v>-2259.8000000000002</v>
      </c>
      <c r="AD26" s="223"/>
      <c r="AE26" s="237"/>
      <c r="AF26" s="2650">
        <v>-1863.8</v>
      </c>
      <c r="AG26" s="222"/>
      <c r="AH26" s="469"/>
      <c r="AI26" s="1177">
        <f>-ROUND(SUM(+AC26-AF26),1)</f>
        <v>396</v>
      </c>
      <c r="AJ26" s="2104"/>
      <c r="AK26" s="2843">
        <f>ROUND(IF(AF26=0,0,AI26/(AF26)),3)*-1</f>
        <v>0.21199999999999999</v>
      </c>
    </row>
    <row r="27" spans="1:37" ht="15" customHeight="1">
      <c r="A27" s="353"/>
      <c r="B27" s="1276" t="s">
        <v>1390</v>
      </c>
      <c r="C27" s="223"/>
      <c r="D27" s="3193">
        <v>-3242.2</v>
      </c>
      <c r="E27" s="1142"/>
      <c r="F27" s="1142">
        <v>-400.7</v>
      </c>
      <c r="G27" s="1142"/>
      <c r="H27" s="1142"/>
      <c r="I27" s="223"/>
      <c r="J27" s="319"/>
      <c r="K27" s="223"/>
      <c r="L27" s="1142"/>
      <c r="M27" s="223"/>
      <c r="N27" s="261"/>
      <c r="O27" s="261"/>
      <c r="P27" s="261"/>
      <c r="Q27" s="261"/>
      <c r="R27" s="261"/>
      <c r="S27" s="261"/>
      <c r="T27" s="261"/>
      <c r="U27" s="261"/>
      <c r="V27" s="261"/>
      <c r="W27" s="261"/>
      <c r="X27" s="261"/>
      <c r="Y27" s="261"/>
      <c r="Z27" s="261"/>
      <c r="AA27" s="222"/>
      <c r="AB27" s="237"/>
      <c r="AC27" s="261">
        <f>ROUND(SUM(D27:Z27),1)</f>
        <v>-3642.9</v>
      </c>
      <c r="AD27" s="223"/>
      <c r="AE27" s="237"/>
      <c r="AF27" s="85">
        <v>-3458.1</v>
      </c>
      <c r="AG27" s="222"/>
      <c r="AH27" s="469"/>
      <c r="AI27" s="1177">
        <f>-ROUND(SUM(+AC27-AF27),1)</f>
        <v>184.8</v>
      </c>
      <c r="AJ27" s="2104"/>
      <c r="AK27" s="2843">
        <f>ROUND(IF(AF27=0,0,AI27/(AF27)),3)*-1</f>
        <v>5.2999999999999999E-2</v>
      </c>
    </row>
    <row r="28" spans="1:37" ht="15" customHeight="1">
      <c r="A28" s="353"/>
      <c r="B28" s="590" t="s">
        <v>1387</v>
      </c>
      <c r="C28" s="222"/>
      <c r="D28" s="485">
        <f>ROUND(SUM(D24:D27),1)</f>
        <v>5035.7</v>
      </c>
      <c r="E28" s="261"/>
      <c r="F28" s="485">
        <f>ROUND(SUM(F24+F25+F26+F27),1)</f>
        <v>1740.6</v>
      </c>
      <c r="G28" s="261"/>
      <c r="H28" s="485">
        <f>ROUND(SUM(H24+H25+H26+H27),1)</f>
        <v>0</v>
      </c>
      <c r="I28" s="261"/>
      <c r="J28" s="1289">
        <f>ROUND(SUM(J24+J25+J26+J27),1)</f>
        <v>0</v>
      </c>
      <c r="K28" s="261"/>
      <c r="L28" s="485">
        <f>ROUND(SUM(L24+L25+L26+L27),1)</f>
        <v>0</v>
      </c>
      <c r="M28" s="261"/>
      <c r="N28" s="485">
        <f>ROUND(SUM(N24+N25+N26+N27),1)</f>
        <v>0</v>
      </c>
      <c r="O28" s="261"/>
      <c r="P28" s="485">
        <f>ROUND(SUM(P24+P25+P26+P27),1)</f>
        <v>0</v>
      </c>
      <c r="Q28" s="261"/>
      <c r="R28" s="485">
        <f>ROUND(SUM(R24+R25+R26+R27),1)</f>
        <v>0</v>
      </c>
      <c r="S28" s="261"/>
      <c r="T28" s="485">
        <f>ROUND(SUM(T24+T25+T26+T27),1)</f>
        <v>0</v>
      </c>
      <c r="U28" s="261"/>
      <c r="V28" s="485">
        <f>ROUND(SUM(V24+V25+V26+V27),1)</f>
        <v>0</v>
      </c>
      <c r="W28" s="261"/>
      <c r="X28" s="485">
        <f>ROUND(SUM(X24+X25+X26+X27),1)</f>
        <v>0</v>
      </c>
      <c r="Y28" s="261"/>
      <c r="Z28" s="485">
        <f>ROUND(SUM(Z24+Z25+Z26+Z27),1)</f>
        <v>0</v>
      </c>
      <c r="AA28" s="368"/>
      <c r="AB28" s="237"/>
      <c r="AC28" s="485">
        <f>ROUND(SUM(AC24+AC25+AC26+AC27),1)</f>
        <v>6776.3</v>
      </c>
      <c r="AD28" s="261"/>
      <c r="AE28" s="250"/>
      <c r="AF28" s="1289">
        <f>ROUND(SUM(AF24+AF25+AF26+AF27),1)</f>
        <v>5591.4</v>
      </c>
      <c r="AG28" s="261"/>
      <c r="AH28" s="1282"/>
      <c r="AI28" s="485">
        <f>ROUND(SUM(AI24-AI25-AI26-AI27),1)</f>
        <v>1184.9000000000001</v>
      </c>
      <c r="AJ28" s="1921"/>
      <c r="AK28" s="2115">
        <f>ROUND(SUM(+AI28/AF28),3)</f>
        <v>0.21199999999999999</v>
      </c>
    </row>
    <row r="29" spans="1:37" ht="15" customHeight="1">
      <c r="A29" s="353"/>
      <c r="B29" s="2089" t="s">
        <v>1444</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82"/>
      <c r="AI29" s="273"/>
      <c r="AJ29" s="1921"/>
      <c r="AK29" s="2087"/>
    </row>
    <row r="30" spans="1:37" ht="15" customHeight="1">
      <c r="A30" s="353"/>
      <c r="B30" s="1276" t="s">
        <v>1393</v>
      </c>
      <c r="C30" s="222"/>
      <c r="D30" s="1142">
        <v>475.2</v>
      </c>
      <c r="E30" s="1142"/>
      <c r="F30" s="1142">
        <v>465.8</v>
      </c>
      <c r="G30" s="1142"/>
      <c r="H30" s="1142"/>
      <c r="I30" s="261"/>
      <c r="J30" s="2058"/>
      <c r="K30" s="261"/>
      <c r="L30" s="1142"/>
      <c r="M30" s="261"/>
      <c r="N30" s="1921"/>
      <c r="O30" s="261"/>
      <c r="P30" s="1921"/>
      <c r="Q30" s="1177"/>
      <c r="R30" s="1921"/>
      <c r="S30" s="1177"/>
      <c r="T30" s="1921"/>
      <c r="U30" s="1177"/>
      <c r="V30" s="1921"/>
      <c r="W30" s="1177"/>
      <c r="X30" s="1921"/>
      <c r="Y30" s="1177"/>
      <c r="Z30" s="1921"/>
      <c r="AA30" s="368"/>
      <c r="AB30" s="237"/>
      <c r="AC30" s="261">
        <f t="shared" ref="AC30:AC36" si="0">ROUND(SUM(D30:Z30),1)</f>
        <v>941</v>
      </c>
      <c r="AD30" s="261"/>
      <c r="AE30" s="250"/>
      <c r="AF30" s="85">
        <v>910.4</v>
      </c>
      <c r="AG30" s="261"/>
      <c r="AH30" s="1282"/>
      <c r="AI30" s="1177">
        <f t="shared" ref="AI30:AI36" si="1">ROUND(SUM(+AC30-AF30),1)</f>
        <v>30.6</v>
      </c>
      <c r="AJ30" s="1921"/>
      <c r="AK30" s="1871">
        <f t="shared" ref="AK30:AK36" si="2">ROUND(IF(AF30=0,0,AI30/(AF30)),3)</f>
        <v>3.4000000000000002E-2</v>
      </c>
    </row>
    <row r="31" spans="1:37" ht="15" customHeight="1">
      <c r="A31" s="353"/>
      <c r="B31" s="1276" t="s">
        <v>1394</v>
      </c>
      <c r="C31" s="222"/>
      <c r="D31" s="1208">
        <v>0</v>
      </c>
      <c r="E31" s="1142"/>
      <c r="F31" s="1208">
        <v>0</v>
      </c>
      <c r="G31" s="1142"/>
      <c r="H31" s="1208"/>
      <c r="I31" s="261"/>
      <c r="J31" s="2058"/>
      <c r="K31" s="261"/>
      <c r="L31" s="1208"/>
      <c r="M31" s="261"/>
      <c r="N31" s="1921"/>
      <c r="O31" s="261"/>
      <c r="P31" s="1921"/>
      <c r="Q31" s="1177"/>
      <c r="R31" s="1921"/>
      <c r="S31" s="1177"/>
      <c r="T31" s="1921"/>
      <c r="U31" s="1177"/>
      <c r="V31" s="1921"/>
      <c r="W31" s="1177"/>
      <c r="X31" s="1921"/>
      <c r="Y31" s="1177"/>
      <c r="Z31" s="1921"/>
      <c r="AA31" s="368"/>
      <c r="AB31" s="237"/>
      <c r="AC31" s="261">
        <f t="shared" si="0"/>
        <v>0</v>
      </c>
      <c r="AD31" s="261"/>
      <c r="AE31" s="250"/>
      <c r="AF31" s="2651">
        <v>0</v>
      </c>
      <c r="AG31" s="261"/>
      <c r="AH31" s="1282"/>
      <c r="AI31" s="1177">
        <f t="shared" si="1"/>
        <v>0</v>
      </c>
      <c r="AJ31" s="1921"/>
      <c r="AK31" s="1871">
        <f t="shared" si="2"/>
        <v>0</v>
      </c>
    </row>
    <row r="32" spans="1:37" ht="15" customHeight="1">
      <c r="A32" s="353"/>
      <c r="B32" s="1276" t="s">
        <v>1395</v>
      </c>
      <c r="C32" s="222"/>
      <c r="D32" s="1142">
        <v>11.9</v>
      </c>
      <c r="E32" s="1142"/>
      <c r="F32" s="1142">
        <v>26.6</v>
      </c>
      <c r="G32" s="1142"/>
      <c r="H32" s="1142"/>
      <c r="I32" s="261"/>
      <c r="J32" s="2058"/>
      <c r="K32" s="261"/>
      <c r="L32" s="1142"/>
      <c r="M32" s="261"/>
      <c r="N32" s="1921"/>
      <c r="O32" s="261"/>
      <c r="P32" s="1921"/>
      <c r="Q32" s="1177"/>
      <c r="R32" s="1921"/>
      <c r="S32" s="1177"/>
      <c r="T32" s="1921"/>
      <c r="U32" s="1177"/>
      <c r="V32" s="1921"/>
      <c r="W32" s="1177"/>
      <c r="X32" s="1921"/>
      <c r="Y32" s="1177"/>
      <c r="Z32" s="1921"/>
      <c r="AA32" s="368"/>
      <c r="AB32" s="237"/>
      <c r="AC32" s="261">
        <f t="shared" si="0"/>
        <v>38.5</v>
      </c>
      <c r="AD32" s="261"/>
      <c r="AE32" s="250"/>
      <c r="AF32" s="85">
        <v>64.900000000000006</v>
      </c>
      <c r="AG32" s="261"/>
      <c r="AH32" s="1282"/>
      <c r="AI32" s="1177">
        <f t="shared" si="1"/>
        <v>-26.4</v>
      </c>
      <c r="AJ32" s="1921"/>
      <c r="AK32" s="1871">
        <f t="shared" si="2"/>
        <v>-0.40699999999999997</v>
      </c>
    </row>
    <row r="33" spans="1:37" ht="15" customHeight="1">
      <c r="A33" s="353"/>
      <c r="B33" s="1276" t="s">
        <v>1396</v>
      </c>
      <c r="C33" s="222"/>
      <c r="D33" s="1208">
        <v>0</v>
      </c>
      <c r="E33" s="1142"/>
      <c r="F33" s="1208">
        <v>0</v>
      </c>
      <c r="G33" s="1142"/>
      <c r="H33" s="1208"/>
      <c r="I33" s="261"/>
      <c r="J33" s="2058"/>
      <c r="K33" s="261"/>
      <c r="L33" s="1208"/>
      <c r="M33" s="261"/>
      <c r="N33" s="1921"/>
      <c r="O33" s="261"/>
      <c r="P33" s="1921"/>
      <c r="Q33" s="1177"/>
      <c r="R33" s="1921"/>
      <c r="S33" s="1177"/>
      <c r="T33" s="1921"/>
      <c r="U33" s="1177"/>
      <c r="V33" s="1921"/>
      <c r="W33" s="1177"/>
      <c r="X33" s="1921"/>
      <c r="Y33" s="1177"/>
      <c r="Z33" s="1921"/>
      <c r="AA33" s="368"/>
      <c r="AB33" s="237"/>
      <c r="AC33" s="261">
        <f t="shared" si="0"/>
        <v>0</v>
      </c>
      <c r="AD33" s="261"/>
      <c r="AE33" s="250"/>
      <c r="AF33" s="2651">
        <v>0</v>
      </c>
      <c r="AG33" s="261"/>
      <c r="AH33" s="1282"/>
      <c r="AI33" s="1177">
        <f t="shared" si="1"/>
        <v>0</v>
      </c>
      <c r="AJ33" s="1921"/>
      <c r="AK33" s="1871">
        <f>ROUND(IF(AF33=0,0,AI33/(AF33)),3)</f>
        <v>0</v>
      </c>
    </row>
    <row r="34" spans="1:37" ht="15" customHeight="1">
      <c r="A34" s="353"/>
      <c r="B34" s="1276" t="s">
        <v>1397</v>
      </c>
      <c r="C34" s="222"/>
      <c r="D34" s="3193">
        <v>19.899999999999999</v>
      </c>
      <c r="E34" s="1142"/>
      <c r="F34" s="1142">
        <v>20.3</v>
      </c>
      <c r="G34" s="1142"/>
      <c r="H34" s="1142"/>
      <c r="I34" s="261"/>
      <c r="J34" s="2058"/>
      <c r="K34" s="261"/>
      <c r="L34" s="1142"/>
      <c r="M34" s="261"/>
      <c r="N34" s="1921"/>
      <c r="O34" s="261"/>
      <c r="P34" s="1921"/>
      <c r="Q34" s="1177"/>
      <c r="R34" s="1921"/>
      <c r="S34" s="1177"/>
      <c r="T34" s="1921"/>
      <c r="U34" s="1177"/>
      <c r="V34" s="1921"/>
      <c r="W34" s="1177"/>
      <c r="X34" s="1921"/>
      <c r="Y34" s="1177"/>
      <c r="Z34" s="1921"/>
      <c r="AA34" s="368"/>
      <c r="AB34" s="237"/>
      <c r="AC34" s="261">
        <f t="shared" si="0"/>
        <v>40.200000000000003</v>
      </c>
      <c r="AD34" s="261"/>
      <c r="AE34" s="250"/>
      <c r="AF34" s="85">
        <v>38.4</v>
      </c>
      <c r="AG34" s="261"/>
      <c r="AH34" s="1282"/>
      <c r="AI34" s="1177">
        <f t="shared" si="1"/>
        <v>1.8</v>
      </c>
      <c r="AJ34" s="1921"/>
      <c r="AK34" s="1871">
        <f t="shared" si="2"/>
        <v>4.7E-2</v>
      </c>
    </row>
    <row r="35" spans="1:37" ht="15" customHeight="1">
      <c r="A35" s="353"/>
      <c r="B35" s="1276" t="s">
        <v>1398</v>
      </c>
      <c r="C35" s="222"/>
      <c r="D35" s="1208">
        <v>0</v>
      </c>
      <c r="E35" s="1142"/>
      <c r="F35" s="1208">
        <v>0</v>
      </c>
      <c r="G35" s="1142"/>
      <c r="H35" s="1208"/>
      <c r="I35" s="261"/>
      <c r="J35" s="2058"/>
      <c r="K35" s="261"/>
      <c r="L35" s="1208"/>
      <c r="M35" s="261"/>
      <c r="N35" s="1921"/>
      <c r="O35" s="261"/>
      <c r="P35" s="1921"/>
      <c r="Q35" s="1177"/>
      <c r="R35" s="1921"/>
      <c r="S35" s="1177"/>
      <c r="T35" s="1921"/>
      <c r="U35" s="1177"/>
      <c r="V35" s="1921"/>
      <c r="W35" s="1177"/>
      <c r="X35" s="1921"/>
      <c r="Y35" s="1177"/>
      <c r="Z35" s="1921"/>
      <c r="AA35" s="368"/>
      <c r="AB35" s="237"/>
      <c r="AC35" s="261">
        <f t="shared" si="0"/>
        <v>0</v>
      </c>
      <c r="AD35" s="261"/>
      <c r="AE35" s="250"/>
      <c r="AF35" s="2058">
        <v>0</v>
      </c>
      <c r="AG35" s="261"/>
      <c r="AH35" s="1282"/>
      <c r="AI35" s="1177">
        <f t="shared" si="1"/>
        <v>0</v>
      </c>
      <c r="AJ35" s="1921"/>
      <c r="AK35" s="1871">
        <f t="shared" si="2"/>
        <v>0</v>
      </c>
    </row>
    <row r="36" spans="1:37" ht="15" customHeight="1">
      <c r="A36" s="353"/>
      <c r="B36" s="2128" t="s">
        <v>1399</v>
      </c>
      <c r="C36" s="222"/>
      <c r="D36" s="1208">
        <v>0</v>
      </c>
      <c r="E36" s="1142"/>
      <c r="F36" s="1208">
        <v>0</v>
      </c>
      <c r="G36" s="1142"/>
      <c r="H36" s="1208"/>
      <c r="I36" s="261"/>
      <c r="J36" s="2058"/>
      <c r="K36" s="261"/>
      <c r="L36" s="1208"/>
      <c r="M36" s="261"/>
      <c r="N36" s="1921"/>
      <c r="O36" s="261"/>
      <c r="P36" s="1921"/>
      <c r="Q36" s="1177"/>
      <c r="R36" s="1921"/>
      <c r="S36" s="1177"/>
      <c r="T36" s="1921"/>
      <c r="U36" s="1177"/>
      <c r="V36" s="1921"/>
      <c r="W36" s="1177"/>
      <c r="X36" s="1921"/>
      <c r="Y36" s="1177"/>
      <c r="Z36" s="1921"/>
      <c r="AA36" s="368"/>
      <c r="AB36" s="237"/>
      <c r="AC36" s="261">
        <f t="shared" si="0"/>
        <v>0</v>
      </c>
      <c r="AD36" s="261"/>
      <c r="AE36" s="250"/>
      <c r="AF36" s="2058">
        <v>0</v>
      </c>
      <c r="AG36" s="261"/>
      <c r="AH36" s="1282"/>
      <c r="AI36" s="1177">
        <f t="shared" si="1"/>
        <v>0</v>
      </c>
      <c r="AJ36" s="1921"/>
      <c r="AK36" s="1871">
        <f t="shared" si="2"/>
        <v>0</v>
      </c>
    </row>
    <row r="37" spans="1:37" s="423" customFormat="1" ht="15" customHeight="1">
      <c r="A37" s="2113"/>
      <c r="B37" s="590" t="s">
        <v>1392</v>
      </c>
      <c r="C37" s="413"/>
      <c r="D37" s="485">
        <f>ROUND(SUM(D30:D36),1)</f>
        <v>507</v>
      </c>
      <c r="E37" s="1899"/>
      <c r="F37" s="485">
        <f>ROUND(SUM(F30:F36),1)</f>
        <v>512.70000000000005</v>
      </c>
      <c r="G37" s="1899"/>
      <c r="H37" s="485">
        <f>ROUND(SUM(H30:H36),1)</f>
        <v>0</v>
      </c>
      <c r="I37" s="1899"/>
      <c r="J37" s="1289">
        <f>ROUND(SUM(J30:J36),1)</f>
        <v>0</v>
      </c>
      <c r="K37" s="1899"/>
      <c r="L37" s="485">
        <f>ROUND(SUM(L30:L36),1)</f>
        <v>0</v>
      </c>
      <c r="M37" s="1899"/>
      <c r="N37" s="485">
        <f>ROUND(SUM(N30:N36),1)</f>
        <v>0</v>
      </c>
      <c r="O37" s="1899"/>
      <c r="P37" s="485">
        <f>ROUND(SUM(P30:P36),1)</f>
        <v>0</v>
      </c>
      <c r="Q37" s="1899"/>
      <c r="R37" s="485">
        <f>ROUND(SUM(R30:R36),1)</f>
        <v>0</v>
      </c>
      <c r="S37" s="1899"/>
      <c r="T37" s="485">
        <f>ROUND(SUM(T30:T36),1)</f>
        <v>0</v>
      </c>
      <c r="U37" s="1899"/>
      <c r="V37" s="485">
        <f>ROUND(SUM(V30:V36),1)</f>
        <v>0</v>
      </c>
      <c r="W37" s="1899"/>
      <c r="X37" s="485">
        <f>ROUND(SUM(X30:X36),1)</f>
        <v>0</v>
      </c>
      <c r="Y37" s="1899"/>
      <c r="Z37" s="485">
        <f>ROUND(SUM(Z30:Z36),1)</f>
        <v>0</v>
      </c>
      <c r="AA37" s="410"/>
      <c r="AB37" s="486"/>
      <c r="AC37" s="485">
        <f>ROUND(SUM(AC30:AC36),1)</f>
        <v>1019.7</v>
      </c>
      <c r="AD37" s="1899"/>
      <c r="AE37" s="259"/>
      <c r="AF37" s="1289">
        <f>ROUND(SUM(AF30:AF36),1)</f>
        <v>1013.7</v>
      </c>
      <c r="AG37" s="1899"/>
      <c r="AH37" s="1284"/>
      <c r="AI37" s="485">
        <f>ROUND(SUM(AI30:AI36),1)</f>
        <v>6</v>
      </c>
      <c r="AJ37" s="273"/>
      <c r="AK37" s="2115">
        <f>ROUND(SUM(+AI37/AF37),3)</f>
        <v>6.0000000000000001E-3</v>
      </c>
    </row>
    <row r="38" spans="1:37" s="423" customFormat="1" ht="15" customHeight="1">
      <c r="A38" s="2113"/>
      <c r="B38" s="2089" t="s">
        <v>1445</v>
      </c>
      <c r="C38" s="413"/>
      <c r="D38" s="273"/>
      <c r="E38" s="1899"/>
      <c r="F38" s="273"/>
      <c r="G38" s="1899"/>
      <c r="H38" s="273"/>
      <c r="I38" s="1899"/>
      <c r="J38" s="2058"/>
      <c r="K38" s="1899"/>
      <c r="L38" s="273"/>
      <c r="M38" s="1899"/>
      <c r="N38" s="273"/>
      <c r="O38" s="1899"/>
      <c r="P38" s="273"/>
      <c r="Q38" s="1899"/>
      <c r="R38" s="273"/>
      <c r="S38" s="1899"/>
      <c r="T38" s="273"/>
      <c r="U38" s="1899"/>
      <c r="V38" s="273"/>
      <c r="W38" s="1899"/>
      <c r="X38" s="273"/>
      <c r="Y38" s="1899"/>
      <c r="Z38" s="273"/>
      <c r="AA38" s="410"/>
      <c r="AB38" s="486"/>
      <c r="AC38" s="273"/>
      <c r="AD38" s="1899"/>
      <c r="AE38" s="259"/>
      <c r="AF38" s="316"/>
      <c r="AG38" s="1899"/>
      <c r="AH38" s="1284"/>
      <c r="AI38" s="273"/>
      <c r="AJ38" s="273"/>
      <c r="AK38" s="2087"/>
    </row>
    <row r="39" spans="1:37" s="423" customFormat="1" ht="15" customHeight="1">
      <c r="A39" s="2113"/>
      <c r="B39" s="1276" t="s">
        <v>1401</v>
      </c>
      <c r="C39" s="413"/>
      <c r="D39" s="1142">
        <v>170.2</v>
      </c>
      <c r="E39" s="1142"/>
      <c r="F39" s="1142">
        <v>-32.200000000000003</v>
      </c>
      <c r="G39" s="1142"/>
      <c r="H39" s="1142"/>
      <c r="I39" s="1899"/>
      <c r="J39" s="2058"/>
      <c r="K39" s="1899"/>
      <c r="L39" s="1142"/>
      <c r="M39" s="1899"/>
      <c r="N39" s="1921"/>
      <c r="O39" s="1899"/>
      <c r="P39" s="1921"/>
      <c r="Q39" s="1177"/>
      <c r="R39" s="1921"/>
      <c r="S39" s="1177"/>
      <c r="T39" s="1921"/>
      <c r="U39" s="1177"/>
      <c r="V39" s="1921"/>
      <c r="W39" s="1177"/>
      <c r="X39" s="1921"/>
      <c r="Y39" s="1177"/>
      <c r="Z39" s="1921"/>
      <c r="AA39" s="410"/>
      <c r="AB39" s="486"/>
      <c r="AC39" s="261">
        <f>ROUND(SUM(D39:Z39),1)</f>
        <v>138</v>
      </c>
      <c r="AD39" s="1899"/>
      <c r="AE39" s="259"/>
      <c r="AF39" s="85">
        <v>151.80000000000001</v>
      </c>
      <c r="AG39" s="1899"/>
      <c r="AH39" s="1284"/>
      <c r="AI39" s="1177">
        <f>ROUND(SUM(+AC39-AF39),1)</f>
        <v>-13.8</v>
      </c>
      <c r="AJ39" s="273"/>
      <c r="AK39" s="1871">
        <f>ROUND(IF(AF39=0,0,AI39/(AF39)),3)</f>
        <v>-9.0999999999999998E-2</v>
      </c>
    </row>
    <row r="40" spans="1:37" s="423" customFormat="1" ht="15" customHeight="1">
      <c r="A40" s="2113"/>
      <c r="B40" s="1276" t="s">
        <v>1402</v>
      </c>
      <c r="C40" s="413"/>
      <c r="D40" s="1142">
        <v>3.2</v>
      </c>
      <c r="E40" s="1142"/>
      <c r="F40" s="1142">
        <v>3.5</v>
      </c>
      <c r="G40" s="1142"/>
      <c r="H40" s="1142"/>
      <c r="I40" s="1899"/>
      <c r="J40" s="2058"/>
      <c r="K40" s="1899"/>
      <c r="L40" s="1142"/>
      <c r="M40" s="1899"/>
      <c r="N40" s="1921"/>
      <c r="O40" s="1899"/>
      <c r="P40" s="1921"/>
      <c r="Q40" s="1177"/>
      <c r="R40" s="1921"/>
      <c r="S40" s="1177"/>
      <c r="T40" s="1921"/>
      <c r="U40" s="1177"/>
      <c r="V40" s="1921"/>
      <c r="W40" s="1177"/>
      <c r="X40" s="1921"/>
      <c r="Y40" s="1177"/>
      <c r="Z40" s="1921"/>
      <c r="AA40" s="410"/>
      <c r="AB40" s="486"/>
      <c r="AC40" s="261">
        <f>ROUND(SUM(D40:Z40),1)</f>
        <v>6.7</v>
      </c>
      <c r="AD40" s="1899"/>
      <c r="AE40" s="259"/>
      <c r="AF40" s="85">
        <v>3.5</v>
      </c>
      <c r="AG40" s="1899"/>
      <c r="AH40" s="1284"/>
      <c r="AI40" s="1177">
        <f>ROUND(SUM(+AC40-AF40),1)</f>
        <v>3.2</v>
      </c>
      <c r="AJ40" s="273"/>
      <c r="AK40" s="1871">
        <f>ROUND(IF(AF40=0,0,AI40/(AF40)),3)</f>
        <v>0.91400000000000003</v>
      </c>
    </row>
    <row r="41" spans="1:37" s="423" customFormat="1" ht="15" customHeight="1">
      <c r="A41" s="2113"/>
      <c r="B41" s="1276" t="s">
        <v>1403</v>
      </c>
      <c r="C41" s="413"/>
      <c r="D41" s="1142">
        <v>6.3</v>
      </c>
      <c r="E41" s="1142"/>
      <c r="F41" s="1142">
        <v>9.3000000000000007</v>
      </c>
      <c r="G41" s="1142"/>
      <c r="H41" s="1142"/>
      <c r="I41" s="1899"/>
      <c r="J41" s="2058"/>
      <c r="K41" s="1899"/>
      <c r="L41" s="1142"/>
      <c r="M41" s="1899"/>
      <c r="N41" s="1921"/>
      <c r="O41" s="1899"/>
      <c r="P41" s="1921"/>
      <c r="Q41" s="1177"/>
      <c r="R41" s="1921"/>
      <c r="S41" s="1177"/>
      <c r="T41" s="1921"/>
      <c r="U41" s="1177"/>
      <c r="V41" s="1921"/>
      <c r="W41" s="1177"/>
      <c r="X41" s="1921"/>
      <c r="Y41" s="1177"/>
      <c r="Z41" s="1921"/>
      <c r="AA41" s="410"/>
      <c r="AB41" s="486"/>
      <c r="AC41" s="261">
        <f>ROUND(SUM(D41:Z41),1)</f>
        <v>15.6</v>
      </c>
      <c r="AD41" s="1899"/>
      <c r="AE41" s="259"/>
      <c r="AF41" s="85">
        <v>9.1999999999999993</v>
      </c>
      <c r="AG41" s="1899"/>
      <c r="AH41" s="1284"/>
      <c r="AI41" s="1177">
        <f>ROUND(SUM(+AC41-AF41),1)</f>
        <v>6.4</v>
      </c>
      <c r="AJ41" s="273"/>
      <c r="AK41" s="1871">
        <f>ROUND(IF(AF41=0,0,AI41/(AF41)),3)</f>
        <v>0.69599999999999995</v>
      </c>
    </row>
    <row r="42" spans="1:37" s="423" customFormat="1" ht="15" customHeight="1">
      <c r="A42" s="2113"/>
      <c r="B42" s="1276" t="s">
        <v>1404</v>
      </c>
      <c r="C42" s="413"/>
      <c r="D42" s="1142">
        <v>23.8</v>
      </c>
      <c r="E42" s="1142"/>
      <c r="F42" s="1142">
        <v>-13.4</v>
      </c>
      <c r="G42" s="1142"/>
      <c r="H42" s="1142"/>
      <c r="I42" s="1899"/>
      <c r="J42" s="2058"/>
      <c r="K42" s="1899"/>
      <c r="L42" s="1142"/>
      <c r="M42" s="1899"/>
      <c r="N42" s="1921"/>
      <c r="O42" s="1899"/>
      <c r="P42" s="1921"/>
      <c r="Q42" s="1177"/>
      <c r="R42" s="1921"/>
      <c r="S42" s="1177"/>
      <c r="T42" s="1921"/>
      <c r="U42" s="1177"/>
      <c r="V42" s="1921"/>
      <c r="W42" s="1177"/>
      <c r="X42" s="1921"/>
      <c r="Y42" s="1177"/>
      <c r="Z42" s="1921"/>
      <c r="AA42" s="410"/>
      <c r="AB42" s="486"/>
      <c r="AC42" s="261">
        <f>ROUND(SUM(D42:Z42),1)</f>
        <v>10.4</v>
      </c>
      <c r="AD42" s="1899"/>
      <c r="AE42" s="259"/>
      <c r="AF42" s="85">
        <v>336.5</v>
      </c>
      <c r="AG42" s="1899"/>
      <c r="AH42" s="1284"/>
      <c r="AI42" s="1177">
        <f>ROUND(SUM(+AC42-AF42),1)</f>
        <v>-326.10000000000002</v>
      </c>
      <c r="AJ42" s="273"/>
      <c r="AK42" s="1871">
        <f>ROUND(IF(AF42=0,0,AI42/(AF42)),3)</f>
        <v>-0.96899999999999997</v>
      </c>
    </row>
    <row r="43" spans="1:37" s="423" customFormat="1" ht="15" customHeight="1">
      <c r="A43" s="2113"/>
      <c r="B43" s="1276" t="s">
        <v>1405</v>
      </c>
      <c r="C43" s="413"/>
      <c r="D43" s="1208">
        <v>0</v>
      </c>
      <c r="E43" s="1142"/>
      <c r="F43" s="1208">
        <v>0</v>
      </c>
      <c r="G43" s="1142"/>
      <c r="H43" s="1208"/>
      <c r="I43" s="1899"/>
      <c r="J43" s="316"/>
      <c r="K43" s="1899"/>
      <c r="L43" s="1208"/>
      <c r="M43" s="1899"/>
      <c r="N43" s="1921"/>
      <c r="O43" s="1899"/>
      <c r="P43" s="1921"/>
      <c r="Q43" s="1177"/>
      <c r="R43" s="1921"/>
      <c r="S43" s="1177"/>
      <c r="T43" s="1921"/>
      <c r="U43" s="1177"/>
      <c r="V43" s="1921"/>
      <c r="W43" s="1177"/>
      <c r="X43" s="1921"/>
      <c r="Y43" s="1177"/>
      <c r="Z43" s="1921"/>
      <c r="AA43" s="410"/>
      <c r="AB43" s="486"/>
      <c r="AC43" s="261">
        <f>ROUND(SUM(D43:Z43),1)</f>
        <v>0</v>
      </c>
      <c r="AD43" s="1899"/>
      <c r="AE43" s="259"/>
      <c r="AF43" s="2652">
        <v>0</v>
      </c>
      <c r="AG43" s="1899"/>
      <c r="AH43" s="1284"/>
      <c r="AI43" s="1177">
        <f>ROUND(SUM(+AC43-AF43),1)</f>
        <v>0</v>
      </c>
      <c r="AJ43" s="273"/>
      <c r="AK43" s="1871">
        <f>ROUND(IF(AF43=0,0,AI43/(AF43)),3)</f>
        <v>0</v>
      </c>
    </row>
    <row r="44" spans="1:37" s="423" customFormat="1" ht="15" customHeight="1">
      <c r="A44" s="2113"/>
      <c r="B44" s="590" t="s">
        <v>1400</v>
      </c>
      <c r="C44" s="413"/>
      <c r="D44" s="1289">
        <f>ROUND(SUM(D39:D43),1)</f>
        <v>203.5</v>
      </c>
      <c r="E44" s="1899"/>
      <c r="F44" s="1289">
        <f>ROUND(SUM(F39:F43),1)</f>
        <v>-32.799999999999997</v>
      </c>
      <c r="G44" s="1899"/>
      <c r="H44" s="1289">
        <f>ROUND(SUM(H39:H43),1)</f>
        <v>0</v>
      </c>
      <c r="I44" s="1899"/>
      <c r="J44" s="1289">
        <f>ROUND(SUM(J39:J43),1)</f>
        <v>0</v>
      </c>
      <c r="K44" s="1899"/>
      <c r="L44" s="1289">
        <f>ROUND(SUM(L39:L43),1)</f>
        <v>0</v>
      </c>
      <c r="M44" s="1899"/>
      <c r="N44" s="1289">
        <f>ROUND(SUM(N39:N43),1)</f>
        <v>0</v>
      </c>
      <c r="O44" s="1899"/>
      <c r="P44" s="1289">
        <f>ROUND(SUM(P39:P43),1)</f>
        <v>0</v>
      </c>
      <c r="Q44" s="1899"/>
      <c r="R44" s="1289">
        <f>ROUND(SUM(R39:R43),1)</f>
        <v>0</v>
      </c>
      <c r="S44" s="1899"/>
      <c r="T44" s="1289">
        <f>ROUND(SUM(T39:T43),1)</f>
        <v>0</v>
      </c>
      <c r="U44" s="1899"/>
      <c r="V44" s="1289">
        <f>ROUND(SUM(V39:V43),1)</f>
        <v>0</v>
      </c>
      <c r="W44" s="1899"/>
      <c r="X44" s="1289">
        <f>ROUND(SUM(X39:X43),1)</f>
        <v>0</v>
      </c>
      <c r="Y44" s="1899"/>
      <c r="Z44" s="1289">
        <f>ROUND(SUM(Z39:Z43),1)</f>
        <v>0</v>
      </c>
      <c r="AA44" s="410"/>
      <c r="AB44" s="486"/>
      <c r="AC44" s="1289">
        <f>ROUND(SUM(AC39:AC43),1)</f>
        <v>170.7</v>
      </c>
      <c r="AD44" s="1899"/>
      <c r="AE44" s="259"/>
      <c r="AF44" s="1289">
        <f>ROUND(SUM(AF39:AF43),1)</f>
        <v>501</v>
      </c>
      <c r="AG44" s="1899"/>
      <c r="AH44" s="1284"/>
      <c r="AI44" s="1289">
        <f>ROUND(SUM(AI39:AI43),1)</f>
        <v>-330.3</v>
      </c>
      <c r="AJ44" s="273"/>
      <c r="AK44" s="2115">
        <f>ROUND(SUM(+AI44/AF44),3)</f>
        <v>-0.65900000000000003</v>
      </c>
    </row>
    <row r="45" spans="1:37" s="423" customFormat="1" ht="15" customHeight="1">
      <c r="A45" s="2113"/>
      <c r="B45" s="2089" t="s">
        <v>1446</v>
      </c>
      <c r="C45" s="413"/>
      <c r="D45" s="273"/>
      <c r="E45" s="1899"/>
      <c r="F45" s="273"/>
      <c r="G45" s="1899"/>
      <c r="H45" s="273"/>
      <c r="I45" s="1899"/>
      <c r="J45" s="316"/>
      <c r="K45" s="1899"/>
      <c r="L45" s="273"/>
      <c r="M45" s="1899"/>
      <c r="N45" s="273"/>
      <c r="O45" s="1899"/>
      <c r="P45" s="273"/>
      <c r="Q45" s="1899"/>
      <c r="R45" s="273"/>
      <c r="S45" s="1899"/>
      <c r="T45" s="273"/>
      <c r="U45" s="1899"/>
      <c r="V45" s="273"/>
      <c r="W45" s="1899"/>
      <c r="X45" s="273"/>
      <c r="Y45" s="1899"/>
      <c r="Z45" s="273"/>
      <c r="AA45" s="410"/>
      <c r="AB45" s="486"/>
      <c r="AC45" s="273"/>
      <c r="AD45" s="1899"/>
      <c r="AE45" s="259"/>
      <c r="AF45" s="316"/>
      <c r="AG45" s="1899"/>
      <c r="AH45" s="1284"/>
      <c r="AI45" s="273"/>
      <c r="AJ45" s="273"/>
      <c r="AK45" s="2087"/>
    </row>
    <row r="46" spans="1:37" s="423" customFormat="1" ht="15" customHeight="1">
      <c r="A46" s="2113"/>
      <c r="B46" s="1276" t="s">
        <v>1408</v>
      </c>
      <c r="C46" s="413"/>
      <c r="D46" s="1208">
        <v>0</v>
      </c>
      <c r="E46" s="1142"/>
      <c r="F46" s="1208">
        <v>0</v>
      </c>
      <c r="G46" s="1142"/>
      <c r="H46" s="1208"/>
      <c r="I46" s="1899"/>
      <c r="J46" s="316"/>
      <c r="K46" s="1899"/>
      <c r="L46" s="1208"/>
      <c r="M46" s="1899"/>
      <c r="N46" s="1921"/>
      <c r="O46" s="1899"/>
      <c r="P46" s="273"/>
      <c r="Q46" s="1899"/>
      <c r="R46" s="273"/>
      <c r="S46" s="1899"/>
      <c r="T46" s="273"/>
      <c r="U46" s="1899"/>
      <c r="V46" s="273"/>
      <c r="W46" s="1899"/>
      <c r="X46" s="273"/>
      <c r="Y46" s="1899"/>
      <c r="Z46" s="273"/>
      <c r="AA46" s="410"/>
      <c r="AB46" s="486"/>
      <c r="AC46" s="261">
        <f t="shared" ref="AC46:AC51" si="3">ROUND(SUM(D46:Z46),1)</f>
        <v>0</v>
      </c>
      <c r="AD46" s="1899"/>
      <c r="AE46" s="259"/>
      <c r="AF46" s="2651">
        <v>0</v>
      </c>
      <c r="AG46" s="1899"/>
      <c r="AH46" s="1284"/>
      <c r="AI46" s="1177">
        <f t="shared" ref="AI46:AI51" si="4">ROUND(SUM(+AC46-AF46),1)</f>
        <v>0</v>
      </c>
      <c r="AJ46" s="273"/>
      <c r="AK46" s="2843">
        <f>-ROUND(IF(AF46=0,0,AI46/(AF46)),3)</f>
        <v>0</v>
      </c>
    </row>
    <row r="47" spans="1:37" s="423" customFormat="1" ht="15" customHeight="1">
      <c r="A47" s="2113"/>
      <c r="B47" s="1276" t="s">
        <v>1409</v>
      </c>
      <c r="C47" s="413"/>
      <c r="D47" s="1142">
        <v>148.9</v>
      </c>
      <c r="E47" s="1142"/>
      <c r="F47" s="1142">
        <v>149.19999999999999</v>
      </c>
      <c r="G47" s="1142"/>
      <c r="H47" s="1142"/>
      <c r="I47" s="1899"/>
      <c r="J47" s="2058"/>
      <c r="K47" s="1899"/>
      <c r="L47" s="1142"/>
      <c r="M47" s="1899"/>
      <c r="N47" s="1921"/>
      <c r="O47" s="1899"/>
      <c r="P47" s="1921"/>
      <c r="Q47" s="1899"/>
      <c r="R47" s="1921"/>
      <c r="S47" s="1177"/>
      <c r="T47" s="1921"/>
      <c r="U47" s="1177"/>
      <c r="V47" s="1921"/>
      <c r="W47" s="1177"/>
      <c r="X47" s="1921"/>
      <c r="Y47" s="1177"/>
      <c r="Z47" s="1921"/>
      <c r="AA47" s="410"/>
      <c r="AB47" s="486"/>
      <c r="AC47" s="261">
        <f t="shared" si="3"/>
        <v>298.10000000000002</v>
      </c>
      <c r="AD47" s="1899"/>
      <c r="AE47" s="259"/>
      <c r="AF47" s="85">
        <v>203.1</v>
      </c>
      <c r="AG47" s="1899"/>
      <c r="AH47" s="1284"/>
      <c r="AI47" s="1177">
        <f t="shared" si="4"/>
        <v>95</v>
      </c>
      <c r="AJ47" s="273"/>
      <c r="AK47" s="1871">
        <f>ROUND(IF(AF47=0,0,AI47/(AF47)),3)</f>
        <v>0.46800000000000003</v>
      </c>
    </row>
    <row r="48" spans="1:37" s="423" customFormat="1" ht="15" customHeight="1">
      <c r="A48" s="2113"/>
      <c r="B48" s="1276" t="s">
        <v>1410</v>
      </c>
      <c r="C48" s="413"/>
      <c r="D48" s="1142">
        <v>0.9</v>
      </c>
      <c r="E48" s="1142"/>
      <c r="F48" s="1142">
        <v>1.5</v>
      </c>
      <c r="G48" s="1142"/>
      <c r="H48" s="1142"/>
      <c r="I48" s="1899"/>
      <c r="J48" s="2058"/>
      <c r="K48" s="1899"/>
      <c r="L48" s="1142"/>
      <c r="M48" s="1899"/>
      <c r="N48" s="1921"/>
      <c r="O48" s="1899"/>
      <c r="P48" s="1921"/>
      <c r="Q48" s="1899"/>
      <c r="R48" s="1921"/>
      <c r="S48" s="1177"/>
      <c r="T48" s="1921"/>
      <c r="U48" s="1177"/>
      <c r="V48" s="1921"/>
      <c r="W48" s="1177"/>
      <c r="X48" s="1921"/>
      <c r="Y48" s="1177"/>
      <c r="Z48" s="1921"/>
      <c r="AA48" s="410"/>
      <c r="AB48" s="486"/>
      <c r="AC48" s="261">
        <f t="shared" si="3"/>
        <v>2.4</v>
      </c>
      <c r="AD48" s="1899"/>
      <c r="AE48" s="259"/>
      <c r="AF48" s="85">
        <v>2.5</v>
      </c>
      <c r="AG48" s="1899"/>
      <c r="AH48" s="1284"/>
      <c r="AI48" s="1177">
        <f t="shared" si="4"/>
        <v>-0.1</v>
      </c>
      <c r="AJ48" s="273"/>
      <c r="AK48" s="1871">
        <f>ROUND(IF(AF48=0,0,AI48/(AF48)),3)</f>
        <v>-0.04</v>
      </c>
    </row>
    <row r="49" spans="1:37" s="423" customFormat="1" ht="15" customHeight="1">
      <c r="A49" s="2113"/>
      <c r="B49" s="1276" t="s">
        <v>1411</v>
      </c>
      <c r="C49" s="413"/>
      <c r="D49" s="1208">
        <v>0</v>
      </c>
      <c r="E49" s="1142"/>
      <c r="F49" s="1208">
        <v>0</v>
      </c>
      <c r="G49" s="1142"/>
      <c r="H49" s="1208"/>
      <c r="I49" s="1899"/>
      <c r="J49" s="2058"/>
      <c r="K49" s="1899"/>
      <c r="L49" s="1208"/>
      <c r="M49" s="1899"/>
      <c r="N49" s="1921"/>
      <c r="O49" s="1899"/>
      <c r="P49" s="1921"/>
      <c r="Q49" s="1899"/>
      <c r="R49" s="273"/>
      <c r="S49" s="1899"/>
      <c r="T49" s="273"/>
      <c r="U49" s="1899"/>
      <c r="V49" s="273"/>
      <c r="W49" s="1899"/>
      <c r="X49" s="273"/>
      <c r="Y49" s="1899"/>
      <c r="Z49" s="273"/>
      <c r="AA49" s="410"/>
      <c r="AB49" s="486"/>
      <c r="AC49" s="261">
        <f t="shared" si="3"/>
        <v>0</v>
      </c>
      <c r="AD49" s="1899"/>
      <c r="AE49" s="259"/>
      <c r="AF49" s="2651">
        <v>0</v>
      </c>
      <c r="AG49" s="1899"/>
      <c r="AH49" s="1284"/>
      <c r="AI49" s="1177">
        <f t="shared" si="4"/>
        <v>0</v>
      </c>
      <c r="AJ49" s="273"/>
      <c r="AK49" s="2843">
        <f>ROUND(IF(AF49=0,0,AI49/(AF49)),3)</f>
        <v>0</v>
      </c>
    </row>
    <row r="50" spans="1:37" s="423" customFormat="1" ht="15" customHeight="1">
      <c r="A50" s="2113"/>
      <c r="B50" s="1276" t="s">
        <v>1412</v>
      </c>
      <c r="C50" s="413"/>
      <c r="D50" s="1208">
        <v>0</v>
      </c>
      <c r="E50" s="1142"/>
      <c r="F50" s="1208">
        <v>0.1</v>
      </c>
      <c r="G50" s="1142"/>
      <c r="H50" s="1208"/>
      <c r="I50" s="1899"/>
      <c r="J50" s="2058"/>
      <c r="K50" s="1899"/>
      <c r="L50" s="1208"/>
      <c r="M50" s="1899"/>
      <c r="N50" s="1921"/>
      <c r="O50" s="1899"/>
      <c r="P50" s="1921"/>
      <c r="Q50" s="1899"/>
      <c r="R50" s="273"/>
      <c r="S50" s="1899"/>
      <c r="T50" s="1921"/>
      <c r="U50" s="1177"/>
      <c r="V50" s="1921"/>
      <c r="W50" s="1177"/>
      <c r="X50" s="1921"/>
      <c r="Y50" s="1899"/>
      <c r="Z50" s="1921"/>
      <c r="AA50" s="410"/>
      <c r="AB50" s="486"/>
      <c r="AC50" s="261">
        <f t="shared" si="3"/>
        <v>0.1</v>
      </c>
      <c r="AD50" s="1899"/>
      <c r="AE50" s="259"/>
      <c r="AF50" s="2653">
        <v>0.1</v>
      </c>
      <c r="AG50" s="1899"/>
      <c r="AH50" s="1284"/>
      <c r="AI50" s="1177">
        <f t="shared" si="4"/>
        <v>0</v>
      </c>
      <c r="AJ50" s="273"/>
      <c r="AK50" s="1871">
        <f>ROUND(IF(AF50=0,0,AI50/(AF50)),3)</f>
        <v>0</v>
      </c>
    </row>
    <row r="51" spans="1:37" s="423" customFormat="1" ht="15" customHeight="1">
      <c r="A51" s="2113"/>
      <c r="B51" s="2128" t="s">
        <v>1528</v>
      </c>
      <c r="C51" s="413"/>
      <c r="D51" s="1208">
        <v>0</v>
      </c>
      <c r="E51" s="1142"/>
      <c r="F51" s="1208">
        <v>0</v>
      </c>
      <c r="G51" s="1142"/>
      <c r="H51" s="1208"/>
      <c r="I51" s="1899"/>
      <c r="J51" s="2058"/>
      <c r="K51" s="1899"/>
      <c r="L51" s="1208"/>
      <c r="M51" s="1899"/>
      <c r="N51" s="1921"/>
      <c r="O51" s="1899"/>
      <c r="P51" s="1921"/>
      <c r="Q51" s="1899"/>
      <c r="R51" s="273"/>
      <c r="S51" s="1899"/>
      <c r="T51" s="273"/>
      <c r="U51" s="1899"/>
      <c r="V51" s="273"/>
      <c r="W51" s="1899"/>
      <c r="X51" s="273"/>
      <c r="Y51" s="1899"/>
      <c r="Z51" s="273"/>
      <c r="AA51" s="410"/>
      <c r="AB51" s="486"/>
      <c r="AC51" s="261">
        <f t="shared" si="3"/>
        <v>0</v>
      </c>
      <c r="AD51" s="1899"/>
      <c r="AE51" s="259"/>
      <c r="AF51" s="2652">
        <v>0</v>
      </c>
      <c r="AG51" s="1899"/>
      <c r="AH51" s="1284"/>
      <c r="AI51" s="1177">
        <f t="shared" si="4"/>
        <v>0</v>
      </c>
      <c r="AJ51" s="273"/>
      <c r="AK51" s="1871">
        <f>ROUND(IF(AF51=0,0,AI51/(AF51)),3)</f>
        <v>0</v>
      </c>
    </row>
    <row r="52" spans="1:37" s="423" customFormat="1" ht="15" customHeight="1">
      <c r="A52" s="2113"/>
      <c r="B52" s="590" t="s">
        <v>1406</v>
      </c>
      <c r="C52" s="413"/>
      <c r="D52" s="1289">
        <f>ROUND(SUM(D46:D51),1)</f>
        <v>149.80000000000001</v>
      </c>
      <c r="E52" s="1899"/>
      <c r="F52" s="1289">
        <f>ROUND(SUM(F46:F51),1)</f>
        <v>150.80000000000001</v>
      </c>
      <c r="G52" s="1899"/>
      <c r="H52" s="1289">
        <f>ROUND(SUM(H46:H51),1)</f>
        <v>0</v>
      </c>
      <c r="I52" s="1899"/>
      <c r="J52" s="1289">
        <f>ROUND(SUM(J46:J51),1)</f>
        <v>0</v>
      </c>
      <c r="K52" s="1899"/>
      <c r="L52" s="1289">
        <f>ROUND(SUM(L46:L51),1)</f>
        <v>0</v>
      </c>
      <c r="M52" s="1899"/>
      <c r="N52" s="1289">
        <f>ROUND(SUM(N46:N51),1)</f>
        <v>0</v>
      </c>
      <c r="O52" s="1899"/>
      <c r="P52" s="1289">
        <f>ROUND(SUM(P46:P51),1)</f>
        <v>0</v>
      </c>
      <c r="Q52" s="1899"/>
      <c r="R52" s="1289">
        <f>ROUND(SUM(R46:R51),1)</f>
        <v>0</v>
      </c>
      <c r="S52" s="1899"/>
      <c r="T52" s="1289">
        <f>ROUND(SUM(T46:T51),1)</f>
        <v>0</v>
      </c>
      <c r="U52" s="1899"/>
      <c r="V52" s="1289">
        <f>ROUND(SUM(V46:V51),1)</f>
        <v>0</v>
      </c>
      <c r="W52" s="1899"/>
      <c r="X52" s="1289">
        <f>ROUND(SUM(X46:X51),1)</f>
        <v>0</v>
      </c>
      <c r="Y52" s="1899"/>
      <c r="Z52" s="1289">
        <f>ROUND(SUM(Z46:Z51),1)</f>
        <v>0</v>
      </c>
      <c r="AA52" s="410"/>
      <c r="AB52" s="486"/>
      <c r="AC52" s="1289">
        <f>ROUND(SUM(AC46:AC51),1)</f>
        <v>300.60000000000002</v>
      </c>
      <c r="AD52" s="1899"/>
      <c r="AE52" s="259"/>
      <c r="AF52" s="1289">
        <f>ROUND(SUM(AF46:AF51),1)</f>
        <v>205.7</v>
      </c>
      <c r="AG52" s="1899"/>
      <c r="AH52" s="1284"/>
      <c r="AI52" s="1289">
        <f>ROUND(SUM(AI46:AI51),1)</f>
        <v>94.9</v>
      </c>
      <c r="AJ52" s="273"/>
      <c r="AK52" s="2115">
        <f>ROUND(SUM(+AI52/AF52),3)</f>
        <v>0.46100000000000002</v>
      </c>
    </row>
    <row r="53" spans="1:37" s="423" customFormat="1" ht="15" customHeight="1">
      <c r="A53" s="2113"/>
      <c r="B53" s="590"/>
      <c r="C53" s="413"/>
      <c r="D53" s="273"/>
      <c r="E53" s="1899"/>
      <c r="F53" s="273"/>
      <c r="G53" s="273"/>
      <c r="H53" s="273"/>
      <c r="I53" s="273"/>
      <c r="J53" s="316"/>
      <c r="K53" s="273"/>
      <c r="L53" s="273"/>
      <c r="M53" s="273"/>
      <c r="N53" s="273"/>
      <c r="O53" s="273"/>
      <c r="P53" s="273"/>
      <c r="Q53" s="273"/>
      <c r="R53" s="273"/>
      <c r="S53" s="273"/>
      <c r="T53" s="273"/>
      <c r="U53" s="273"/>
      <c r="V53" s="273"/>
      <c r="W53" s="273"/>
      <c r="X53" s="316"/>
      <c r="Y53" s="273"/>
      <c r="Z53" s="273"/>
      <c r="AA53" s="410"/>
      <c r="AB53" s="486"/>
      <c r="AC53" s="273"/>
      <c r="AD53" s="1899"/>
      <c r="AE53" s="259"/>
      <c r="AF53" s="316"/>
      <c r="AG53" s="1899"/>
      <c r="AH53" s="1284"/>
      <c r="AI53" s="273"/>
      <c r="AJ53" s="273"/>
      <c r="AK53" s="2087"/>
    </row>
    <row r="54" spans="1:37" ht="15" customHeight="1">
      <c r="A54" s="353"/>
      <c r="B54" s="590" t="s">
        <v>1407</v>
      </c>
      <c r="C54" s="222"/>
      <c r="D54" s="617">
        <f>ROUND(SUM(D28+D37+D44+D52),1)</f>
        <v>5896</v>
      </c>
      <c r="E54" s="261"/>
      <c r="F54" s="617">
        <f>ROUND(SUM(F28+F37+F44+F52),1)</f>
        <v>2371.3000000000002</v>
      </c>
      <c r="G54" s="261"/>
      <c r="H54" s="617">
        <f>ROUND(SUM(H28+H37+H44+H52),1)</f>
        <v>0</v>
      </c>
      <c r="I54" s="261"/>
      <c r="J54" s="617">
        <f>ROUND(SUM(J28+J37+J44+J52),1)</f>
        <v>0</v>
      </c>
      <c r="K54" s="261"/>
      <c r="L54" s="617">
        <f>ROUND(SUM(L28+L37+L44+L52),1)</f>
        <v>0</v>
      </c>
      <c r="M54" s="261"/>
      <c r="N54" s="617">
        <f>ROUND(SUM(N28+N37+N44+N52),1)</f>
        <v>0</v>
      </c>
      <c r="O54" s="261"/>
      <c r="P54" s="617">
        <f>ROUND(SUM(P28+P37+P44+P52),1)</f>
        <v>0</v>
      </c>
      <c r="Q54" s="261"/>
      <c r="R54" s="617">
        <f>ROUND(SUM(R28+R37+R44+R52),1)</f>
        <v>0</v>
      </c>
      <c r="S54" s="261"/>
      <c r="T54" s="617">
        <f>ROUND(SUM(T28+T37+T44+T52),1)</f>
        <v>0</v>
      </c>
      <c r="U54" s="261"/>
      <c r="V54" s="617">
        <f>ROUND(SUM(V28+V37+V44+V52),1)</f>
        <v>0</v>
      </c>
      <c r="W54" s="261"/>
      <c r="X54" s="617">
        <f>ROUND(SUM(X28+X37+X44+X52),1)</f>
        <v>0</v>
      </c>
      <c r="Y54" s="261"/>
      <c r="Z54" s="617">
        <f>ROUND(SUM(Z28+Z37+Z44+Z52),1)</f>
        <v>0</v>
      </c>
      <c r="AA54" s="368"/>
      <c r="AB54" s="237"/>
      <c r="AC54" s="617">
        <f>ROUND(SUM(AC28+AC37+AC44+AC52),1)</f>
        <v>8267.2999999999993</v>
      </c>
      <c r="AD54" s="261"/>
      <c r="AE54" s="250"/>
      <c r="AF54" s="617">
        <f>ROUND(SUM(AF28+AF37+AF44+AF52),1)</f>
        <v>7311.8</v>
      </c>
      <c r="AG54" s="261"/>
      <c r="AH54" s="1282"/>
      <c r="AI54" s="617">
        <f>ROUND(SUM(AI28+AI37+AI44+AI52),1)</f>
        <v>955.5</v>
      </c>
      <c r="AJ54" s="1921"/>
      <c r="AK54" s="526">
        <f>ROUND(SUM(+AI54/AF54),3)</f>
        <v>0.13100000000000001</v>
      </c>
    </row>
    <row r="55" spans="1:37" ht="8.25" customHeight="1">
      <c r="A55" s="353"/>
      <c r="B55" s="1365"/>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82"/>
      <c r="AI55" s="1177"/>
      <c r="AJ55" s="1921"/>
      <c r="AK55" s="1945"/>
    </row>
    <row r="56" spans="1:37" ht="15" customHeight="1">
      <c r="A56" s="353"/>
      <c r="B56" s="491" t="s">
        <v>1308</v>
      </c>
      <c r="C56" s="1835"/>
      <c r="D56" s="1177"/>
      <c r="E56" s="1179"/>
      <c r="F56" s="261"/>
      <c r="G56" s="1179"/>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82"/>
      <c r="AI56" s="1177"/>
      <c r="AJ56" s="1921"/>
      <c r="AK56" s="1945"/>
    </row>
    <row r="57" spans="1:37" ht="15" customHeight="1">
      <c r="A57" s="353"/>
      <c r="B57" s="1837" t="s">
        <v>1436</v>
      </c>
      <c r="C57" s="1835"/>
      <c r="D57" s="1177"/>
      <c r="E57" s="1179"/>
      <c r="F57" s="261"/>
      <c r="G57" s="1179"/>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40" t="s">
        <v>190</v>
      </c>
      <c r="AG57" s="261"/>
      <c r="AH57" s="1282"/>
      <c r="AI57" s="1177"/>
      <c r="AJ57" s="1921"/>
      <c r="AK57" s="1945"/>
    </row>
    <row r="58" spans="1:37" ht="15" customHeight="1">
      <c r="A58" s="353"/>
      <c r="B58" s="1837" t="s">
        <v>1306</v>
      </c>
      <c r="C58" s="1837"/>
      <c r="D58" s="1177">
        <v>0</v>
      </c>
      <c r="E58" s="1179"/>
      <c r="F58" s="1177">
        <v>0</v>
      </c>
      <c r="G58" s="1179"/>
      <c r="H58" s="261"/>
      <c r="I58" s="261"/>
      <c r="J58" s="319"/>
      <c r="K58" s="261"/>
      <c r="L58" s="261"/>
      <c r="M58" s="261"/>
      <c r="N58" s="261"/>
      <c r="O58" s="261"/>
      <c r="P58" s="261"/>
      <c r="Q58" s="261"/>
      <c r="R58" s="261"/>
      <c r="S58" s="261"/>
      <c r="T58" s="261"/>
      <c r="U58" s="261"/>
      <c r="V58" s="261"/>
      <c r="W58" s="261"/>
      <c r="X58" s="261"/>
      <c r="Y58" s="261"/>
      <c r="Z58" s="261"/>
      <c r="AA58" s="368"/>
      <c r="AB58" s="237"/>
      <c r="AC58" s="261">
        <f t="shared" ref="AC58:AC88" si="5">ROUND(SUM(D58:Z58),1)</f>
        <v>0</v>
      </c>
      <c r="AD58" s="261"/>
      <c r="AE58" s="250"/>
      <c r="AF58" s="1840">
        <v>0.8</v>
      </c>
      <c r="AG58" s="261"/>
      <c r="AH58" s="1282"/>
      <c r="AI58" s="1177">
        <f>ROUND(SUM(+AC58-AF58),1)</f>
        <v>-0.8</v>
      </c>
      <c r="AJ58" s="1921"/>
      <c r="AK58" s="1871">
        <f>ROUND(IF(AF58=0,0,AI58/(AF58)),3)</f>
        <v>-1</v>
      </c>
    </row>
    <row r="59" spans="1:37" ht="15" customHeight="1">
      <c r="A59" s="353"/>
      <c r="B59" s="1837" t="s">
        <v>1307</v>
      </c>
      <c r="C59" s="1837"/>
      <c r="D59" s="1177">
        <v>0.5</v>
      </c>
      <c r="E59" s="1179"/>
      <c r="F59" s="261">
        <v>0</v>
      </c>
      <c r="G59" s="1179"/>
      <c r="H59" s="319"/>
      <c r="I59" s="261"/>
      <c r="J59" s="319"/>
      <c r="K59" s="261"/>
      <c r="L59" s="261"/>
      <c r="M59" s="261"/>
      <c r="N59" s="261"/>
      <c r="O59" s="261"/>
      <c r="P59" s="261"/>
      <c r="Q59" s="261"/>
      <c r="R59" s="261"/>
      <c r="S59" s="261"/>
      <c r="T59" s="261"/>
      <c r="U59" s="261"/>
      <c r="V59" s="261"/>
      <c r="W59" s="261"/>
      <c r="X59" s="261"/>
      <c r="Y59" s="261"/>
      <c r="Z59" s="261"/>
      <c r="AA59" s="368"/>
      <c r="AB59" s="237"/>
      <c r="AC59" s="261">
        <f t="shared" si="5"/>
        <v>0.5</v>
      </c>
      <c r="AD59" s="261"/>
      <c r="AE59" s="250"/>
      <c r="AF59" s="319">
        <v>0.1</v>
      </c>
      <c r="AG59" s="261"/>
      <c r="AH59" s="1282"/>
      <c r="AI59" s="1177">
        <f>ROUND(SUM(+AC59-AF59),1)</f>
        <v>0.4</v>
      </c>
      <c r="AJ59" s="1921"/>
      <c r="AK59" s="1871">
        <f>ROUND(IF(AF59=0,0,AI59/(AF59)),3)</f>
        <v>4</v>
      </c>
    </row>
    <row r="60" spans="1:37" ht="15" customHeight="1">
      <c r="A60" s="353"/>
      <c r="B60" s="1837" t="s">
        <v>1437</v>
      </c>
      <c r="C60" s="1837"/>
      <c r="D60" s="1177"/>
      <c r="E60" s="1179"/>
      <c r="F60" s="261"/>
      <c r="G60" s="1179"/>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82"/>
      <c r="AI60" s="1177"/>
      <c r="AJ60" s="1921"/>
      <c r="AK60" s="1945"/>
    </row>
    <row r="61" spans="1:37" ht="15" customHeight="1">
      <c r="A61" s="353"/>
      <c r="B61" s="1837" t="s">
        <v>1311</v>
      </c>
      <c r="C61" s="1837"/>
      <c r="D61" s="1177">
        <v>0</v>
      </c>
      <c r="E61" s="1179"/>
      <c r="F61" s="261">
        <v>250</v>
      </c>
      <c r="G61" s="1179"/>
      <c r="H61" s="261"/>
      <c r="I61" s="261"/>
      <c r="J61" s="319"/>
      <c r="K61" s="261"/>
      <c r="L61" s="261"/>
      <c r="M61" s="261"/>
      <c r="N61" s="261"/>
      <c r="O61" s="261"/>
      <c r="P61" s="261"/>
      <c r="Q61" s="261"/>
      <c r="R61" s="261"/>
      <c r="S61" s="261"/>
      <c r="T61" s="261"/>
      <c r="U61" s="261"/>
      <c r="V61" s="261"/>
      <c r="W61" s="261"/>
      <c r="X61" s="261"/>
      <c r="Y61" s="261"/>
      <c r="Z61" s="261"/>
      <c r="AA61" s="368"/>
      <c r="AB61" s="237"/>
      <c r="AC61" s="261">
        <f t="shared" si="5"/>
        <v>250</v>
      </c>
      <c r="AD61" s="261"/>
      <c r="AE61" s="250"/>
      <c r="AF61" s="319">
        <v>1000</v>
      </c>
      <c r="AG61" s="261"/>
      <c r="AH61" s="1282"/>
      <c r="AI61" s="1177">
        <f>ROUND(SUM(+AC61-AF61),1)</f>
        <v>-750</v>
      </c>
      <c r="AJ61" s="1921"/>
      <c r="AK61" s="1871">
        <f>ROUND(IF(AF61=0,0,AI61/(AF61)),3)</f>
        <v>-0.75</v>
      </c>
    </row>
    <row r="62" spans="1:37" ht="15" customHeight="1">
      <c r="A62" s="353"/>
      <c r="B62" s="1837" t="s">
        <v>1312</v>
      </c>
      <c r="C62" s="1837"/>
      <c r="D62" s="1177">
        <v>5.7</v>
      </c>
      <c r="E62" s="1179"/>
      <c r="F62" s="261">
        <v>0.4</v>
      </c>
      <c r="G62" s="1179"/>
      <c r="H62" s="261"/>
      <c r="I62" s="261"/>
      <c r="J62" s="319"/>
      <c r="K62" s="261"/>
      <c r="L62" s="261"/>
      <c r="M62" s="261"/>
      <c r="N62" s="261"/>
      <c r="O62" s="261"/>
      <c r="P62" s="261"/>
      <c r="Q62" s="261"/>
      <c r="R62" s="261"/>
      <c r="S62" s="261"/>
      <c r="T62" s="261"/>
      <c r="U62" s="261"/>
      <c r="V62" s="261"/>
      <c r="W62" s="261"/>
      <c r="X62" s="261"/>
      <c r="Y62" s="261"/>
      <c r="Z62" s="261"/>
      <c r="AA62" s="368"/>
      <c r="AB62" s="237"/>
      <c r="AC62" s="261">
        <f t="shared" si="5"/>
        <v>6.1</v>
      </c>
      <c r="AD62" s="261"/>
      <c r="AE62" s="250"/>
      <c r="AF62" s="319">
        <v>12.3</v>
      </c>
      <c r="AG62" s="261"/>
      <c r="AH62" s="1282"/>
      <c r="AI62" s="1177">
        <f>ROUND(SUM(+AC62-AF62),1)</f>
        <v>-6.2</v>
      </c>
      <c r="AJ62" s="1921"/>
      <c r="AK62" s="1871">
        <f>ROUND(IF(AF62=0,0,AI62/(AF62)),3)</f>
        <v>-0.504</v>
      </c>
    </row>
    <row r="63" spans="1:37" ht="15" customHeight="1">
      <c r="A63" s="353"/>
      <c r="B63" s="1837" t="s">
        <v>1313</v>
      </c>
      <c r="C63" s="1837"/>
      <c r="D63" s="1177">
        <v>0</v>
      </c>
      <c r="E63" s="1179"/>
      <c r="F63" s="1177">
        <v>0</v>
      </c>
      <c r="G63" s="1179"/>
      <c r="H63" s="261"/>
      <c r="I63" s="261"/>
      <c r="J63" s="319"/>
      <c r="K63" s="261"/>
      <c r="L63" s="261"/>
      <c r="M63" s="261"/>
      <c r="N63" s="261"/>
      <c r="O63" s="261"/>
      <c r="P63" s="261"/>
      <c r="Q63" s="261"/>
      <c r="R63" s="261"/>
      <c r="S63" s="261"/>
      <c r="T63" s="261"/>
      <c r="U63" s="261"/>
      <c r="V63" s="261"/>
      <c r="W63" s="261"/>
      <c r="X63" s="261"/>
      <c r="Y63" s="261"/>
      <c r="Z63" s="261"/>
      <c r="AA63" s="368"/>
      <c r="AB63" s="237"/>
      <c r="AC63" s="261">
        <f t="shared" si="5"/>
        <v>0</v>
      </c>
      <c r="AD63" s="261"/>
      <c r="AE63" s="250"/>
      <c r="AF63" s="2713">
        <v>0</v>
      </c>
      <c r="AG63" s="261"/>
      <c r="AH63" s="1282"/>
      <c r="AI63" s="1177">
        <f>ROUND(SUM(+AC63-AF63),1)</f>
        <v>0</v>
      </c>
      <c r="AJ63" s="1921"/>
      <c r="AK63" s="1871">
        <f>ROUND(IF(AF63=0,0,AI63/(AF63)),3)</f>
        <v>0</v>
      </c>
    </row>
    <row r="64" spans="1:37" ht="15" customHeight="1">
      <c r="A64" s="353"/>
      <c r="B64" s="1837" t="s">
        <v>1314</v>
      </c>
      <c r="C64" s="1837"/>
      <c r="D64" s="1177">
        <v>0</v>
      </c>
      <c r="E64" s="1179"/>
      <c r="F64" s="261">
        <v>0.1</v>
      </c>
      <c r="G64" s="1179"/>
      <c r="H64" s="261"/>
      <c r="I64" s="261"/>
      <c r="J64" s="319"/>
      <c r="K64" s="261"/>
      <c r="L64" s="261"/>
      <c r="M64" s="261"/>
      <c r="N64" s="261"/>
      <c r="O64" s="261"/>
      <c r="P64" s="261"/>
      <c r="Q64" s="261"/>
      <c r="R64" s="261"/>
      <c r="S64" s="261"/>
      <c r="T64" s="261"/>
      <c r="U64" s="261"/>
      <c r="V64" s="261"/>
      <c r="W64" s="261"/>
      <c r="X64" s="261"/>
      <c r="Y64" s="261"/>
      <c r="Z64" s="261"/>
      <c r="AA64" s="368"/>
      <c r="AB64" s="237"/>
      <c r="AC64" s="261">
        <f t="shared" si="5"/>
        <v>0.1</v>
      </c>
      <c r="AD64" s="261"/>
      <c r="AE64" s="250"/>
      <c r="AF64" s="319">
        <v>0.1</v>
      </c>
      <c r="AG64" s="261"/>
      <c r="AH64" s="1282"/>
      <c r="AI64" s="1177">
        <f>ROUND(SUM(+AC64-AF64),1)</f>
        <v>0</v>
      </c>
      <c r="AJ64" s="1921"/>
      <c r="AK64" s="1871">
        <f>ROUND(IF(AF64=0,0,AI64/(AF64)),3)</f>
        <v>0</v>
      </c>
    </row>
    <row r="65" spans="1:37" ht="15" customHeight="1">
      <c r="A65" s="353"/>
      <c r="B65" s="1837" t="s">
        <v>1442</v>
      </c>
      <c r="C65" s="1837"/>
      <c r="D65" s="1177"/>
      <c r="E65" s="1179"/>
      <c r="F65" s="261"/>
      <c r="G65" s="1179"/>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82"/>
      <c r="AI65" s="1177"/>
      <c r="AJ65" s="1921"/>
      <c r="AK65" s="1945"/>
    </row>
    <row r="66" spans="1:37" ht="15" customHeight="1">
      <c r="A66" s="353"/>
      <c r="B66" s="1837" t="s">
        <v>1315</v>
      </c>
      <c r="C66" s="1837"/>
      <c r="D66" s="1177">
        <v>6.9</v>
      </c>
      <c r="E66" s="1179"/>
      <c r="F66" s="261">
        <v>5.5</v>
      </c>
      <c r="G66" s="1179"/>
      <c r="H66" s="261"/>
      <c r="I66" s="261"/>
      <c r="J66" s="319"/>
      <c r="K66" s="261"/>
      <c r="L66" s="261"/>
      <c r="M66" s="261"/>
      <c r="N66" s="261"/>
      <c r="O66" s="261"/>
      <c r="P66" s="261"/>
      <c r="Q66" s="261"/>
      <c r="R66" s="261"/>
      <c r="S66" s="261"/>
      <c r="T66" s="261"/>
      <c r="U66" s="261"/>
      <c r="V66" s="261"/>
      <c r="W66" s="261"/>
      <c r="X66" s="261"/>
      <c r="Y66" s="261"/>
      <c r="Z66" s="261"/>
      <c r="AA66" s="368"/>
      <c r="AB66" s="237"/>
      <c r="AC66" s="261">
        <f t="shared" si="5"/>
        <v>12.4</v>
      </c>
      <c r="AD66" s="261"/>
      <c r="AE66" s="250"/>
      <c r="AF66" s="319">
        <v>11.4</v>
      </c>
      <c r="AG66" s="261"/>
      <c r="AH66" s="1282"/>
      <c r="AI66" s="1177">
        <f t="shared" ref="AI66:AI72" si="6">ROUND(SUM(+AC66-AF66),1)</f>
        <v>1</v>
      </c>
      <c r="AJ66" s="1921"/>
      <c r="AK66" s="1871">
        <f t="shared" ref="AK66:AK72" si="7">ROUND(IF(AF66=0,0,AI66/(AF66)),3)</f>
        <v>8.7999999999999995E-2</v>
      </c>
    </row>
    <row r="67" spans="1:37" ht="15" customHeight="1">
      <c r="A67" s="353"/>
      <c r="B67" s="1837" t="s">
        <v>1316</v>
      </c>
      <c r="C67" s="1837"/>
      <c r="D67" s="1177">
        <v>6.6</v>
      </c>
      <c r="E67" s="1179"/>
      <c r="F67" s="261">
        <v>16.5</v>
      </c>
      <c r="G67" s="1179"/>
      <c r="H67" s="261"/>
      <c r="I67" s="261"/>
      <c r="J67" s="319"/>
      <c r="K67" s="261"/>
      <c r="L67" s="261"/>
      <c r="M67" s="261"/>
      <c r="N67" s="261"/>
      <c r="O67" s="261"/>
      <c r="P67" s="261"/>
      <c r="Q67" s="261"/>
      <c r="R67" s="261"/>
      <c r="S67" s="261"/>
      <c r="T67" s="261"/>
      <c r="U67" s="261"/>
      <c r="V67" s="261"/>
      <c r="W67" s="261"/>
      <c r="X67" s="261"/>
      <c r="Y67" s="261"/>
      <c r="Z67" s="261"/>
      <c r="AA67" s="368"/>
      <c r="AB67" s="237"/>
      <c r="AC67" s="261">
        <f t="shared" si="5"/>
        <v>23.1</v>
      </c>
      <c r="AD67" s="261"/>
      <c r="AE67" s="250"/>
      <c r="AF67" s="319">
        <v>14.8</v>
      </c>
      <c r="AG67" s="261"/>
      <c r="AH67" s="1282"/>
      <c r="AI67" s="1177">
        <f t="shared" si="6"/>
        <v>8.3000000000000007</v>
      </c>
      <c r="AJ67" s="1921"/>
      <c r="AK67" s="1871">
        <f t="shared" si="7"/>
        <v>0.56100000000000005</v>
      </c>
    </row>
    <row r="68" spans="1:37" ht="15" customHeight="1">
      <c r="A68" s="353"/>
      <c r="B68" s="1837" t="s">
        <v>1317</v>
      </c>
      <c r="C68" s="1837"/>
      <c r="D68" s="1177">
        <v>23.2</v>
      </c>
      <c r="E68" s="1179"/>
      <c r="F68" s="261">
        <v>21.1</v>
      </c>
      <c r="G68" s="1179"/>
      <c r="H68" s="261"/>
      <c r="I68" s="261"/>
      <c r="J68" s="319"/>
      <c r="K68" s="261"/>
      <c r="L68" s="261"/>
      <c r="M68" s="261"/>
      <c r="N68" s="261"/>
      <c r="O68" s="261"/>
      <c r="P68" s="261"/>
      <c r="Q68" s="261"/>
      <c r="R68" s="261"/>
      <c r="S68" s="261"/>
      <c r="T68" s="261"/>
      <c r="U68" s="261"/>
      <c r="V68" s="261"/>
      <c r="W68" s="261"/>
      <c r="X68" s="261"/>
      <c r="Y68" s="261"/>
      <c r="Z68" s="261"/>
      <c r="AA68" s="368"/>
      <c r="AB68" s="237"/>
      <c r="AC68" s="261">
        <f t="shared" si="5"/>
        <v>44.3</v>
      </c>
      <c r="AD68" s="261"/>
      <c r="AE68" s="250"/>
      <c r="AF68" s="319">
        <v>31.5</v>
      </c>
      <c r="AG68" s="261"/>
      <c r="AH68" s="1282"/>
      <c r="AI68" s="1177">
        <f t="shared" si="6"/>
        <v>12.8</v>
      </c>
      <c r="AJ68" s="1921"/>
      <c r="AK68" s="1871">
        <f t="shared" si="7"/>
        <v>0.40600000000000003</v>
      </c>
    </row>
    <row r="69" spans="1:37" ht="15" customHeight="1">
      <c r="A69" s="353"/>
      <c r="B69" s="1837" t="s">
        <v>1318</v>
      </c>
      <c r="C69" s="1837"/>
      <c r="D69" s="1177">
        <v>0.1</v>
      </c>
      <c r="E69" s="1179"/>
      <c r="F69" s="261">
        <v>0</v>
      </c>
      <c r="G69" s="1179"/>
      <c r="H69" s="261"/>
      <c r="I69" s="261"/>
      <c r="J69" s="319"/>
      <c r="K69" s="261"/>
      <c r="L69" s="261"/>
      <c r="M69" s="261"/>
      <c r="N69" s="261"/>
      <c r="O69" s="261"/>
      <c r="P69" s="261"/>
      <c r="Q69" s="261"/>
      <c r="R69" s="261"/>
      <c r="S69" s="261"/>
      <c r="T69" s="261"/>
      <c r="U69" s="261"/>
      <c r="V69" s="261"/>
      <c r="W69" s="261"/>
      <c r="X69" s="261"/>
      <c r="Y69" s="261"/>
      <c r="Z69" s="261"/>
      <c r="AA69" s="368"/>
      <c r="AB69" s="237"/>
      <c r="AC69" s="261">
        <f t="shared" si="5"/>
        <v>0.1</v>
      </c>
      <c r="AD69" s="261"/>
      <c r="AE69" s="250"/>
      <c r="AF69" s="319">
        <v>0.1</v>
      </c>
      <c r="AG69" s="261"/>
      <c r="AH69" s="1282"/>
      <c r="AI69" s="1177">
        <f t="shared" si="6"/>
        <v>0</v>
      </c>
      <c r="AJ69" s="1921"/>
      <c r="AK69" s="1871">
        <f t="shared" si="7"/>
        <v>0</v>
      </c>
    </row>
    <row r="70" spans="1:37" ht="15" customHeight="1">
      <c r="A70" s="353"/>
      <c r="B70" s="1837" t="s">
        <v>1319</v>
      </c>
      <c r="C70" s="1837"/>
      <c r="D70" s="1177">
        <v>36</v>
      </c>
      <c r="E70" s="1179"/>
      <c r="F70" s="261">
        <v>0</v>
      </c>
      <c r="G70" s="1179"/>
      <c r="H70" s="261"/>
      <c r="I70" s="261"/>
      <c r="J70" s="319"/>
      <c r="K70" s="261"/>
      <c r="L70" s="261"/>
      <c r="M70" s="261"/>
      <c r="N70" s="261"/>
      <c r="O70" s="261"/>
      <c r="P70" s="261"/>
      <c r="Q70" s="261"/>
      <c r="R70" s="261"/>
      <c r="S70" s="261"/>
      <c r="T70" s="261"/>
      <c r="U70" s="261"/>
      <c r="V70" s="261"/>
      <c r="W70" s="261"/>
      <c r="X70" s="261"/>
      <c r="Y70" s="261"/>
      <c r="Z70" s="261"/>
      <c r="AA70" s="368"/>
      <c r="AB70" s="237"/>
      <c r="AC70" s="261">
        <f>ROUND(SUM(D70:Z70),1)</f>
        <v>36</v>
      </c>
      <c r="AD70" s="261"/>
      <c r="AE70" s="250"/>
      <c r="AF70" s="319">
        <v>57.6</v>
      </c>
      <c r="AG70" s="261"/>
      <c r="AH70" s="1282"/>
      <c r="AI70" s="1177">
        <f t="shared" si="6"/>
        <v>-21.6</v>
      </c>
      <c r="AJ70" s="1921"/>
      <c r="AK70" s="2913">
        <f>ROUND(IF(AF70=0,1,AI70/(AF70)),3)</f>
        <v>-0.375</v>
      </c>
    </row>
    <row r="71" spans="1:37" ht="15" customHeight="1">
      <c r="A71" s="353"/>
      <c r="B71" s="1837" t="s">
        <v>1320</v>
      </c>
      <c r="C71" s="1837"/>
      <c r="D71" s="1177">
        <v>1.2</v>
      </c>
      <c r="E71" s="1179"/>
      <c r="F71" s="261">
        <v>3.3</v>
      </c>
      <c r="G71" s="1179"/>
      <c r="H71" s="261"/>
      <c r="I71" s="261"/>
      <c r="J71" s="319"/>
      <c r="K71" s="261"/>
      <c r="L71" s="261"/>
      <c r="M71" s="261"/>
      <c r="N71" s="261"/>
      <c r="O71" s="261"/>
      <c r="P71" s="261"/>
      <c r="Q71" s="261"/>
      <c r="R71" s="261"/>
      <c r="S71" s="261"/>
      <c r="T71" s="261"/>
      <c r="U71" s="261"/>
      <c r="V71" s="261"/>
      <c r="W71" s="261"/>
      <c r="X71" s="261"/>
      <c r="Y71" s="261"/>
      <c r="Z71" s="261"/>
      <c r="AA71" s="368"/>
      <c r="AB71" s="237"/>
      <c r="AC71" s="261">
        <f t="shared" si="5"/>
        <v>4.5</v>
      </c>
      <c r="AD71" s="261"/>
      <c r="AE71" s="250"/>
      <c r="AF71" s="1840">
        <v>4.9000000000000004</v>
      </c>
      <c r="AG71" s="261"/>
      <c r="AH71" s="1282"/>
      <c r="AI71" s="1177">
        <f t="shared" si="6"/>
        <v>-0.4</v>
      </c>
      <c r="AJ71" s="1921"/>
      <c r="AK71" s="1871">
        <f t="shared" si="7"/>
        <v>-8.2000000000000003E-2</v>
      </c>
    </row>
    <row r="72" spans="1:37" ht="15" customHeight="1">
      <c r="A72" s="353"/>
      <c r="B72" s="1837" t="s">
        <v>1309</v>
      </c>
      <c r="C72" s="1837"/>
      <c r="D72" s="1177">
        <v>8.6</v>
      </c>
      <c r="E72" s="1179"/>
      <c r="F72" s="261">
        <v>1090</v>
      </c>
      <c r="G72" s="1179"/>
      <c r="H72" s="261"/>
      <c r="I72" s="261"/>
      <c r="J72" s="1840"/>
      <c r="K72" s="261"/>
      <c r="L72" s="261"/>
      <c r="M72" s="261"/>
      <c r="N72" s="261"/>
      <c r="O72" s="261"/>
      <c r="P72" s="261"/>
      <c r="Q72" s="261"/>
      <c r="R72" s="261"/>
      <c r="S72" s="261"/>
      <c r="T72" s="261"/>
      <c r="U72" s="261"/>
      <c r="V72" s="261"/>
      <c r="W72" s="261"/>
      <c r="X72" s="261"/>
      <c r="Y72" s="261"/>
      <c r="Z72" s="261"/>
      <c r="AA72" s="368"/>
      <c r="AB72" s="237"/>
      <c r="AC72" s="261">
        <f t="shared" si="5"/>
        <v>1098.5999999999999</v>
      </c>
      <c r="AD72" s="261"/>
      <c r="AE72" s="250"/>
      <c r="AF72" s="319">
        <v>825.5</v>
      </c>
      <c r="AG72" s="261"/>
      <c r="AH72" s="1282"/>
      <c r="AI72" s="1177">
        <f t="shared" si="6"/>
        <v>273.10000000000002</v>
      </c>
      <c r="AJ72" s="1921"/>
      <c r="AK72" s="1871">
        <f t="shared" si="7"/>
        <v>0.33100000000000002</v>
      </c>
    </row>
    <row r="73" spans="1:37" ht="15" customHeight="1">
      <c r="A73" s="353"/>
      <c r="B73" s="1837" t="s">
        <v>1310</v>
      </c>
      <c r="C73" s="1837"/>
      <c r="D73" s="1177">
        <v>0.4</v>
      </c>
      <c r="E73" s="1179"/>
      <c r="F73" s="261">
        <v>0.3</v>
      </c>
      <c r="G73" s="1179"/>
      <c r="H73" s="261"/>
      <c r="I73" s="261"/>
      <c r="J73" s="319"/>
      <c r="K73" s="261"/>
      <c r="L73" s="261"/>
      <c r="M73" s="261"/>
      <c r="N73" s="261"/>
      <c r="O73" s="261"/>
      <c r="P73" s="261"/>
      <c r="Q73" s="261"/>
      <c r="R73" s="261"/>
      <c r="S73" s="261"/>
      <c r="T73" s="261"/>
      <c r="U73" s="261"/>
      <c r="V73" s="261"/>
      <c r="W73" s="261"/>
      <c r="X73" s="261"/>
      <c r="Y73" s="261"/>
      <c r="Z73" s="261"/>
      <c r="AA73" s="368"/>
      <c r="AB73" s="237"/>
      <c r="AC73" s="261">
        <f t="shared" si="5"/>
        <v>0.7</v>
      </c>
      <c r="AD73" s="261"/>
      <c r="AE73" s="250"/>
      <c r="AF73" s="319">
        <v>0</v>
      </c>
      <c r="AG73" s="261"/>
      <c r="AH73" s="1282"/>
      <c r="AI73" s="1177">
        <f>ROUND(SUM(+AC73-AF73),1)</f>
        <v>0.7</v>
      </c>
      <c r="AJ73" s="1921"/>
      <c r="AK73" s="2811">
        <f>ROUND(IF(AF73=0,1,AI73/(AF73)),3)</f>
        <v>1</v>
      </c>
    </row>
    <row r="74" spans="1:37" ht="15" customHeight="1">
      <c r="A74" s="353"/>
      <c r="B74" s="1837" t="s">
        <v>1440</v>
      </c>
      <c r="C74" s="1837"/>
      <c r="D74" s="1177"/>
      <c r="E74" s="1179"/>
      <c r="F74" s="261"/>
      <c r="G74" s="1179"/>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82"/>
      <c r="AI74" s="1177"/>
      <c r="AJ74" s="1921"/>
      <c r="AK74" s="1945"/>
    </row>
    <row r="75" spans="1:37" ht="15" customHeight="1">
      <c r="A75" s="353"/>
      <c r="B75" s="1837" t="s">
        <v>1325</v>
      </c>
      <c r="C75" s="1837"/>
      <c r="D75" s="1177">
        <v>0</v>
      </c>
      <c r="E75" s="1179"/>
      <c r="F75" s="261">
        <v>0</v>
      </c>
      <c r="G75" s="1179"/>
      <c r="H75" s="261"/>
      <c r="I75" s="261"/>
      <c r="J75" s="319"/>
      <c r="K75" s="261"/>
      <c r="L75" s="261"/>
      <c r="M75" s="261"/>
      <c r="N75" s="261"/>
      <c r="O75" s="261"/>
      <c r="P75" s="261"/>
      <c r="Q75" s="261"/>
      <c r="R75" s="261"/>
      <c r="S75" s="261"/>
      <c r="T75" s="261"/>
      <c r="U75" s="261"/>
      <c r="V75" s="261"/>
      <c r="W75" s="261"/>
      <c r="X75" s="261"/>
      <c r="Y75" s="261"/>
      <c r="Z75" s="261"/>
      <c r="AA75" s="368"/>
      <c r="AB75" s="237"/>
      <c r="AC75" s="261">
        <f t="shared" si="5"/>
        <v>0</v>
      </c>
      <c r="AD75" s="261"/>
      <c r="AE75" s="250"/>
      <c r="AF75" s="319">
        <v>2.2000000000000002</v>
      </c>
      <c r="AG75" s="261"/>
      <c r="AH75" s="1282"/>
      <c r="AI75" s="1177">
        <f>ROUND(SUM(+AC75-AF75),1)</f>
        <v>-2.2000000000000002</v>
      </c>
      <c r="AJ75" s="1921"/>
      <c r="AK75" s="1871">
        <f>ROUND(IF(AF75=0,0,AI75/(AF75)),3)</f>
        <v>-1</v>
      </c>
    </row>
    <row r="76" spans="1:37" ht="15" customHeight="1">
      <c r="A76" s="353"/>
      <c r="B76" s="1837" t="s">
        <v>1326</v>
      </c>
      <c r="C76" s="1837"/>
      <c r="D76" s="1177">
        <v>0</v>
      </c>
      <c r="E76" s="1179"/>
      <c r="F76" s="261">
        <v>0</v>
      </c>
      <c r="G76" s="1179"/>
      <c r="H76" s="261"/>
      <c r="I76" s="261"/>
      <c r="J76" s="319"/>
      <c r="K76" s="261"/>
      <c r="L76" s="261"/>
      <c r="M76" s="261"/>
      <c r="N76" s="261"/>
      <c r="O76" s="261"/>
      <c r="P76" s="261"/>
      <c r="Q76" s="261"/>
      <c r="R76" s="261"/>
      <c r="S76" s="261"/>
      <c r="T76" s="261"/>
      <c r="U76" s="261"/>
      <c r="V76" s="261"/>
      <c r="W76" s="261"/>
      <c r="X76" s="261"/>
      <c r="Y76" s="261"/>
      <c r="Z76" s="261"/>
      <c r="AA76" s="368"/>
      <c r="AB76" s="237"/>
      <c r="AC76" s="261">
        <f t="shared" si="5"/>
        <v>0</v>
      </c>
      <c r="AD76" s="261"/>
      <c r="AE76" s="250"/>
      <c r="AF76" s="319">
        <v>9.6999999999999993</v>
      </c>
      <c r="AG76" s="261"/>
      <c r="AH76" s="1282"/>
      <c r="AI76" s="1177">
        <f>ROUND(SUM(+AC76-AF76),1)</f>
        <v>-9.6999999999999993</v>
      </c>
      <c r="AJ76" s="1921"/>
      <c r="AK76" s="1871">
        <f>ROUND(IF(AF76=0,0,AI76/(AF76)),3)</f>
        <v>-1</v>
      </c>
    </row>
    <row r="77" spans="1:37" ht="15" customHeight="1">
      <c r="A77" s="353"/>
      <c r="B77" s="1837" t="s">
        <v>1327</v>
      </c>
      <c r="C77" s="1837"/>
      <c r="D77" s="1177">
        <v>0</v>
      </c>
      <c r="E77" s="1179"/>
      <c r="F77" s="261">
        <v>0</v>
      </c>
      <c r="G77" s="1179"/>
      <c r="H77" s="261"/>
      <c r="I77" s="261"/>
      <c r="J77" s="319"/>
      <c r="K77" s="261"/>
      <c r="L77" s="261"/>
      <c r="M77" s="261"/>
      <c r="N77" s="261"/>
      <c r="O77" s="261"/>
      <c r="P77" s="261"/>
      <c r="Q77" s="261"/>
      <c r="R77" s="261"/>
      <c r="S77" s="261"/>
      <c r="T77" s="261"/>
      <c r="U77" s="261"/>
      <c r="V77" s="261"/>
      <c r="W77" s="261"/>
      <c r="X77" s="261"/>
      <c r="Y77" s="261"/>
      <c r="Z77" s="261"/>
      <c r="AA77" s="368"/>
      <c r="AB77" s="237"/>
      <c r="AC77" s="261">
        <f t="shared" si="5"/>
        <v>0</v>
      </c>
      <c r="AD77" s="261"/>
      <c r="AE77" s="250"/>
      <c r="AF77" s="319">
        <v>0</v>
      </c>
      <c r="AG77" s="261"/>
      <c r="AH77" s="1282"/>
      <c r="AI77" s="1177">
        <f>ROUND(SUM(+AC77-AF77),1)</f>
        <v>0</v>
      </c>
      <c r="AJ77" s="1921"/>
      <c r="AK77" s="1871">
        <f>ROUND(IF(AF77=0,0,AI77/(AF77)),3)</f>
        <v>0</v>
      </c>
    </row>
    <row r="78" spans="1:37" ht="15" customHeight="1">
      <c r="A78" s="353"/>
      <c r="B78" s="1837" t="s">
        <v>1328</v>
      </c>
      <c r="C78" s="1837"/>
      <c r="D78" s="1177">
        <v>0</v>
      </c>
      <c r="E78" s="1179"/>
      <c r="F78" s="261">
        <v>0</v>
      </c>
      <c r="G78" s="1179"/>
      <c r="H78" s="261"/>
      <c r="I78" s="261"/>
      <c r="J78" s="319"/>
      <c r="K78" s="261"/>
      <c r="L78" s="261"/>
      <c r="M78" s="261"/>
      <c r="N78" s="261"/>
      <c r="O78" s="261"/>
      <c r="P78" s="261"/>
      <c r="Q78" s="261"/>
      <c r="R78" s="261"/>
      <c r="S78" s="261"/>
      <c r="T78" s="261"/>
      <c r="U78" s="261"/>
      <c r="V78" s="261"/>
      <c r="W78" s="261"/>
      <c r="X78" s="261"/>
      <c r="Y78" s="261"/>
      <c r="Z78" s="261"/>
      <c r="AA78" s="368"/>
      <c r="AB78" s="237"/>
      <c r="AC78" s="261">
        <f t="shared" si="5"/>
        <v>0</v>
      </c>
      <c r="AD78" s="261"/>
      <c r="AE78" s="250"/>
      <c r="AF78" s="319">
        <v>0</v>
      </c>
      <c r="AG78" s="261"/>
      <c r="AH78" s="1282"/>
      <c r="AI78" s="1177">
        <f>ROUND(SUM(+AC78-AF78),1)</f>
        <v>0</v>
      </c>
      <c r="AJ78" s="1921"/>
      <c r="AK78" s="2843">
        <f>ROUND(IF(AF78=0,0,AI78/(AF78)),3)</f>
        <v>0</v>
      </c>
    </row>
    <row r="79" spans="1:37" ht="15" customHeight="1">
      <c r="A79" s="353"/>
      <c r="B79" s="1837" t="s">
        <v>1329</v>
      </c>
      <c r="C79" s="1837"/>
      <c r="D79" s="1177">
        <v>0.2</v>
      </c>
      <c r="E79" s="1179"/>
      <c r="F79" s="261">
        <v>0.3</v>
      </c>
      <c r="G79" s="1179"/>
      <c r="H79" s="261"/>
      <c r="I79" s="261"/>
      <c r="J79" s="319"/>
      <c r="K79" s="261"/>
      <c r="L79" s="261"/>
      <c r="M79" s="261"/>
      <c r="N79" s="261"/>
      <c r="O79" s="261"/>
      <c r="P79" s="261"/>
      <c r="Q79" s="261"/>
      <c r="R79" s="261"/>
      <c r="S79" s="261"/>
      <c r="T79" s="261"/>
      <c r="U79" s="261"/>
      <c r="V79" s="261"/>
      <c r="W79" s="261"/>
      <c r="X79" s="261"/>
      <c r="Y79" s="261"/>
      <c r="Z79" s="261"/>
      <c r="AA79" s="368"/>
      <c r="AB79" s="237"/>
      <c r="AC79" s="261">
        <f t="shared" si="5"/>
        <v>0.5</v>
      </c>
      <c r="AD79" s="261"/>
      <c r="AE79" s="250"/>
      <c r="AF79" s="319">
        <v>0.3</v>
      </c>
      <c r="AG79" s="261"/>
      <c r="AH79" s="1282"/>
      <c r="AI79" s="1177">
        <f>ROUND(SUM(+AC79-AF79),1)</f>
        <v>0.2</v>
      </c>
      <c r="AJ79" s="1921"/>
      <c r="AK79" s="2811">
        <f>ROUND(IF(AF79=0,0,AI79/(AF79)),3)</f>
        <v>0.66700000000000004</v>
      </c>
    </row>
    <row r="80" spans="1:37" ht="15" customHeight="1">
      <c r="A80" s="353"/>
      <c r="B80" s="1837" t="s">
        <v>1441</v>
      </c>
      <c r="C80" s="1837"/>
      <c r="D80" s="1177"/>
      <c r="E80" s="1179"/>
      <c r="F80" s="261"/>
      <c r="G80" s="1179"/>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82"/>
      <c r="AI80" s="1177"/>
      <c r="AJ80" s="1921"/>
      <c r="AK80" s="1945"/>
    </row>
    <row r="81" spans="1:37" ht="15" customHeight="1">
      <c r="A81" s="353"/>
      <c r="B81" s="1837" t="s">
        <v>1330</v>
      </c>
      <c r="C81" s="1837"/>
      <c r="D81" s="1177">
        <v>0</v>
      </c>
      <c r="E81" s="1179"/>
      <c r="F81" s="261">
        <v>0</v>
      </c>
      <c r="G81" s="1179"/>
      <c r="H81" s="261"/>
      <c r="I81" s="261"/>
      <c r="J81" s="319"/>
      <c r="K81" s="261"/>
      <c r="L81" s="261"/>
      <c r="M81" s="261"/>
      <c r="N81" s="261"/>
      <c r="O81" s="261"/>
      <c r="P81" s="1177"/>
      <c r="Q81" s="261"/>
      <c r="R81" s="261"/>
      <c r="S81" s="261"/>
      <c r="T81" s="1177"/>
      <c r="U81" s="261"/>
      <c r="V81" s="261"/>
      <c r="W81" s="261"/>
      <c r="X81" s="261"/>
      <c r="Y81" s="261"/>
      <c r="Z81" s="261"/>
      <c r="AA81" s="368"/>
      <c r="AB81" s="237"/>
      <c r="AC81" s="261">
        <f t="shared" si="5"/>
        <v>0</v>
      </c>
      <c r="AD81" s="261"/>
      <c r="AE81" s="250"/>
      <c r="AF81" s="319">
        <v>0.1</v>
      </c>
      <c r="AG81" s="261"/>
      <c r="AH81" s="1282"/>
      <c r="AI81" s="1177">
        <f t="shared" ref="AI81:AI88" si="8">ROUND(SUM(+AC81-AF81),1)</f>
        <v>-0.1</v>
      </c>
      <c r="AJ81" s="1921"/>
      <c r="AK81" s="2843">
        <f>ROUND(IF(AF81=0,0,AI81/(AF81)),3)</f>
        <v>-1</v>
      </c>
    </row>
    <row r="82" spans="1:37" ht="15" customHeight="1">
      <c r="A82" s="353"/>
      <c r="B82" s="1837" t="s">
        <v>1332</v>
      </c>
      <c r="C82" s="1837"/>
      <c r="D82" s="1177">
        <v>0.1</v>
      </c>
      <c r="E82" s="1179"/>
      <c r="F82" s="261">
        <v>0</v>
      </c>
      <c r="G82" s="1179"/>
      <c r="H82" s="261"/>
      <c r="I82" s="261"/>
      <c r="J82" s="319"/>
      <c r="K82" s="261"/>
      <c r="L82" s="261"/>
      <c r="M82" s="261"/>
      <c r="N82" s="261"/>
      <c r="O82" s="261"/>
      <c r="P82" s="261"/>
      <c r="Q82" s="261"/>
      <c r="R82" s="261"/>
      <c r="S82" s="261"/>
      <c r="T82" s="261"/>
      <c r="U82" s="261"/>
      <c r="V82" s="261"/>
      <c r="W82" s="261"/>
      <c r="X82" s="261"/>
      <c r="Y82" s="261"/>
      <c r="Z82" s="261"/>
      <c r="AA82" s="368"/>
      <c r="AB82" s="237"/>
      <c r="AC82" s="261">
        <f t="shared" si="5"/>
        <v>0.1</v>
      </c>
      <c r="AD82" s="261"/>
      <c r="AE82" s="250"/>
      <c r="AF82" s="319">
        <v>0.1</v>
      </c>
      <c r="AG82" s="261"/>
      <c r="AH82" s="1282"/>
      <c r="AI82" s="1177">
        <f t="shared" si="8"/>
        <v>0</v>
      </c>
      <c r="AJ82" s="1921"/>
      <c r="AK82" s="2843">
        <f>ROUND(IF(AF82=0,1,AI82/(AF82)),3)</f>
        <v>0</v>
      </c>
    </row>
    <row r="83" spans="1:37" ht="15" customHeight="1">
      <c r="A83" s="353"/>
      <c r="B83" s="1837" t="s">
        <v>1333</v>
      </c>
      <c r="C83" s="1837"/>
      <c r="D83" s="1177">
        <v>1.4</v>
      </c>
      <c r="E83" s="1179"/>
      <c r="F83" s="261">
        <v>8</v>
      </c>
      <c r="G83" s="1179"/>
      <c r="H83" s="261"/>
      <c r="I83" s="261"/>
      <c r="J83" s="319"/>
      <c r="K83" s="261"/>
      <c r="L83" s="261"/>
      <c r="M83" s="261"/>
      <c r="N83" s="261"/>
      <c r="O83" s="261"/>
      <c r="P83" s="261"/>
      <c r="Q83" s="261"/>
      <c r="R83" s="261"/>
      <c r="S83" s="261"/>
      <c r="T83" s="261"/>
      <c r="U83" s="261"/>
      <c r="V83" s="261"/>
      <c r="W83" s="261"/>
      <c r="X83" s="261"/>
      <c r="Y83" s="261"/>
      <c r="Z83" s="261"/>
      <c r="AA83" s="368"/>
      <c r="AB83" s="237"/>
      <c r="AC83" s="261">
        <f t="shared" si="5"/>
        <v>9.4</v>
      </c>
      <c r="AD83" s="261"/>
      <c r="AE83" s="250"/>
      <c r="AF83" s="319">
        <v>11.2</v>
      </c>
      <c r="AG83" s="261"/>
      <c r="AH83" s="1282"/>
      <c r="AI83" s="1177">
        <f t="shared" si="8"/>
        <v>-1.8</v>
      </c>
      <c r="AJ83" s="1921"/>
      <c r="AK83" s="1871">
        <f>ROUND(IF(AF83=0,1,AI83/(AF83)),3)</f>
        <v>-0.161</v>
      </c>
    </row>
    <row r="84" spans="1:37" ht="15" customHeight="1">
      <c r="A84" s="353"/>
      <c r="B84" s="1837" t="s">
        <v>1335</v>
      </c>
      <c r="C84" s="1837"/>
      <c r="D84" s="1177">
        <v>0</v>
      </c>
      <c r="E84" s="1179"/>
      <c r="F84" s="261">
        <v>0</v>
      </c>
      <c r="G84" s="1179"/>
      <c r="H84" s="261"/>
      <c r="I84" s="261"/>
      <c r="J84" s="319"/>
      <c r="K84" s="261"/>
      <c r="L84" s="261"/>
      <c r="M84" s="261"/>
      <c r="N84" s="261"/>
      <c r="O84" s="261"/>
      <c r="P84" s="261"/>
      <c r="Q84" s="261"/>
      <c r="R84" s="261"/>
      <c r="S84" s="261"/>
      <c r="T84" s="261"/>
      <c r="U84" s="261"/>
      <c r="V84" s="261"/>
      <c r="W84" s="261"/>
      <c r="X84" s="261"/>
      <c r="Y84" s="261"/>
      <c r="Z84" s="1177"/>
      <c r="AA84" s="368"/>
      <c r="AB84" s="237"/>
      <c r="AC84" s="261">
        <f t="shared" si="5"/>
        <v>0</v>
      </c>
      <c r="AD84" s="261"/>
      <c r="AE84" s="250"/>
      <c r="AF84" s="319">
        <v>0</v>
      </c>
      <c r="AG84" s="261"/>
      <c r="AH84" s="1282"/>
      <c r="AI84" s="1177">
        <f t="shared" si="8"/>
        <v>0</v>
      </c>
      <c r="AJ84" s="1921"/>
      <c r="AK84" s="2843">
        <f>ROUND(IF(AF84=0,0,AI84/(AF84)),3)</f>
        <v>0</v>
      </c>
    </row>
    <row r="85" spans="1:37" ht="15" customHeight="1">
      <c r="A85" s="353"/>
      <c r="B85" s="1837" t="s">
        <v>1336</v>
      </c>
      <c r="C85" s="1837"/>
      <c r="D85" s="1177">
        <v>81.7</v>
      </c>
      <c r="E85" s="1179"/>
      <c r="F85" s="261">
        <v>1050</v>
      </c>
      <c r="G85" s="1179"/>
      <c r="H85" s="261"/>
      <c r="I85" s="261"/>
      <c r="J85" s="319"/>
      <c r="K85" s="261"/>
      <c r="L85" s="261"/>
      <c r="M85" s="261"/>
      <c r="N85" s="261"/>
      <c r="O85" s="261"/>
      <c r="P85" s="261"/>
      <c r="Q85" s="261"/>
      <c r="R85" s="261"/>
      <c r="S85" s="261"/>
      <c r="T85" s="261"/>
      <c r="U85" s="261"/>
      <c r="V85" s="261"/>
      <c r="W85" s="261"/>
      <c r="X85" s="261"/>
      <c r="Y85" s="261"/>
      <c r="Z85" s="261"/>
      <c r="AA85" s="368"/>
      <c r="AB85" s="237"/>
      <c r="AC85" s="261">
        <f t="shared" si="5"/>
        <v>1131.7</v>
      </c>
      <c r="AD85" s="261"/>
      <c r="AE85" s="250"/>
      <c r="AF85" s="319">
        <v>4.5999999999999996</v>
      </c>
      <c r="AG85" s="261"/>
      <c r="AH85" s="1282"/>
      <c r="AI85" s="1177">
        <f t="shared" si="8"/>
        <v>1127.0999999999999</v>
      </c>
      <c r="AJ85" s="1921"/>
      <c r="AK85" s="2913">
        <f>ROUND(IF(AF85=0,1,AI85/(AF85)),3)</f>
        <v>245.02199999999999</v>
      </c>
    </row>
    <row r="86" spans="1:37" ht="15" customHeight="1">
      <c r="A86" s="353"/>
      <c r="B86" s="1837" t="s">
        <v>1337</v>
      </c>
      <c r="C86" s="1837"/>
      <c r="D86" s="1177">
        <v>0</v>
      </c>
      <c r="E86" s="1179"/>
      <c r="F86" s="261">
        <v>0</v>
      </c>
      <c r="G86" s="1179"/>
      <c r="H86" s="261"/>
      <c r="I86" s="261"/>
      <c r="J86" s="319"/>
      <c r="K86" s="261"/>
      <c r="L86" s="261"/>
      <c r="M86" s="261"/>
      <c r="N86" s="261"/>
      <c r="O86" s="261"/>
      <c r="P86" s="261"/>
      <c r="Q86" s="261"/>
      <c r="R86" s="261"/>
      <c r="S86" s="261"/>
      <c r="T86" s="261"/>
      <c r="U86" s="261"/>
      <c r="V86" s="261"/>
      <c r="W86" s="261"/>
      <c r="X86" s="261"/>
      <c r="Y86" s="261"/>
      <c r="Z86" s="261"/>
      <c r="AA86" s="368"/>
      <c r="AB86" s="237"/>
      <c r="AC86" s="261">
        <f t="shared" si="5"/>
        <v>0</v>
      </c>
      <c r="AD86" s="261"/>
      <c r="AE86" s="250"/>
      <c r="AF86" s="319">
        <v>0</v>
      </c>
      <c r="AG86" s="261"/>
      <c r="AH86" s="1282"/>
      <c r="AI86" s="1177">
        <f t="shared" si="8"/>
        <v>0</v>
      </c>
      <c r="AJ86" s="1921"/>
      <c r="AK86" s="1871">
        <f t="shared" ref="AK86:AK87" si="9">ROUND(IF(AF86=0,0,AI86/(AF86)),3)</f>
        <v>0</v>
      </c>
    </row>
    <row r="87" spans="1:37" ht="15" customHeight="1">
      <c r="A87" s="353"/>
      <c r="B87" s="1837" t="s">
        <v>1338</v>
      </c>
      <c r="C87" s="1837"/>
      <c r="D87" s="1177">
        <v>4.5999999999999996</v>
      </c>
      <c r="E87" s="1179"/>
      <c r="F87" s="261">
        <v>-0.6</v>
      </c>
      <c r="G87" s="1179"/>
      <c r="H87" s="261"/>
      <c r="I87" s="261"/>
      <c r="J87" s="319"/>
      <c r="K87" s="261"/>
      <c r="L87" s="261"/>
      <c r="M87" s="261"/>
      <c r="N87" s="261"/>
      <c r="O87" s="261"/>
      <c r="P87" s="261"/>
      <c r="Q87" s="261"/>
      <c r="R87" s="261"/>
      <c r="S87" s="261"/>
      <c r="T87" s="261"/>
      <c r="U87" s="261"/>
      <c r="V87" s="261"/>
      <c r="W87" s="261"/>
      <c r="X87" s="261"/>
      <c r="Y87" s="261"/>
      <c r="Z87" s="261"/>
      <c r="AA87" s="368"/>
      <c r="AB87" s="237"/>
      <c r="AC87" s="261">
        <f t="shared" si="5"/>
        <v>4</v>
      </c>
      <c r="AD87" s="261"/>
      <c r="AE87" s="250"/>
      <c r="AF87" s="319">
        <v>3.5</v>
      </c>
      <c r="AG87" s="261"/>
      <c r="AH87" s="1282"/>
      <c r="AI87" s="1177">
        <f t="shared" si="8"/>
        <v>0.5</v>
      </c>
      <c r="AJ87" s="1921"/>
      <c r="AK87" s="1871">
        <f t="shared" si="9"/>
        <v>0.14299999999999999</v>
      </c>
    </row>
    <row r="88" spans="1:37" ht="15" customHeight="1">
      <c r="A88" s="353"/>
      <c r="B88" s="1837" t="s">
        <v>1339</v>
      </c>
      <c r="C88" s="1837"/>
      <c r="D88" s="1177">
        <v>1</v>
      </c>
      <c r="E88" s="1179"/>
      <c r="F88" s="261">
        <v>-0.3</v>
      </c>
      <c r="G88" s="1179"/>
      <c r="H88" s="261"/>
      <c r="I88" s="261"/>
      <c r="J88" s="319"/>
      <c r="K88" s="261"/>
      <c r="L88" s="261"/>
      <c r="M88" s="261"/>
      <c r="N88" s="261"/>
      <c r="O88" s="261"/>
      <c r="P88" s="261"/>
      <c r="Q88" s="261"/>
      <c r="R88" s="261"/>
      <c r="S88" s="261"/>
      <c r="T88" s="261"/>
      <c r="U88" s="261"/>
      <c r="V88" s="261"/>
      <c r="W88" s="261"/>
      <c r="X88" s="261"/>
      <c r="Y88" s="261"/>
      <c r="Z88" s="261"/>
      <c r="AA88" s="368"/>
      <c r="AB88" s="237"/>
      <c r="AC88" s="261">
        <f t="shared" si="5"/>
        <v>0.7</v>
      </c>
      <c r="AD88" s="261"/>
      <c r="AE88" s="250"/>
      <c r="AF88" s="319">
        <v>0</v>
      </c>
      <c r="AG88" s="261"/>
      <c r="AH88" s="1282"/>
      <c r="AI88" s="1177">
        <f t="shared" si="8"/>
        <v>0.7</v>
      </c>
      <c r="AJ88" s="1921"/>
      <c r="AK88" s="2843">
        <f>ROUND(IF(AF88=0,1,AI88/(AF88)),3)</f>
        <v>1</v>
      </c>
    </row>
    <row r="89" spans="1:37" s="423" customFormat="1" ht="15" customHeight="1">
      <c r="A89" s="2113"/>
      <c r="B89" s="590" t="s">
        <v>1375</v>
      </c>
      <c r="C89" s="413"/>
      <c r="D89" s="485">
        <f>ROUND(SUM(D58:D88),1)</f>
        <v>178.2</v>
      </c>
      <c r="E89" s="2114"/>
      <c r="F89" s="485">
        <f>ROUND(SUM(F58:F88),1)</f>
        <v>2444.6</v>
      </c>
      <c r="G89" s="2114"/>
      <c r="H89" s="485">
        <f>ROUND(SUM(H58:H88),1)</f>
        <v>0</v>
      </c>
      <c r="I89" s="1899"/>
      <c r="J89" s="1289">
        <f>ROUND(SUM(J58:J88),1)</f>
        <v>0</v>
      </c>
      <c r="K89" s="1899"/>
      <c r="L89" s="485">
        <f>ROUND(SUM(L58:L88),1)</f>
        <v>0</v>
      </c>
      <c r="M89" s="1899"/>
      <c r="N89" s="485">
        <f>ROUND(SUM(N58:N88),1)</f>
        <v>0</v>
      </c>
      <c r="O89" s="1899"/>
      <c r="P89" s="485">
        <f>ROUND(SUM(P58:P88),1)</f>
        <v>0</v>
      </c>
      <c r="Q89" s="1899"/>
      <c r="R89" s="485">
        <f>ROUND(SUM(R58:R88),1)</f>
        <v>0</v>
      </c>
      <c r="S89" s="1899"/>
      <c r="T89" s="485">
        <f>ROUND(SUM(T58:T88),1)</f>
        <v>0</v>
      </c>
      <c r="U89" s="1899"/>
      <c r="V89" s="485">
        <f>ROUND(SUM(V58:V88),1)</f>
        <v>0</v>
      </c>
      <c r="W89" s="1899"/>
      <c r="X89" s="485">
        <f>ROUND(SUM(X58:X88),1)</f>
        <v>0</v>
      </c>
      <c r="Y89" s="1899"/>
      <c r="Z89" s="485">
        <f>ROUND(SUM(Z58:Z88),1)</f>
        <v>0</v>
      </c>
      <c r="AA89" s="410"/>
      <c r="AB89" s="486"/>
      <c r="AC89" s="485">
        <f>ROUND(SUM(AC58:AC88),1)</f>
        <v>2622.8</v>
      </c>
      <c r="AD89" s="1899"/>
      <c r="AE89" s="259"/>
      <c r="AF89" s="1289">
        <f>ROUND(SUM(AF58:AF88),1)</f>
        <v>1990.8</v>
      </c>
      <c r="AG89" s="1899"/>
      <c r="AH89" s="1284"/>
      <c r="AI89" s="485">
        <f>ROUND(SUM(AI58:AI88),1)</f>
        <v>632</v>
      </c>
      <c r="AJ89" s="273"/>
      <c r="AK89" s="2115">
        <f>ROUND(SUM(+AI89/AF89),3)</f>
        <v>0.317</v>
      </c>
    </row>
    <row r="90" spans="1:37" s="423" customFormat="1" ht="8.25" customHeight="1">
      <c r="A90" s="2113"/>
      <c r="B90" s="221"/>
      <c r="C90" s="413"/>
      <c r="D90" s="1899"/>
      <c r="E90" s="2114"/>
      <c r="F90" s="1899"/>
      <c r="G90" s="2114"/>
      <c r="H90" s="1899"/>
      <c r="I90" s="1899"/>
      <c r="J90" s="313"/>
      <c r="K90" s="1899"/>
      <c r="L90" s="1899"/>
      <c r="M90" s="1899"/>
      <c r="N90" s="1899"/>
      <c r="O90" s="1899"/>
      <c r="P90" s="1899"/>
      <c r="Q90" s="1899"/>
      <c r="R90" s="1899"/>
      <c r="S90" s="1899"/>
      <c r="T90" s="1899"/>
      <c r="U90" s="1899"/>
      <c r="V90" s="1899"/>
      <c r="W90" s="1899"/>
      <c r="X90" s="1899"/>
      <c r="Y90" s="1899"/>
      <c r="Z90" s="1899"/>
      <c r="AA90" s="410"/>
      <c r="AB90" s="479"/>
      <c r="AC90" s="1899"/>
      <c r="AD90" s="1899"/>
      <c r="AE90" s="259"/>
      <c r="AF90" s="313"/>
      <c r="AG90" s="1899"/>
      <c r="AH90" s="1284"/>
      <c r="AI90" s="1899"/>
      <c r="AJ90" s="273"/>
      <c r="AK90" s="514"/>
    </row>
    <row r="91" spans="1:37" ht="15" customHeight="1">
      <c r="A91" s="353"/>
      <c r="B91" s="223" t="s">
        <v>155</v>
      </c>
      <c r="C91" s="222"/>
      <c r="D91" s="1178">
        <v>0</v>
      </c>
      <c r="E91" s="261"/>
      <c r="F91" s="1178">
        <v>0.1</v>
      </c>
      <c r="G91" s="261"/>
      <c r="H91" s="1178"/>
      <c r="I91" s="261"/>
      <c r="J91" s="2148"/>
      <c r="K91" s="261"/>
      <c r="L91" s="1178"/>
      <c r="M91" s="261"/>
      <c r="N91" s="1178"/>
      <c r="O91" s="261"/>
      <c r="P91" s="1180"/>
      <c r="Q91" s="261"/>
      <c r="R91" s="1178"/>
      <c r="S91" s="261"/>
      <c r="T91" s="1178"/>
      <c r="U91" s="261"/>
      <c r="V91" s="1178"/>
      <c r="W91" s="261"/>
      <c r="X91" s="517"/>
      <c r="Y91" s="261"/>
      <c r="Z91" s="261"/>
      <c r="AA91" s="475"/>
      <c r="AB91" s="228"/>
      <c r="AC91" s="319">
        <f>ROUND(SUM(D91:Z91),1)</f>
        <v>0.1</v>
      </c>
      <c r="AD91" s="261"/>
      <c r="AE91" s="250"/>
      <c r="AF91" s="1283">
        <v>0.5</v>
      </c>
      <c r="AG91" s="249"/>
      <c r="AH91" s="1282"/>
      <c r="AI91" s="2774">
        <f>ROUND(SUM(+AC91-AF91),1)</f>
        <v>-0.4</v>
      </c>
      <c r="AJ91" s="1921"/>
      <c r="AK91" s="2933">
        <f>ROUND(IF(AF91=0,0,AI91/(AF91)),3)</f>
        <v>-0.8</v>
      </c>
    </row>
    <row r="92" spans="1:37" ht="3.95"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7"/>
      <c r="AB92" s="228"/>
      <c r="AC92" s="328"/>
      <c r="AD92" s="261"/>
      <c r="AE92" s="250"/>
      <c r="AF92" s="328"/>
      <c r="AG92" s="249"/>
      <c r="AH92" s="1282"/>
      <c r="AI92" s="1177"/>
      <c r="AJ92" s="1921"/>
      <c r="AK92" s="1945"/>
    </row>
    <row r="93" spans="1:37" ht="15" customHeight="1">
      <c r="A93" s="353"/>
      <c r="B93" s="221" t="s">
        <v>156</v>
      </c>
      <c r="C93" s="222"/>
      <c r="D93" s="271">
        <f>ROUND(SUM(D91+D89+D54),1)</f>
        <v>6074.2</v>
      </c>
      <c r="E93" s="257"/>
      <c r="F93" s="271">
        <f>ROUND(SUM(F91+F89+F54),1)</f>
        <v>4816</v>
      </c>
      <c r="G93" s="257"/>
      <c r="H93" s="271">
        <f>ROUND(SUM(H91+H89+H54),1)</f>
        <v>0</v>
      </c>
      <c r="I93" s="257"/>
      <c r="J93" s="314">
        <f>ROUND(SUM(J91+J89+J54),1)</f>
        <v>0</v>
      </c>
      <c r="K93" s="257"/>
      <c r="L93" s="1899">
        <f>ROUND(SUM(L91+L89+L54),1)</f>
        <v>0</v>
      </c>
      <c r="M93" s="257"/>
      <c r="N93" s="271">
        <f>ROUND(SUM(N91+N89+N54),1)</f>
        <v>0</v>
      </c>
      <c r="O93" s="1899"/>
      <c r="P93" s="271">
        <f>ROUND(SUM(P91+P89+P54),1)</f>
        <v>0</v>
      </c>
      <c r="Q93" s="1899"/>
      <c r="R93" s="271">
        <f>ROUND(SUM(R91+R89+R54),1)</f>
        <v>0</v>
      </c>
      <c r="S93" s="1899"/>
      <c r="T93" s="271">
        <f>ROUND(SUM(T91+T89+T54),1)</f>
        <v>0</v>
      </c>
      <c r="U93" s="1899"/>
      <c r="V93" s="271">
        <f>ROUND(SUM(V91+V89+V54),1)</f>
        <v>0</v>
      </c>
      <c r="W93" s="1899"/>
      <c r="X93" s="271">
        <f>ROUND(SUM(X91+X89+X54),1)</f>
        <v>0</v>
      </c>
      <c r="Y93" s="1899"/>
      <c r="Z93" s="271">
        <f>ROUND(SUM(Z91+Z89+Z54),1)</f>
        <v>0</v>
      </c>
      <c r="AA93" s="478"/>
      <c r="AB93" s="479"/>
      <c r="AC93" s="271">
        <f>ROUND(SUM(AC91+AC89+AC54),1)</f>
        <v>10890.2</v>
      </c>
      <c r="AD93" s="257"/>
      <c r="AE93" s="259"/>
      <c r="AF93" s="314">
        <f>ROUND(SUM(AF91+AF89+AF54),1)</f>
        <v>9303.1</v>
      </c>
      <c r="AG93" s="273"/>
      <c r="AH93" s="1284"/>
      <c r="AI93" s="271">
        <f>ROUND(SUM(AI91+AI89+AI54),1)</f>
        <v>1587.1</v>
      </c>
      <c r="AJ93" s="273"/>
      <c r="AK93" s="526">
        <f>ROUND(SUM(+AI93/AF93),3)</f>
        <v>0.17100000000000001</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82"/>
      <c r="AI94" s="1177"/>
      <c r="AJ94" s="1921"/>
      <c r="AK94" s="1945"/>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82"/>
      <c r="AI95" s="1177"/>
      <c r="AJ95" s="1921"/>
      <c r="AK95" s="1945"/>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60"/>
      <c r="AG96" s="1286"/>
      <c r="AH96" s="1282"/>
      <c r="AI96" s="1177"/>
      <c r="AJ96" s="1921"/>
      <c r="AK96" s="1945"/>
    </row>
    <row r="97" spans="1:37" ht="15" customHeight="1">
      <c r="A97" s="353"/>
      <c r="B97" s="382" t="s">
        <v>26</v>
      </c>
      <c r="C97" s="222"/>
      <c r="D97" s="264">
        <v>571.6</v>
      </c>
      <c r="E97" s="249"/>
      <c r="F97" s="249">
        <v>2822.2</v>
      </c>
      <c r="G97" s="249"/>
      <c r="H97" s="249"/>
      <c r="I97" s="249"/>
      <c r="J97" s="2160"/>
      <c r="K97" s="249"/>
      <c r="L97" s="1921"/>
      <c r="M97" s="249"/>
      <c r="N97" s="249"/>
      <c r="O97" s="249"/>
      <c r="P97" s="249"/>
      <c r="Q97" s="249"/>
      <c r="R97" s="264"/>
      <c r="S97" s="249"/>
      <c r="T97" s="249"/>
      <c r="U97" s="249"/>
      <c r="V97" s="264"/>
      <c r="W97" s="249"/>
      <c r="X97" s="249"/>
      <c r="Y97" s="249"/>
      <c r="Z97" s="249"/>
      <c r="AA97" s="368"/>
      <c r="AB97" s="237"/>
      <c r="AC97" s="261">
        <f>ROUND(SUM(D97:Z97),1)</f>
        <v>3393.8</v>
      </c>
      <c r="AD97" s="261"/>
      <c r="AE97" s="250"/>
      <c r="AF97" s="1991">
        <v>3338.9</v>
      </c>
      <c r="AG97" s="1286"/>
      <c r="AH97" s="1282"/>
      <c r="AI97" s="1177">
        <f>ROUND(SUM(+AC97-AF97),1)</f>
        <v>54.9</v>
      </c>
      <c r="AJ97" s="1921"/>
      <c r="AK97" s="1871">
        <f>ROUND(IF(AF97=0,0,AI97/(AF97)),3)</f>
        <v>1.6E-2</v>
      </c>
    </row>
    <row r="98" spans="1:37" ht="15" customHeight="1">
      <c r="A98" s="353"/>
      <c r="B98" s="382" t="s">
        <v>27</v>
      </c>
      <c r="C98" s="222"/>
      <c r="D98" s="264">
        <v>0</v>
      </c>
      <c r="E98" s="261"/>
      <c r="F98" s="261">
        <v>0.5</v>
      </c>
      <c r="G98" s="261"/>
      <c r="H98" s="261"/>
      <c r="I98" s="261"/>
      <c r="J98" s="319"/>
      <c r="K98" s="261"/>
      <c r="L98" s="1177"/>
      <c r="M98" s="261"/>
      <c r="N98" s="261"/>
      <c r="O98" s="261"/>
      <c r="P98" s="261"/>
      <c r="Q98" s="261"/>
      <c r="R98" s="1178"/>
      <c r="S98" s="261"/>
      <c r="T98" s="1178"/>
      <c r="U98" s="261"/>
      <c r="V98" s="261"/>
      <c r="W98" s="261"/>
      <c r="X98" s="261"/>
      <c r="Y98" s="261"/>
      <c r="Z98" s="261"/>
      <c r="AA98" s="368"/>
      <c r="AB98" s="237"/>
      <c r="AC98" s="261">
        <f t="shared" ref="AC98:AC105" si="10">ROUND(SUM(D98:Z98),1)</f>
        <v>0.5</v>
      </c>
      <c r="AD98" s="261"/>
      <c r="AE98" s="250"/>
      <c r="AF98" s="3194">
        <v>0.3</v>
      </c>
      <c r="AG98" s="261"/>
      <c r="AH98" s="1282"/>
      <c r="AI98" s="1177">
        <f t="shared" ref="AI98:AI106" si="11">ROUND(SUM(+AC98-AF98),1)</f>
        <v>0.2</v>
      </c>
      <c r="AJ98" s="1921"/>
      <c r="AK98" s="1871">
        <f>ROUND(IF(AF98=0,0,AI98/(AF98)),3)</f>
        <v>0.66700000000000004</v>
      </c>
    </row>
    <row r="99" spans="1:37" ht="15" customHeight="1">
      <c r="A99" s="353"/>
      <c r="B99" s="382" t="s">
        <v>28</v>
      </c>
      <c r="C99" s="222"/>
      <c r="D99" s="264">
        <v>2.4</v>
      </c>
      <c r="E99" s="261"/>
      <c r="F99" s="261">
        <v>15.4</v>
      </c>
      <c r="G99" s="261"/>
      <c r="H99" s="261"/>
      <c r="I99" s="261"/>
      <c r="J99" s="319"/>
      <c r="K99" s="261"/>
      <c r="L99" s="1177"/>
      <c r="M99" s="261"/>
      <c r="N99" s="261"/>
      <c r="O99" s="261"/>
      <c r="P99" s="261"/>
      <c r="Q99" s="261"/>
      <c r="R99" s="261"/>
      <c r="S99" s="261"/>
      <c r="T99" s="261"/>
      <c r="U99" s="261"/>
      <c r="V99" s="261"/>
      <c r="W99" s="261"/>
      <c r="X99" s="261"/>
      <c r="Y99" s="261"/>
      <c r="Z99" s="261"/>
      <c r="AA99" s="368"/>
      <c r="AB99" s="237"/>
      <c r="AC99" s="261">
        <f t="shared" si="10"/>
        <v>17.8</v>
      </c>
      <c r="AD99" s="261"/>
      <c r="AE99" s="250"/>
      <c r="AF99" s="1840">
        <v>16.399999999999999</v>
      </c>
      <c r="AG99" s="261"/>
      <c r="AH99" s="1282"/>
      <c r="AI99" s="1177">
        <f t="shared" si="11"/>
        <v>1.4</v>
      </c>
      <c r="AJ99" s="1921"/>
      <c r="AK99" s="1871">
        <f>ROUND(IF(AF99=0,0,AI99/(AF99)),3)</f>
        <v>8.5000000000000006E-2</v>
      </c>
    </row>
    <row r="100" spans="1:37" ht="15" customHeight="1">
      <c r="A100" s="353"/>
      <c r="B100" s="382" t="s">
        <v>29</v>
      </c>
      <c r="C100" s="222"/>
      <c r="D100" s="264"/>
      <c r="E100" s="261"/>
      <c r="F100" s="261"/>
      <c r="G100" s="261"/>
      <c r="H100" s="261"/>
      <c r="I100" s="261"/>
      <c r="J100" s="319"/>
      <c r="K100" s="261"/>
      <c r="L100" s="1177"/>
      <c r="M100" s="261"/>
      <c r="N100" s="261"/>
      <c r="O100" s="261"/>
      <c r="P100" s="261"/>
      <c r="Q100" s="261"/>
      <c r="R100" s="261"/>
      <c r="S100" s="261"/>
      <c r="T100" s="261"/>
      <c r="U100" s="261"/>
      <c r="V100" s="261"/>
      <c r="W100" s="261"/>
      <c r="X100" s="261"/>
      <c r="Y100" s="261"/>
      <c r="Z100" s="261"/>
      <c r="AA100" s="368"/>
      <c r="AB100" s="237"/>
      <c r="AC100" s="1177" t="s">
        <v>16</v>
      </c>
      <c r="AD100" s="261"/>
      <c r="AE100" s="250"/>
      <c r="AF100" s="1840"/>
      <c r="AG100" s="261"/>
      <c r="AH100" s="1282"/>
      <c r="AI100" s="1177" t="s">
        <v>16</v>
      </c>
      <c r="AJ100" s="1921"/>
      <c r="AK100" s="1945" t="s">
        <v>16</v>
      </c>
    </row>
    <row r="101" spans="1:37" ht="15" customHeight="1">
      <c r="A101" s="353"/>
      <c r="B101" s="1728" t="s">
        <v>30</v>
      </c>
      <c r="C101" s="222"/>
      <c r="D101" s="264">
        <v>1224.3</v>
      </c>
      <c r="E101" s="261"/>
      <c r="F101" s="261">
        <v>1598.6</v>
      </c>
      <c r="G101" s="261"/>
      <c r="H101" s="261"/>
      <c r="I101" s="261"/>
      <c r="J101" s="319"/>
      <c r="K101" s="261"/>
      <c r="L101" s="1177"/>
      <c r="M101" s="261"/>
      <c r="N101" s="261"/>
      <c r="O101" s="261"/>
      <c r="P101" s="261"/>
      <c r="Q101" s="261"/>
      <c r="R101" s="261"/>
      <c r="S101" s="261"/>
      <c r="T101" s="261"/>
      <c r="U101" s="261"/>
      <c r="V101" s="261"/>
      <c r="W101" s="261"/>
      <c r="X101" s="261"/>
      <c r="Y101" s="261"/>
      <c r="Z101" s="261"/>
      <c r="AA101" s="368"/>
      <c r="AB101" s="237"/>
      <c r="AC101" s="261">
        <f t="shared" si="10"/>
        <v>2822.9</v>
      </c>
      <c r="AD101" s="261"/>
      <c r="AE101" s="250"/>
      <c r="AF101" s="1840">
        <v>2103.6</v>
      </c>
      <c r="AG101" s="261"/>
      <c r="AH101" s="1282"/>
      <c r="AI101" s="1177">
        <f t="shared" si="11"/>
        <v>719.3</v>
      </c>
      <c r="AJ101" s="1921"/>
      <c r="AK101" s="1871">
        <f t="shared" ref="AK101:AK106" si="12">ROUND(IF(AF101=0,0,AI101/(AF101)),3)</f>
        <v>0.34200000000000003</v>
      </c>
    </row>
    <row r="102" spans="1:37" ht="15" customHeight="1">
      <c r="A102" s="353"/>
      <c r="B102" s="382" t="s">
        <v>31</v>
      </c>
      <c r="C102" s="222"/>
      <c r="D102" s="264">
        <v>13</v>
      </c>
      <c r="E102" s="261"/>
      <c r="F102" s="261">
        <v>190.3</v>
      </c>
      <c r="G102" s="261"/>
      <c r="H102" s="261"/>
      <c r="I102" s="261"/>
      <c r="J102" s="319"/>
      <c r="K102" s="261"/>
      <c r="L102" s="1177"/>
      <c r="M102" s="261"/>
      <c r="N102" s="261"/>
      <c r="O102" s="261"/>
      <c r="P102" s="261"/>
      <c r="Q102" s="261"/>
      <c r="R102" s="261"/>
      <c r="S102" s="261"/>
      <c r="T102" s="261"/>
      <c r="U102" s="261"/>
      <c r="V102" s="261"/>
      <c r="W102" s="261"/>
      <c r="X102" s="261"/>
      <c r="Y102" s="261"/>
      <c r="Z102" s="261"/>
      <c r="AA102" s="368"/>
      <c r="AB102" s="237"/>
      <c r="AC102" s="261">
        <f t="shared" si="10"/>
        <v>203.3</v>
      </c>
      <c r="AD102" s="261"/>
      <c r="AE102" s="250"/>
      <c r="AF102" s="1840">
        <v>93.1</v>
      </c>
      <c r="AG102" s="261"/>
      <c r="AH102" s="1282"/>
      <c r="AI102" s="1177">
        <f t="shared" si="11"/>
        <v>110.2</v>
      </c>
      <c r="AJ102" s="1921"/>
      <c r="AK102" s="1871">
        <f t="shared" si="12"/>
        <v>1.1839999999999999</v>
      </c>
    </row>
    <row r="103" spans="1:37" ht="15" customHeight="1">
      <c r="A103" s="353"/>
      <c r="B103" s="382" t="s">
        <v>32</v>
      </c>
      <c r="C103" s="222"/>
      <c r="D103" s="264">
        <v>4.4000000000000004</v>
      </c>
      <c r="E103" s="261"/>
      <c r="F103" s="261">
        <v>29.8</v>
      </c>
      <c r="G103" s="261"/>
      <c r="H103" s="261"/>
      <c r="I103" s="261"/>
      <c r="J103" s="319"/>
      <c r="K103" s="261"/>
      <c r="L103" s="1177"/>
      <c r="M103" s="261"/>
      <c r="N103" s="261"/>
      <c r="O103" s="261"/>
      <c r="P103" s="261"/>
      <c r="Q103" s="261"/>
      <c r="R103" s="261"/>
      <c r="S103" s="261"/>
      <c r="T103" s="261"/>
      <c r="U103" s="261"/>
      <c r="V103" s="261"/>
      <c r="W103" s="261"/>
      <c r="X103" s="261"/>
      <c r="Y103" s="261"/>
      <c r="Z103" s="261"/>
      <c r="AA103" s="368"/>
      <c r="AB103" s="237"/>
      <c r="AC103" s="261">
        <f t="shared" si="10"/>
        <v>34.200000000000003</v>
      </c>
      <c r="AD103" s="261"/>
      <c r="AE103" s="250"/>
      <c r="AF103" s="1177">
        <v>24.8</v>
      </c>
      <c r="AG103" s="261"/>
      <c r="AH103" s="1282" t="s">
        <v>16</v>
      </c>
      <c r="AI103" s="1177">
        <f t="shared" si="11"/>
        <v>9.4</v>
      </c>
      <c r="AJ103" s="1921"/>
      <c r="AK103" s="1871">
        <f t="shared" si="12"/>
        <v>0.379</v>
      </c>
    </row>
    <row r="104" spans="1:37" ht="15" customHeight="1">
      <c r="A104" s="353"/>
      <c r="B104" s="382" t="s">
        <v>33</v>
      </c>
      <c r="C104" s="222"/>
      <c r="D104" s="264">
        <v>132.19999999999999</v>
      </c>
      <c r="E104" s="261"/>
      <c r="F104" s="261">
        <v>138.19999999999999</v>
      </c>
      <c r="G104" s="261"/>
      <c r="H104" s="261"/>
      <c r="I104" s="261"/>
      <c r="J104" s="319"/>
      <c r="K104" s="261"/>
      <c r="L104" s="1177"/>
      <c r="M104" s="261"/>
      <c r="N104" s="261"/>
      <c r="O104" s="261"/>
      <c r="P104" s="261"/>
      <c r="Q104" s="261"/>
      <c r="R104" s="261"/>
      <c r="S104" s="261"/>
      <c r="T104" s="261"/>
      <c r="U104" s="261"/>
      <c r="V104" s="261"/>
      <c r="W104" s="261"/>
      <c r="X104" s="261"/>
      <c r="Y104" s="261"/>
      <c r="Z104" s="261"/>
      <c r="AA104" s="368"/>
      <c r="AB104" s="237"/>
      <c r="AC104" s="261">
        <f t="shared" si="10"/>
        <v>270.39999999999998</v>
      </c>
      <c r="AD104" s="261"/>
      <c r="AE104" s="250"/>
      <c r="AF104" s="1177">
        <v>330.2</v>
      </c>
      <c r="AG104" s="261"/>
      <c r="AH104" s="1282"/>
      <c r="AI104" s="1177">
        <f t="shared" si="11"/>
        <v>-59.8</v>
      </c>
      <c r="AJ104" s="1921"/>
      <c r="AK104" s="1871">
        <f t="shared" si="12"/>
        <v>-0.18099999999999999</v>
      </c>
    </row>
    <row r="105" spans="1:37" ht="15" customHeight="1">
      <c r="A105" s="353"/>
      <c r="B105" s="382" t="s">
        <v>34</v>
      </c>
      <c r="C105" s="222"/>
      <c r="D105" s="254">
        <v>2.2999999999999998</v>
      </c>
      <c r="E105" s="261"/>
      <c r="F105" s="518">
        <v>7.2</v>
      </c>
      <c r="G105" s="261"/>
      <c r="H105" s="261"/>
      <c r="I105" s="261"/>
      <c r="J105" s="319"/>
      <c r="K105" s="261"/>
      <c r="L105" s="1177"/>
      <c r="M105" s="261"/>
      <c r="N105" s="517"/>
      <c r="O105" s="261"/>
      <c r="P105" s="261"/>
      <c r="Q105" s="261"/>
      <c r="R105" s="261"/>
      <c r="S105" s="261"/>
      <c r="T105" s="261"/>
      <c r="U105" s="261"/>
      <c r="V105" s="517"/>
      <c r="W105" s="261"/>
      <c r="X105" s="261"/>
      <c r="Y105" s="261"/>
      <c r="Z105" s="261"/>
      <c r="AA105" s="368"/>
      <c r="AB105" s="237"/>
      <c r="AC105" s="261">
        <f t="shared" si="10"/>
        <v>9.5</v>
      </c>
      <c r="AD105" s="261"/>
      <c r="AE105" s="250"/>
      <c r="AF105" s="1991">
        <v>13.8</v>
      </c>
      <c r="AG105" s="261"/>
      <c r="AH105" s="1282"/>
      <c r="AI105" s="1177">
        <f t="shared" si="11"/>
        <v>-4.3</v>
      </c>
      <c r="AJ105" s="1921"/>
      <c r="AK105" s="1871">
        <f t="shared" si="12"/>
        <v>-0.312</v>
      </c>
    </row>
    <row r="106" spans="1:37" ht="15" customHeight="1">
      <c r="A106" s="353"/>
      <c r="B106" s="382" t="s">
        <v>35</v>
      </c>
      <c r="C106" s="222"/>
      <c r="D106" s="1178">
        <v>0</v>
      </c>
      <c r="E106" s="261"/>
      <c r="F106" s="518">
        <v>24.3</v>
      </c>
      <c r="G106" s="261"/>
      <c r="H106" s="261"/>
      <c r="I106" s="261"/>
      <c r="J106" s="2161"/>
      <c r="K106" s="261"/>
      <c r="L106" s="1177"/>
      <c r="M106" s="261"/>
      <c r="N106" s="261"/>
      <c r="O106" s="261"/>
      <c r="P106" s="1178"/>
      <c r="Q106" s="261"/>
      <c r="R106" s="261"/>
      <c r="S106" s="261"/>
      <c r="T106" s="261"/>
      <c r="U106" s="261"/>
      <c r="V106" s="261"/>
      <c r="W106" s="261"/>
      <c r="X106" s="261"/>
      <c r="Y106" s="261"/>
      <c r="Z106" s="261"/>
      <c r="AA106" s="368"/>
      <c r="AB106" s="237"/>
      <c r="AC106" s="261">
        <f>ROUND(SUM(D106:Z106),1)</f>
        <v>24.3</v>
      </c>
      <c r="AD106" s="266"/>
      <c r="AE106" s="1287"/>
      <c r="AF106" s="1362">
        <v>23.8</v>
      </c>
      <c r="AG106" s="266"/>
      <c r="AH106" s="1288"/>
      <c r="AI106" s="1177">
        <f t="shared" si="11"/>
        <v>0.5</v>
      </c>
      <c r="AJ106" s="2380"/>
      <c r="AK106" s="1871">
        <f t="shared" si="12"/>
        <v>2.1000000000000001E-2</v>
      </c>
    </row>
    <row r="107" spans="1:37" ht="15" customHeight="1">
      <c r="A107" s="353"/>
      <c r="B107" s="1365" t="s">
        <v>1255</v>
      </c>
      <c r="C107" s="222"/>
      <c r="D107" s="485">
        <f>ROUND(SUM(D97:D106),1)</f>
        <v>1950.2</v>
      </c>
      <c r="E107" s="257"/>
      <c r="F107" s="485">
        <f>ROUND(SUM(F97:F106),1)</f>
        <v>4826.5</v>
      </c>
      <c r="G107" s="257"/>
      <c r="H107" s="485">
        <f>ROUND(SUM(H97:H106),1)</f>
        <v>0</v>
      </c>
      <c r="I107" s="273" t="s">
        <v>16</v>
      </c>
      <c r="J107" s="1289">
        <f>ROUND(SUM(J97:J106),1)</f>
        <v>0</v>
      </c>
      <c r="K107" s="273" t="s">
        <v>16</v>
      </c>
      <c r="L107" s="485">
        <f>ROUND(SUM(L97:L106),1)</f>
        <v>0</v>
      </c>
      <c r="M107" s="273" t="s">
        <v>16</v>
      </c>
      <c r="N107" s="485">
        <f>ROUND(SUM(N97:N106),1)</f>
        <v>0</v>
      </c>
      <c r="O107" s="273" t="s">
        <v>16</v>
      </c>
      <c r="P107" s="485">
        <f>ROUND(SUM(P97:P106),1)</f>
        <v>0</v>
      </c>
      <c r="Q107" s="273" t="s">
        <v>16</v>
      </c>
      <c r="R107" s="485">
        <f>ROUND(SUM(R97:R106),1)</f>
        <v>0</v>
      </c>
      <c r="S107" s="273" t="s">
        <v>16</v>
      </c>
      <c r="T107" s="485">
        <f>ROUND(SUM(T97:T106),1)</f>
        <v>0</v>
      </c>
      <c r="U107" s="273" t="s">
        <v>16</v>
      </c>
      <c r="V107" s="485">
        <f>ROUND(SUM(V97:V106),1)</f>
        <v>0</v>
      </c>
      <c r="W107" s="273" t="s">
        <v>16</v>
      </c>
      <c r="X107" s="485">
        <f>ROUND(SUM(X97:X106),1)</f>
        <v>0</v>
      </c>
      <c r="Y107" s="273" t="s">
        <v>16</v>
      </c>
      <c r="Z107" s="485">
        <f>ROUND(SUM(Z97:Z106),1)</f>
        <v>0</v>
      </c>
      <c r="AA107" s="369" t="s">
        <v>16</v>
      </c>
      <c r="AB107" s="486"/>
      <c r="AC107" s="1289">
        <f>SUM(AC97:AC106)</f>
        <v>6776.7</v>
      </c>
      <c r="AD107" s="257"/>
      <c r="AE107" s="259"/>
      <c r="AF107" s="1289">
        <f>ROUND(SUM(AF97:AF106),1)</f>
        <v>5944.9</v>
      </c>
      <c r="AG107" s="273"/>
      <c r="AH107" s="1284"/>
      <c r="AI107" s="485">
        <f>ROUND(SUM(+AC107-AF107),1)</f>
        <v>831.8</v>
      </c>
      <c r="AJ107" s="273"/>
      <c r="AK107" s="2775">
        <f>ROUND(SUM(AI107/AF107),3)</f>
        <v>0.14000000000000001</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82"/>
      <c r="AI108" s="1177"/>
      <c r="AJ108" s="1921"/>
      <c r="AK108" s="1945"/>
    </row>
    <row r="109" spans="1:37" ht="15" customHeight="1">
      <c r="A109" s="353"/>
      <c r="B109" s="223" t="s">
        <v>159</v>
      </c>
      <c r="C109" s="222"/>
      <c r="D109" s="261">
        <v>554.20000000000005</v>
      </c>
      <c r="E109" s="261"/>
      <c r="F109" s="261">
        <v>443.4</v>
      </c>
      <c r="G109" s="261"/>
      <c r="H109" s="261"/>
      <c r="I109" s="261"/>
      <c r="J109" s="319"/>
      <c r="K109" s="261"/>
      <c r="L109" s="1177"/>
      <c r="M109" s="261"/>
      <c r="N109" s="261"/>
      <c r="O109" s="261"/>
      <c r="P109" s="261"/>
      <c r="Q109" s="261"/>
      <c r="R109" s="261"/>
      <c r="S109" s="261"/>
      <c r="T109" s="261"/>
      <c r="U109" s="261"/>
      <c r="V109" s="261"/>
      <c r="W109" s="261"/>
      <c r="X109" s="261"/>
      <c r="Y109" s="261"/>
      <c r="Z109" s="261"/>
      <c r="AA109" s="368"/>
      <c r="AB109" s="237"/>
      <c r="AC109" s="261">
        <f>ROUND(SUM(D109:Z109),1)</f>
        <v>997.6</v>
      </c>
      <c r="AD109" s="261"/>
      <c r="AE109" s="250"/>
      <c r="AF109" s="1177">
        <v>976.3</v>
      </c>
      <c r="AG109" s="261"/>
      <c r="AH109" s="1282"/>
      <c r="AI109" s="1177">
        <f>ROUND(SUM(+AC109-AF109),1)</f>
        <v>21.3</v>
      </c>
      <c r="AJ109" s="1921"/>
      <c r="AK109" s="1871">
        <f>ROUND(IF(AF109=0,0,AI109/(AF109)),3)</f>
        <v>2.1999999999999999E-2</v>
      </c>
    </row>
    <row r="110" spans="1:37" ht="15" customHeight="1">
      <c r="A110" s="353"/>
      <c r="B110" s="247" t="s">
        <v>160</v>
      </c>
      <c r="C110" s="222"/>
      <c r="D110" s="261">
        <v>68.400000000000006</v>
      </c>
      <c r="E110" s="261"/>
      <c r="F110" s="261">
        <v>124.7</v>
      </c>
      <c r="G110" s="261"/>
      <c r="H110" s="261"/>
      <c r="I110" s="261"/>
      <c r="J110" s="319"/>
      <c r="K110" s="261"/>
      <c r="L110" s="1177"/>
      <c r="M110" s="261"/>
      <c r="N110" s="261"/>
      <c r="O110" s="261"/>
      <c r="P110" s="261"/>
      <c r="Q110" s="261"/>
      <c r="R110" s="261"/>
      <c r="S110" s="261"/>
      <c r="T110" s="261"/>
      <c r="U110" s="261"/>
      <c r="V110" s="261"/>
      <c r="W110" s="261"/>
      <c r="X110" s="261"/>
      <c r="Y110" s="261"/>
      <c r="Z110" s="261"/>
      <c r="AA110" s="368"/>
      <c r="AB110" s="237"/>
      <c r="AC110" s="261">
        <f>ROUND(SUM(D110:Z110),1)</f>
        <v>193.1</v>
      </c>
      <c r="AD110" s="261"/>
      <c r="AE110" s="250"/>
      <c r="AF110" s="1177">
        <v>230</v>
      </c>
      <c r="AG110" s="261"/>
      <c r="AH110" s="1282"/>
      <c r="AI110" s="1177">
        <f>ROUND(SUM(+AC110-AF110),1)</f>
        <v>-36.9</v>
      </c>
      <c r="AJ110" s="1921"/>
      <c r="AK110" s="1871">
        <f>ROUND(IF(AF110=0,0,AI110/(AF110)),3)</f>
        <v>-0.16</v>
      </c>
    </row>
    <row r="111" spans="1:37" ht="15" customHeight="1">
      <c r="A111" s="353"/>
      <c r="B111" s="247" t="s">
        <v>161</v>
      </c>
      <c r="C111" s="222"/>
      <c r="D111" s="261">
        <v>612.29999999999995</v>
      </c>
      <c r="E111" s="1179"/>
      <c r="F111" s="261">
        <v>503.7</v>
      </c>
      <c r="G111" s="1179"/>
      <c r="H111" s="261"/>
      <c r="I111" s="261"/>
      <c r="J111" s="319"/>
      <c r="K111" s="261"/>
      <c r="L111" s="1177"/>
      <c r="M111" s="261"/>
      <c r="N111" s="261"/>
      <c r="O111" s="261"/>
      <c r="P111" s="261"/>
      <c r="Q111" s="261"/>
      <c r="R111" s="490"/>
      <c r="S111" s="261"/>
      <c r="T111" s="261"/>
      <c r="U111" s="261"/>
      <c r="V111" s="261"/>
      <c r="W111" s="261"/>
      <c r="X111" s="261"/>
      <c r="Y111" s="261"/>
      <c r="Z111" s="261"/>
      <c r="AA111" s="487"/>
      <c r="AB111" s="228"/>
      <c r="AC111" s="261">
        <f>ROUND(SUM(D111:Z111),1)</f>
        <v>1116</v>
      </c>
      <c r="AD111" s="261"/>
      <c r="AE111" s="250"/>
      <c r="AF111" s="1177">
        <v>1151.5999999999999</v>
      </c>
      <c r="AG111" s="249"/>
      <c r="AH111" s="1282"/>
      <c r="AI111" s="2774">
        <f>ROUND(SUM(+AC111-AF111),1)</f>
        <v>-35.6</v>
      </c>
      <c r="AJ111" s="1921"/>
      <c r="AK111" s="2639">
        <f>ROUND(IF(AF111=0,0,AI111/(AF111)),3)</f>
        <v>-3.1E-2</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82"/>
      <c r="AI112" s="1177"/>
      <c r="AJ112" s="1921"/>
      <c r="AK112" s="1945"/>
    </row>
    <row r="113" spans="1:37" ht="15" customHeight="1">
      <c r="A113" s="353"/>
      <c r="B113" s="221" t="s">
        <v>162</v>
      </c>
      <c r="C113" s="222"/>
      <c r="D113" s="257">
        <f>ROUND(SUM(D109:D111)+D107,1)</f>
        <v>3185.1</v>
      </c>
      <c r="E113" s="257"/>
      <c r="F113" s="257">
        <f>ROUND(SUM(F107:F111),1)</f>
        <v>5898.3</v>
      </c>
      <c r="G113" s="257"/>
      <c r="H113" s="257">
        <f>ROUND(SUM(H107:H111),1)</f>
        <v>0</v>
      </c>
      <c r="I113" s="257"/>
      <c r="J113" s="313">
        <f>ROUND(SUM(J107:J111),1)</f>
        <v>0</v>
      </c>
      <c r="K113" s="257"/>
      <c r="L113" s="257">
        <f>ROUND(SUM(L107:L111),1)</f>
        <v>0</v>
      </c>
      <c r="M113" s="257"/>
      <c r="N113" s="1899">
        <f>ROUND(SUM(N107:N111),1)</f>
        <v>0</v>
      </c>
      <c r="O113" s="1899"/>
      <c r="P113" s="1899">
        <f>ROUND(SUM(P107:P111),1)</f>
        <v>0</v>
      </c>
      <c r="Q113" s="1899"/>
      <c r="R113" s="1899">
        <f>ROUND(SUM(R107:R111),1)</f>
        <v>0</v>
      </c>
      <c r="S113" s="1899"/>
      <c r="T113" s="1899">
        <f>ROUND(SUM(T107:T111),1)</f>
        <v>0</v>
      </c>
      <c r="U113" s="1899"/>
      <c r="V113" s="1899">
        <f>ROUND(SUM(V107:V111),1)</f>
        <v>0</v>
      </c>
      <c r="W113" s="1899"/>
      <c r="X113" s="1899">
        <f>ROUND(SUM(X107:X111),1)</f>
        <v>0</v>
      </c>
      <c r="Y113" s="1899"/>
      <c r="Z113" s="1899">
        <f>ROUND(SUM(Z107:Z111),1)</f>
        <v>0</v>
      </c>
      <c r="AA113" s="478"/>
      <c r="AB113" s="479"/>
      <c r="AC113" s="313">
        <f>ROUND(SUM(AC107:AC111),1)</f>
        <v>9083.4</v>
      </c>
      <c r="AD113" s="257"/>
      <c r="AE113" s="259"/>
      <c r="AF113" s="313">
        <f>ROUND(SUM(AF107:AF111),1)</f>
        <v>8302.7999999999993</v>
      </c>
      <c r="AG113" s="273"/>
      <c r="AH113" s="1284"/>
      <c r="AI113" s="2202">
        <f>ROUND(SUM(AI107:AI111),1)</f>
        <v>780.6</v>
      </c>
      <c r="AJ113" s="273"/>
      <c r="AK113" s="2776">
        <f>ROUND(SUM(AI113/AF113),3)</f>
        <v>9.4E-2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82"/>
      <c r="AI114" s="1177"/>
      <c r="AJ114" s="1921"/>
      <c r="AK114" s="1945"/>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261" t="s">
        <v>164</v>
      </c>
      <c r="AD115" s="261"/>
      <c r="AE115" s="250"/>
      <c r="AF115" s="319"/>
      <c r="AG115" s="261"/>
      <c r="AH115" s="1282"/>
      <c r="AI115" s="1177"/>
      <c r="AJ115" s="1921"/>
      <c r="AK115" s="1945"/>
    </row>
    <row r="116" spans="1:37" ht="15" customHeight="1">
      <c r="A116" s="353"/>
      <c r="B116" s="221" t="s">
        <v>46</v>
      </c>
      <c r="C116" s="222"/>
      <c r="D116" s="257">
        <f>ROUND(SUM(D93-D113),1)</f>
        <v>2889.1</v>
      </c>
      <c r="E116" s="257"/>
      <c r="F116" s="257">
        <f>ROUND(SUM(F93-F113),1)</f>
        <v>-1082.3</v>
      </c>
      <c r="G116" s="257"/>
      <c r="H116" s="257">
        <f>ROUND(SUM(H93-H113),1)</f>
        <v>0</v>
      </c>
      <c r="I116" s="257"/>
      <c r="J116" s="313">
        <f>ROUND(SUM(J93-J113),1)</f>
        <v>0</v>
      </c>
      <c r="K116" s="257"/>
      <c r="L116" s="257">
        <f>ROUND(SUM(L93-L113),1)</f>
        <v>0</v>
      </c>
      <c r="M116" s="257"/>
      <c r="N116" s="1899">
        <f>ROUND(SUM(N93-N113),1)</f>
        <v>0</v>
      </c>
      <c r="O116" s="1899"/>
      <c r="P116" s="1899">
        <f>ROUND(SUM(P93-P113),1)</f>
        <v>0</v>
      </c>
      <c r="Q116" s="1899"/>
      <c r="R116" s="1899">
        <f>ROUND(SUM(R93-R113),1)</f>
        <v>0</v>
      </c>
      <c r="S116" s="1899"/>
      <c r="T116" s="1899">
        <f>ROUND(SUM(T93-T113),1)</f>
        <v>0</v>
      </c>
      <c r="U116" s="1899"/>
      <c r="V116" s="1899">
        <f>ROUND(SUM(V93-V113),1)</f>
        <v>0</v>
      </c>
      <c r="W116" s="1899"/>
      <c r="X116" s="1899">
        <f>ROUND(SUM(X93-X113),1)</f>
        <v>0</v>
      </c>
      <c r="Y116" s="1899"/>
      <c r="Z116" s="1899">
        <f>ROUND(SUM(Z93-Z113),1)</f>
        <v>0</v>
      </c>
      <c r="AA116" s="478"/>
      <c r="AB116" s="479"/>
      <c r="AC116" s="257">
        <f>ROUND(SUM(AC93-AC113),1)</f>
        <v>1806.8</v>
      </c>
      <c r="AD116" s="257"/>
      <c r="AE116" s="259"/>
      <c r="AF116" s="313">
        <f>ROUND(SUM(AF93-AF113),1)</f>
        <v>1000.3</v>
      </c>
      <c r="AG116" s="257"/>
      <c r="AH116" s="1284"/>
      <c r="AI116" s="271">
        <f>ROUND(SUM(+AC116-AF116),1)</f>
        <v>806.5</v>
      </c>
      <c r="AJ116" s="273"/>
      <c r="AK116" s="526">
        <f>ROUND(SUM(AI116/AF116),3)</f>
        <v>0.80600000000000005</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82"/>
      <c r="AI117" s="1177"/>
      <c r="AJ117" s="1921"/>
      <c r="AK117" s="1945"/>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82"/>
      <c r="AI118" s="1177"/>
      <c r="AJ118" s="1921"/>
      <c r="AK118" s="1945"/>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82"/>
      <c r="AI119" s="1177"/>
      <c r="AJ119" s="1921"/>
      <c r="AK119" s="1945"/>
    </row>
    <row r="120" spans="1:37" ht="15" customHeight="1">
      <c r="A120" s="353"/>
      <c r="B120" s="1861" t="s">
        <v>1269</v>
      </c>
      <c r="C120" s="307"/>
      <c r="D120" s="261">
        <v>1679.4</v>
      </c>
      <c r="E120" s="319"/>
      <c r="F120" s="274">
        <v>538.5</v>
      </c>
      <c r="G120" s="319"/>
      <c r="H120" s="274"/>
      <c r="I120" s="319"/>
      <c r="J120" s="320"/>
      <c r="K120" s="319"/>
      <c r="L120" s="1177"/>
      <c r="M120" s="319"/>
      <c r="N120" s="261"/>
      <c r="O120" s="319"/>
      <c r="P120" s="261"/>
      <c r="Q120" s="319"/>
      <c r="R120" s="261"/>
      <c r="S120" s="319"/>
      <c r="T120" s="261"/>
      <c r="U120" s="319"/>
      <c r="V120" s="261"/>
      <c r="W120" s="319"/>
      <c r="X120" s="261"/>
      <c r="Y120" s="319"/>
      <c r="Z120" s="261"/>
      <c r="AA120" s="368"/>
      <c r="AB120" s="489"/>
      <c r="AC120" s="261">
        <f t="shared" ref="AC120:AC127" si="13">ROUND(SUM(D120:Z120),1)</f>
        <v>2217.9</v>
      </c>
      <c r="AD120" s="319"/>
      <c r="AE120" s="1290"/>
      <c r="AF120" s="1840">
        <v>1693.4</v>
      </c>
      <c r="AG120" s="319"/>
      <c r="AH120" s="1282"/>
      <c r="AI120" s="1177">
        <f>ROUND(SUM(+AC120-AF120),1)</f>
        <v>524.5</v>
      </c>
      <c r="AJ120" s="1921"/>
      <c r="AK120" s="1871">
        <f t="shared" ref="AK120:AK125" si="14">ROUND(IF(AF120=0,0,AI120/(AF120)),3)</f>
        <v>0.31</v>
      </c>
    </row>
    <row r="121" spans="1:37" ht="15" customHeight="1">
      <c r="A121" s="353"/>
      <c r="B121" s="1861" t="s">
        <v>1297</v>
      </c>
      <c r="C121" s="307"/>
      <c r="D121" s="261">
        <v>461.4</v>
      </c>
      <c r="E121" s="319"/>
      <c r="F121" s="274">
        <v>249</v>
      </c>
      <c r="G121" s="319"/>
      <c r="H121" s="274"/>
      <c r="I121" s="319"/>
      <c r="J121" s="320"/>
      <c r="K121" s="319"/>
      <c r="L121" s="1177"/>
      <c r="M121" s="319"/>
      <c r="N121" s="261"/>
      <c r="O121" s="319"/>
      <c r="P121" s="261"/>
      <c r="Q121" s="319"/>
      <c r="R121" s="261"/>
      <c r="S121" s="319"/>
      <c r="T121" s="261"/>
      <c r="U121" s="319"/>
      <c r="V121" s="261"/>
      <c r="W121" s="319"/>
      <c r="X121" s="261"/>
      <c r="Y121" s="319"/>
      <c r="Z121" s="261"/>
      <c r="AA121" s="261"/>
      <c r="AB121" s="1290"/>
      <c r="AC121" s="261">
        <f t="shared" si="13"/>
        <v>710.4</v>
      </c>
      <c r="AD121" s="319"/>
      <c r="AE121" s="1290"/>
      <c r="AF121" s="1840">
        <v>726.9</v>
      </c>
      <c r="AG121" s="319"/>
      <c r="AH121" s="1282"/>
      <c r="AI121" s="1177">
        <f>ROUND(SUM(+AC121-AF121),1)</f>
        <v>-16.5</v>
      </c>
      <c r="AJ121" s="1921"/>
      <c r="AK121" s="1871">
        <f t="shared" si="14"/>
        <v>-2.3E-2</v>
      </c>
    </row>
    <row r="122" spans="1:37" ht="15" customHeight="1">
      <c r="A122" s="353"/>
      <c r="B122" s="1861" t="s">
        <v>1270</v>
      </c>
      <c r="C122" s="307"/>
      <c r="D122" s="261">
        <v>74.2</v>
      </c>
      <c r="E122" s="319"/>
      <c r="F122" s="274">
        <v>97.1</v>
      </c>
      <c r="G122" s="319"/>
      <c r="H122" s="274"/>
      <c r="I122" s="319"/>
      <c r="J122" s="320"/>
      <c r="K122" s="319"/>
      <c r="L122" s="1177"/>
      <c r="M122" s="319"/>
      <c r="N122" s="261"/>
      <c r="O122" s="319"/>
      <c r="P122" s="261"/>
      <c r="Q122" s="319"/>
      <c r="R122" s="261"/>
      <c r="S122" s="319"/>
      <c r="T122" s="261"/>
      <c r="U122" s="319"/>
      <c r="V122" s="261"/>
      <c r="W122" s="319"/>
      <c r="X122" s="261"/>
      <c r="Y122" s="319"/>
      <c r="Z122" s="261"/>
      <c r="AA122" s="261"/>
      <c r="AB122" s="1290"/>
      <c r="AC122" s="261">
        <f t="shared" si="13"/>
        <v>171.3</v>
      </c>
      <c r="AD122" s="319"/>
      <c r="AE122" s="1290"/>
      <c r="AF122" s="1840">
        <v>130</v>
      </c>
      <c r="AG122" s="319"/>
      <c r="AH122" s="1282"/>
      <c r="AI122" s="1177">
        <f>ROUND(SUM(+AC122-AF122),1)</f>
        <v>41.3</v>
      </c>
      <c r="AJ122" s="1921"/>
      <c r="AK122" s="1871">
        <f t="shared" si="14"/>
        <v>0.318</v>
      </c>
    </row>
    <row r="123" spans="1:37" ht="15" customHeight="1">
      <c r="A123" s="353"/>
      <c r="B123" s="488" t="s">
        <v>165</v>
      </c>
      <c r="C123" s="307"/>
      <c r="D123" s="261">
        <v>14.9</v>
      </c>
      <c r="E123" s="319"/>
      <c r="F123" s="274">
        <v>298.3</v>
      </c>
      <c r="G123" s="319"/>
      <c r="H123" s="274"/>
      <c r="I123" s="319"/>
      <c r="J123" s="320"/>
      <c r="K123" s="319"/>
      <c r="L123" s="1177"/>
      <c r="M123" s="319"/>
      <c r="N123" s="261"/>
      <c r="O123" s="319"/>
      <c r="P123" s="261"/>
      <c r="Q123" s="319"/>
      <c r="R123" s="261"/>
      <c r="S123" s="319"/>
      <c r="T123" s="261"/>
      <c r="U123" s="319"/>
      <c r="V123" s="261"/>
      <c r="W123" s="319"/>
      <c r="X123" s="261"/>
      <c r="Y123" s="319"/>
      <c r="Z123" s="261"/>
      <c r="AA123" s="261"/>
      <c r="AB123" s="1290"/>
      <c r="AC123" s="261">
        <f t="shared" si="13"/>
        <v>313.2</v>
      </c>
      <c r="AD123" s="319"/>
      <c r="AE123" s="1290"/>
      <c r="AF123" s="1840">
        <v>155.1</v>
      </c>
      <c r="AG123" s="319"/>
      <c r="AH123" s="1282"/>
      <c r="AI123" s="1177">
        <f>ROUND(SUM(+AC123-AF123),1)</f>
        <v>158.1</v>
      </c>
      <c r="AJ123" s="1921"/>
      <c r="AK123" s="1871">
        <f t="shared" si="14"/>
        <v>1.0189999999999999</v>
      </c>
    </row>
    <row r="124" spans="1:37" ht="15" customHeight="1">
      <c r="A124" s="353" t="s">
        <v>16</v>
      </c>
      <c r="B124" s="223" t="s">
        <v>166</v>
      </c>
      <c r="C124" s="222"/>
      <c r="D124" s="261">
        <v>-73.099999999999994</v>
      </c>
      <c r="E124" s="261"/>
      <c r="F124" s="261">
        <v>-143</v>
      </c>
      <c r="G124" s="261"/>
      <c r="H124" s="261"/>
      <c r="I124" s="261"/>
      <c r="J124" s="320"/>
      <c r="K124" s="261"/>
      <c r="L124" s="1177"/>
      <c r="M124" s="261"/>
      <c r="N124" s="261"/>
      <c r="O124" s="261"/>
      <c r="P124" s="261"/>
      <c r="Q124" s="261"/>
      <c r="R124" s="261"/>
      <c r="S124" s="261"/>
      <c r="T124" s="261"/>
      <c r="U124" s="261"/>
      <c r="V124" s="261"/>
      <c r="W124" s="261"/>
      <c r="X124" s="261"/>
      <c r="Y124" s="261"/>
      <c r="Z124" s="261"/>
      <c r="AA124" s="368"/>
      <c r="AB124" s="237"/>
      <c r="AC124" s="261">
        <f t="shared" si="13"/>
        <v>-216.1</v>
      </c>
      <c r="AD124" s="261"/>
      <c r="AE124" s="250"/>
      <c r="AF124" s="1177">
        <v>-40</v>
      </c>
      <c r="AG124" s="261"/>
      <c r="AH124" s="1282"/>
      <c r="AI124" s="1177">
        <f>ROUND(SUM(+AC124-AF124)*-1,1)</f>
        <v>176.1</v>
      </c>
      <c r="AJ124" s="1921"/>
      <c r="AK124" s="2843">
        <f>-ROUND(IF(AF124=0,0,AI124/(AF124)),3)</f>
        <v>4.4029999999999996</v>
      </c>
    </row>
    <row r="125" spans="1:37" ht="15" customHeight="1">
      <c r="A125" s="353"/>
      <c r="B125" s="223" t="s">
        <v>167</v>
      </c>
      <c r="C125" s="222"/>
      <c r="D125" s="1178">
        <v>0</v>
      </c>
      <c r="E125" s="261"/>
      <c r="F125" s="1178">
        <v>0</v>
      </c>
      <c r="G125" s="261"/>
      <c r="H125" s="1178"/>
      <c r="I125" s="261"/>
      <c r="J125" s="2161"/>
      <c r="K125" s="261"/>
      <c r="L125" s="2648"/>
      <c r="M125" s="261"/>
      <c r="N125" s="1178"/>
      <c r="O125" s="261"/>
      <c r="P125" s="1178"/>
      <c r="Q125" s="261"/>
      <c r="R125" s="1178"/>
      <c r="S125" s="261"/>
      <c r="T125" s="1178"/>
      <c r="U125" s="261"/>
      <c r="V125" s="1178"/>
      <c r="W125" s="261"/>
      <c r="X125" s="1178"/>
      <c r="Y125" s="261"/>
      <c r="Z125" s="373"/>
      <c r="AA125" s="368"/>
      <c r="AB125" s="237"/>
      <c r="AC125" s="261">
        <f t="shared" si="13"/>
        <v>0</v>
      </c>
      <c r="AD125" s="261"/>
      <c r="AE125" s="250"/>
      <c r="AF125" s="2648">
        <v>0</v>
      </c>
      <c r="AG125" s="261"/>
      <c r="AH125" s="1282"/>
      <c r="AI125" s="1177">
        <v>0</v>
      </c>
      <c r="AJ125" s="1921"/>
      <c r="AK125" s="2843">
        <f t="shared" si="14"/>
        <v>0</v>
      </c>
    </row>
    <row r="126" spans="1:37" ht="15" customHeight="1">
      <c r="A126" s="353"/>
      <c r="B126" s="223" t="s">
        <v>168</v>
      </c>
      <c r="C126" s="222"/>
      <c r="D126" s="261">
        <v>-302</v>
      </c>
      <c r="E126" s="261"/>
      <c r="F126" s="261">
        <v>8.6999999999999993</v>
      </c>
      <c r="G126" s="261"/>
      <c r="H126" s="261"/>
      <c r="I126" s="261"/>
      <c r="J126" s="320"/>
      <c r="K126" s="261"/>
      <c r="L126" s="1177"/>
      <c r="M126" s="261"/>
      <c r="N126" s="261"/>
      <c r="O126" s="261"/>
      <c r="P126" s="261"/>
      <c r="Q126" s="261"/>
      <c r="R126" s="261"/>
      <c r="S126" s="261"/>
      <c r="T126" s="261"/>
      <c r="U126" s="261"/>
      <c r="V126" s="261"/>
      <c r="W126" s="261"/>
      <c r="X126" s="261"/>
      <c r="Y126" s="261"/>
      <c r="Z126" s="261"/>
      <c r="AA126" s="368"/>
      <c r="AB126" s="237"/>
      <c r="AC126" s="261">
        <f t="shared" si="13"/>
        <v>-293.3</v>
      </c>
      <c r="AD126" s="261"/>
      <c r="AE126" s="250"/>
      <c r="AF126" s="1177">
        <v>-248.6</v>
      </c>
      <c r="AG126" s="261"/>
      <c r="AH126" s="1282"/>
      <c r="AI126" s="1177">
        <f>ROUND(SUM(+AC126-AF126)*-1,1)</f>
        <v>44.7</v>
      </c>
      <c r="AJ126" s="1921"/>
      <c r="AK126" s="1871">
        <f>-ROUND(IF(AF126=0,0,AI126/(AF126)),3)</f>
        <v>0.18</v>
      </c>
    </row>
    <row r="127" spans="1:37" ht="15" customHeight="1">
      <c r="A127" s="353"/>
      <c r="B127" s="308" t="s">
        <v>169</v>
      </c>
      <c r="C127" s="307"/>
      <c r="D127" s="261">
        <v>-1699.8</v>
      </c>
      <c r="E127" s="319"/>
      <c r="F127" s="261">
        <v>-718.5</v>
      </c>
      <c r="G127" s="319"/>
      <c r="H127" s="261"/>
      <c r="I127" s="319"/>
      <c r="J127" s="320"/>
      <c r="K127" s="319"/>
      <c r="L127" s="1177"/>
      <c r="M127" s="319"/>
      <c r="N127" s="261"/>
      <c r="O127" s="319"/>
      <c r="P127" s="261"/>
      <c r="Q127" s="319"/>
      <c r="R127" s="261"/>
      <c r="S127" s="319"/>
      <c r="T127" s="261"/>
      <c r="U127" s="319"/>
      <c r="V127" s="261"/>
      <c r="W127" s="319"/>
      <c r="X127" s="261"/>
      <c r="Y127" s="319"/>
      <c r="Z127" s="261"/>
      <c r="AA127" s="487"/>
      <c r="AB127" s="310"/>
      <c r="AC127" s="261">
        <f t="shared" si="13"/>
        <v>-2418.3000000000002</v>
      </c>
      <c r="AD127" s="319"/>
      <c r="AE127" s="1290"/>
      <c r="AF127" s="1840">
        <v>-1103.9000000000001</v>
      </c>
      <c r="AG127" s="262"/>
      <c r="AH127" s="1282"/>
      <c r="AI127" s="2774">
        <f>ROUND(SUM(+AC127-AF127)*-1,1)</f>
        <v>1314.4</v>
      </c>
      <c r="AJ127" s="1921"/>
      <c r="AK127" s="2639">
        <f>-ROUND(IF(AF127=0,0,AI127/(AF127)),3)</f>
        <v>1.1910000000000001</v>
      </c>
    </row>
    <row r="128" spans="1:37" ht="5.0999999999999996" customHeight="1">
      <c r="A128" s="353"/>
      <c r="B128" s="308"/>
      <c r="C128" s="307"/>
      <c r="D128" s="328"/>
      <c r="E128" s="319"/>
      <c r="F128" s="328"/>
      <c r="G128" s="319"/>
      <c r="H128" s="328" t="s">
        <v>16</v>
      </c>
      <c r="I128" s="319"/>
      <c r="J128" s="328"/>
      <c r="K128" s="319"/>
      <c r="L128" s="328"/>
      <c r="M128" s="319"/>
      <c r="N128" s="328"/>
      <c r="O128" s="319"/>
      <c r="P128" s="328"/>
      <c r="Q128" s="319"/>
      <c r="R128" s="328"/>
      <c r="S128" s="319"/>
      <c r="T128" s="328"/>
      <c r="U128" s="319"/>
      <c r="V128" s="328"/>
      <c r="W128" s="319"/>
      <c r="X128" s="328"/>
      <c r="Y128" s="319"/>
      <c r="Z128" s="328"/>
      <c r="AA128" s="318"/>
      <c r="AB128" s="489"/>
      <c r="AC128" s="328"/>
      <c r="AD128" s="319"/>
      <c r="AE128" s="1290"/>
      <c r="AF128" s="328"/>
      <c r="AG128" s="262"/>
      <c r="AH128" s="1282"/>
      <c r="AI128" s="1177"/>
      <c r="AJ128" s="1921"/>
      <c r="AK128" s="1945"/>
    </row>
    <row r="129" spans="1:37" ht="15" customHeight="1">
      <c r="A129" s="353"/>
      <c r="B129" s="221" t="s">
        <v>170</v>
      </c>
      <c r="C129" s="222"/>
      <c r="D129" s="261"/>
      <c r="E129" s="261"/>
      <c r="F129" s="261"/>
      <c r="G129" s="261"/>
      <c r="H129" s="261"/>
      <c r="I129" s="261"/>
      <c r="J129" s="319"/>
      <c r="K129" s="261"/>
      <c r="L129" s="261"/>
      <c r="M129" s="261"/>
      <c r="N129" s="261"/>
      <c r="O129" s="261"/>
      <c r="P129" s="261"/>
      <c r="Q129" s="261"/>
      <c r="R129" s="261"/>
      <c r="S129" s="261"/>
      <c r="T129" s="261"/>
      <c r="U129" s="261"/>
      <c r="V129" s="261"/>
      <c r="W129" s="261"/>
      <c r="X129" s="261"/>
      <c r="Y129" s="368"/>
      <c r="Z129" s="368"/>
      <c r="AA129" s="368"/>
      <c r="AB129" s="237"/>
      <c r="AC129" s="261"/>
      <c r="AD129" s="261"/>
      <c r="AE129" s="250"/>
      <c r="AF129" s="319"/>
      <c r="AG129" s="261"/>
      <c r="AH129" s="1282"/>
      <c r="AI129" s="1177"/>
      <c r="AJ129" s="1921"/>
      <c r="AK129" s="1945"/>
    </row>
    <row r="130" spans="1:37" ht="15" customHeight="1">
      <c r="A130" s="353"/>
      <c r="B130" s="221" t="s">
        <v>171</v>
      </c>
      <c r="C130" s="222"/>
      <c r="D130" s="257">
        <f>ROUND(SUM(D120:D128),1)</f>
        <v>155</v>
      </c>
      <c r="E130" s="257"/>
      <c r="F130" s="257">
        <f>ROUND(SUM(F120:F128),1)</f>
        <v>330.1</v>
      </c>
      <c r="G130" s="257"/>
      <c r="H130" s="257">
        <f>ROUND(SUM(H120:H128),1)</f>
        <v>0</v>
      </c>
      <c r="I130" s="257"/>
      <c r="J130" s="313">
        <f>ROUND(SUM(J120:J127),1)</f>
        <v>0</v>
      </c>
      <c r="K130" s="257"/>
      <c r="L130" s="257">
        <f>ROUND(SUM(L120:L127),1)</f>
        <v>0</v>
      </c>
      <c r="M130" s="257"/>
      <c r="N130" s="257">
        <f>ROUND(SUM(N120:N127),1)</f>
        <v>0</v>
      </c>
      <c r="O130" s="257"/>
      <c r="P130" s="257">
        <f>ROUND(SUM(P120:P127),1)</f>
        <v>0</v>
      </c>
      <c r="Q130" s="257"/>
      <c r="R130" s="257">
        <f>ROUND(SUM(R120:R127),1)</f>
        <v>0</v>
      </c>
      <c r="S130" s="257"/>
      <c r="T130" s="257">
        <f>ROUND(SUM(T120:T127),1)</f>
        <v>0</v>
      </c>
      <c r="U130" s="257"/>
      <c r="V130" s="257">
        <f>ROUND(SUM(V120:V127),1)</f>
        <v>0</v>
      </c>
      <c r="W130" s="257"/>
      <c r="X130" s="257">
        <f>ROUND(SUM(X120:X127),1)</f>
        <v>0</v>
      </c>
      <c r="Y130" s="410"/>
      <c r="Z130" s="257">
        <f>ROUND(SUM(Z120:Z127),1)</f>
        <v>0</v>
      </c>
      <c r="AA130" s="478"/>
      <c r="AB130" s="479"/>
      <c r="AC130" s="257">
        <f>ROUND(SUM(AC120:AC127),1)</f>
        <v>485.1</v>
      </c>
      <c r="AD130" s="257"/>
      <c r="AE130" s="259"/>
      <c r="AF130" s="313">
        <f>ROUND(SUM(AF120:AF127),1)</f>
        <v>1312.9</v>
      </c>
      <c r="AG130" s="273"/>
      <c r="AH130" s="1284"/>
      <c r="AI130" s="271">
        <f>ROUND(SUM(+AC130-AF130),1)</f>
        <v>-827.8</v>
      </c>
      <c r="AJ130" s="273"/>
      <c r="AK130" s="526">
        <f>ROUND(SUM(+AI130/AF130),3)</f>
        <v>-0.63100000000000001</v>
      </c>
    </row>
    <row r="131" spans="1:37" ht="15" customHeight="1">
      <c r="A131" s="353"/>
      <c r="B131" s="223"/>
      <c r="C131" s="222"/>
      <c r="D131" s="289"/>
      <c r="E131" s="261"/>
      <c r="F131" s="289"/>
      <c r="G131" s="261"/>
      <c r="H131" s="289"/>
      <c r="I131" s="261"/>
      <c r="J131" s="328"/>
      <c r="K131" s="261"/>
      <c r="L131" s="289"/>
      <c r="M131" s="261"/>
      <c r="N131" s="289"/>
      <c r="O131" s="261"/>
      <c r="P131" s="289"/>
      <c r="Q131" s="261"/>
      <c r="R131" s="289"/>
      <c r="S131" s="261"/>
      <c r="T131" s="289"/>
      <c r="U131" s="261"/>
      <c r="V131" s="289"/>
      <c r="W131" s="261"/>
      <c r="X131" s="289"/>
      <c r="Y131" s="368"/>
      <c r="Z131" s="371"/>
      <c r="AA131" s="253"/>
      <c r="AB131" s="237"/>
      <c r="AC131" s="289"/>
      <c r="AD131" s="261"/>
      <c r="AE131" s="250"/>
      <c r="AF131" s="328"/>
      <c r="AG131" s="249"/>
      <c r="AH131" s="1282"/>
      <c r="AI131" s="1369"/>
      <c r="AJ131" s="1615"/>
      <c r="AK131" s="1607"/>
    </row>
    <row r="132" spans="1:37" ht="15" customHeight="1">
      <c r="A132" s="353"/>
      <c r="B132" s="221" t="s">
        <v>172</v>
      </c>
      <c r="C132" s="222"/>
      <c r="D132" s="261"/>
      <c r="E132" s="261"/>
      <c r="F132" s="261"/>
      <c r="G132" s="261"/>
      <c r="H132" s="261"/>
      <c r="I132" s="261"/>
      <c r="J132" s="319"/>
      <c r="K132" s="261"/>
      <c r="L132" s="261"/>
      <c r="M132" s="261"/>
      <c r="N132" s="261"/>
      <c r="O132" s="261"/>
      <c r="P132" s="261"/>
      <c r="Q132" s="261"/>
      <c r="R132" s="261"/>
      <c r="S132" s="261"/>
      <c r="T132" s="261"/>
      <c r="U132" s="261"/>
      <c r="V132" s="261"/>
      <c r="W132" s="261"/>
      <c r="X132" s="261"/>
      <c r="Y132" s="368"/>
      <c r="Z132" s="368"/>
      <c r="AA132" s="368"/>
      <c r="AB132" s="237"/>
      <c r="AC132" s="261"/>
      <c r="AD132" s="261"/>
      <c r="AE132" s="250"/>
      <c r="AF132" s="319"/>
      <c r="AG132" s="261"/>
      <c r="AH132" s="1282"/>
      <c r="AI132" s="1369"/>
      <c r="AJ132" s="1615"/>
      <c r="AK132" s="1607"/>
    </row>
    <row r="133" spans="1:37" ht="15" customHeight="1">
      <c r="A133" s="353"/>
      <c r="B133" s="221" t="s">
        <v>173</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82"/>
      <c r="AI133" s="1369"/>
      <c r="AJ133" s="1615"/>
      <c r="AK133" s="1607"/>
    </row>
    <row r="134" spans="1:37" ht="15" customHeight="1">
      <c r="A134" s="353"/>
      <c r="B134" s="221" t="s">
        <v>174</v>
      </c>
      <c r="C134" s="222"/>
      <c r="D134" s="257">
        <f>ROUND(SUM(D116+D130),1)</f>
        <v>3044.1</v>
      </c>
      <c r="E134" s="257"/>
      <c r="F134" s="257">
        <f>ROUND(SUM(F116+F130),1)</f>
        <v>-752.2</v>
      </c>
      <c r="G134" s="257"/>
      <c r="H134" s="257">
        <f>ROUND(SUM(H116+H130),1)</f>
        <v>0</v>
      </c>
      <c r="I134" s="257"/>
      <c r="J134" s="313">
        <f>ROUND(SUM(J116+J130),1)</f>
        <v>0</v>
      </c>
      <c r="K134" s="257"/>
      <c r="L134" s="257">
        <f>ROUND(SUM(L116+L130),1)</f>
        <v>0</v>
      </c>
      <c r="M134" s="257"/>
      <c r="N134" s="257">
        <f>ROUND(SUM(N116+N130),1)</f>
        <v>0</v>
      </c>
      <c r="O134" s="257"/>
      <c r="P134" s="257">
        <f>ROUND(SUM(P116+P130),1)</f>
        <v>0</v>
      </c>
      <c r="Q134" s="257"/>
      <c r="R134" s="257">
        <f>ROUND(SUM(R116+R130),1)</f>
        <v>0</v>
      </c>
      <c r="S134" s="261"/>
      <c r="T134" s="257">
        <f>ROUND(SUM(T116+T130),1)</f>
        <v>0</v>
      </c>
      <c r="U134" s="261"/>
      <c r="V134" s="257">
        <f>ROUND(SUM(V116+V130),1)</f>
        <v>0</v>
      </c>
      <c r="W134" s="261"/>
      <c r="X134" s="257">
        <f>ROUND(SUM(X116+X130),1)</f>
        <v>0</v>
      </c>
      <c r="Y134" s="368"/>
      <c r="Z134" s="271">
        <f>ROUND(SUM(Z116+Z130),1)</f>
        <v>0</v>
      </c>
      <c r="AA134" s="253"/>
      <c r="AB134" s="237"/>
      <c r="AC134" s="257">
        <f>ROUND(SUM(AC116+AC130),1)</f>
        <v>2291.9</v>
      </c>
      <c r="AD134" s="257"/>
      <c r="AE134" s="259"/>
      <c r="AF134" s="313">
        <f>ROUND(SUM(AF116+AF130),1)</f>
        <v>2313.1999999999998</v>
      </c>
      <c r="AG134" s="273"/>
      <c r="AH134" s="1284"/>
      <c r="AI134" s="271">
        <f>ROUND(SUM(+AC134-AF134),1)</f>
        <v>-21.3</v>
      </c>
      <c r="AJ134" s="2777"/>
      <c r="AK134" s="526">
        <f>ROUND(SUM(AI134/AF134),3)</f>
        <v>-8.9999999999999993E-3</v>
      </c>
    </row>
    <row r="135" spans="1:37" ht="9" customHeight="1">
      <c r="A135" s="353"/>
      <c r="B135" s="223"/>
      <c r="C135" s="222"/>
      <c r="D135" s="371"/>
      <c r="E135" s="223"/>
      <c r="F135" s="468"/>
      <c r="G135" s="223"/>
      <c r="H135" s="235"/>
      <c r="I135" s="223"/>
      <c r="J135" s="328"/>
      <c r="K135" s="223"/>
      <c r="L135" s="235"/>
      <c r="M135" s="223"/>
      <c r="N135" s="235"/>
      <c r="O135" s="223"/>
      <c r="P135" s="235"/>
      <c r="Q135" s="223"/>
      <c r="R135" s="235"/>
      <c r="S135" s="223"/>
      <c r="T135" s="235"/>
      <c r="U135" s="223"/>
      <c r="V135" s="235"/>
      <c r="W135" s="223"/>
      <c r="X135" s="235"/>
      <c r="Y135" s="223"/>
      <c r="Z135" s="229"/>
      <c r="AA135" s="229"/>
      <c r="AB135" s="237"/>
      <c r="AC135" s="289"/>
      <c r="AD135" s="261"/>
      <c r="AE135" s="250"/>
      <c r="AF135" s="328"/>
      <c r="AG135" s="249"/>
      <c r="AH135" s="1282"/>
      <c r="AI135" s="1363"/>
      <c r="AJ135" s="1615"/>
      <c r="AK135" s="2778"/>
    </row>
    <row r="136" spans="1:37" ht="15" customHeight="1" thickBot="1">
      <c r="A136" s="353"/>
      <c r="B136" s="491" t="s">
        <v>146</v>
      </c>
      <c r="C136" s="307"/>
      <c r="D136" s="492">
        <f>ROUND(SUM(D14+D134),1)</f>
        <v>10343.6</v>
      </c>
      <c r="E136" s="493"/>
      <c r="F136" s="492">
        <f>ROUND(SUM(F14+F134),1)</f>
        <v>9591.4</v>
      </c>
      <c r="G136" s="494"/>
      <c r="H136" s="492">
        <f>ROUND(SUM(H14+H134),1)</f>
        <v>0</v>
      </c>
      <c r="I136" s="494"/>
      <c r="J136" s="492">
        <f>ROUND(SUM(J14+J134),1)</f>
        <v>0</v>
      </c>
      <c r="K136" s="494"/>
      <c r="L136" s="492">
        <f>ROUND(SUM(L14+L134),1)</f>
        <v>0</v>
      </c>
      <c r="M136" s="494"/>
      <c r="N136" s="492">
        <f>ROUND(SUM(N14+N134),1)</f>
        <v>0</v>
      </c>
      <c r="O136" s="494"/>
      <c r="P136" s="492">
        <f>ROUND(SUM(P14+P134),1)</f>
        <v>0</v>
      </c>
      <c r="Q136" s="494"/>
      <c r="R136" s="492">
        <f>ROUND(SUM(R14+R134),1)</f>
        <v>0</v>
      </c>
      <c r="S136" s="494"/>
      <c r="T136" s="492">
        <f>ROUND(SUM(T14+T134),1)</f>
        <v>0</v>
      </c>
      <c r="U136" s="494"/>
      <c r="V136" s="492">
        <f>ROUND(SUM(V14+V134),1)</f>
        <v>0</v>
      </c>
      <c r="W136" s="494"/>
      <c r="X136" s="492">
        <f>ROUND(SUM(X14+X134),1)</f>
        <v>0</v>
      </c>
      <c r="Y136" s="494"/>
      <c r="Z136" s="492">
        <f>ROUND(SUM(Z14+Z134),1)</f>
        <v>0</v>
      </c>
      <c r="AA136" s="493"/>
      <c r="AB136" s="495"/>
      <c r="AC136" s="492">
        <f>ROUND(SUM(AC14+AC134),1)</f>
        <v>9591.4</v>
      </c>
      <c r="AD136" s="313"/>
      <c r="AE136" s="1291"/>
      <c r="AF136" s="492">
        <f>ROUND(SUM(AF14+AF134),1)</f>
        <v>4548.3999999999996</v>
      </c>
      <c r="AG136" s="385"/>
      <c r="AH136" s="472"/>
      <c r="AI136" s="504">
        <f>ROUND(SUM(+AC136-AF136),1)</f>
        <v>5043</v>
      </c>
      <c r="AJ136" s="2777"/>
      <c r="AK136" s="532">
        <f>ROUND(SUM(+AI136/AF136),3)</f>
        <v>1.109</v>
      </c>
    </row>
    <row r="137" spans="1:37" ht="15" customHeight="1" thickTop="1">
      <c r="A137" s="353"/>
      <c r="B137" s="223"/>
      <c r="C137" s="222"/>
      <c r="D137" s="229"/>
      <c r="E137" s="228"/>
      <c r="F137" s="496"/>
      <c r="G137" s="228"/>
      <c r="H137" s="229"/>
      <c r="I137" s="228"/>
      <c r="J137" s="262"/>
      <c r="K137" s="228"/>
      <c r="L137" s="229"/>
      <c r="M137" s="228"/>
      <c r="N137" s="229"/>
      <c r="O137" s="228"/>
      <c r="P137" s="229"/>
      <c r="Q137" s="228"/>
      <c r="R137" s="229"/>
      <c r="S137" s="228"/>
      <c r="T137" s="229"/>
      <c r="U137" s="228"/>
      <c r="V137" s="229"/>
      <c r="W137" s="228"/>
      <c r="X137" s="229"/>
      <c r="Y137" s="228"/>
      <c r="Z137" s="229"/>
      <c r="AA137" s="229"/>
      <c r="AB137" s="228"/>
      <c r="AC137" s="249"/>
      <c r="AD137" s="249"/>
      <c r="AE137" s="249"/>
      <c r="AF137" s="262"/>
      <c r="AG137" s="249"/>
      <c r="AH137" s="1292"/>
      <c r="AI137" s="1369"/>
      <c r="AJ137" s="1615"/>
      <c r="AK137" s="1607"/>
    </row>
    <row r="138" spans="1:37" ht="15" customHeight="1">
      <c r="A138" s="353"/>
      <c r="B138" s="223" t="s">
        <v>16</v>
      </c>
      <c r="C138" s="222"/>
      <c r="D138" s="229"/>
      <c r="E138" s="223"/>
      <c r="F138" s="496"/>
      <c r="G138" s="223"/>
      <c r="H138" s="229"/>
      <c r="I138" s="223"/>
      <c r="J138" s="262"/>
      <c r="K138" s="223"/>
      <c r="L138" s="229"/>
      <c r="M138" s="223"/>
      <c r="N138" s="229"/>
      <c r="O138" s="223"/>
      <c r="P138" s="229"/>
      <c r="Q138" s="223"/>
      <c r="R138" s="229"/>
      <c r="S138" s="223"/>
      <c r="T138" s="229"/>
      <c r="U138" s="223"/>
      <c r="V138" s="229"/>
      <c r="W138" s="223"/>
      <c r="X138" s="229"/>
      <c r="Y138" s="223"/>
      <c r="Z138" s="229"/>
      <c r="AA138" s="229"/>
      <c r="AB138" s="223"/>
      <c r="AC138" s="249"/>
      <c r="AD138" s="261"/>
      <c r="AE138" s="261"/>
      <c r="AF138" s="262"/>
      <c r="AG138" s="249"/>
      <c r="AH138" s="1293"/>
      <c r="AI138" s="1369"/>
      <c r="AJ138" s="1615"/>
      <c r="AK138" s="1607"/>
    </row>
    <row r="139" spans="1:37" ht="15" customHeight="1">
      <c r="A139" s="353"/>
      <c r="B139" s="223"/>
      <c r="C139" s="222"/>
      <c r="D139" s="229"/>
      <c r="E139" s="223"/>
      <c r="F139" s="496"/>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93"/>
      <c r="AI139" s="1369"/>
      <c r="AJ139" s="1615"/>
      <c r="AK139" s="1607"/>
    </row>
    <row r="140" spans="1:37" ht="15" customHeight="1">
      <c r="A140" s="457"/>
      <c r="B140" s="365"/>
      <c r="C140" s="497"/>
      <c r="D140" s="497"/>
      <c r="E140" s="498"/>
      <c r="F140" s="498"/>
      <c r="G140" s="498"/>
      <c r="H140" s="222"/>
      <c r="I140" s="222"/>
      <c r="J140" s="319"/>
      <c r="K140" s="222"/>
      <c r="L140" s="222"/>
      <c r="M140" s="222"/>
      <c r="N140" s="222"/>
      <c r="O140" s="222"/>
      <c r="P140" s="222"/>
      <c r="Q140" s="222"/>
      <c r="R140" s="222"/>
      <c r="S140" s="222"/>
      <c r="T140" s="222"/>
      <c r="U140" s="222"/>
      <c r="V140" s="222"/>
      <c r="W140" s="222"/>
      <c r="X140" s="222"/>
      <c r="Y140" s="222"/>
      <c r="Z140" s="222"/>
      <c r="AA140" s="222"/>
      <c r="AB140" s="222"/>
      <c r="AC140" s="261"/>
      <c r="AD140" s="261"/>
      <c r="AE140" s="261"/>
      <c r="AF140" s="319"/>
      <c r="AG140" s="261"/>
      <c r="AH140" s="1294"/>
      <c r="AI140" s="1177"/>
      <c r="AJ140" s="1921"/>
      <c r="AK140" s="1945"/>
    </row>
    <row r="141" spans="1:37" ht="14.1" customHeight="1">
      <c r="A141" s="457"/>
      <c r="B141" s="365"/>
      <c r="C141" s="497"/>
      <c r="D141" s="497"/>
      <c r="E141" s="498"/>
      <c r="F141" s="498"/>
      <c r="G141" s="498"/>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94"/>
      <c r="AI141" s="1177"/>
      <c r="AJ141" s="1921"/>
      <c r="AK141" s="1945"/>
    </row>
    <row r="142" spans="1:37" ht="15" customHeight="1">
      <c r="A142" s="457"/>
      <c r="B142" s="365"/>
      <c r="C142" s="497"/>
      <c r="D142" s="497"/>
      <c r="E142" s="498"/>
      <c r="F142" s="498"/>
      <c r="G142" s="498"/>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94"/>
      <c r="AI142" s="1177"/>
      <c r="AJ142" s="1921"/>
      <c r="AK142" s="1945"/>
    </row>
    <row r="143" spans="1:37" ht="15.75" customHeight="1">
      <c r="A143" s="457"/>
      <c r="B143" s="365"/>
      <c r="C143" s="497"/>
      <c r="D143" s="497"/>
      <c r="E143" s="498"/>
      <c r="F143" s="498"/>
      <c r="G143" s="498"/>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94"/>
      <c r="AI143" s="1177"/>
      <c r="AJ143" s="1921"/>
      <c r="AK143" s="1945"/>
    </row>
    <row r="144" spans="1:37" ht="14.25" customHeight="1">
      <c r="A144" s="457"/>
      <c r="B144" s="365"/>
      <c r="C144" s="497"/>
      <c r="D144" s="497"/>
      <c r="E144" s="498"/>
      <c r="F144" s="498"/>
      <c r="G144" s="498"/>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94"/>
      <c r="AI144" s="1177"/>
      <c r="AJ144" s="1921"/>
      <c r="AK144" s="1945"/>
    </row>
    <row r="145" spans="1:37" ht="14.25" customHeight="1">
      <c r="A145" s="457"/>
      <c r="B145" s="365"/>
      <c r="C145" s="497"/>
      <c r="D145" s="497"/>
      <c r="E145" s="498"/>
      <c r="F145" s="498"/>
      <c r="G145" s="498"/>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94"/>
      <c r="AI145" s="1177"/>
      <c r="AJ145" s="1921"/>
      <c r="AK145" s="1945"/>
    </row>
    <row r="146" spans="1:37" ht="14.25" customHeight="1">
      <c r="A146" s="457"/>
      <c r="B146" s="365"/>
      <c r="C146" s="497"/>
      <c r="D146" s="497"/>
      <c r="E146" s="498"/>
      <c r="F146" s="498"/>
      <c r="G146" s="498"/>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94"/>
      <c r="AI146" s="1177"/>
      <c r="AJ146" s="1921"/>
      <c r="AK146" s="1945"/>
    </row>
    <row r="147" spans="1:37" ht="14.25" customHeight="1">
      <c r="A147" s="457"/>
      <c r="B147" s="365"/>
      <c r="C147" s="497"/>
      <c r="D147" s="497"/>
      <c r="E147" s="498"/>
      <c r="F147" s="498"/>
      <c r="G147" s="498"/>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94"/>
      <c r="AI147" s="1177"/>
      <c r="AJ147" s="1921"/>
      <c r="AK147" s="1945"/>
    </row>
    <row r="148" spans="1:37" ht="14.25" customHeight="1">
      <c r="A148" s="457"/>
      <c r="B148" s="365"/>
      <c r="C148" s="497"/>
      <c r="D148" s="497"/>
      <c r="E148" s="498"/>
      <c r="F148" s="498"/>
      <c r="G148" s="498"/>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94"/>
      <c r="AI148" s="1177"/>
      <c r="AJ148" s="1921"/>
      <c r="AK148" s="1945"/>
    </row>
    <row r="149" spans="1:37" ht="14.25" customHeight="1">
      <c r="A149" s="457"/>
      <c r="B149" s="365"/>
      <c r="C149" s="497"/>
      <c r="D149" s="497"/>
      <c r="E149" s="498"/>
      <c r="F149" s="498"/>
      <c r="G149" s="498"/>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94"/>
      <c r="AI149" s="1177"/>
      <c r="AJ149" s="1921"/>
      <c r="AK149" s="1945"/>
    </row>
    <row r="150" spans="1:37" ht="14.25" customHeight="1">
      <c r="A150" s="457"/>
      <c r="B150" s="365"/>
      <c r="C150" s="497"/>
      <c r="D150" s="497"/>
      <c r="E150" s="498"/>
      <c r="F150" s="498"/>
      <c r="G150" s="498"/>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94"/>
      <c r="AI150" s="1177"/>
      <c r="AJ150" s="1921"/>
      <c r="AK150" s="1945"/>
    </row>
    <row r="151" spans="1:37" ht="14.25" customHeight="1">
      <c r="A151" s="457"/>
      <c r="B151" s="365"/>
      <c r="C151" s="497"/>
      <c r="D151" s="497"/>
      <c r="E151" s="498"/>
      <c r="F151" s="498"/>
      <c r="G151" s="498"/>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307"/>
      <c r="AG151" s="222"/>
      <c r="AH151" s="499"/>
      <c r="AI151" s="1895"/>
      <c r="AJ151" s="2769"/>
      <c r="AK151" s="1945"/>
    </row>
    <row r="152" spans="1:37" ht="14.25" customHeight="1">
      <c r="A152" s="457"/>
      <c r="B152" s="365"/>
      <c r="C152" s="497"/>
      <c r="D152" s="497"/>
      <c r="E152" s="498"/>
      <c r="F152" s="498"/>
      <c r="G152" s="498"/>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9"/>
      <c r="AI152" s="1895"/>
      <c r="AJ152" s="2769"/>
      <c r="AK152" s="1945"/>
    </row>
    <row r="153" spans="1:37" ht="14.25" customHeight="1">
      <c r="A153" s="457"/>
      <c r="B153" s="365"/>
      <c r="C153" s="497"/>
      <c r="D153" s="497"/>
      <c r="E153" s="498"/>
      <c r="F153" s="498"/>
      <c r="G153" s="498"/>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9"/>
      <c r="AI153" s="1895"/>
      <c r="AJ153" s="2769"/>
      <c r="AK153" s="1945"/>
    </row>
    <row r="154" spans="1:37" ht="14.25" customHeight="1">
      <c r="A154" s="457"/>
      <c r="B154" s="365"/>
      <c r="C154" s="497"/>
      <c r="D154" s="497"/>
      <c r="E154" s="498"/>
      <c r="F154" s="498"/>
      <c r="G154" s="498"/>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9"/>
      <c r="AI154" s="1895"/>
      <c r="AJ154" s="2769"/>
      <c r="AK154" s="1945"/>
    </row>
    <row r="155" spans="1:37" ht="14.25" customHeight="1">
      <c r="A155" s="457"/>
      <c r="B155" s="365"/>
      <c r="C155" s="497"/>
      <c r="D155" s="497"/>
      <c r="E155" s="498"/>
      <c r="F155" s="498"/>
      <c r="G155" s="498"/>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9"/>
      <c r="AI155" s="1895"/>
      <c r="AJ155" s="2769"/>
      <c r="AK155" s="1945"/>
    </row>
    <row r="156" spans="1:37" ht="14.25" customHeight="1">
      <c r="A156" s="457"/>
      <c r="B156" s="365"/>
      <c r="C156" s="497"/>
      <c r="D156" s="497"/>
      <c r="E156" s="498"/>
      <c r="F156" s="498"/>
      <c r="G156" s="498"/>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9"/>
      <c r="AI156" s="1895"/>
      <c r="AJ156" s="2769"/>
      <c r="AK156" s="1945"/>
    </row>
    <row r="157" spans="1:37" ht="14.25" customHeight="1">
      <c r="A157" s="457"/>
      <c r="B157" s="365"/>
      <c r="C157" s="497"/>
      <c r="D157" s="497"/>
      <c r="E157" s="498"/>
      <c r="F157" s="498"/>
      <c r="G157" s="498"/>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9"/>
      <c r="AI157" s="1895"/>
      <c r="AJ157" s="2769"/>
      <c r="AK157" s="1945"/>
    </row>
    <row r="158" spans="1:37" ht="14.25" customHeight="1">
      <c r="A158" s="457"/>
      <c r="B158" s="365"/>
      <c r="C158" s="497"/>
      <c r="D158" s="497"/>
      <c r="E158" s="498"/>
      <c r="F158" s="498"/>
      <c r="G158" s="498"/>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9"/>
      <c r="AI158" s="1895"/>
      <c r="AJ158" s="2769"/>
      <c r="AK158" s="1945"/>
    </row>
    <row r="159" spans="1:37" ht="14.25" customHeight="1">
      <c r="A159" s="457"/>
      <c r="B159" s="365"/>
      <c r="C159" s="497"/>
      <c r="D159" s="497"/>
      <c r="E159" s="498"/>
      <c r="F159" s="498"/>
      <c r="G159" s="498"/>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9"/>
      <c r="AI159" s="1895"/>
      <c r="AJ159" s="2769"/>
      <c r="AK159" s="1945"/>
    </row>
    <row r="160" spans="1:37" ht="20.100000000000001" customHeight="1">
      <c r="A160" s="457"/>
      <c r="B160" s="247"/>
      <c r="C160" s="222"/>
      <c r="D160" s="222"/>
      <c r="E160" s="222"/>
      <c r="F160" s="222"/>
      <c r="G160" s="222"/>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9"/>
      <c r="AI160" s="1895"/>
      <c r="AJ160" s="2769"/>
      <c r="AK160" s="1945"/>
    </row>
    <row r="161" spans="1:38" ht="20.100000000000001" customHeight="1">
      <c r="A161" s="457"/>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9"/>
      <c r="AI161" s="1895"/>
      <c r="AJ161" s="2769"/>
      <c r="AK161" s="1945"/>
      <c r="AL161" s="222"/>
    </row>
    <row r="162" spans="1:38" ht="20.100000000000001" customHeight="1">
      <c r="A162" s="457"/>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9"/>
      <c r="AI162" s="1895"/>
      <c r="AJ162" s="2769"/>
      <c r="AK162" s="1945"/>
      <c r="AL162" s="222"/>
    </row>
    <row r="163" spans="1:38" ht="20.100000000000001" customHeight="1">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222"/>
      <c r="AI163" s="1895"/>
      <c r="AJ163" s="2769"/>
      <c r="AK163" s="1945"/>
      <c r="AL163" s="222"/>
    </row>
    <row r="164" spans="1:38" ht="20.100000000000001" customHeight="1">
      <c r="B164" s="222"/>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95"/>
      <c r="AJ164" s="2769"/>
      <c r="AK164" s="1945"/>
      <c r="AL164" s="222"/>
    </row>
    <row r="165" spans="1:38" ht="20.100000000000001" customHeight="1">
      <c r="B165" s="501"/>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I165" s="458"/>
      <c r="AJ165" s="2104"/>
      <c r="AK165" s="1607"/>
      <c r="AL165" s="222"/>
    </row>
    <row r="166" spans="1:38" ht="20.100000000000001" customHeight="1">
      <c r="B166" s="222"/>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8"/>
      <c r="AJ166" s="2104"/>
      <c r="AK166" s="1607"/>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8"/>
      <c r="AJ167" s="2104"/>
      <c r="AK167" s="1607"/>
      <c r="AL167" s="222"/>
    </row>
    <row r="168" spans="1:38" ht="20.100000000000001" customHeight="1">
      <c r="B168" s="458"/>
      <c r="C168" s="458"/>
      <c r="D168" s="458"/>
      <c r="E168" s="458"/>
      <c r="F168" s="458"/>
      <c r="G168" s="458"/>
      <c r="H168" s="458"/>
      <c r="I168" s="458"/>
      <c r="J168" s="2157"/>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1832"/>
      <c r="AG168" s="458"/>
      <c r="AI168" s="458"/>
      <c r="AJ168" s="2104"/>
      <c r="AK168" s="1607"/>
      <c r="AL168" s="222"/>
    </row>
    <row r="169" spans="1:38" ht="20.100000000000001" customHeight="1">
      <c r="B169" s="458"/>
      <c r="C169" s="458"/>
      <c r="D169" s="458"/>
      <c r="E169" s="458"/>
      <c r="F169" s="458"/>
      <c r="G169" s="458"/>
      <c r="H169" s="458"/>
      <c r="I169" s="458"/>
      <c r="J169" s="2157"/>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1832"/>
      <c r="AG169" s="458"/>
    </row>
    <row r="170" spans="1:38" ht="20.100000000000001" customHeight="1">
      <c r="B170" s="458"/>
      <c r="C170" s="458"/>
      <c r="D170" s="458"/>
      <c r="E170" s="458"/>
      <c r="F170" s="458"/>
      <c r="G170" s="458"/>
      <c r="H170" s="458"/>
      <c r="I170" s="458"/>
      <c r="J170" s="2157"/>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1832"/>
      <c r="AG170" s="458"/>
    </row>
    <row r="171" spans="1:38" ht="20.100000000000001" customHeight="1">
      <c r="B171" s="458"/>
      <c r="C171" s="458"/>
      <c r="D171" s="458"/>
      <c r="E171" s="458"/>
      <c r="F171" s="458"/>
      <c r="G171" s="458"/>
      <c r="H171" s="458"/>
      <c r="I171" s="458"/>
      <c r="J171" s="2157"/>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1832"/>
      <c r="AG171" s="458"/>
    </row>
    <row r="172" spans="1:38" ht="20.100000000000001" customHeight="1">
      <c r="B172" s="458"/>
      <c r="C172" s="458"/>
      <c r="D172" s="458"/>
      <c r="E172" s="458"/>
      <c r="F172" s="458"/>
      <c r="G172" s="458"/>
      <c r="H172" s="458"/>
      <c r="I172" s="458"/>
      <c r="J172" s="2157"/>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1832"/>
      <c r="AG172" s="458"/>
    </row>
    <row r="173" spans="1:38">
      <c r="B173" s="458"/>
      <c r="C173" s="458"/>
      <c r="D173" s="458"/>
      <c r="E173" s="458"/>
      <c r="F173" s="458"/>
      <c r="G173" s="458"/>
      <c r="H173" s="458"/>
      <c r="I173" s="458"/>
      <c r="J173" s="2157"/>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1832"/>
      <c r="AG173" s="458"/>
    </row>
    <row r="174" spans="1:38">
      <c r="B174" s="458"/>
      <c r="C174" s="458"/>
      <c r="D174" s="458"/>
      <c r="E174" s="458"/>
      <c r="F174" s="458"/>
      <c r="G174" s="458"/>
      <c r="H174" s="458"/>
      <c r="I174" s="458"/>
      <c r="J174" s="2157"/>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1832"/>
      <c r="AG174" s="458"/>
    </row>
    <row r="175" spans="1:38">
      <c r="B175" s="458"/>
      <c r="C175" s="458"/>
      <c r="D175" s="458"/>
      <c r="E175" s="458"/>
      <c r="F175" s="458"/>
      <c r="G175" s="458"/>
      <c r="H175" s="458"/>
      <c r="I175" s="458"/>
      <c r="J175" s="2157"/>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1832"/>
      <c r="AG175" s="458"/>
    </row>
    <row r="176" spans="1:38">
      <c r="B176" s="458"/>
      <c r="C176" s="458"/>
      <c r="D176" s="458"/>
      <c r="E176" s="458"/>
      <c r="F176" s="458"/>
      <c r="G176" s="458"/>
      <c r="H176" s="458"/>
      <c r="I176" s="458"/>
      <c r="J176" s="2157"/>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1832"/>
      <c r="AG176" s="458"/>
    </row>
    <row r="177" spans="2:33">
      <c r="B177" s="458"/>
      <c r="C177" s="458"/>
      <c r="D177" s="458"/>
      <c r="E177" s="458"/>
      <c r="F177" s="458"/>
      <c r="G177" s="458"/>
      <c r="H177" s="458"/>
      <c r="I177" s="458"/>
      <c r="J177" s="2157"/>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1832"/>
      <c r="AG177" s="458"/>
    </row>
    <row r="178" spans="2:33">
      <c r="B178" s="458"/>
      <c r="C178" s="458"/>
      <c r="D178" s="458"/>
      <c r="E178" s="458"/>
      <c r="F178" s="458"/>
      <c r="G178" s="458"/>
      <c r="H178" s="458"/>
      <c r="I178" s="458"/>
      <c r="J178" s="2157"/>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1832"/>
      <c r="AG178" s="458"/>
    </row>
    <row r="179" spans="2:33">
      <c r="B179" s="458"/>
      <c r="C179" s="458"/>
      <c r="D179" s="458"/>
      <c r="E179" s="458"/>
      <c r="F179" s="458"/>
      <c r="G179" s="458"/>
      <c r="H179" s="458"/>
      <c r="I179" s="458"/>
      <c r="J179" s="2157"/>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1832"/>
      <c r="AG179" s="458"/>
    </row>
    <row r="180" spans="2:33">
      <c r="B180" s="458"/>
      <c r="C180" s="458"/>
      <c r="D180" s="458"/>
      <c r="E180" s="458"/>
      <c r="F180" s="458"/>
      <c r="G180" s="458"/>
      <c r="H180" s="458"/>
      <c r="I180" s="458"/>
      <c r="J180" s="2157"/>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1832"/>
      <c r="AG180" s="458"/>
    </row>
    <row r="181" spans="2:33">
      <c r="B181" s="458"/>
      <c r="C181" s="458"/>
      <c r="D181" s="458"/>
      <c r="E181" s="458"/>
      <c r="F181" s="458"/>
      <c r="G181" s="458"/>
      <c r="H181" s="458"/>
      <c r="I181" s="458"/>
      <c r="J181" s="2157"/>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1832"/>
      <c r="AG181" s="458"/>
    </row>
    <row r="182" spans="2:33">
      <c r="B182" s="458"/>
      <c r="C182" s="458"/>
      <c r="D182" s="458"/>
      <c r="E182" s="458"/>
      <c r="F182" s="458"/>
      <c r="G182" s="458"/>
      <c r="H182" s="458"/>
      <c r="I182" s="458"/>
      <c r="J182" s="2157"/>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1832"/>
      <c r="AG182" s="458"/>
    </row>
    <row r="183" spans="2:33">
      <c r="B183" s="458"/>
      <c r="C183" s="458"/>
      <c r="D183" s="458"/>
      <c r="E183" s="458"/>
      <c r="F183" s="458"/>
      <c r="G183" s="458"/>
      <c r="H183" s="458"/>
      <c r="I183" s="458"/>
      <c r="J183" s="2157"/>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1832"/>
      <c r="AG183" s="458"/>
    </row>
    <row r="184" spans="2:33">
      <c r="B184" s="458"/>
      <c r="C184" s="458"/>
      <c r="D184" s="458"/>
      <c r="E184" s="458"/>
      <c r="F184" s="458"/>
      <c r="G184" s="458"/>
      <c r="H184" s="458"/>
      <c r="I184" s="458"/>
      <c r="J184" s="2157"/>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1832"/>
      <c r="AG184" s="458"/>
    </row>
    <row r="185" spans="2:33">
      <c r="B185" s="458"/>
      <c r="C185" s="458"/>
      <c r="D185" s="458"/>
      <c r="E185" s="458"/>
      <c r="F185" s="458"/>
      <c r="G185" s="458"/>
      <c r="H185" s="458"/>
      <c r="I185" s="458"/>
      <c r="J185" s="2157"/>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1832"/>
      <c r="AG185" s="458"/>
    </row>
    <row r="186" spans="2:33">
      <c r="B186" s="458"/>
      <c r="C186" s="458"/>
      <c r="D186" s="458"/>
      <c r="E186" s="458"/>
      <c r="F186" s="458"/>
      <c r="G186" s="458"/>
      <c r="H186" s="458"/>
      <c r="I186" s="458"/>
      <c r="J186" s="2157"/>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1832"/>
      <c r="AG186" s="458"/>
    </row>
    <row r="187" spans="2:33">
      <c r="B187" s="458"/>
      <c r="C187" s="458"/>
      <c r="D187" s="458"/>
      <c r="E187" s="458"/>
      <c r="F187" s="458"/>
      <c r="G187" s="458"/>
      <c r="H187" s="458"/>
      <c r="I187" s="458"/>
      <c r="J187" s="2157"/>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1832"/>
      <c r="AG187" s="458"/>
    </row>
    <row r="188" spans="2:33">
      <c r="B188" s="458"/>
      <c r="C188" s="458"/>
      <c r="D188" s="458"/>
      <c r="E188" s="458"/>
      <c r="F188" s="458"/>
      <c r="G188" s="458"/>
      <c r="H188" s="458"/>
      <c r="I188" s="458"/>
      <c r="J188" s="2157"/>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1832"/>
      <c r="AG188" s="458"/>
    </row>
    <row r="189" spans="2:33">
      <c r="B189" s="458"/>
      <c r="C189" s="458"/>
      <c r="D189" s="458"/>
      <c r="E189" s="458"/>
      <c r="F189" s="458"/>
      <c r="G189" s="458"/>
      <c r="H189" s="458"/>
      <c r="I189" s="458"/>
      <c r="J189" s="2157"/>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1832"/>
      <c r="AG189" s="458"/>
    </row>
    <row r="190" spans="2:33">
      <c r="B190" s="458"/>
      <c r="C190" s="458"/>
      <c r="D190" s="458"/>
      <c r="E190" s="458"/>
      <c r="F190" s="458"/>
      <c r="G190" s="458"/>
      <c r="H190" s="458"/>
      <c r="I190" s="458"/>
      <c r="J190" s="2157"/>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1832"/>
      <c r="AG190" s="458"/>
    </row>
    <row r="191" spans="2:33">
      <c r="B191" s="458"/>
      <c r="C191" s="458"/>
      <c r="D191" s="458"/>
      <c r="E191" s="458"/>
      <c r="F191" s="458"/>
      <c r="G191" s="458"/>
      <c r="H191" s="458"/>
      <c r="I191" s="458"/>
      <c r="J191" s="2157"/>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1832"/>
      <c r="AG191" s="458"/>
    </row>
    <row r="192" spans="2:33">
      <c r="B192" s="458"/>
      <c r="C192" s="458"/>
      <c r="D192" s="458"/>
      <c r="E192" s="458"/>
      <c r="F192" s="458"/>
      <c r="G192" s="458"/>
      <c r="H192" s="458"/>
      <c r="I192" s="458"/>
      <c r="J192" s="2157"/>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1832"/>
      <c r="AG192" s="458"/>
    </row>
    <row r="193" spans="2:33">
      <c r="B193" s="458"/>
      <c r="C193" s="458"/>
      <c r="D193" s="458"/>
      <c r="E193" s="458"/>
      <c r="F193" s="458"/>
      <c r="G193" s="458"/>
      <c r="H193" s="458"/>
      <c r="I193" s="458"/>
      <c r="J193" s="2157"/>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1832"/>
      <c r="AG193" s="458"/>
    </row>
    <row r="194" spans="2:33">
      <c r="B194" s="458"/>
      <c r="C194" s="458"/>
      <c r="D194" s="458"/>
      <c r="E194" s="458"/>
      <c r="F194" s="458"/>
      <c r="G194" s="458"/>
      <c r="H194" s="458"/>
      <c r="I194" s="458"/>
      <c r="J194" s="2157"/>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1832"/>
      <c r="AG194" s="458"/>
    </row>
    <row r="195" spans="2:33">
      <c r="B195" s="458"/>
      <c r="C195" s="458"/>
      <c r="D195" s="458"/>
      <c r="E195" s="458"/>
      <c r="F195" s="458"/>
      <c r="G195" s="458"/>
      <c r="H195" s="458"/>
      <c r="I195" s="458"/>
      <c r="J195" s="2157"/>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1832"/>
      <c r="AG195" s="458"/>
    </row>
    <row r="196" spans="2:33">
      <c r="B196" s="458"/>
      <c r="C196" s="458"/>
      <c r="D196" s="458"/>
      <c r="E196" s="458"/>
      <c r="F196" s="458"/>
      <c r="G196" s="458"/>
      <c r="H196" s="458"/>
      <c r="I196" s="458"/>
      <c r="J196" s="2157"/>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1832"/>
      <c r="AG196" s="458"/>
    </row>
    <row r="197" spans="2:33">
      <c r="B197" s="458"/>
      <c r="C197" s="458"/>
      <c r="D197" s="458"/>
      <c r="E197" s="458"/>
      <c r="F197" s="458"/>
      <c r="G197" s="458"/>
      <c r="H197" s="458"/>
      <c r="I197" s="458"/>
      <c r="J197" s="2157"/>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1832"/>
      <c r="AG197" s="458"/>
    </row>
    <row r="198" spans="2:33">
      <c r="B198" s="458"/>
      <c r="C198" s="458"/>
      <c r="D198" s="458"/>
      <c r="E198" s="458"/>
      <c r="F198" s="458"/>
      <c r="G198" s="458"/>
      <c r="H198" s="458"/>
      <c r="I198" s="458"/>
      <c r="J198" s="2157"/>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1832"/>
      <c r="AG198" s="458"/>
    </row>
    <row r="199" spans="2:33">
      <c r="B199" s="458"/>
      <c r="C199" s="458"/>
      <c r="D199" s="458"/>
      <c r="E199" s="458"/>
      <c r="F199" s="458"/>
      <c r="G199" s="458"/>
      <c r="H199" s="458"/>
      <c r="I199" s="458"/>
      <c r="J199" s="2157"/>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1832"/>
      <c r="AG199" s="458"/>
    </row>
    <row r="200" spans="2:33">
      <c r="B200" s="458"/>
      <c r="C200" s="458"/>
      <c r="D200" s="458"/>
      <c r="E200" s="458"/>
      <c r="F200" s="458"/>
      <c r="G200" s="458"/>
      <c r="H200" s="458"/>
      <c r="I200" s="458"/>
      <c r="J200" s="2157"/>
      <c r="K200" s="458"/>
      <c r="L200" s="458"/>
      <c r="M200" s="458"/>
      <c r="N200" s="458"/>
      <c r="O200" s="458"/>
      <c r="P200" s="458"/>
      <c r="Q200" s="458"/>
      <c r="R200" s="458"/>
      <c r="S200" s="458"/>
      <c r="T200" s="458"/>
      <c r="U200" s="458"/>
      <c r="V200" s="458"/>
      <c r="W200" s="458"/>
      <c r="X200" s="458"/>
      <c r="Y200" s="458"/>
      <c r="Z200" s="458"/>
      <c r="AA200" s="458"/>
      <c r="AB200" s="458"/>
      <c r="AC200" s="458"/>
      <c r="AD200" s="458"/>
      <c r="AE200" s="458"/>
      <c r="AF200" s="1832"/>
      <c r="AG200" s="458"/>
    </row>
    <row r="201" spans="2:33">
      <c r="B201" s="458"/>
      <c r="C201" s="458"/>
      <c r="D201" s="458"/>
      <c r="E201" s="458"/>
      <c r="F201" s="458"/>
      <c r="G201" s="458"/>
      <c r="H201" s="458"/>
      <c r="I201" s="458"/>
      <c r="J201" s="2157"/>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1832"/>
      <c r="AG201" s="458"/>
    </row>
    <row r="202" spans="2:33">
      <c r="B202" s="458"/>
      <c r="C202" s="458"/>
      <c r="D202" s="458"/>
      <c r="E202" s="458"/>
      <c r="F202" s="458"/>
      <c r="G202" s="458"/>
      <c r="H202" s="458"/>
      <c r="I202" s="458"/>
      <c r="J202" s="2157"/>
      <c r="K202" s="458"/>
      <c r="L202" s="458"/>
      <c r="M202" s="458"/>
      <c r="N202" s="458"/>
      <c r="O202" s="458"/>
      <c r="P202" s="458"/>
      <c r="Q202" s="458"/>
      <c r="R202" s="458"/>
      <c r="S202" s="458"/>
      <c r="T202" s="458"/>
      <c r="U202" s="458"/>
      <c r="V202" s="458"/>
      <c r="W202" s="458"/>
      <c r="X202" s="458"/>
      <c r="Y202" s="458"/>
      <c r="Z202" s="458"/>
      <c r="AA202" s="458"/>
      <c r="AB202" s="458"/>
      <c r="AC202" s="458"/>
      <c r="AD202" s="458"/>
      <c r="AE202" s="458"/>
      <c r="AF202" s="1832"/>
      <c r="AG202" s="458"/>
    </row>
    <row r="203" spans="2:33">
      <c r="B203" s="458"/>
      <c r="C203" s="458"/>
      <c r="D203" s="458"/>
      <c r="E203" s="458"/>
      <c r="F203" s="458"/>
      <c r="G203" s="458"/>
      <c r="H203" s="458"/>
      <c r="I203" s="458"/>
      <c r="J203" s="2157"/>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1832"/>
      <c r="AG203" s="458"/>
    </row>
    <row r="204" spans="2:33">
      <c r="B204" s="458"/>
      <c r="C204" s="458"/>
      <c r="D204" s="458"/>
      <c r="E204" s="458"/>
      <c r="F204" s="458"/>
      <c r="G204" s="458"/>
      <c r="H204" s="458"/>
      <c r="I204" s="458"/>
      <c r="J204" s="2157"/>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1832"/>
      <c r="AG204" s="458"/>
    </row>
    <row r="205" spans="2:33">
      <c r="B205" s="458"/>
      <c r="C205" s="458"/>
      <c r="D205" s="458"/>
      <c r="E205" s="458"/>
      <c r="F205" s="458"/>
      <c r="G205" s="458"/>
      <c r="H205" s="458"/>
      <c r="I205" s="458"/>
      <c r="J205" s="2157"/>
      <c r="K205" s="458"/>
      <c r="L205" s="458"/>
      <c r="M205" s="458"/>
      <c r="N205" s="458"/>
      <c r="O205" s="458"/>
      <c r="P205" s="458"/>
      <c r="Q205" s="458"/>
      <c r="R205" s="458"/>
      <c r="S205" s="458"/>
      <c r="T205" s="458"/>
      <c r="U205" s="458"/>
      <c r="V205" s="458"/>
      <c r="W205" s="458"/>
      <c r="X205" s="458"/>
      <c r="Y205" s="458"/>
      <c r="Z205" s="458"/>
      <c r="AA205" s="458"/>
      <c r="AB205" s="458"/>
      <c r="AC205" s="458"/>
      <c r="AD205" s="458"/>
      <c r="AE205" s="458"/>
      <c r="AF205" s="1832"/>
      <c r="AG205" s="458"/>
    </row>
    <row r="206" spans="2:33">
      <c r="B206" s="458"/>
      <c r="C206" s="458"/>
      <c r="D206" s="458"/>
      <c r="E206" s="458"/>
      <c r="F206" s="458"/>
      <c r="G206" s="458"/>
      <c r="H206" s="458"/>
      <c r="I206" s="458"/>
      <c r="J206" s="2157"/>
      <c r="K206" s="458"/>
      <c r="L206" s="458"/>
      <c r="M206" s="458"/>
      <c r="N206" s="458"/>
      <c r="O206" s="458"/>
      <c r="P206" s="458"/>
      <c r="Q206" s="458"/>
      <c r="R206" s="458"/>
      <c r="S206" s="458"/>
      <c r="T206" s="458"/>
      <c r="U206" s="458"/>
      <c r="V206" s="458"/>
      <c r="W206" s="458"/>
      <c r="X206" s="458"/>
      <c r="Y206" s="458"/>
      <c r="Z206" s="458"/>
      <c r="AA206" s="458"/>
      <c r="AB206" s="458"/>
      <c r="AC206" s="458"/>
      <c r="AD206" s="458"/>
      <c r="AE206" s="458"/>
      <c r="AF206" s="1832"/>
      <c r="AG206" s="458"/>
    </row>
    <row r="207" spans="2:33">
      <c r="B207" s="458"/>
      <c r="C207" s="458"/>
      <c r="D207" s="458"/>
      <c r="E207" s="458"/>
      <c r="F207" s="458"/>
      <c r="G207" s="458"/>
      <c r="H207" s="458"/>
      <c r="I207" s="458"/>
      <c r="J207" s="2157"/>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1832"/>
      <c r="AG207" s="458"/>
    </row>
    <row r="208" spans="2:33">
      <c r="B208" s="458"/>
      <c r="C208" s="458"/>
      <c r="D208" s="458"/>
      <c r="E208" s="458"/>
      <c r="F208" s="458"/>
      <c r="G208" s="458"/>
      <c r="H208" s="458"/>
      <c r="I208" s="458"/>
      <c r="J208" s="2157"/>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1832"/>
      <c r="AG208" s="458"/>
    </row>
    <row r="209" spans="2:33">
      <c r="B209" s="458"/>
      <c r="C209" s="458"/>
      <c r="D209" s="458"/>
      <c r="E209" s="458"/>
      <c r="F209" s="458"/>
      <c r="G209" s="458"/>
      <c r="H209" s="458"/>
      <c r="I209" s="458"/>
      <c r="J209" s="2157"/>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1832"/>
      <c r="AG209" s="458"/>
    </row>
    <row r="210" spans="2:33">
      <c r="B210" s="458"/>
      <c r="C210" s="458"/>
      <c r="D210" s="458"/>
      <c r="E210" s="458"/>
      <c r="F210" s="458"/>
      <c r="G210" s="458"/>
      <c r="H210" s="458"/>
      <c r="I210" s="458"/>
      <c r="J210" s="2157"/>
      <c r="K210" s="458"/>
      <c r="L210" s="458"/>
      <c r="M210" s="458"/>
      <c r="N210" s="458"/>
      <c r="O210" s="458"/>
      <c r="P210" s="458"/>
      <c r="Q210" s="458"/>
      <c r="R210" s="458"/>
      <c r="S210" s="458"/>
      <c r="T210" s="458"/>
      <c r="U210" s="458"/>
      <c r="V210" s="458"/>
      <c r="W210" s="458"/>
      <c r="X210" s="458"/>
      <c r="Y210" s="458"/>
      <c r="Z210" s="458"/>
      <c r="AA210" s="458"/>
      <c r="AB210" s="458"/>
      <c r="AC210" s="458"/>
      <c r="AD210" s="458"/>
      <c r="AE210" s="458"/>
      <c r="AF210" s="1832"/>
      <c r="AG210" s="458"/>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89" min="1" max="36" man="1"/>
  </rowBreaks>
  <ignoredErrors>
    <ignoredError sqref="AK19:AK21 AK28:AK45 AK126:AK127 AK23 AK117:AK123 AK47:AK48 AK71:AK73 AK79:AK80 AK86:AK87 AK83 AK89:AK115 AK50:AK69 AK74:AK77" unlockedFormula="1"/>
    <ignoredError sqref="AK124:AK125 AC24 AI22 AK22 AK70 AK84:AK85" 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60" zoomScaleSheetLayoutView="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style="222" customWidth="1"/>
    <col min="6" max="6" width="12.33203125" style="222" bestFit="1" customWidth="1"/>
    <col min="7" max="7" width="1.6640625" style="222" customWidth="1"/>
    <col min="8" max="8" width="12.21875" style="222" customWidth="1"/>
    <col min="9" max="9" width="1.6640625" style="222" customWidth="1"/>
    <col min="10" max="10" width="12" style="222" customWidth="1"/>
    <col min="11" max="11" width="1.6640625" style="222" customWidth="1"/>
    <col min="12" max="12" width="13.21875" style="222" customWidth="1"/>
    <col min="13" max="13" width="1.6640625" style="222" customWidth="1"/>
    <col min="14" max="14" width="14.44140625" style="222" customWidth="1"/>
    <col min="15" max="15" width="1.6640625" style="222" customWidth="1"/>
    <col min="16" max="16" width="12" style="222" bestFit="1" customWidth="1"/>
    <col min="17" max="17" width="1.6640625" style="222" customWidth="1"/>
    <col min="18" max="18" width="12" style="222" customWidth="1"/>
    <col min="19" max="19" width="1.6640625" style="222" customWidth="1"/>
    <col min="20" max="20" width="9.6640625" style="222" customWidth="1"/>
    <col min="21" max="21" width="1.6640625" style="222" customWidth="1"/>
    <col min="22" max="22" width="9.6640625" style="222" customWidth="1"/>
    <col min="23" max="23" width="1.6640625" style="222" customWidth="1"/>
    <col min="24" max="24" width="11.6640625" style="222" customWidth="1"/>
    <col min="25" max="25" width="1.6640625" style="222" customWidth="1"/>
    <col min="26" max="26" width="11.6640625" style="222" customWidth="1"/>
    <col min="27" max="28" width="1.6640625" style="222" customWidth="1"/>
    <col min="29" max="29" width="12.5546875" style="222" bestFit="1" customWidth="1"/>
    <col min="30" max="30" width="1.44140625" style="222" customWidth="1"/>
    <col min="31" max="31" width="1.33203125" style="222" customWidth="1"/>
    <col min="32" max="32" width="12.5546875" style="222" bestFit="1" customWidth="1"/>
    <col min="33" max="34" width="0.88671875" style="222" customWidth="1"/>
    <col min="35" max="35" width="12.77734375" style="222" customWidth="1"/>
    <col min="36" max="36" width="0.6640625" style="222" customWidth="1"/>
    <col min="37" max="37" width="10.77734375" style="1895" customWidth="1"/>
    <col min="38" max="16384" width="8.88671875" style="222"/>
  </cols>
  <sheetData>
    <row r="1" spans="1:42">
      <c r="B1" s="1190" t="s">
        <v>1231</v>
      </c>
    </row>
    <row r="2" spans="1:42" ht="15.75">
      <c r="A2" s="499"/>
      <c r="M2" s="221"/>
      <c r="N2" s="221"/>
      <c r="O2" s="223"/>
    </row>
    <row r="3" spans="1:42" ht="15.75">
      <c r="A3" s="499"/>
      <c r="M3" s="221"/>
      <c r="N3" s="221"/>
      <c r="O3" s="223"/>
    </row>
    <row r="4" spans="1:42" ht="18">
      <c r="A4" s="499"/>
      <c r="B4" s="462" t="s">
        <v>0</v>
      </c>
      <c r="M4" s="221"/>
      <c r="N4" s="221"/>
      <c r="O4" s="223"/>
      <c r="AD4" s="505"/>
      <c r="AE4" s="505"/>
      <c r="AF4" s="505"/>
      <c r="AG4" s="505"/>
      <c r="AH4" s="505"/>
      <c r="AI4" s="505"/>
      <c r="AJ4" s="505"/>
      <c r="AK4" s="742" t="s">
        <v>175</v>
      </c>
    </row>
    <row r="5" spans="1:42" ht="18">
      <c r="A5" s="499"/>
      <c r="B5" s="462" t="s">
        <v>1482</v>
      </c>
      <c r="L5" s="221"/>
      <c r="M5" s="221"/>
      <c r="O5" s="223"/>
    </row>
    <row r="6" spans="1:42" ht="18">
      <c r="A6" s="499"/>
      <c r="B6" s="467" t="s">
        <v>153</v>
      </c>
      <c r="L6" s="223"/>
      <c r="M6" s="223"/>
      <c r="O6" s="223"/>
      <c r="X6" s="507"/>
    </row>
    <row r="7" spans="1:42" ht="20.25">
      <c r="A7" s="499"/>
      <c r="B7" s="467" t="s">
        <v>1541</v>
      </c>
      <c r="L7" s="223"/>
      <c r="M7" s="223"/>
      <c r="O7" s="223"/>
      <c r="AK7" s="509"/>
    </row>
    <row r="8" spans="1:42" ht="18">
      <c r="A8" s="499"/>
      <c r="B8" s="462" t="s">
        <v>1116</v>
      </c>
      <c r="AH8" s="223"/>
      <c r="AI8" s="223"/>
      <c r="AJ8" s="223"/>
      <c r="AK8" s="1365"/>
    </row>
    <row r="9" spans="1:42">
      <c r="A9" s="499"/>
      <c r="L9" s="223"/>
      <c r="M9" s="223"/>
      <c r="N9" s="223"/>
      <c r="O9" s="223"/>
      <c r="AB9" s="223"/>
      <c r="AC9" s="223"/>
      <c r="AD9" s="223"/>
      <c r="AE9" s="223"/>
      <c r="AF9" s="223"/>
      <c r="AG9" s="223"/>
      <c r="AH9" s="223"/>
      <c r="AI9" s="223"/>
      <c r="AJ9" s="223"/>
      <c r="AK9" s="1365"/>
    </row>
    <row r="10" spans="1:42" s="458" customFormat="1" ht="19.5" customHeight="1">
      <c r="A10" s="457"/>
      <c r="L10" s="502"/>
      <c r="M10" s="502"/>
      <c r="N10" s="502"/>
      <c r="O10" s="502"/>
      <c r="AB10" s="551"/>
      <c r="AC10" s="551"/>
      <c r="AD10" s="2714"/>
      <c r="AE10" s="2714"/>
      <c r="AF10" s="2715" t="s">
        <v>1593</v>
      </c>
      <c r="AG10" s="2714"/>
      <c r="AH10" s="537"/>
      <c r="AI10" s="537"/>
      <c r="AJ10" s="537"/>
      <c r="AK10" s="537"/>
    </row>
    <row r="11" spans="1:42" ht="15.75">
      <c r="A11" s="499"/>
      <c r="D11" s="1519">
        <v>2015</v>
      </c>
      <c r="E11" s="221"/>
      <c r="F11" s="221"/>
      <c r="G11" s="221"/>
      <c r="H11" s="221"/>
      <c r="I11" s="221"/>
      <c r="J11" s="221"/>
      <c r="K11" s="221"/>
      <c r="L11" s="221"/>
      <c r="M11" s="221"/>
      <c r="N11" s="221"/>
      <c r="O11" s="221"/>
      <c r="P11" s="221"/>
      <c r="Q11" s="221"/>
      <c r="R11" s="221"/>
      <c r="S11" s="221"/>
      <c r="T11" s="221"/>
      <c r="U11" s="221"/>
      <c r="V11" s="1519">
        <v>2016</v>
      </c>
      <c r="W11" s="221"/>
      <c r="X11" s="221"/>
      <c r="Y11" s="221"/>
      <c r="Z11" s="221"/>
      <c r="AA11" s="221"/>
      <c r="AB11" s="221"/>
      <c r="AC11" s="414"/>
      <c r="AD11" s="414"/>
      <c r="AE11" s="414"/>
      <c r="AF11" s="414"/>
      <c r="AG11" s="414"/>
      <c r="AH11" s="413"/>
      <c r="AI11" s="1523" t="s">
        <v>8</v>
      </c>
      <c r="AJ11" s="414"/>
      <c r="AK11" s="1524" t="s">
        <v>9</v>
      </c>
      <c r="AL11" s="413"/>
      <c r="AM11" s="413"/>
      <c r="AN11" s="413"/>
      <c r="AO11" s="413"/>
      <c r="AP11" s="413"/>
    </row>
    <row r="12" spans="1:42" ht="15.75">
      <c r="A12" s="499"/>
      <c r="D12" s="1505" t="s">
        <v>129</v>
      </c>
      <c r="E12" s="221"/>
      <c r="F12" s="1505" t="s">
        <v>130</v>
      </c>
      <c r="G12" s="221"/>
      <c r="H12" s="1505" t="s">
        <v>131</v>
      </c>
      <c r="I12" s="221"/>
      <c r="J12" s="1505" t="s">
        <v>132</v>
      </c>
      <c r="K12" s="221"/>
      <c r="L12" s="1505" t="s">
        <v>133</v>
      </c>
      <c r="M12" s="221"/>
      <c r="N12" s="1505" t="s">
        <v>134</v>
      </c>
      <c r="O12" s="221"/>
      <c r="P12" s="1505" t="s">
        <v>135</v>
      </c>
      <c r="Q12" s="221"/>
      <c r="R12" s="1505" t="s">
        <v>136</v>
      </c>
      <c r="S12" s="221"/>
      <c r="T12" s="1505" t="s">
        <v>137</v>
      </c>
      <c r="U12" s="221"/>
      <c r="V12" s="1505" t="s">
        <v>154</v>
      </c>
      <c r="W12" s="221"/>
      <c r="X12" s="1505" t="s">
        <v>139</v>
      </c>
      <c r="Y12" s="221"/>
      <c r="Z12" s="1505" t="s">
        <v>140</v>
      </c>
      <c r="AA12" s="221"/>
      <c r="AB12" s="221"/>
      <c r="AC12" s="1519">
        <v>2015</v>
      </c>
      <c r="AD12" s="221" t="s">
        <v>16</v>
      </c>
      <c r="AE12" s="413"/>
      <c r="AF12" s="1519">
        <v>2014</v>
      </c>
      <c r="AG12" s="1504"/>
      <c r="AH12" s="413"/>
      <c r="AI12" s="1529" t="s">
        <v>13</v>
      </c>
      <c r="AJ12" s="413"/>
      <c r="AK12" s="1529" t="s">
        <v>14</v>
      </c>
      <c r="AL12" s="413"/>
      <c r="AM12" s="413"/>
      <c r="AN12" s="413"/>
      <c r="AO12" s="413"/>
      <c r="AP12" s="413"/>
    </row>
    <row r="13" spans="1:42" ht="5.25" customHeight="1">
      <c r="A13" s="499"/>
      <c r="D13" s="235"/>
      <c r="F13" s="235"/>
      <c r="H13" s="235"/>
      <c r="J13" s="235"/>
      <c r="L13" s="235"/>
      <c r="N13" s="510"/>
      <c r="P13" s="235"/>
      <c r="R13" s="235"/>
      <c r="T13" s="235"/>
      <c r="V13" s="235"/>
      <c r="X13" s="235"/>
      <c r="Z13" s="235"/>
      <c r="AC13" s="235"/>
      <c r="AF13" s="235"/>
      <c r="AG13" s="229"/>
      <c r="AH13" s="511"/>
    </row>
    <row r="14" spans="1:42" ht="15" customHeight="1">
      <c r="A14" s="223"/>
      <c r="B14" s="376" t="s">
        <v>141</v>
      </c>
      <c r="C14" s="223"/>
      <c r="D14" s="337">
        <v>2661.8</v>
      </c>
      <c r="E14" s="295"/>
      <c r="F14" s="295">
        <f>D121</f>
        <v>2700.4</v>
      </c>
      <c r="G14" s="295"/>
      <c r="H14" s="295"/>
      <c r="I14" s="295"/>
      <c r="J14" s="295"/>
      <c r="K14" s="295"/>
      <c r="L14" s="295"/>
      <c r="M14" s="295"/>
      <c r="N14" s="295"/>
      <c r="O14" s="295"/>
      <c r="P14" s="295"/>
      <c r="Q14" s="295"/>
      <c r="R14" s="295"/>
      <c r="S14" s="295"/>
      <c r="T14" s="295"/>
      <c r="U14" s="295"/>
      <c r="V14" s="295"/>
      <c r="W14" s="295"/>
      <c r="X14" s="295"/>
      <c r="Y14" s="295"/>
      <c r="Z14" s="295"/>
      <c r="AA14" s="295"/>
      <c r="AB14" s="296"/>
      <c r="AC14" s="295">
        <f>+D14</f>
        <v>2661.8</v>
      </c>
      <c r="AD14" s="295"/>
      <c r="AE14" s="296"/>
      <c r="AF14" s="295">
        <v>2362.9</v>
      </c>
      <c r="AG14" s="512"/>
      <c r="AH14" s="425"/>
      <c r="AI14" s="384">
        <f>AC14-AF14</f>
        <v>298.90000000000009</v>
      </c>
      <c r="AJ14" s="513"/>
      <c r="AK14" s="514">
        <f>(AC14-AF14)/AF14</f>
        <v>0.12649710101993317</v>
      </c>
      <c r="AL14" s="507"/>
      <c r="AM14" s="507"/>
      <c r="AN14" s="507"/>
      <c r="AO14" s="507"/>
      <c r="AP14" s="507"/>
    </row>
    <row r="15" spans="1:42" ht="15" customHeight="1">
      <c r="A15" s="223"/>
      <c r="B15" s="223"/>
      <c r="C15" s="223"/>
      <c r="AB15" s="416"/>
      <c r="AE15" s="416"/>
      <c r="AG15" s="515"/>
      <c r="AH15" s="229"/>
      <c r="AK15" s="1945"/>
    </row>
    <row r="16" spans="1:42" ht="15" customHeight="1">
      <c r="A16" s="223"/>
      <c r="B16" s="221" t="s">
        <v>15</v>
      </c>
      <c r="C16" s="223"/>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6"/>
      <c r="AH16" s="249"/>
      <c r="AI16" s="261"/>
      <c r="AK16" s="1945"/>
    </row>
    <row r="17" spans="1:37" ht="15" customHeight="1">
      <c r="A17" s="223"/>
      <c r="B17" s="491" t="s">
        <v>1373</v>
      </c>
      <c r="C17" s="223"/>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6"/>
      <c r="AH17" s="249"/>
      <c r="AI17" s="261"/>
      <c r="AK17" s="1945"/>
    </row>
    <row r="18" spans="1:37" s="413" customFormat="1" ht="15" customHeight="1">
      <c r="A18" s="221"/>
      <c r="B18" s="2400" t="s">
        <v>1378</v>
      </c>
      <c r="C18" s="221"/>
      <c r="D18" s="3194">
        <f>'Exhibit G state'!D16</f>
        <v>3.1</v>
      </c>
      <c r="E18" s="3194"/>
      <c r="F18" s="3194">
        <f>'Exhibit G state'!F16</f>
        <v>0</v>
      </c>
      <c r="G18" s="2718"/>
      <c r="H18" s="2718"/>
      <c r="I18" s="2718"/>
      <c r="J18" s="2718"/>
      <c r="K18" s="2718"/>
      <c r="L18" s="2718"/>
      <c r="M18" s="2718"/>
      <c r="N18" s="2718"/>
      <c r="O18" s="295"/>
      <c r="P18" s="2718"/>
      <c r="Q18" s="295"/>
      <c r="R18" s="2718"/>
      <c r="S18" s="295"/>
      <c r="T18" s="2919"/>
      <c r="U18" s="295"/>
      <c r="V18" s="2919"/>
      <c r="W18" s="295"/>
      <c r="X18" s="2919"/>
      <c r="Y18" s="295"/>
      <c r="Z18" s="2919"/>
      <c r="AA18" s="295"/>
      <c r="AB18" s="296"/>
      <c r="AC18" s="1177">
        <f>ROUND(SUM(D18:Z18),1)</f>
        <v>3.1</v>
      </c>
      <c r="AD18" s="1177"/>
      <c r="AE18" s="2745"/>
      <c r="AF18" s="1333">
        <f>'Exhibit G state'!AH16</f>
        <v>0</v>
      </c>
      <c r="AG18" s="2720"/>
      <c r="AH18" s="1921"/>
      <c r="AI18" s="1177">
        <f>ROUND(SUM(+AC18-AF18),1)</f>
        <v>3.1</v>
      </c>
      <c r="AJ18" s="248"/>
      <c r="AK18" s="2843">
        <f>ROUND(IF(AF18=0,1,AI18/(AF18)),3)</f>
        <v>1</v>
      </c>
    </row>
    <row r="19" spans="1:37" s="413" customFormat="1" ht="6" customHeight="1">
      <c r="A19" s="221"/>
      <c r="B19" s="2400"/>
      <c r="C19" s="221"/>
      <c r="D19" s="2718"/>
      <c r="E19" s="2718"/>
      <c r="F19" s="2718"/>
      <c r="G19" s="2718"/>
      <c r="H19" s="2718"/>
      <c r="I19" s="2718"/>
      <c r="J19" s="2718"/>
      <c r="K19" s="2718"/>
      <c r="L19" s="2718"/>
      <c r="M19" s="2718"/>
      <c r="N19" s="2718"/>
      <c r="O19" s="295"/>
      <c r="P19" s="295"/>
      <c r="Q19" s="295"/>
      <c r="R19" s="295"/>
      <c r="S19" s="295"/>
      <c r="T19" s="295"/>
      <c r="U19" s="295"/>
      <c r="V19" s="295"/>
      <c r="W19" s="295"/>
      <c r="X19" s="295"/>
      <c r="Y19" s="295"/>
      <c r="Z19" s="295"/>
      <c r="AA19" s="295"/>
      <c r="AB19" s="296"/>
      <c r="AC19" s="1258"/>
      <c r="AD19" s="1258"/>
      <c r="AE19" s="2419"/>
      <c r="AF19" s="1260"/>
      <c r="AG19" s="2420"/>
      <c r="AH19" s="1988"/>
      <c r="AI19" s="1258"/>
      <c r="AJ19" s="248"/>
      <c r="AK19" s="1871"/>
    </row>
    <row r="20" spans="1:37" ht="15" customHeight="1">
      <c r="A20" s="223"/>
      <c r="B20" s="2400" t="s">
        <v>1444</v>
      </c>
      <c r="C20" s="223"/>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50"/>
      <c r="AC20" s="1899"/>
      <c r="AD20" s="1899"/>
      <c r="AE20" s="259"/>
      <c r="AF20" s="1899"/>
      <c r="AG20" s="523"/>
      <c r="AH20" s="273"/>
      <c r="AI20" s="1899"/>
      <c r="AJ20" s="413"/>
      <c r="AK20" s="514"/>
    </row>
    <row r="21" spans="1:37" ht="15" customHeight="1">
      <c r="A21" s="223"/>
      <c r="B21" s="2131" t="s">
        <v>1393</v>
      </c>
      <c r="C21" s="223"/>
      <c r="D21" s="1177">
        <f>'Exhibit G state'!D20</f>
        <v>91</v>
      </c>
      <c r="E21" s="261"/>
      <c r="F21" s="3194">
        <f>'Exhibit G state'!F20</f>
        <v>65.2</v>
      </c>
      <c r="G21" s="261"/>
      <c r="H21" s="261"/>
      <c r="I21" s="261"/>
      <c r="J21" s="261"/>
      <c r="K21" s="261"/>
      <c r="L21" s="261"/>
      <c r="M21" s="261"/>
      <c r="N21" s="261"/>
      <c r="O21" s="261"/>
      <c r="P21" s="261"/>
      <c r="Q21" s="261"/>
      <c r="R21" s="261"/>
      <c r="S21" s="261"/>
      <c r="T21" s="261"/>
      <c r="U21" s="261"/>
      <c r="V21" s="261"/>
      <c r="W21" s="261"/>
      <c r="X21" s="2919"/>
      <c r="Y21" s="261"/>
      <c r="Z21" s="2919"/>
      <c r="AA21" s="261"/>
      <c r="AB21" s="250"/>
      <c r="AC21" s="261">
        <f t="shared" ref="AC21:AC27" si="0">ROUND(SUM(D21:Z21),1)</f>
        <v>156.19999999999999</v>
      </c>
      <c r="AD21" s="261"/>
      <c r="AE21" s="250"/>
      <c r="AF21" s="1333">
        <f>'Exhibit G state'!AH20</f>
        <v>165.3</v>
      </c>
      <c r="AG21" s="516"/>
      <c r="AH21" s="249"/>
      <c r="AI21" s="1177">
        <f t="shared" ref="AI21:AI27" si="1">ROUND(SUM(+AC21-AF21),1)</f>
        <v>-9.1</v>
      </c>
      <c r="AJ21" s="248"/>
      <c r="AK21" s="1871">
        <f t="shared" ref="AK21:AK27" si="2">ROUND(IF(AF21=0,0,AI21/(AF21)),3)</f>
        <v>-5.5E-2</v>
      </c>
    </row>
    <row r="22" spans="1:37" ht="15" customHeight="1">
      <c r="A22" s="223"/>
      <c r="B22" s="2131" t="s">
        <v>1394</v>
      </c>
      <c r="C22" s="223"/>
      <c r="D22" s="1177">
        <f>'Exhibit G state'!D21</f>
        <v>1.5</v>
      </c>
      <c r="E22" s="261"/>
      <c r="F22" s="3194">
        <f>'Exhibit G state'!F21</f>
        <v>0.2</v>
      </c>
      <c r="G22" s="261"/>
      <c r="H22" s="261"/>
      <c r="I22" s="261"/>
      <c r="J22" s="261"/>
      <c r="K22" s="261"/>
      <c r="L22" s="261"/>
      <c r="M22" s="261"/>
      <c r="N22" s="261"/>
      <c r="O22" s="261"/>
      <c r="P22" s="261"/>
      <c r="Q22" s="261"/>
      <c r="R22" s="261"/>
      <c r="S22" s="261"/>
      <c r="T22" s="261"/>
      <c r="U22" s="261"/>
      <c r="V22" s="261"/>
      <c r="W22" s="261"/>
      <c r="X22" s="2919"/>
      <c r="Y22" s="261"/>
      <c r="Z22" s="2919"/>
      <c r="AA22" s="261"/>
      <c r="AB22" s="250"/>
      <c r="AC22" s="261">
        <f t="shared" si="0"/>
        <v>1.7</v>
      </c>
      <c r="AD22" s="261"/>
      <c r="AE22" s="250"/>
      <c r="AF22" s="1333">
        <f>'Exhibit G state'!AH21</f>
        <v>1.7</v>
      </c>
      <c r="AG22" s="516"/>
      <c r="AH22" s="249"/>
      <c r="AI22" s="1177">
        <f t="shared" si="1"/>
        <v>0</v>
      </c>
      <c r="AJ22" s="248"/>
      <c r="AK22" s="1871">
        <f t="shared" si="2"/>
        <v>0</v>
      </c>
    </row>
    <row r="23" spans="1:37" ht="15" customHeight="1">
      <c r="A23" s="223"/>
      <c r="B23" s="2131" t="s">
        <v>1395</v>
      </c>
      <c r="C23" s="223"/>
      <c r="D23" s="1177">
        <f>'Exhibit G state'!D22</f>
        <v>83.2</v>
      </c>
      <c r="E23" s="261"/>
      <c r="F23" s="3194">
        <f>'Exhibit G state'!F22</f>
        <v>72.2</v>
      </c>
      <c r="G23" s="261"/>
      <c r="H23" s="261"/>
      <c r="I23" s="261"/>
      <c r="J23" s="261"/>
      <c r="K23" s="261"/>
      <c r="L23" s="261"/>
      <c r="M23" s="261"/>
      <c r="N23" s="261"/>
      <c r="O23" s="261"/>
      <c r="P23" s="261"/>
      <c r="Q23" s="261"/>
      <c r="R23" s="261"/>
      <c r="S23" s="261"/>
      <c r="T23" s="261"/>
      <c r="U23" s="261"/>
      <c r="V23" s="261"/>
      <c r="W23" s="261"/>
      <c r="X23" s="2919"/>
      <c r="Y23" s="261"/>
      <c r="Z23" s="2919"/>
      <c r="AA23" s="261"/>
      <c r="AB23" s="250"/>
      <c r="AC23" s="261">
        <f t="shared" si="0"/>
        <v>155.4</v>
      </c>
      <c r="AD23" s="261"/>
      <c r="AE23" s="250"/>
      <c r="AF23" s="1333">
        <f>'Exhibit G state'!AH22</f>
        <v>165.8</v>
      </c>
      <c r="AG23" s="516"/>
      <c r="AH23" s="249"/>
      <c r="AI23" s="1177">
        <f t="shared" si="1"/>
        <v>-10.4</v>
      </c>
      <c r="AJ23" s="248"/>
      <c r="AK23" s="1871">
        <f t="shared" si="2"/>
        <v>-6.3E-2</v>
      </c>
    </row>
    <row r="24" spans="1:37" ht="15" customHeight="1">
      <c r="A24" s="223"/>
      <c r="B24" s="2131" t="s">
        <v>1396</v>
      </c>
      <c r="C24" s="223"/>
      <c r="D24" s="1177">
        <f>'Exhibit G state'!D23</f>
        <v>8.6999999999999993</v>
      </c>
      <c r="E24" s="261"/>
      <c r="F24" s="3194">
        <f>'Exhibit G state'!F23</f>
        <v>8.6</v>
      </c>
      <c r="G24" s="261"/>
      <c r="H24" s="261"/>
      <c r="I24" s="261"/>
      <c r="J24" s="261"/>
      <c r="K24" s="261"/>
      <c r="L24" s="261"/>
      <c r="M24" s="261"/>
      <c r="N24" s="261"/>
      <c r="O24" s="261"/>
      <c r="P24" s="261"/>
      <c r="Q24" s="261"/>
      <c r="R24" s="261"/>
      <c r="S24" s="261"/>
      <c r="T24" s="261"/>
      <c r="U24" s="261"/>
      <c r="V24" s="261"/>
      <c r="W24" s="261"/>
      <c r="X24" s="2919"/>
      <c r="Y24" s="261"/>
      <c r="Z24" s="2919"/>
      <c r="AA24" s="261"/>
      <c r="AB24" s="250"/>
      <c r="AC24" s="261">
        <f t="shared" si="0"/>
        <v>17.3</v>
      </c>
      <c r="AD24" s="261"/>
      <c r="AE24" s="250"/>
      <c r="AF24" s="1333">
        <f>'Exhibit G state'!AH23</f>
        <v>18.5</v>
      </c>
      <c r="AG24" s="516"/>
      <c r="AH24" s="249"/>
      <c r="AI24" s="1177">
        <f t="shared" si="1"/>
        <v>-1.2</v>
      </c>
      <c r="AJ24" s="248"/>
      <c r="AK24" s="1871">
        <f t="shared" si="2"/>
        <v>-6.5000000000000002E-2</v>
      </c>
    </row>
    <row r="25" spans="1:37" ht="15" customHeight="1">
      <c r="A25" s="223"/>
      <c r="B25" s="2131" t="s">
        <v>1397</v>
      </c>
      <c r="C25" s="223"/>
      <c r="D25" s="1177">
        <f>'Exhibit G state'!D24</f>
        <v>0</v>
      </c>
      <c r="E25" s="261"/>
      <c r="F25" s="3194">
        <f>'Exhibit G state'!F24</f>
        <v>0</v>
      </c>
      <c r="G25" s="261"/>
      <c r="H25" s="261"/>
      <c r="I25" s="261"/>
      <c r="J25" s="261"/>
      <c r="K25" s="261"/>
      <c r="L25" s="261"/>
      <c r="M25" s="261"/>
      <c r="N25" s="261"/>
      <c r="O25" s="261"/>
      <c r="P25" s="261"/>
      <c r="Q25" s="261"/>
      <c r="R25" s="261"/>
      <c r="S25" s="261"/>
      <c r="T25" s="261"/>
      <c r="U25" s="261"/>
      <c r="V25" s="261"/>
      <c r="W25" s="261"/>
      <c r="X25" s="2919"/>
      <c r="Y25" s="261"/>
      <c r="Z25" s="2919"/>
      <c r="AA25" s="261"/>
      <c r="AB25" s="250"/>
      <c r="AC25" s="261">
        <f t="shared" si="0"/>
        <v>0</v>
      </c>
      <c r="AD25" s="261"/>
      <c r="AE25" s="250"/>
      <c r="AF25" s="2144">
        <f>'Exhibit G state'!AH24</f>
        <v>0</v>
      </c>
      <c r="AG25" s="516"/>
      <c r="AH25" s="249"/>
      <c r="AI25" s="1177">
        <f t="shared" si="1"/>
        <v>0</v>
      </c>
      <c r="AJ25" s="248"/>
      <c r="AK25" s="1871">
        <f t="shared" si="2"/>
        <v>0</v>
      </c>
    </row>
    <row r="26" spans="1:37" ht="15" customHeight="1">
      <c r="A26" s="223"/>
      <c r="B26" s="2131" t="s">
        <v>1398</v>
      </c>
      <c r="C26" s="223"/>
      <c r="D26" s="1177">
        <f>'Exhibit G state'!D25</f>
        <v>0</v>
      </c>
      <c r="E26" s="261"/>
      <c r="F26" s="3194">
        <f>'Exhibit G state'!F25</f>
        <v>0</v>
      </c>
      <c r="G26" s="261"/>
      <c r="H26" s="261"/>
      <c r="I26" s="261"/>
      <c r="J26" s="261"/>
      <c r="K26" s="261"/>
      <c r="L26" s="261"/>
      <c r="M26" s="261"/>
      <c r="N26" s="261"/>
      <c r="O26" s="261"/>
      <c r="P26" s="261"/>
      <c r="Q26" s="261"/>
      <c r="R26" s="261"/>
      <c r="S26" s="261"/>
      <c r="T26" s="261"/>
      <c r="U26" s="261"/>
      <c r="V26" s="261"/>
      <c r="W26" s="261"/>
      <c r="X26" s="2919"/>
      <c r="Y26" s="261"/>
      <c r="Z26" s="2919"/>
      <c r="AA26" s="261"/>
      <c r="AB26" s="250"/>
      <c r="AC26" s="261">
        <f t="shared" si="0"/>
        <v>0</v>
      </c>
      <c r="AD26" s="261"/>
      <c r="AE26" s="250"/>
      <c r="AF26" s="2144">
        <f>'Exhibit G state'!AH25</f>
        <v>0</v>
      </c>
      <c r="AG26" s="516"/>
      <c r="AH26" s="249"/>
      <c r="AI26" s="1177">
        <f t="shared" si="1"/>
        <v>0</v>
      </c>
      <c r="AJ26" s="248"/>
      <c r="AK26" s="1871">
        <f t="shared" si="2"/>
        <v>0</v>
      </c>
    </row>
    <row r="27" spans="1:37" ht="15" customHeight="1">
      <c r="A27" s="223"/>
      <c r="B27" s="2133" t="s">
        <v>1399</v>
      </c>
      <c r="C27" s="223"/>
      <c r="D27" s="1177">
        <f>'Exhibit G state'!D26</f>
        <v>19.2</v>
      </c>
      <c r="E27" s="261"/>
      <c r="F27" s="3194">
        <f>'Exhibit G state'!F26</f>
        <v>0.6</v>
      </c>
      <c r="G27" s="261"/>
      <c r="H27" s="261"/>
      <c r="I27" s="261"/>
      <c r="J27" s="261"/>
      <c r="K27" s="261"/>
      <c r="L27" s="261"/>
      <c r="M27" s="261"/>
      <c r="N27" s="261"/>
      <c r="O27" s="261"/>
      <c r="P27" s="261"/>
      <c r="Q27" s="261"/>
      <c r="R27" s="261"/>
      <c r="S27" s="261"/>
      <c r="T27" s="261"/>
      <c r="U27" s="261"/>
      <c r="V27" s="261"/>
      <c r="W27" s="261"/>
      <c r="X27" s="2919"/>
      <c r="Y27" s="261"/>
      <c r="Z27" s="2919"/>
      <c r="AA27" s="261"/>
      <c r="AB27" s="250"/>
      <c r="AC27" s="261">
        <f t="shared" si="0"/>
        <v>19.8</v>
      </c>
      <c r="AD27" s="261"/>
      <c r="AE27" s="250"/>
      <c r="AF27" s="2144">
        <f>'Exhibit G state'!AH26</f>
        <v>21.2</v>
      </c>
      <c r="AG27" s="516"/>
      <c r="AH27" s="249"/>
      <c r="AI27" s="1177">
        <f t="shared" si="1"/>
        <v>-1.4</v>
      </c>
      <c r="AJ27" s="248"/>
      <c r="AK27" s="1871">
        <f t="shared" si="2"/>
        <v>-6.6000000000000003E-2</v>
      </c>
    </row>
    <row r="28" spans="1:37" s="413" customFormat="1" ht="15" customHeight="1">
      <c r="A28" s="221"/>
      <c r="B28" s="2132" t="s">
        <v>1392</v>
      </c>
      <c r="C28" s="221"/>
      <c r="D28" s="256">
        <f>ROUND(SUM(D21:D27),1)</f>
        <v>203.6</v>
      </c>
      <c r="E28" s="1899"/>
      <c r="F28" s="256">
        <f>ROUND(SUM(F21:F27),1)</f>
        <v>146.80000000000001</v>
      </c>
      <c r="G28" s="1899"/>
      <c r="H28" s="256">
        <f>ROUND(SUM(H21:H27),1)</f>
        <v>0</v>
      </c>
      <c r="I28" s="1899"/>
      <c r="J28" s="256">
        <f>ROUND(SUM(J21:J27),1)</f>
        <v>0</v>
      </c>
      <c r="K28" s="1899"/>
      <c r="L28" s="256">
        <f>ROUND(SUM(L21:L27),1)</f>
        <v>0</v>
      </c>
      <c r="M28" s="1899"/>
      <c r="N28" s="256">
        <f>ROUND(SUM(N21:N27),1)</f>
        <v>0</v>
      </c>
      <c r="O28" s="1899"/>
      <c r="P28" s="256">
        <f>ROUND(SUM(P21:P27),1)</f>
        <v>0</v>
      </c>
      <c r="Q28" s="1899"/>
      <c r="R28" s="256">
        <f>ROUND(SUM(R21:R27),1)</f>
        <v>0</v>
      </c>
      <c r="S28" s="1899"/>
      <c r="T28" s="256">
        <f>ROUND(SUM(T21:T27),1)</f>
        <v>0</v>
      </c>
      <c r="U28" s="1899"/>
      <c r="V28" s="256">
        <f>ROUND(SUM(V21:V27),1)</f>
        <v>0</v>
      </c>
      <c r="W28" s="1899"/>
      <c r="X28" s="256">
        <f>ROUND(SUM(X21:X27),1)</f>
        <v>0</v>
      </c>
      <c r="Y28" s="1899"/>
      <c r="Z28" s="256">
        <f>ROUND(SUM(Z21:Z27),1)</f>
        <v>0</v>
      </c>
      <c r="AA28" s="1899"/>
      <c r="AB28" s="259"/>
      <c r="AC28" s="256">
        <f>ROUND(SUM(AC21:AC27),1)</f>
        <v>350.4</v>
      </c>
      <c r="AD28" s="1899"/>
      <c r="AE28" s="259"/>
      <c r="AF28" s="256">
        <f>ROUND(SUM(AF21:AF27),1)</f>
        <v>372.5</v>
      </c>
      <c r="AG28" s="523"/>
      <c r="AH28" s="273"/>
      <c r="AI28" s="256">
        <f>ROUND(SUM(AI21:AI27),1)</f>
        <v>-22.1</v>
      </c>
      <c r="AK28" s="2771">
        <f>ROUND(SUM(+AI28/AF28),3)</f>
        <v>-5.8999999999999997E-2</v>
      </c>
    </row>
    <row r="29" spans="1:37" ht="15" customHeight="1">
      <c r="A29" s="223"/>
      <c r="B29" s="2400" t="s">
        <v>1445</v>
      </c>
      <c r="C29" s="223"/>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6"/>
      <c r="AH29" s="249"/>
      <c r="AI29" s="1177"/>
      <c r="AK29" s="1945"/>
    </row>
    <row r="30" spans="1:37" ht="15" customHeight="1">
      <c r="A30" s="223"/>
      <c r="B30" s="2131" t="s">
        <v>1401</v>
      </c>
      <c r="C30" s="223"/>
      <c r="D30" s="261">
        <f>'Exhibit G state'!D29</f>
        <v>11.5</v>
      </c>
      <c r="E30" s="261"/>
      <c r="F30" s="261">
        <f>'Exhibit G state'!F29</f>
        <v>3.5</v>
      </c>
      <c r="G30" s="261"/>
      <c r="H30" s="261"/>
      <c r="I30" s="261"/>
      <c r="J30" s="261"/>
      <c r="K30" s="261"/>
      <c r="L30" s="261"/>
      <c r="M30" s="261"/>
      <c r="N30" s="261"/>
      <c r="O30" s="261"/>
      <c r="P30" s="261"/>
      <c r="Q30" s="261"/>
      <c r="R30" s="261"/>
      <c r="S30" s="261"/>
      <c r="T30" s="261"/>
      <c r="U30" s="261"/>
      <c r="V30" s="261"/>
      <c r="W30" s="261"/>
      <c r="X30" s="261"/>
      <c r="Y30" s="261"/>
      <c r="Z30" s="261"/>
      <c r="AA30" s="261"/>
      <c r="AB30" s="250"/>
      <c r="AC30" s="261">
        <f>ROUND(SUM(D30:Z30),1)</f>
        <v>15</v>
      </c>
      <c r="AD30" s="261"/>
      <c r="AE30" s="250"/>
      <c r="AF30" s="2144">
        <f>'Exhibit G state'!AH29</f>
        <v>39.6</v>
      </c>
      <c r="AG30" s="516"/>
      <c r="AH30" s="249"/>
      <c r="AI30" s="1177">
        <f>ROUND(SUM(+AC30-AF30),1)</f>
        <v>-24.6</v>
      </c>
      <c r="AJ30" s="248"/>
      <c r="AK30" s="1871">
        <f>ROUND(IF(AF30=0,0,AI30/(AF30)),3)</f>
        <v>-0.621</v>
      </c>
    </row>
    <row r="31" spans="1:37" ht="15" customHeight="1">
      <c r="A31" s="223"/>
      <c r="B31" s="2131" t="s">
        <v>1402</v>
      </c>
      <c r="C31" s="223"/>
      <c r="D31" s="261">
        <f>'Exhibit G state'!D30</f>
        <v>1.7</v>
      </c>
      <c r="E31" s="261"/>
      <c r="F31" s="261">
        <f>'Exhibit G state'!F30</f>
        <v>0.5</v>
      </c>
      <c r="G31" s="261"/>
      <c r="H31" s="261"/>
      <c r="I31" s="261"/>
      <c r="J31" s="261"/>
      <c r="K31" s="261"/>
      <c r="L31" s="261"/>
      <c r="M31" s="261"/>
      <c r="N31" s="261"/>
      <c r="O31" s="261"/>
      <c r="P31" s="261"/>
      <c r="Q31" s="261"/>
      <c r="R31" s="261"/>
      <c r="S31" s="261"/>
      <c r="T31" s="261"/>
      <c r="U31" s="261"/>
      <c r="V31" s="261"/>
      <c r="W31" s="261"/>
      <c r="X31" s="261"/>
      <c r="Y31" s="261"/>
      <c r="Z31" s="261"/>
      <c r="AA31" s="261"/>
      <c r="AB31" s="250"/>
      <c r="AC31" s="261">
        <f>ROUND(SUM(D31:Z31),1)</f>
        <v>2.2000000000000002</v>
      </c>
      <c r="AD31" s="261"/>
      <c r="AE31" s="250"/>
      <c r="AF31" s="2144">
        <f>'Exhibit G state'!AH30</f>
        <v>1.6</v>
      </c>
      <c r="AG31" s="516"/>
      <c r="AH31" s="249"/>
      <c r="AI31" s="1177">
        <f>ROUND(SUM(+AC31-AF31),1)</f>
        <v>0.6</v>
      </c>
      <c r="AJ31" s="248"/>
      <c r="AK31" s="1871">
        <f>ROUND(IF(AF31=0,0,AI31/(AF31)),3)</f>
        <v>0.375</v>
      </c>
    </row>
    <row r="32" spans="1:37" ht="15" customHeight="1">
      <c r="A32" s="223"/>
      <c r="B32" s="2131" t="s">
        <v>1403</v>
      </c>
      <c r="C32" s="223"/>
      <c r="D32" s="261">
        <f>'Exhibit G state'!D31</f>
        <v>-0.1</v>
      </c>
      <c r="E32" s="261"/>
      <c r="F32" s="261">
        <f>'Exhibit G state'!F31</f>
        <v>-0.1</v>
      </c>
      <c r="G32" s="261"/>
      <c r="H32" s="261"/>
      <c r="I32" s="261"/>
      <c r="J32" s="261"/>
      <c r="K32" s="261"/>
      <c r="L32" s="261"/>
      <c r="M32" s="261"/>
      <c r="N32" s="261"/>
      <c r="O32" s="261"/>
      <c r="P32" s="261"/>
      <c r="Q32" s="261"/>
      <c r="R32" s="261"/>
      <c r="S32" s="261"/>
      <c r="T32" s="261"/>
      <c r="U32" s="261"/>
      <c r="V32" s="261"/>
      <c r="W32" s="261"/>
      <c r="X32" s="261"/>
      <c r="Y32" s="261"/>
      <c r="Z32" s="261"/>
      <c r="AA32" s="261"/>
      <c r="AB32" s="250"/>
      <c r="AC32" s="261">
        <f>ROUND(SUM(D32:Z32),1)</f>
        <v>-0.2</v>
      </c>
      <c r="AD32" s="261"/>
      <c r="AE32" s="250"/>
      <c r="AF32" s="2144">
        <f>'Exhibit G state'!AH31</f>
        <v>-1.1000000000000001</v>
      </c>
      <c r="AG32" s="516"/>
      <c r="AH32" s="249"/>
      <c r="AI32" s="1177">
        <f>ROUND(SUM(+AC32-AF32),1)</f>
        <v>0.9</v>
      </c>
      <c r="AJ32" s="248"/>
      <c r="AK32" s="2843">
        <f>-ROUND(IF(AF32=0,0,AI32/(AF32)),3)</f>
        <v>0.81799999999999995</v>
      </c>
    </row>
    <row r="33" spans="1:37" ht="15" customHeight="1">
      <c r="A33" s="223"/>
      <c r="B33" s="2131" t="s">
        <v>1404</v>
      </c>
      <c r="C33" s="223"/>
      <c r="D33" s="261">
        <f>'Exhibit G state'!D32</f>
        <v>6.6</v>
      </c>
      <c r="E33" s="261"/>
      <c r="F33" s="261">
        <f>'Exhibit G state'!F32</f>
        <v>-0.1</v>
      </c>
      <c r="G33" s="261"/>
      <c r="H33" s="261"/>
      <c r="I33" s="261"/>
      <c r="J33" s="261"/>
      <c r="K33" s="261"/>
      <c r="L33" s="261"/>
      <c r="M33" s="261"/>
      <c r="N33" s="261"/>
      <c r="O33" s="261"/>
      <c r="P33" s="261"/>
      <c r="Q33" s="261"/>
      <c r="R33" s="261"/>
      <c r="S33" s="261"/>
      <c r="T33" s="261"/>
      <c r="U33" s="261"/>
      <c r="V33" s="261"/>
      <c r="W33" s="261"/>
      <c r="X33" s="261"/>
      <c r="Y33" s="261"/>
      <c r="Z33" s="261"/>
      <c r="AA33" s="261"/>
      <c r="AB33" s="250"/>
      <c r="AC33" s="261">
        <f>ROUND(SUM(D33:Z33),1)</f>
        <v>6.5</v>
      </c>
      <c r="AD33" s="261"/>
      <c r="AE33" s="250"/>
      <c r="AF33" s="2144">
        <f>'Exhibit G state'!AH32</f>
        <v>56.1</v>
      </c>
      <c r="AG33" s="516"/>
      <c r="AH33" s="249"/>
      <c r="AI33" s="1177">
        <f>ROUND(SUM(+AC33-AF33),1)</f>
        <v>-49.6</v>
      </c>
      <c r="AJ33" s="248"/>
      <c r="AK33" s="1871">
        <f>ROUND(IF(AF33=0,0,AI33/(AF33)),3)</f>
        <v>-0.88400000000000001</v>
      </c>
    </row>
    <row r="34" spans="1:37" ht="15" customHeight="1">
      <c r="A34" s="223"/>
      <c r="B34" s="2131" t="s">
        <v>1405</v>
      </c>
      <c r="C34" s="223"/>
      <c r="D34" s="261">
        <f>'Exhibit G state'!D33</f>
        <v>40.6</v>
      </c>
      <c r="E34" s="261"/>
      <c r="F34" s="261">
        <f>'Exhibit G state'!F33</f>
        <v>39.9</v>
      </c>
      <c r="G34" s="261"/>
      <c r="H34" s="261"/>
      <c r="I34" s="261"/>
      <c r="J34" s="261"/>
      <c r="K34" s="261"/>
      <c r="L34" s="261"/>
      <c r="M34" s="261"/>
      <c r="N34" s="261"/>
      <c r="O34" s="261"/>
      <c r="P34" s="261"/>
      <c r="Q34" s="261"/>
      <c r="R34" s="261"/>
      <c r="S34" s="261"/>
      <c r="T34" s="261"/>
      <c r="U34" s="261"/>
      <c r="V34" s="261"/>
      <c r="W34" s="261"/>
      <c r="X34" s="261"/>
      <c r="Y34" s="261"/>
      <c r="Z34" s="261"/>
      <c r="AA34" s="261"/>
      <c r="AB34" s="250"/>
      <c r="AC34" s="261">
        <f>ROUND(SUM(D34:Z34),1)</f>
        <v>80.5</v>
      </c>
      <c r="AD34" s="261"/>
      <c r="AE34" s="250"/>
      <c r="AF34" s="2144">
        <f>'Exhibit G state'!AH33</f>
        <v>85</v>
      </c>
      <c r="AG34" s="516"/>
      <c r="AH34" s="249"/>
      <c r="AI34" s="1177">
        <f>ROUND(SUM(+AC34-AF34),1)</f>
        <v>-4.5</v>
      </c>
      <c r="AJ34" s="248"/>
      <c r="AK34" s="1871">
        <f>ROUND(IF(AF34=0,0,AI34/(AF34)),3)</f>
        <v>-5.2999999999999999E-2</v>
      </c>
    </row>
    <row r="35" spans="1:37" s="413" customFormat="1" ht="15" customHeight="1">
      <c r="A35" s="221"/>
      <c r="B35" s="2132" t="s">
        <v>1400</v>
      </c>
      <c r="C35" s="221"/>
      <c r="D35" s="256">
        <f>ROUND(SUM(D30:D34),1)</f>
        <v>60.3</v>
      </c>
      <c r="E35" s="1899"/>
      <c r="F35" s="256">
        <f>ROUND(SUM(F30:F34),1)</f>
        <v>43.7</v>
      </c>
      <c r="G35" s="1899"/>
      <c r="H35" s="256">
        <f>ROUND(SUM(H30:H34),1)</f>
        <v>0</v>
      </c>
      <c r="I35" s="1899"/>
      <c r="J35" s="256">
        <f>ROUND(SUM(J30:J34),1)</f>
        <v>0</v>
      </c>
      <c r="K35" s="1899"/>
      <c r="L35" s="256">
        <f>ROUND(SUM(L30:L34),1)</f>
        <v>0</v>
      </c>
      <c r="M35" s="1899"/>
      <c r="N35" s="256">
        <f>ROUND(SUM(N30:N34),1)</f>
        <v>0</v>
      </c>
      <c r="O35" s="1899"/>
      <c r="P35" s="256">
        <f>ROUND(SUM(P30:P34),1)</f>
        <v>0</v>
      </c>
      <c r="Q35" s="1899"/>
      <c r="R35" s="256">
        <f>ROUND(SUM(R30:R34),1)</f>
        <v>0</v>
      </c>
      <c r="S35" s="1899"/>
      <c r="T35" s="256">
        <f>ROUND(SUM(T30:T34),1)</f>
        <v>0</v>
      </c>
      <c r="U35" s="1899"/>
      <c r="V35" s="256">
        <f>ROUND(SUM(V30:V34),1)</f>
        <v>0</v>
      </c>
      <c r="W35" s="1899"/>
      <c r="X35" s="256">
        <f>ROUND(SUM(X30:X34),1)</f>
        <v>0</v>
      </c>
      <c r="Y35" s="1899"/>
      <c r="Z35" s="256">
        <f>ROUND(SUM(Z30:Z34),1)</f>
        <v>0</v>
      </c>
      <c r="AA35" s="1899"/>
      <c r="AB35" s="259"/>
      <c r="AC35" s="256">
        <f>ROUND(SUM(AC30:AC34),1)</f>
        <v>104</v>
      </c>
      <c r="AD35" s="1899"/>
      <c r="AE35" s="259"/>
      <c r="AF35" s="256">
        <f>ROUND(SUM(AF30:AF34),1)</f>
        <v>181.2</v>
      </c>
      <c r="AG35" s="523"/>
      <c r="AH35" s="273"/>
      <c r="AI35" s="256">
        <f>ROUND(SUM(AI30:AI34),1)</f>
        <v>-77.2</v>
      </c>
      <c r="AK35" s="529">
        <f>ROUND(SUM(+AI35/AF35),3)</f>
        <v>-0.42599999999999999</v>
      </c>
    </row>
    <row r="36" spans="1:37" ht="15" customHeight="1">
      <c r="A36" s="223"/>
      <c r="B36" s="2400" t="s">
        <v>1446</v>
      </c>
      <c r="C36" s="223"/>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6"/>
      <c r="AH36" s="249"/>
      <c r="AI36" s="1177"/>
      <c r="AK36" s="1945"/>
    </row>
    <row r="37" spans="1:37" ht="15" customHeight="1">
      <c r="A37" s="223"/>
      <c r="B37" s="2133" t="s">
        <v>1413</v>
      </c>
      <c r="C37" s="223"/>
      <c r="D37" s="261">
        <f>'Exhibit G state'!D36</f>
        <v>132.6</v>
      </c>
      <c r="E37" s="261"/>
      <c r="F37" s="261">
        <f>'Exhibit G state'!F36</f>
        <v>87.3</v>
      </c>
      <c r="G37" s="261"/>
      <c r="H37" s="261"/>
      <c r="I37" s="261"/>
      <c r="J37" s="261"/>
      <c r="K37" s="261"/>
      <c r="L37" s="261"/>
      <c r="M37" s="261"/>
      <c r="N37" s="261"/>
      <c r="O37" s="261"/>
      <c r="P37" s="261"/>
      <c r="Q37" s="261"/>
      <c r="R37" s="261"/>
      <c r="S37" s="261"/>
      <c r="T37" s="261"/>
      <c r="U37" s="261"/>
      <c r="V37" s="261"/>
      <c r="W37" s="261"/>
      <c r="X37" s="261"/>
      <c r="Y37" s="261"/>
      <c r="Z37" s="261"/>
      <c r="AA37" s="261"/>
      <c r="AB37" s="250"/>
      <c r="AC37" s="261">
        <f>ROUND(SUM(D37:Z37),1)</f>
        <v>219.9</v>
      </c>
      <c r="AD37" s="261"/>
      <c r="AE37" s="250"/>
      <c r="AF37" s="2144">
        <f>'Exhibit G state'!AH36</f>
        <v>225</v>
      </c>
      <c r="AG37" s="516"/>
      <c r="AH37" s="249"/>
      <c r="AI37" s="1177">
        <f>ROUND(SUM(+AC37-AF37),1)</f>
        <v>-5.0999999999999996</v>
      </c>
      <c r="AJ37" s="248"/>
      <c r="AK37" s="1871">
        <f>ROUND(IF(AF37=0,0,AI37/(AF37)),3)</f>
        <v>-2.3E-2</v>
      </c>
    </row>
    <row r="38" spans="1:37" s="413" customFormat="1" ht="15" customHeight="1">
      <c r="A38" s="221"/>
      <c r="B38" s="2132" t="s">
        <v>1406</v>
      </c>
      <c r="C38" s="221"/>
      <c r="D38" s="485">
        <f>ROUND(SUM(D37:D37),1)</f>
        <v>132.6</v>
      </c>
      <c r="E38" s="1899"/>
      <c r="F38" s="485">
        <f>ROUND(SUM(F37:F37),1)</f>
        <v>87.3</v>
      </c>
      <c r="G38" s="1899"/>
      <c r="H38" s="485">
        <f>ROUND(SUM(H37:H37),1)</f>
        <v>0</v>
      </c>
      <c r="I38" s="1899"/>
      <c r="J38" s="485">
        <f>ROUND(SUM(J37:J37),1)</f>
        <v>0</v>
      </c>
      <c r="K38" s="1899"/>
      <c r="L38" s="485">
        <f>ROUND(SUM(L37:L37),1)</f>
        <v>0</v>
      </c>
      <c r="M38" s="1899"/>
      <c r="N38" s="485">
        <f>ROUND(SUM(N37:N37),1)</f>
        <v>0</v>
      </c>
      <c r="O38" s="1899"/>
      <c r="P38" s="485">
        <f>ROUND(SUM(P37:P37),1)</f>
        <v>0</v>
      </c>
      <c r="Q38" s="1899"/>
      <c r="R38" s="485">
        <f>ROUND(SUM(R37:R37),1)</f>
        <v>0</v>
      </c>
      <c r="S38" s="1899"/>
      <c r="T38" s="485">
        <f>ROUND(SUM(T37:T37),1)</f>
        <v>0</v>
      </c>
      <c r="U38" s="1899"/>
      <c r="V38" s="485">
        <f>ROUND(SUM(V37:V37),1)</f>
        <v>0</v>
      </c>
      <c r="W38" s="1899"/>
      <c r="X38" s="485">
        <f>ROUND(SUM(X37:X37),1)</f>
        <v>0</v>
      </c>
      <c r="Y38" s="1899"/>
      <c r="Z38" s="485">
        <f>ROUND(SUM(Z37:Z37),1)</f>
        <v>0</v>
      </c>
      <c r="AA38" s="1899"/>
      <c r="AB38" s="259"/>
      <c r="AC38" s="485">
        <f>ROUND(SUM(AC37:AC37),1)</f>
        <v>219.9</v>
      </c>
      <c r="AD38" s="1899"/>
      <c r="AE38" s="259"/>
      <c r="AF38" s="485">
        <f>ROUND(SUM(AF37:AF37),1)</f>
        <v>225</v>
      </c>
      <c r="AG38" s="523"/>
      <c r="AH38" s="273"/>
      <c r="AI38" s="485">
        <f>ROUND(SUM(AI37:AI37),1)</f>
        <v>-5.0999999999999996</v>
      </c>
      <c r="AK38" s="2115">
        <f>ROUND(SUM(+AI38/AF38),3)</f>
        <v>-2.3E-2</v>
      </c>
    </row>
    <row r="39" spans="1:37" ht="15" customHeight="1">
      <c r="A39" s="223"/>
      <c r="B39" s="2146"/>
      <c r="C39" s="223"/>
      <c r="D39" s="249"/>
      <c r="E39" s="261"/>
      <c r="F39" s="249"/>
      <c r="G39" s="249"/>
      <c r="H39" s="249"/>
      <c r="I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6"/>
      <c r="AH39" s="249"/>
      <c r="AI39" s="1921"/>
      <c r="AJ39" s="229"/>
      <c r="AK39" s="1274"/>
    </row>
    <row r="40" spans="1:37" ht="15" customHeight="1">
      <c r="A40" s="223"/>
      <c r="B40" s="2132" t="s">
        <v>1374</v>
      </c>
      <c r="C40" s="223"/>
      <c r="D40" s="2367">
        <f>ROUND(SUM(D18+D28+D35+D38),1)</f>
        <v>399.6</v>
      </c>
      <c r="E40" s="261"/>
      <c r="F40" s="271">
        <f>ROUND(SUM(F18+F28+F35+F38),1)</f>
        <v>277.8</v>
      </c>
      <c r="G40" s="261"/>
      <c r="H40" s="271">
        <f>ROUND(SUM(H18+H28+H35+H38),1)</f>
        <v>0</v>
      </c>
      <c r="I40" s="261"/>
      <c r="J40" s="271">
        <f>ROUND(SUM(J18+J28+J35+J38),1)</f>
        <v>0</v>
      </c>
      <c r="K40" s="261"/>
      <c r="L40" s="271">
        <f>ROUND(SUM(L18+L28+L35+L38),1)</f>
        <v>0</v>
      </c>
      <c r="M40" s="261"/>
      <c r="N40" s="271">
        <f>ROUND(SUM(N18+N28+N35+N38),1)</f>
        <v>0</v>
      </c>
      <c r="O40" s="261"/>
      <c r="P40" s="271">
        <f>ROUND(SUM(P18+P28+P35+P38),1)</f>
        <v>0</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677.4</v>
      </c>
      <c r="AD40" s="261"/>
      <c r="AE40" s="250"/>
      <c r="AF40" s="271">
        <f>ROUND(SUM(AF18+AF28+AF35+AF38),1)</f>
        <v>778.7</v>
      </c>
      <c r="AG40" s="516"/>
      <c r="AH40" s="249"/>
      <c r="AI40" s="271">
        <f>ROUND(SUM(AI18+AI28+AI35+AI38),1)</f>
        <v>-101.3</v>
      </c>
      <c r="AK40" s="526">
        <f>ROUND(SUM(+AI40/AF40),3)</f>
        <v>-0.13</v>
      </c>
    </row>
    <row r="41" spans="1:37" ht="15" customHeight="1">
      <c r="A41" s="223"/>
      <c r="B41" s="223"/>
      <c r="C41" s="223"/>
      <c r="D41" s="1333"/>
      <c r="E41" s="261"/>
      <c r="F41" s="1333"/>
      <c r="G41" s="261"/>
      <c r="H41" s="1333"/>
      <c r="I41" s="261"/>
      <c r="J41" s="1333"/>
      <c r="K41" s="261"/>
      <c r="L41" s="1333"/>
      <c r="M41" s="261"/>
      <c r="N41" s="274"/>
      <c r="O41" s="261"/>
      <c r="P41" s="274"/>
      <c r="Q41" s="261"/>
      <c r="R41" s="274"/>
      <c r="S41" s="261"/>
      <c r="T41" s="274"/>
      <c r="U41" s="261"/>
      <c r="V41" s="274"/>
      <c r="W41" s="261"/>
      <c r="X41" s="274"/>
      <c r="Y41" s="261"/>
      <c r="Z41" s="519"/>
      <c r="AA41" s="261"/>
      <c r="AB41" s="250"/>
      <c r="AC41" s="261"/>
      <c r="AD41" s="261"/>
      <c r="AE41" s="250"/>
      <c r="AF41" s="517"/>
      <c r="AG41" s="520"/>
      <c r="AH41" s="249"/>
      <c r="AI41" s="1177"/>
      <c r="AJ41" s="248"/>
      <c r="AK41" s="1945"/>
    </row>
    <row r="42" spans="1:37" ht="15" customHeight="1">
      <c r="A42" s="223"/>
      <c r="B42" s="491" t="s">
        <v>1308</v>
      </c>
      <c r="C42" s="223"/>
      <c r="D42" s="1333"/>
      <c r="E42" s="261"/>
      <c r="F42" s="1333"/>
      <c r="G42" s="261"/>
      <c r="H42" s="1333"/>
      <c r="I42" s="261"/>
      <c r="J42" s="1333"/>
      <c r="K42" s="261"/>
      <c r="L42" s="1333"/>
      <c r="M42" s="261"/>
      <c r="N42" s="274"/>
      <c r="O42" s="261"/>
      <c r="P42" s="274"/>
      <c r="Q42" s="261"/>
      <c r="R42" s="274"/>
      <c r="S42" s="261"/>
      <c r="T42" s="274"/>
      <c r="U42" s="261"/>
      <c r="V42" s="274"/>
      <c r="W42" s="261"/>
      <c r="X42" s="274"/>
      <c r="Y42" s="261"/>
      <c r="Z42" s="519"/>
      <c r="AA42" s="261"/>
      <c r="AB42" s="250"/>
      <c r="AC42" s="261"/>
      <c r="AD42" s="261"/>
      <c r="AE42" s="250"/>
      <c r="AF42" s="517"/>
      <c r="AG42" s="520"/>
      <c r="AH42" s="249"/>
      <c r="AI42" s="1177"/>
      <c r="AJ42" s="248"/>
      <c r="AK42" s="1945"/>
    </row>
    <row r="43" spans="1:37" ht="15" customHeight="1">
      <c r="A43" s="223"/>
      <c r="B43" s="1837" t="s">
        <v>1436</v>
      </c>
      <c r="C43" s="223"/>
      <c r="D43" s="1333"/>
      <c r="E43" s="261"/>
      <c r="F43" s="1333"/>
      <c r="G43" s="261"/>
      <c r="H43" s="1333"/>
      <c r="I43" s="261"/>
      <c r="J43" s="1333"/>
      <c r="K43" s="261"/>
      <c r="L43" s="1333"/>
      <c r="M43" s="261"/>
      <c r="N43" s="274"/>
      <c r="O43" s="261"/>
      <c r="P43" s="274"/>
      <c r="Q43" s="261"/>
      <c r="R43" s="274"/>
      <c r="S43" s="261"/>
      <c r="T43" s="274"/>
      <c r="U43" s="261"/>
      <c r="V43" s="274"/>
      <c r="W43" s="261"/>
      <c r="X43" s="274"/>
      <c r="Y43" s="261"/>
      <c r="Z43" s="519"/>
      <c r="AA43" s="261"/>
      <c r="AB43" s="250"/>
      <c r="AC43" s="261"/>
      <c r="AD43" s="261"/>
      <c r="AE43" s="250"/>
      <c r="AF43" s="517"/>
      <c r="AG43" s="520"/>
      <c r="AH43" s="249"/>
      <c r="AI43" s="1177"/>
      <c r="AJ43" s="248"/>
      <c r="AK43" s="1945"/>
    </row>
    <row r="44" spans="1:37" ht="15" customHeight="1">
      <c r="A44" s="223"/>
      <c r="B44" s="1837" t="s">
        <v>1341</v>
      </c>
      <c r="C44" s="223"/>
      <c r="D44" s="1333">
        <f>'Exhibit G state'!D43+'Exhibit G Federal'!D19</f>
        <v>0.8</v>
      </c>
      <c r="E44" s="261"/>
      <c r="F44" s="1333">
        <f>'Exhibit G state'!F43+'Exhibit G Federal'!F19</f>
        <v>0.6</v>
      </c>
      <c r="G44" s="261"/>
      <c r="H44" s="1333"/>
      <c r="I44" s="261"/>
      <c r="J44" s="1333"/>
      <c r="K44" s="261"/>
      <c r="L44" s="1333"/>
      <c r="M44" s="261"/>
      <c r="N44" s="1333"/>
      <c r="O44" s="261"/>
      <c r="P44" s="1333"/>
      <c r="Q44" s="261"/>
      <c r="R44" s="1333"/>
      <c r="S44" s="261"/>
      <c r="T44" s="2144"/>
      <c r="U44" s="261"/>
      <c r="V44" s="2144"/>
      <c r="W44" s="261"/>
      <c r="X44" s="2144"/>
      <c r="Y44" s="261"/>
      <c r="Z44" s="2144"/>
      <c r="AA44" s="261"/>
      <c r="AB44" s="250"/>
      <c r="AC44" s="261">
        <f t="shared" ref="AC44:AC83" si="3">ROUND(SUM(D44:Z44),1)</f>
        <v>1.4</v>
      </c>
      <c r="AD44" s="261"/>
      <c r="AE44" s="250"/>
      <c r="AF44" s="517">
        <f>+'Exhibit G state'!AH43+'Exhibit G Federal'!AH19</f>
        <v>1.8</v>
      </c>
      <c r="AG44" s="520"/>
      <c r="AH44" s="249"/>
      <c r="AI44" s="1177">
        <f>ROUND(SUM(+AC44-AF44),1)</f>
        <v>-0.4</v>
      </c>
      <c r="AJ44" s="248"/>
      <c r="AK44" s="1871">
        <f t="shared" ref="AK44:AK80" si="4">ROUND(IF(AF44=0,0,AI44/(AF44)),3)</f>
        <v>-0.222</v>
      </c>
    </row>
    <row r="45" spans="1:37" ht="15" customHeight="1">
      <c r="A45" s="223"/>
      <c r="B45" s="1837" t="s">
        <v>1437</v>
      </c>
      <c r="C45" s="223"/>
      <c r="D45" s="1358"/>
      <c r="E45" s="261"/>
      <c r="F45" s="1358"/>
      <c r="G45" s="261"/>
      <c r="H45" s="1358"/>
      <c r="I45" s="261"/>
      <c r="J45" s="1358"/>
      <c r="K45" s="261"/>
      <c r="L45" s="1358"/>
      <c r="M45" s="261"/>
      <c r="N45" s="1358"/>
      <c r="O45" s="261"/>
      <c r="P45" s="1333"/>
      <c r="Q45" s="261"/>
      <c r="R45" s="274"/>
      <c r="S45" s="261"/>
      <c r="T45" s="274"/>
      <c r="U45" s="261"/>
      <c r="V45" s="274"/>
      <c r="W45" s="261"/>
      <c r="X45" s="2144"/>
      <c r="Y45" s="261"/>
      <c r="Z45" s="2144"/>
      <c r="AA45" s="261"/>
      <c r="AB45" s="250"/>
      <c r="AC45" s="261"/>
      <c r="AD45" s="261"/>
      <c r="AE45" s="250"/>
      <c r="AF45" s="517"/>
      <c r="AG45" s="520"/>
      <c r="AH45" s="249"/>
      <c r="AI45" s="1177"/>
      <c r="AJ45" s="248"/>
      <c r="AK45" s="1945"/>
    </row>
    <row r="46" spans="1:37" ht="15" customHeight="1">
      <c r="A46" s="223"/>
      <c r="B46" s="1837" t="s">
        <v>1343</v>
      </c>
      <c r="C46" s="223"/>
      <c r="D46" s="1358">
        <f>'Exhibit G state'!D45+'Exhibit G Federal'!D21</f>
        <v>79.3</v>
      </c>
      <c r="E46" s="261"/>
      <c r="F46" s="1358">
        <f>'Exhibit G state'!F45+'Exhibit G Federal'!F21</f>
        <v>52.2</v>
      </c>
      <c r="G46" s="261"/>
      <c r="H46" s="1358"/>
      <c r="I46" s="261"/>
      <c r="J46" s="1333"/>
      <c r="K46" s="261"/>
      <c r="L46" s="1333"/>
      <c r="M46" s="261"/>
      <c r="N46" s="1333"/>
      <c r="O46" s="261"/>
      <c r="P46" s="1333"/>
      <c r="Q46" s="261"/>
      <c r="R46" s="1333"/>
      <c r="S46" s="261"/>
      <c r="T46" s="2144"/>
      <c r="U46" s="261"/>
      <c r="V46" s="2144"/>
      <c r="W46" s="261"/>
      <c r="X46" s="2144"/>
      <c r="Y46" s="261"/>
      <c r="Z46" s="2144"/>
      <c r="AA46" s="261"/>
      <c r="AB46" s="250"/>
      <c r="AC46" s="261">
        <f t="shared" si="3"/>
        <v>131.5</v>
      </c>
      <c r="AD46" s="261"/>
      <c r="AE46" s="250"/>
      <c r="AF46" s="517">
        <f>+'Exhibit G state'!AH45+'Exhibit G Federal'!AH21</f>
        <v>155.6</v>
      </c>
      <c r="AG46" s="520"/>
      <c r="AH46" s="249"/>
      <c r="AI46" s="1177">
        <f>ROUND(SUM(+AC46-AF46),1)</f>
        <v>-24.1</v>
      </c>
      <c r="AJ46" s="248"/>
      <c r="AK46" s="1871">
        <f t="shared" si="4"/>
        <v>-0.155</v>
      </c>
    </row>
    <row r="47" spans="1:37" ht="15" customHeight="1">
      <c r="A47" s="223"/>
      <c r="B47" s="1837" t="s">
        <v>1344</v>
      </c>
      <c r="C47" s="223"/>
      <c r="D47" s="1358">
        <f>'Exhibit G state'!D46+'Exhibit G Federal'!D22</f>
        <v>371.1</v>
      </c>
      <c r="E47" s="261"/>
      <c r="F47" s="1358">
        <f>'Exhibit G state'!F46+'Exhibit G Federal'!F22</f>
        <v>425.4</v>
      </c>
      <c r="G47" s="261"/>
      <c r="H47" s="1358"/>
      <c r="I47" s="261"/>
      <c r="J47" s="1333"/>
      <c r="K47" s="261"/>
      <c r="L47" s="1333"/>
      <c r="M47" s="261"/>
      <c r="N47" s="1333"/>
      <c r="O47" s="261"/>
      <c r="P47" s="1333"/>
      <c r="Q47" s="261"/>
      <c r="R47" s="1333"/>
      <c r="S47" s="261"/>
      <c r="T47" s="2144"/>
      <c r="U47" s="261"/>
      <c r="V47" s="2144"/>
      <c r="W47" s="261"/>
      <c r="X47" s="2144"/>
      <c r="Y47" s="261"/>
      <c r="Z47" s="2144"/>
      <c r="AA47" s="261"/>
      <c r="AB47" s="250"/>
      <c r="AC47" s="1177">
        <f t="shared" si="3"/>
        <v>796.5</v>
      </c>
      <c r="AD47" s="261"/>
      <c r="AE47" s="250"/>
      <c r="AF47" s="517">
        <f>+'Exhibit G state'!AH46+'Exhibit G Federal'!AH22</f>
        <v>759.1</v>
      </c>
      <c r="AG47" s="520"/>
      <c r="AH47" s="249"/>
      <c r="AI47" s="1177">
        <f>ROUND(SUM(+AC47-AF47),1)</f>
        <v>37.4</v>
      </c>
      <c r="AJ47" s="248"/>
      <c r="AK47" s="1871">
        <f t="shared" si="4"/>
        <v>4.9000000000000002E-2</v>
      </c>
    </row>
    <row r="48" spans="1:37" ht="15" customHeight="1">
      <c r="A48" s="223"/>
      <c r="B48" s="1837" t="s">
        <v>1345</v>
      </c>
      <c r="C48" s="223"/>
      <c r="D48" s="1358">
        <f>'Exhibit G state'!D47+'Exhibit G Federal'!D23</f>
        <v>0.7</v>
      </c>
      <c r="E48" s="261"/>
      <c r="F48" s="1358">
        <f>'Exhibit G state'!F47+'Exhibit G Federal'!F23</f>
        <v>-0.1</v>
      </c>
      <c r="G48" s="261"/>
      <c r="H48" s="1358"/>
      <c r="I48" s="261"/>
      <c r="J48" s="1333"/>
      <c r="K48" s="261"/>
      <c r="L48" s="1333"/>
      <c r="M48" s="261"/>
      <c r="N48" s="1333"/>
      <c r="O48" s="261"/>
      <c r="P48" s="1333"/>
      <c r="Q48" s="261"/>
      <c r="R48" s="1333"/>
      <c r="S48" s="261"/>
      <c r="T48" s="2144"/>
      <c r="U48" s="261"/>
      <c r="V48" s="2144"/>
      <c r="W48" s="261"/>
      <c r="X48" s="2144"/>
      <c r="Y48" s="261"/>
      <c r="Z48" s="2144"/>
      <c r="AA48" s="261"/>
      <c r="AB48" s="250"/>
      <c r="AC48" s="261">
        <f t="shared" si="3"/>
        <v>0.6</v>
      </c>
      <c r="AD48" s="261"/>
      <c r="AE48" s="250"/>
      <c r="AF48" s="517">
        <f>+'Exhibit G state'!AH47+'Exhibit G Federal'!AH23</f>
        <v>0.5</v>
      </c>
      <c r="AG48" s="520"/>
      <c r="AH48" s="249"/>
      <c r="AI48" s="1177">
        <f>ROUND(SUM(+AC48-AF48),1)</f>
        <v>0.1</v>
      </c>
      <c r="AJ48" s="248"/>
      <c r="AK48" s="1871">
        <f t="shared" si="4"/>
        <v>0.2</v>
      </c>
    </row>
    <row r="49" spans="1:37" ht="15" customHeight="1">
      <c r="A49" s="223"/>
      <c r="B49" s="1837" t="s">
        <v>1346</v>
      </c>
      <c r="C49" s="223"/>
      <c r="D49" s="1358">
        <f>'Exhibit G state'!D48+'Exhibit G Federal'!D24</f>
        <v>18.2</v>
      </c>
      <c r="E49" s="261"/>
      <c r="F49" s="1358">
        <f>'Exhibit G state'!F48+'Exhibit G Federal'!F24</f>
        <v>19.3</v>
      </c>
      <c r="G49" s="261"/>
      <c r="H49" s="1358"/>
      <c r="I49" s="261"/>
      <c r="J49" s="1333"/>
      <c r="K49" s="261"/>
      <c r="L49" s="1333"/>
      <c r="M49" s="261"/>
      <c r="N49" s="1333"/>
      <c r="O49" s="261"/>
      <c r="P49" s="1333"/>
      <c r="Q49" s="261"/>
      <c r="R49" s="1333"/>
      <c r="S49" s="261"/>
      <c r="T49" s="2144"/>
      <c r="U49" s="261"/>
      <c r="V49" s="2144"/>
      <c r="W49" s="261"/>
      <c r="X49" s="2144"/>
      <c r="Y49" s="261"/>
      <c r="Z49" s="2144"/>
      <c r="AA49" s="261"/>
      <c r="AB49" s="250"/>
      <c r="AC49" s="261">
        <f t="shared" si="3"/>
        <v>37.5</v>
      </c>
      <c r="AD49" s="261"/>
      <c r="AE49" s="250"/>
      <c r="AF49" s="517">
        <f>+'Exhibit G state'!AH48+'Exhibit G Federal'!AH24</f>
        <v>33.6</v>
      </c>
      <c r="AG49" s="520"/>
      <c r="AH49" s="249"/>
      <c r="AI49" s="1177">
        <f>ROUND(SUM(+AC49-AF49),1)</f>
        <v>3.9</v>
      </c>
      <c r="AJ49" s="248"/>
      <c r="AK49" s="1871">
        <f t="shared" si="4"/>
        <v>0.11600000000000001</v>
      </c>
    </row>
    <row r="50" spans="1:37" ht="15" customHeight="1">
      <c r="A50" s="223"/>
      <c r="B50" s="1837" t="s">
        <v>1442</v>
      </c>
      <c r="C50" s="223"/>
      <c r="D50" s="1358"/>
      <c r="E50" s="261"/>
      <c r="F50" s="1358"/>
      <c r="G50" s="261"/>
      <c r="H50" s="1358"/>
      <c r="I50" s="261"/>
      <c r="J50" s="1358"/>
      <c r="K50" s="261"/>
      <c r="L50" s="1358"/>
      <c r="M50" s="261"/>
      <c r="N50" s="1358"/>
      <c r="O50" s="261"/>
      <c r="P50" s="1333"/>
      <c r="Q50" s="261"/>
      <c r="R50" s="1333"/>
      <c r="S50" s="261"/>
      <c r="T50" s="2144"/>
      <c r="U50" s="261"/>
      <c r="V50" s="2144"/>
      <c r="W50" s="261"/>
      <c r="X50" s="2144"/>
      <c r="Y50" s="261"/>
      <c r="Z50" s="2144"/>
      <c r="AA50" s="261"/>
      <c r="AB50" s="250"/>
      <c r="AC50" s="261"/>
      <c r="AD50" s="261"/>
      <c r="AE50" s="250"/>
      <c r="AF50" s="517"/>
      <c r="AG50" s="520"/>
      <c r="AH50" s="249"/>
      <c r="AI50" s="1177"/>
      <c r="AJ50" s="248"/>
      <c r="AK50" s="1945"/>
    </row>
    <row r="51" spans="1:37" ht="15" customHeight="1">
      <c r="A51" s="223"/>
      <c r="B51" s="1837" t="s">
        <v>1347</v>
      </c>
      <c r="C51" s="223"/>
      <c r="D51" s="1358">
        <f>'Exhibit G state'!D50+'Exhibit G Federal'!D26</f>
        <v>70.5</v>
      </c>
      <c r="E51" s="261"/>
      <c r="F51" s="1358">
        <f>'Exhibit G state'!F50+'Exhibit G Federal'!F26</f>
        <v>53.4</v>
      </c>
      <c r="G51" s="261"/>
      <c r="H51" s="1358"/>
      <c r="I51" s="261"/>
      <c r="J51" s="1333"/>
      <c r="K51" s="261"/>
      <c r="L51" s="1333"/>
      <c r="M51" s="261"/>
      <c r="N51" s="1333"/>
      <c r="O51" s="261"/>
      <c r="P51" s="1333"/>
      <c r="Q51" s="261"/>
      <c r="R51" s="1333"/>
      <c r="S51" s="261"/>
      <c r="T51" s="2144"/>
      <c r="U51" s="261"/>
      <c r="V51" s="2144"/>
      <c r="W51" s="261"/>
      <c r="X51" s="2144"/>
      <c r="Y51" s="261"/>
      <c r="Z51" s="2144"/>
      <c r="AA51" s="261"/>
      <c r="AB51" s="250"/>
      <c r="AC51" s="261">
        <f t="shared" si="3"/>
        <v>123.9</v>
      </c>
      <c r="AD51" s="261"/>
      <c r="AE51" s="250"/>
      <c r="AF51" s="517">
        <f>+'Exhibit G state'!AH50+'Exhibit G Federal'!AH26</f>
        <v>110.6</v>
      </c>
      <c r="AG51" s="520"/>
      <c r="AH51" s="249"/>
      <c r="AI51" s="1177">
        <f t="shared" ref="AI51:AI56" si="5">ROUND(SUM(+AC51-AF51),1)</f>
        <v>13.3</v>
      </c>
      <c r="AJ51" s="248"/>
      <c r="AK51" s="1871">
        <f t="shared" si="4"/>
        <v>0.12</v>
      </c>
    </row>
    <row r="52" spans="1:37" ht="15" customHeight="1">
      <c r="A52" s="223"/>
      <c r="B52" s="1837" t="s">
        <v>1348</v>
      </c>
      <c r="C52" s="223"/>
      <c r="D52" s="1358">
        <f>'Exhibit G state'!D51+'Exhibit G Federal'!D27</f>
        <v>4.4000000000000004</v>
      </c>
      <c r="E52" s="261"/>
      <c r="F52" s="1358">
        <f>'Exhibit G state'!F51+'Exhibit G Federal'!F27</f>
        <v>4.4000000000000004</v>
      </c>
      <c r="G52" s="261"/>
      <c r="H52" s="1358"/>
      <c r="I52" s="261"/>
      <c r="J52" s="1333"/>
      <c r="K52" s="261"/>
      <c r="L52" s="1333"/>
      <c r="M52" s="261"/>
      <c r="N52" s="1333"/>
      <c r="O52" s="261"/>
      <c r="P52" s="1333"/>
      <c r="Q52" s="261"/>
      <c r="R52" s="1333"/>
      <c r="S52" s="261"/>
      <c r="T52" s="2144"/>
      <c r="U52" s="261"/>
      <c r="V52" s="2144"/>
      <c r="W52" s="261"/>
      <c r="X52" s="2144"/>
      <c r="Y52" s="261"/>
      <c r="Z52" s="2144"/>
      <c r="AA52" s="261"/>
      <c r="AB52" s="250"/>
      <c r="AC52" s="261">
        <f t="shared" si="3"/>
        <v>8.8000000000000007</v>
      </c>
      <c r="AD52" s="261"/>
      <c r="AE52" s="250"/>
      <c r="AF52" s="517">
        <f>+'Exhibit G state'!AH51+'Exhibit G Federal'!AH27</f>
        <v>9</v>
      </c>
      <c r="AG52" s="520"/>
      <c r="AH52" s="249"/>
      <c r="AI52" s="1177">
        <f t="shared" si="5"/>
        <v>-0.2</v>
      </c>
      <c r="AJ52" s="248"/>
      <c r="AK52" s="1871">
        <f t="shared" si="4"/>
        <v>-2.1999999999999999E-2</v>
      </c>
    </row>
    <row r="53" spans="1:37" ht="15" customHeight="1">
      <c r="A53" s="223"/>
      <c r="B53" s="1837" t="s">
        <v>1349</v>
      </c>
      <c r="C53" s="223"/>
      <c r="D53" s="1358">
        <f>'Exhibit G state'!D52+'Exhibit G Federal'!D28</f>
        <v>0</v>
      </c>
      <c r="E53" s="261"/>
      <c r="F53" s="1358">
        <f>'Exhibit G state'!F52+'Exhibit G Federal'!F28</f>
        <v>0.3</v>
      </c>
      <c r="G53" s="261"/>
      <c r="H53" s="1358"/>
      <c r="I53" s="261"/>
      <c r="J53" s="1333"/>
      <c r="K53" s="261"/>
      <c r="L53" s="1333"/>
      <c r="M53" s="261"/>
      <c r="N53" s="1333"/>
      <c r="O53" s="261"/>
      <c r="P53" s="1333"/>
      <c r="Q53" s="261"/>
      <c r="R53" s="1333"/>
      <c r="S53" s="261"/>
      <c r="T53" s="2144"/>
      <c r="U53" s="261"/>
      <c r="V53" s="2144"/>
      <c r="W53" s="261"/>
      <c r="X53" s="2144"/>
      <c r="Y53" s="261"/>
      <c r="Z53" s="2144"/>
      <c r="AA53" s="261"/>
      <c r="AB53" s="250"/>
      <c r="AC53" s="261">
        <f t="shared" si="3"/>
        <v>0.3</v>
      </c>
      <c r="AD53" s="261"/>
      <c r="AE53" s="250"/>
      <c r="AF53" s="517">
        <f>+'Exhibit G state'!AH52+'Exhibit G Federal'!AH28</f>
        <v>1.3</v>
      </c>
      <c r="AG53" s="520"/>
      <c r="AH53" s="249"/>
      <c r="AI53" s="1177">
        <f t="shared" si="5"/>
        <v>-1</v>
      </c>
      <c r="AJ53" s="248"/>
      <c r="AK53" s="1871">
        <f t="shared" si="4"/>
        <v>-0.76900000000000002</v>
      </c>
    </row>
    <row r="54" spans="1:37" ht="15" customHeight="1">
      <c r="A54" s="223"/>
      <c r="B54" s="1837" t="s">
        <v>1350</v>
      </c>
      <c r="C54" s="223"/>
      <c r="D54" s="1358">
        <f>'Exhibit G state'!D53+'Exhibit G Federal'!D29</f>
        <v>33.5</v>
      </c>
      <c r="E54" s="261"/>
      <c r="F54" s="1358">
        <f>'Exhibit G state'!F53+'Exhibit G Federal'!F29</f>
        <v>50</v>
      </c>
      <c r="G54" s="261"/>
      <c r="H54" s="1358"/>
      <c r="I54" s="261"/>
      <c r="J54" s="1333"/>
      <c r="K54" s="261"/>
      <c r="L54" s="1333"/>
      <c r="M54" s="261"/>
      <c r="N54" s="1333"/>
      <c r="O54" s="261"/>
      <c r="P54" s="1333"/>
      <c r="Q54" s="261"/>
      <c r="R54" s="1333"/>
      <c r="S54" s="261"/>
      <c r="T54" s="2144"/>
      <c r="U54" s="261"/>
      <c r="V54" s="2144"/>
      <c r="W54" s="261"/>
      <c r="X54" s="2144"/>
      <c r="Y54" s="261"/>
      <c r="Z54" s="2144"/>
      <c r="AA54" s="261"/>
      <c r="AB54" s="250"/>
      <c r="AC54" s="261">
        <f t="shared" si="3"/>
        <v>83.5</v>
      </c>
      <c r="AD54" s="261"/>
      <c r="AE54" s="250"/>
      <c r="AF54" s="517">
        <f>+'Exhibit G state'!AH53+'Exhibit G Federal'!AH29</f>
        <v>81.2</v>
      </c>
      <c r="AG54" s="520"/>
      <c r="AH54" s="249"/>
      <c r="AI54" s="1177">
        <f t="shared" si="5"/>
        <v>2.2999999999999998</v>
      </c>
      <c r="AJ54" s="248"/>
      <c r="AK54" s="1871">
        <f t="shared" si="4"/>
        <v>2.8000000000000001E-2</v>
      </c>
    </row>
    <row r="55" spans="1:37" ht="15" customHeight="1">
      <c r="A55" s="223"/>
      <c r="B55" s="1837" t="s">
        <v>1351</v>
      </c>
      <c r="C55" s="223"/>
      <c r="D55" s="1358">
        <f>'Exhibit G state'!D54+'Exhibit G Federal'!D30</f>
        <v>15.4</v>
      </c>
      <c r="E55" s="261"/>
      <c r="F55" s="1358">
        <f>'Exhibit G state'!F54+'Exhibit G Federal'!F30</f>
        <v>24.1</v>
      </c>
      <c r="G55" s="261"/>
      <c r="H55" s="1358"/>
      <c r="I55" s="261"/>
      <c r="J55" s="1333"/>
      <c r="K55" s="261"/>
      <c r="L55" s="1333"/>
      <c r="M55" s="261"/>
      <c r="N55" s="1333"/>
      <c r="O55" s="261"/>
      <c r="P55" s="1333"/>
      <c r="Q55" s="261"/>
      <c r="R55" s="1333"/>
      <c r="S55" s="261"/>
      <c r="T55" s="2144"/>
      <c r="U55" s="261"/>
      <c r="V55" s="2144"/>
      <c r="W55" s="261"/>
      <c r="X55" s="2144"/>
      <c r="Y55" s="261"/>
      <c r="Z55" s="2144"/>
      <c r="AA55" s="261"/>
      <c r="AB55" s="250"/>
      <c r="AC55" s="1177">
        <f t="shared" si="3"/>
        <v>39.5</v>
      </c>
      <c r="AD55" s="261"/>
      <c r="AE55" s="250"/>
      <c r="AF55" s="517">
        <f>+'Exhibit G state'!AH54+'Exhibit G Federal'!AH30</f>
        <v>30.8</v>
      </c>
      <c r="AG55" s="520"/>
      <c r="AH55" s="249"/>
      <c r="AI55" s="1177">
        <f t="shared" si="5"/>
        <v>8.6999999999999993</v>
      </c>
      <c r="AJ55" s="248"/>
      <c r="AK55" s="1871">
        <f t="shared" si="4"/>
        <v>0.28199999999999997</v>
      </c>
    </row>
    <row r="56" spans="1:37" ht="15" customHeight="1">
      <c r="A56" s="223"/>
      <c r="B56" s="1837" t="s">
        <v>1309</v>
      </c>
      <c r="C56" s="223"/>
      <c r="D56" s="1358">
        <f>'Exhibit G state'!D55+'Exhibit G Federal'!D31</f>
        <v>9.9</v>
      </c>
      <c r="E56" s="261"/>
      <c r="F56" s="1358">
        <f>'Exhibit G state'!F55+'Exhibit G Federal'!F31</f>
        <v>321.10000000000002</v>
      </c>
      <c r="G56" s="261"/>
      <c r="H56" s="1358"/>
      <c r="I56" s="261"/>
      <c r="J56" s="1333"/>
      <c r="K56" s="261"/>
      <c r="L56" s="1333"/>
      <c r="M56" s="261"/>
      <c r="N56" s="1333"/>
      <c r="O56" s="261"/>
      <c r="P56" s="1333"/>
      <c r="Q56" s="261"/>
      <c r="R56" s="1333"/>
      <c r="S56" s="261"/>
      <c r="T56" s="2144"/>
      <c r="U56" s="261"/>
      <c r="V56" s="2144"/>
      <c r="W56" s="261"/>
      <c r="X56" s="2144"/>
      <c r="Y56" s="261"/>
      <c r="Z56" s="2144"/>
      <c r="AA56" s="261"/>
      <c r="AB56" s="250"/>
      <c r="AC56" s="1177">
        <f t="shared" si="3"/>
        <v>331</v>
      </c>
      <c r="AD56" s="261"/>
      <c r="AE56" s="250"/>
      <c r="AF56" s="517">
        <f>+'Exhibit G state'!AH55+'Exhibit G Federal'!AH31</f>
        <v>-48</v>
      </c>
      <c r="AG56" s="520"/>
      <c r="AH56" s="249"/>
      <c r="AI56" s="1177">
        <f t="shared" si="5"/>
        <v>379</v>
      </c>
      <c r="AJ56" s="248"/>
      <c r="AK56" s="2843">
        <f>-ROUND(IF(AF56=0,0,AI56/(AF56)),3)</f>
        <v>7.8959999999999999</v>
      </c>
    </row>
    <row r="57" spans="1:37" ht="15" customHeight="1">
      <c r="A57" s="223"/>
      <c r="B57" s="1837" t="s">
        <v>1439</v>
      </c>
      <c r="C57" s="223"/>
      <c r="D57" s="1358"/>
      <c r="E57" s="261"/>
      <c r="F57" s="1358"/>
      <c r="G57" s="261"/>
      <c r="H57" s="1358"/>
      <c r="I57" s="261"/>
      <c r="J57" s="1358"/>
      <c r="K57" s="261"/>
      <c r="L57" s="1358"/>
      <c r="M57" s="261"/>
      <c r="N57" s="1358"/>
      <c r="O57" s="261"/>
      <c r="P57" s="1333"/>
      <c r="Q57" s="261"/>
      <c r="R57" s="1333"/>
      <c r="S57" s="261"/>
      <c r="T57" s="2144"/>
      <c r="U57" s="261"/>
      <c r="V57" s="2144"/>
      <c r="W57" s="261"/>
      <c r="X57" s="2144"/>
      <c r="Y57" s="261"/>
      <c r="Z57" s="2144"/>
      <c r="AA57" s="261"/>
      <c r="AB57" s="250"/>
      <c r="AC57" s="1177"/>
      <c r="AD57" s="261"/>
      <c r="AE57" s="250"/>
      <c r="AF57" s="517"/>
      <c r="AG57" s="520"/>
      <c r="AH57" s="249"/>
      <c r="AI57" s="1177"/>
      <c r="AJ57" s="248"/>
      <c r="AK57" s="1945"/>
    </row>
    <row r="58" spans="1:37" ht="15" customHeight="1">
      <c r="A58" s="223"/>
      <c r="B58" s="1837" t="s">
        <v>1352</v>
      </c>
      <c r="C58" s="223"/>
      <c r="D58" s="1358">
        <f>'Exhibit G state'!D57</f>
        <v>43.5</v>
      </c>
      <c r="E58" s="261"/>
      <c r="F58" s="1358">
        <f>'Exhibit G state'!F57</f>
        <v>0.6</v>
      </c>
      <c r="G58" s="261"/>
      <c r="H58" s="1358"/>
      <c r="I58" s="261"/>
      <c r="J58" s="1358"/>
      <c r="K58" s="261"/>
      <c r="L58" s="1358"/>
      <c r="M58" s="261"/>
      <c r="N58" s="1358"/>
      <c r="O58" s="261"/>
      <c r="P58" s="1333"/>
      <c r="Q58" s="261"/>
      <c r="R58" s="1333"/>
      <c r="S58" s="261"/>
      <c r="T58" s="2144"/>
      <c r="U58" s="261"/>
      <c r="V58" s="2144"/>
      <c r="W58" s="261"/>
      <c r="X58" s="2144"/>
      <c r="Y58" s="261"/>
      <c r="Z58" s="2144"/>
      <c r="AA58" s="261"/>
      <c r="AB58" s="250"/>
      <c r="AC58" s="1177">
        <f t="shared" si="3"/>
        <v>44.1</v>
      </c>
      <c r="AD58" s="261"/>
      <c r="AE58" s="250"/>
      <c r="AF58" s="517">
        <f>+'Exhibit G state'!AH57</f>
        <v>5.7</v>
      </c>
      <c r="AG58" s="520"/>
      <c r="AH58" s="249"/>
      <c r="AI58" s="1177">
        <f>ROUND(SUM(+AC58-AF58),1)</f>
        <v>38.4</v>
      </c>
      <c r="AJ58" s="248"/>
      <c r="AK58" s="1871">
        <f t="shared" si="4"/>
        <v>6.7370000000000001</v>
      </c>
    </row>
    <row r="59" spans="1:37" ht="15" customHeight="1">
      <c r="A59" s="223"/>
      <c r="B59" s="1837" t="s">
        <v>1353</v>
      </c>
      <c r="C59" s="223"/>
      <c r="D59" s="1358">
        <f>'Exhibit G state'!D58</f>
        <v>226.4</v>
      </c>
      <c r="E59" s="261"/>
      <c r="F59" s="1358">
        <f>'Exhibit G state'!F58</f>
        <v>191.2</v>
      </c>
      <c r="G59" s="261"/>
      <c r="H59" s="1358"/>
      <c r="I59" s="261"/>
      <c r="J59" s="1358"/>
      <c r="K59" s="261"/>
      <c r="L59" s="1358"/>
      <c r="M59" s="261"/>
      <c r="N59" s="1358"/>
      <c r="O59" s="261"/>
      <c r="P59" s="1333"/>
      <c r="Q59" s="261"/>
      <c r="R59" s="1333"/>
      <c r="S59" s="261"/>
      <c r="T59" s="2144"/>
      <c r="U59" s="261"/>
      <c r="V59" s="2144"/>
      <c r="W59" s="261"/>
      <c r="X59" s="2144"/>
      <c r="Y59" s="261"/>
      <c r="Z59" s="2144"/>
      <c r="AA59" s="261"/>
      <c r="AB59" s="250"/>
      <c r="AC59" s="1177">
        <f t="shared" si="3"/>
        <v>417.6</v>
      </c>
      <c r="AD59" s="261"/>
      <c r="AE59" s="250"/>
      <c r="AF59" s="517">
        <f>+'Exhibit G state'!AH58</f>
        <v>402.5</v>
      </c>
      <c r="AG59" s="520"/>
      <c r="AH59" s="249"/>
      <c r="AI59" s="1177">
        <f>ROUND(SUM(+AC59-AF59),1)</f>
        <v>15.1</v>
      </c>
      <c r="AJ59" s="248"/>
      <c r="AK59" s="1871">
        <f t="shared" si="4"/>
        <v>3.7999999999999999E-2</v>
      </c>
    </row>
    <row r="60" spans="1:37" ht="15" customHeight="1">
      <c r="A60" s="223"/>
      <c r="B60" s="1837" t="s">
        <v>1354</v>
      </c>
      <c r="C60" s="223"/>
      <c r="D60" s="1358">
        <f>'Exhibit G state'!D59</f>
        <v>94.5</v>
      </c>
      <c r="E60" s="261"/>
      <c r="F60" s="1358">
        <f>'Exhibit G state'!F59</f>
        <v>73.400000000000006</v>
      </c>
      <c r="G60" s="261"/>
      <c r="H60" s="1358"/>
      <c r="I60" s="261"/>
      <c r="J60" s="1358"/>
      <c r="K60" s="261"/>
      <c r="L60" s="1358"/>
      <c r="M60" s="261"/>
      <c r="N60" s="1358"/>
      <c r="O60" s="261"/>
      <c r="P60" s="1333"/>
      <c r="Q60" s="261"/>
      <c r="R60" s="1333"/>
      <c r="S60" s="261"/>
      <c r="T60" s="2144"/>
      <c r="U60" s="261"/>
      <c r="V60" s="2144"/>
      <c r="W60" s="261"/>
      <c r="X60" s="2144"/>
      <c r="Y60" s="261"/>
      <c r="Z60" s="2144"/>
      <c r="AA60" s="261"/>
      <c r="AB60" s="250"/>
      <c r="AC60" s="1177">
        <f t="shared" si="3"/>
        <v>167.9</v>
      </c>
      <c r="AD60" s="261"/>
      <c r="AE60" s="250"/>
      <c r="AF60" s="517">
        <f>+'Exhibit G state'!AH59</f>
        <v>163.19999999999999</v>
      </c>
      <c r="AG60" s="520"/>
      <c r="AH60" s="249"/>
      <c r="AI60" s="1177">
        <f>ROUND(SUM(+AC60-AF60),1)</f>
        <v>4.7</v>
      </c>
      <c r="AJ60" s="248"/>
      <c r="AK60" s="1871">
        <f t="shared" si="4"/>
        <v>2.9000000000000001E-2</v>
      </c>
    </row>
    <row r="61" spans="1:37" ht="15" customHeight="1">
      <c r="A61" s="223"/>
      <c r="B61" s="1837" t="s">
        <v>1310</v>
      </c>
      <c r="C61" s="223"/>
      <c r="D61" s="1358">
        <f>'Exhibit G state'!D60+'Exhibit G Federal'!D32</f>
        <v>2.4</v>
      </c>
      <c r="E61" s="261"/>
      <c r="F61" s="1358">
        <f>'Exhibit G state'!F60+'Exhibit G Federal'!F32</f>
        <v>3.8</v>
      </c>
      <c r="G61" s="261"/>
      <c r="H61" s="1358"/>
      <c r="I61" s="261"/>
      <c r="J61" s="1333"/>
      <c r="K61" s="261"/>
      <c r="L61" s="1333"/>
      <c r="M61" s="261"/>
      <c r="N61" s="1333"/>
      <c r="O61" s="261"/>
      <c r="P61" s="1333"/>
      <c r="Q61" s="261"/>
      <c r="R61" s="1333"/>
      <c r="S61" s="261"/>
      <c r="T61" s="2144"/>
      <c r="U61" s="261"/>
      <c r="V61" s="2144"/>
      <c r="W61" s="261"/>
      <c r="X61" s="2144"/>
      <c r="Y61" s="261"/>
      <c r="Z61" s="2144"/>
      <c r="AA61" s="261"/>
      <c r="AB61" s="250"/>
      <c r="AC61" s="1177">
        <f t="shared" si="3"/>
        <v>6.2</v>
      </c>
      <c r="AD61" s="261"/>
      <c r="AE61" s="250"/>
      <c r="AF61" s="517">
        <f>+'Exhibit G state'!AH60+'Exhibit G Federal'!AH32</f>
        <v>4.8</v>
      </c>
      <c r="AG61" s="520"/>
      <c r="AH61" s="249"/>
      <c r="AI61" s="1177">
        <f>ROUND(SUM(+AC61-AF61),1)</f>
        <v>1.4</v>
      </c>
      <c r="AJ61" s="248"/>
      <c r="AK61" s="1871">
        <f t="shared" si="4"/>
        <v>0.29199999999999998</v>
      </c>
    </row>
    <row r="62" spans="1:37" ht="15" customHeight="1">
      <c r="A62" s="223"/>
      <c r="B62" s="1837" t="s">
        <v>1440</v>
      </c>
      <c r="C62" s="223"/>
      <c r="D62" s="1358"/>
      <c r="E62" s="261"/>
      <c r="F62" s="1358"/>
      <c r="G62" s="261"/>
      <c r="H62" s="1358"/>
      <c r="I62" s="261"/>
      <c r="J62" s="1358"/>
      <c r="K62" s="261"/>
      <c r="L62" s="1358"/>
      <c r="M62" s="261"/>
      <c r="N62" s="1358"/>
      <c r="O62" s="261"/>
      <c r="P62" s="1333"/>
      <c r="Q62" s="261"/>
      <c r="R62" s="1333"/>
      <c r="S62" s="261"/>
      <c r="T62" s="2144"/>
      <c r="U62" s="261"/>
      <c r="V62" s="2144"/>
      <c r="W62" s="261"/>
      <c r="X62" s="2144"/>
      <c r="Y62" s="261"/>
      <c r="Z62" s="2144"/>
      <c r="AA62" s="261"/>
      <c r="AB62" s="250"/>
      <c r="AC62" s="1177"/>
      <c r="AD62" s="261"/>
      <c r="AE62" s="250"/>
      <c r="AF62" s="517"/>
      <c r="AG62" s="520"/>
      <c r="AH62" s="249"/>
      <c r="AI62" s="1177"/>
      <c r="AJ62" s="248"/>
      <c r="AK62" s="1945"/>
    </row>
    <row r="63" spans="1:37" ht="15" customHeight="1">
      <c r="A63" s="223"/>
      <c r="B63" s="1837" t="s">
        <v>1355</v>
      </c>
      <c r="C63" s="223"/>
      <c r="D63" s="1358">
        <f>'Exhibit G state'!D62+'Exhibit G Federal'!D34</f>
        <v>0</v>
      </c>
      <c r="E63" s="261"/>
      <c r="F63" s="1358">
        <f>'Exhibit G state'!F62+'Exhibit G Federal'!F34</f>
        <v>0</v>
      </c>
      <c r="G63" s="261"/>
      <c r="H63" s="1358"/>
      <c r="I63" s="261"/>
      <c r="J63" s="1358"/>
      <c r="K63" s="261"/>
      <c r="L63" s="1358"/>
      <c r="M63" s="261"/>
      <c r="N63" s="1358"/>
      <c r="O63" s="261"/>
      <c r="P63" s="1333"/>
      <c r="Q63" s="261"/>
      <c r="R63" s="1333"/>
      <c r="S63" s="261"/>
      <c r="T63" s="2144"/>
      <c r="U63" s="261"/>
      <c r="V63" s="2144"/>
      <c r="W63" s="261"/>
      <c r="X63" s="2144"/>
      <c r="Y63" s="261"/>
      <c r="Z63" s="2144"/>
      <c r="AA63" s="261"/>
      <c r="AB63" s="250"/>
      <c r="AC63" s="1177">
        <f t="shared" si="3"/>
        <v>0</v>
      </c>
      <c r="AD63" s="261"/>
      <c r="AE63" s="250"/>
      <c r="AF63" s="517">
        <f>+'Exhibit G state'!AH62+'Exhibit G Federal'!AH34</f>
        <v>0</v>
      </c>
      <c r="AG63" s="520"/>
      <c r="AH63" s="249"/>
      <c r="AI63" s="1177">
        <f t="shared" ref="AI63:AI68" si="6">ROUND(SUM(+AC63-AF63),1)</f>
        <v>0</v>
      </c>
      <c r="AJ63" s="248"/>
      <c r="AK63" s="1871">
        <f t="shared" si="4"/>
        <v>0</v>
      </c>
    </row>
    <row r="64" spans="1:37" ht="15" customHeight="1">
      <c r="A64" s="223"/>
      <c r="B64" s="1837" t="s">
        <v>1356</v>
      </c>
      <c r="C64" s="223"/>
      <c r="D64" s="1358">
        <f>'Exhibit G state'!D63+'Exhibit G Federal'!D35</f>
        <v>0</v>
      </c>
      <c r="E64" s="261"/>
      <c r="F64" s="1358">
        <f>'Exhibit G state'!F63+'Exhibit G Federal'!F35</f>
        <v>0</v>
      </c>
      <c r="G64" s="261"/>
      <c r="H64" s="1358"/>
      <c r="I64" s="261"/>
      <c r="J64" s="1333"/>
      <c r="K64" s="261"/>
      <c r="L64" s="1333"/>
      <c r="M64" s="261"/>
      <c r="N64" s="1333"/>
      <c r="O64" s="261"/>
      <c r="P64" s="1333"/>
      <c r="Q64" s="261"/>
      <c r="R64" s="1333"/>
      <c r="S64" s="261"/>
      <c r="T64" s="2144"/>
      <c r="U64" s="261"/>
      <c r="V64" s="2144"/>
      <c r="W64" s="261"/>
      <c r="X64" s="2144"/>
      <c r="Y64" s="261"/>
      <c r="Z64" s="2144"/>
      <c r="AA64" s="261"/>
      <c r="AB64" s="250"/>
      <c r="AC64" s="1177">
        <f t="shared" si="3"/>
        <v>0</v>
      </c>
      <c r="AD64" s="261"/>
      <c r="AE64" s="250"/>
      <c r="AF64" s="517">
        <f>+'Exhibit G state'!AH63+'Exhibit G Federal'!AH35</f>
        <v>20.399999999999999</v>
      </c>
      <c r="AG64" s="520"/>
      <c r="AH64" s="249"/>
      <c r="AI64" s="1177">
        <f t="shared" si="6"/>
        <v>-20.399999999999999</v>
      </c>
      <c r="AJ64" s="248"/>
      <c r="AK64" s="1871">
        <f t="shared" si="4"/>
        <v>-1</v>
      </c>
    </row>
    <row r="65" spans="1:37" ht="15" customHeight="1">
      <c r="A65" s="223"/>
      <c r="B65" s="1837" t="s">
        <v>1357</v>
      </c>
      <c r="C65" s="223"/>
      <c r="D65" s="1358">
        <f>'Exhibit G state'!D64+'Exhibit G Federal'!D36</f>
        <v>0.2</v>
      </c>
      <c r="E65" s="261"/>
      <c r="F65" s="1358">
        <f>'Exhibit G state'!F64+'Exhibit G Federal'!F36</f>
        <v>5.7</v>
      </c>
      <c r="G65" s="261"/>
      <c r="H65" s="1358"/>
      <c r="I65" s="261"/>
      <c r="J65" s="1333"/>
      <c r="K65" s="261"/>
      <c r="L65" s="1333"/>
      <c r="M65" s="261"/>
      <c r="N65" s="1333"/>
      <c r="O65" s="261"/>
      <c r="P65" s="1333"/>
      <c r="Q65" s="261"/>
      <c r="R65" s="1333"/>
      <c r="S65" s="261"/>
      <c r="T65" s="2144"/>
      <c r="U65" s="261"/>
      <c r="V65" s="2144"/>
      <c r="W65" s="261"/>
      <c r="X65" s="2144"/>
      <c r="Y65" s="261"/>
      <c r="Z65" s="2144"/>
      <c r="AA65" s="261"/>
      <c r="AB65" s="250"/>
      <c r="AC65" s="1177">
        <f t="shared" si="3"/>
        <v>5.9</v>
      </c>
      <c r="AD65" s="261"/>
      <c r="AE65" s="250"/>
      <c r="AF65" s="517">
        <f>+'Exhibit G state'!AH64+'Exhibit G Federal'!AH36</f>
        <v>4.9000000000000004</v>
      </c>
      <c r="AG65" s="520"/>
      <c r="AH65" s="249"/>
      <c r="AI65" s="1177">
        <f t="shared" si="6"/>
        <v>1</v>
      </c>
      <c r="AJ65" s="248"/>
      <c r="AK65" s="1871">
        <f t="shared" si="4"/>
        <v>0.20399999999999999</v>
      </c>
    </row>
    <row r="66" spans="1:37" ht="15" customHeight="1">
      <c r="A66" s="223"/>
      <c r="B66" s="1837" t="s">
        <v>1358</v>
      </c>
      <c r="C66" s="223"/>
      <c r="D66" s="1358">
        <f>'Exhibit G state'!D65+'Exhibit G Federal'!D37</f>
        <v>0.2</v>
      </c>
      <c r="E66" s="261"/>
      <c r="F66" s="1358">
        <f>'Exhibit G state'!F65+'Exhibit G Federal'!F37</f>
        <v>0.7</v>
      </c>
      <c r="G66" s="261"/>
      <c r="H66" s="1358"/>
      <c r="I66" s="261"/>
      <c r="J66" s="1333"/>
      <c r="K66" s="261"/>
      <c r="L66" s="1333"/>
      <c r="M66" s="261"/>
      <c r="N66" s="1333"/>
      <c r="O66" s="261"/>
      <c r="P66" s="1333"/>
      <c r="Q66" s="261"/>
      <c r="R66" s="1333"/>
      <c r="S66" s="261"/>
      <c r="T66" s="2144"/>
      <c r="U66" s="261"/>
      <c r="V66" s="2144"/>
      <c r="W66" s="261"/>
      <c r="X66" s="2144"/>
      <c r="Y66" s="261"/>
      <c r="Z66" s="2144"/>
      <c r="AA66" s="261"/>
      <c r="AB66" s="250"/>
      <c r="AC66" s="1177">
        <f t="shared" si="3"/>
        <v>0.9</v>
      </c>
      <c r="AD66" s="261"/>
      <c r="AE66" s="250"/>
      <c r="AF66" s="517">
        <f>+'Exhibit G state'!AH65+'Exhibit G Federal'!AH37</f>
        <v>2</v>
      </c>
      <c r="AG66" s="520"/>
      <c r="AH66" s="249"/>
      <c r="AI66" s="1177">
        <f t="shared" si="6"/>
        <v>-1.1000000000000001</v>
      </c>
      <c r="AJ66" s="248"/>
      <c r="AK66" s="1871">
        <f t="shared" si="4"/>
        <v>-0.55000000000000004</v>
      </c>
    </row>
    <row r="67" spans="1:37" ht="15" customHeight="1">
      <c r="A67" s="223"/>
      <c r="B67" s="1837" t="s">
        <v>1328</v>
      </c>
      <c r="C67" s="223"/>
      <c r="D67" s="1358">
        <f>'Exhibit G state'!D66+'Exhibit G Federal'!D38</f>
        <v>39.700000000000003</v>
      </c>
      <c r="E67" s="261"/>
      <c r="F67" s="1358">
        <f>'Exhibit G state'!F66+'Exhibit G Federal'!F38</f>
        <v>7.9</v>
      </c>
      <c r="G67" s="261"/>
      <c r="H67" s="1358"/>
      <c r="I67" s="261"/>
      <c r="J67" s="1333"/>
      <c r="K67" s="261"/>
      <c r="L67" s="1333"/>
      <c r="M67" s="261"/>
      <c r="N67" s="1333"/>
      <c r="O67" s="261"/>
      <c r="P67" s="1333"/>
      <c r="Q67" s="261"/>
      <c r="R67" s="1333"/>
      <c r="S67" s="261"/>
      <c r="T67" s="2144"/>
      <c r="U67" s="261"/>
      <c r="V67" s="2144"/>
      <c r="W67" s="261"/>
      <c r="X67" s="2144"/>
      <c r="Y67" s="261"/>
      <c r="Z67" s="2144"/>
      <c r="AA67" s="261"/>
      <c r="AB67" s="250"/>
      <c r="AC67" s="1177">
        <f t="shared" si="3"/>
        <v>47.6</v>
      </c>
      <c r="AD67" s="261"/>
      <c r="AE67" s="250"/>
      <c r="AF67" s="517">
        <f>+'Exhibit G state'!AH66+'Exhibit G Federal'!AH38</f>
        <v>37.9</v>
      </c>
      <c r="AG67" s="520"/>
      <c r="AH67" s="249"/>
      <c r="AI67" s="1177">
        <f t="shared" si="6"/>
        <v>9.6999999999999993</v>
      </c>
      <c r="AJ67" s="248"/>
      <c r="AK67" s="1871">
        <f t="shared" si="4"/>
        <v>0.25600000000000001</v>
      </c>
    </row>
    <row r="68" spans="1:37" ht="15" customHeight="1">
      <c r="A68" s="223"/>
      <c r="B68" s="1837" t="s">
        <v>1329</v>
      </c>
      <c r="C68" s="223"/>
      <c r="D68" s="1358">
        <f>'Exhibit G state'!D67+'Exhibit G Federal'!D39</f>
        <v>33.799999999999997</v>
      </c>
      <c r="E68" s="261"/>
      <c r="F68" s="1358">
        <f>'Exhibit G state'!F67+'Exhibit G Federal'!F39</f>
        <v>20.9</v>
      </c>
      <c r="G68" s="261"/>
      <c r="H68" s="1358"/>
      <c r="I68" s="261"/>
      <c r="J68" s="1333"/>
      <c r="K68" s="261"/>
      <c r="L68" s="1333"/>
      <c r="M68" s="261"/>
      <c r="N68" s="1333"/>
      <c r="O68" s="261"/>
      <c r="P68" s="1333"/>
      <c r="Q68" s="261"/>
      <c r="R68" s="1333"/>
      <c r="S68" s="261"/>
      <c r="T68" s="2144"/>
      <c r="U68" s="261"/>
      <c r="V68" s="2144"/>
      <c r="W68" s="261"/>
      <c r="X68" s="2144"/>
      <c r="Y68" s="261"/>
      <c r="Z68" s="2144"/>
      <c r="AA68" s="261"/>
      <c r="AB68" s="250"/>
      <c r="AC68" s="1177">
        <f t="shared" si="3"/>
        <v>54.7</v>
      </c>
      <c r="AD68" s="261"/>
      <c r="AE68" s="250"/>
      <c r="AF68" s="517">
        <f>+'Exhibit G state'!AH67+'Exhibit G Federal'!AH39</f>
        <v>60.8</v>
      </c>
      <c r="AG68" s="520"/>
      <c r="AH68" s="249"/>
      <c r="AI68" s="1177">
        <f t="shared" si="6"/>
        <v>-6.1</v>
      </c>
      <c r="AJ68" s="248"/>
      <c r="AK68" s="2811">
        <f t="shared" si="4"/>
        <v>-0.1</v>
      </c>
    </row>
    <row r="69" spans="1:37" ht="15" customHeight="1">
      <c r="A69" s="223"/>
      <c r="B69" s="1837" t="s">
        <v>1441</v>
      </c>
      <c r="C69" s="223"/>
      <c r="D69" s="1358"/>
      <c r="E69" s="261"/>
      <c r="F69" s="1358"/>
      <c r="G69" s="261"/>
      <c r="H69" s="1358"/>
      <c r="I69" s="261"/>
      <c r="J69" s="1358"/>
      <c r="K69" s="261"/>
      <c r="L69" s="1358"/>
      <c r="M69" s="261"/>
      <c r="N69" s="1358"/>
      <c r="O69" s="261"/>
      <c r="P69" s="1333"/>
      <c r="Q69" s="261"/>
      <c r="R69" s="1333"/>
      <c r="S69" s="261"/>
      <c r="T69" s="2144"/>
      <c r="U69" s="261"/>
      <c r="V69" s="2144"/>
      <c r="W69" s="261"/>
      <c r="X69" s="2144"/>
      <c r="Y69" s="261"/>
      <c r="Z69" s="2144"/>
      <c r="AA69" s="261"/>
      <c r="AB69" s="250"/>
      <c r="AC69" s="1177"/>
      <c r="AD69" s="261"/>
      <c r="AE69" s="250"/>
      <c r="AF69" s="517"/>
      <c r="AG69" s="520"/>
      <c r="AH69" s="249"/>
      <c r="AI69" s="1177"/>
      <c r="AJ69" s="248"/>
      <c r="AK69" s="1945"/>
    </row>
    <row r="70" spans="1:37" ht="15" customHeight="1">
      <c r="A70" s="223"/>
      <c r="B70" s="1837" t="s">
        <v>1359</v>
      </c>
      <c r="C70" s="223"/>
      <c r="D70" s="1358">
        <f>'Exhibit G state'!D69+'Exhibit G Federal'!D41</f>
        <v>0.7</v>
      </c>
      <c r="E70" s="261"/>
      <c r="F70" s="1358">
        <f>'Exhibit G state'!F69+'Exhibit G Federal'!F41</f>
        <v>16.100000000000001</v>
      </c>
      <c r="G70" s="261"/>
      <c r="H70" s="1358"/>
      <c r="I70" s="261"/>
      <c r="J70" s="1333"/>
      <c r="K70" s="261"/>
      <c r="L70" s="1333"/>
      <c r="M70" s="261"/>
      <c r="N70" s="1333"/>
      <c r="O70" s="261"/>
      <c r="P70" s="1333"/>
      <c r="Q70" s="261"/>
      <c r="R70" s="1333"/>
      <c r="S70" s="261"/>
      <c r="T70" s="2144"/>
      <c r="U70" s="261"/>
      <c r="V70" s="2144"/>
      <c r="W70" s="261"/>
      <c r="X70" s="2144"/>
      <c r="Y70" s="261"/>
      <c r="Z70" s="2144"/>
      <c r="AA70" s="261"/>
      <c r="AB70" s="250"/>
      <c r="AC70" s="1177">
        <f t="shared" si="3"/>
        <v>16.8</v>
      </c>
      <c r="AD70" s="261"/>
      <c r="AE70" s="250"/>
      <c r="AF70" s="517">
        <f>+'Exhibit G state'!AH69+'Exhibit G Federal'!AH41</f>
        <v>9</v>
      </c>
      <c r="AG70" s="520"/>
      <c r="AH70" s="249"/>
      <c r="AI70" s="1177">
        <f t="shared" ref="AI70:AI80" si="7">ROUND(SUM(+AC70-AF70),1)</f>
        <v>7.8</v>
      </c>
      <c r="AJ70" s="248"/>
      <c r="AK70" s="1871">
        <f t="shared" si="4"/>
        <v>0.86699999999999999</v>
      </c>
    </row>
    <row r="71" spans="1:37" ht="15" customHeight="1">
      <c r="A71" s="223"/>
      <c r="B71" s="1837" t="s">
        <v>1360</v>
      </c>
      <c r="C71" s="223"/>
      <c r="D71" s="1358">
        <f>'Exhibit G state'!D70+'Exhibit G Federal'!D42</f>
        <v>0.1</v>
      </c>
      <c r="E71" s="261"/>
      <c r="F71" s="1358">
        <f>'Exhibit G state'!F70+'Exhibit G Federal'!F42</f>
        <v>0.1</v>
      </c>
      <c r="G71" s="261"/>
      <c r="H71" s="1358"/>
      <c r="I71" s="261"/>
      <c r="J71" s="1333"/>
      <c r="K71" s="261"/>
      <c r="L71" s="1333"/>
      <c r="M71" s="261"/>
      <c r="N71" s="1333"/>
      <c r="O71" s="261"/>
      <c r="P71" s="1333"/>
      <c r="Q71" s="261"/>
      <c r="R71" s="1333"/>
      <c r="S71" s="261"/>
      <c r="T71" s="2144"/>
      <c r="U71" s="261"/>
      <c r="V71" s="2144"/>
      <c r="W71" s="261"/>
      <c r="X71" s="2144"/>
      <c r="Y71" s="261"/>
      <c r="Z71" s="2144"/>
      <c r="AA71" s="261"/>
      <c r="AB71" s="250"/>
      <c r="AC71" s="1177">
        <f t="shared" si="3"/>
        <v>0.2</v>
      </c>
      <c r="AD71" s="261"/>
      <c r="AE71" s="250"/>
      <c r="AF71" s="517">
        <f>+'Exhibit G state'!AH70+'Exhibit G Federal'!AH42</f>
        <v>4.5</v>
      </c>
      <c r="AG71" s="520"/>
      <c r="AH71" s="249"/>
      <c r="AI71" s="1177">
        <f t="shared" si="7"/>
        <v>-4.3</v>
      </c>
      <c r="AJ71" s="248"/>
      <c r="AK71" s="1871">
        <f t="shared" si="4"/>
        <v>-0.95599999999999996</v>
      </c>
    </row>
    <row r="72" spans="1:37" ht="15" customHeight="1">
      <c r="A72" s="223"/>
      <c r="B72" s="1837" t="s">
        <v>1361</v>
      </c>
      <c r="C72" s="223"/>
      <c r="D72" s="1358">
        <f>'Exhibit G state'!D71+'Exhibit G Federal'!D43</f>
        <v>0.9</v>
      </c>
      <c r="E72" s="261"/>
      <c r="F72" s="1358">
        <f>'Exhibit G state'!F71+'Exhibit G Federal'!F43</f>
        <v>0.7</v>
      </c>
      <c r="G72" s="261"/>
      <c r="H72" s="1358"/>
      <c r="I72" s="261"/>
      <c r="J72" s="1333"/>
      <c r="K72" s="261"/>
      <c r="L72" s="1333"/>
      <c r="M72" s="261"/>
      <c r="N72" s="1333"/>
      <c r="O72" s="261"/>
      <c r="P72" s="1333"/>
      <c r="Q72" s="261"/>
      <c r="R72" s="1333"/>
      <c r="S72" s="261"/>
      <c r="T72" s="2144"/>
      <c r="U72" s="261"/>
      <c r="V72" s="2144"/>
      <c r="W72" s="261"/>
      <c r="X72" s="2144"/>
      <c r="Y72" s="261"/>
      <c r="Z72" s="2144"/>
      <c r="AA72" s="261"/>
      <c r="AB72" s="250"/>
      <c r="AC72" s="1177">
        <f t="shared" si="3"/>
        <v>1.6</v>
      </c>
      <c r="AD72" s="261"/>
      <c r="AE72" s="250"/>
      <c r="AF72" s="517">
        <f>+'Exhibit G state'!AH71+'Exhibit G Federal'!AH43</f>
        <v>1.2</v>
      </c>
      <c r="AG72" s="520"/>
      <c r="AH72" s="249"/>
      <c r="AI72" s="1177">
        <f t="shared" si="7"/>
        <v>0.4</v>
      </c>
      <c r="AJ72" s="248"/>
      <c r="AK72" s="1871">
        <f t="shared" si="4"/>
        <v>0.33300000000000002</v>
      </c>
    </row>
    <row r="73" spans="1:37" ht="15" customHeight="1">
      <c r="A73" s="223"/>
      <c r="B73" s="1837" t="s">
        <v>1362</v>
      </c>
      <c r="C73" s="223"/>
      <c r="D73" s="1358">
        <v>0</v>
      </c>
      <c r="E73" s="261"/>
      <c r="F73" s="1358">
        <f>'Exhibit G state'!F72+'Exhibit G Federal'!F44</f>
        <v>4</v>
      </c>
      <c r="G73" s="261"/>
      <c r="H73" s="1358"/>
      <c r="I73" s="261"/>
      <c r="J73" s="1333"/>
      <c r="K73" s="261"/>
      <c r="L73" s="1333"/>
      <c r="M73" s="261"/>
      <c r="N73" s="1333"/>
      <c r="O73" s="261"/>
      <c r="P73" s="1333"/>
      <c r="Q73" s="261"/>
      <c r="R73" s="1333"/>
      <c r="S73" s="261"/>
      <c r="T73" s="2144"/>
      <c r="U73" s="261"/>
      <c r="V73" s="2144"/>
      <c r="W73" s="261"/>
      <c r="X73" s="2144"/>
      <c r="Y73" s="261"/>
      <c r="Z73" s="2144"/>
      <c r="AA73" s="261"/>
      <c r="AB73" s="250"/>
      <c r="AC73" s="1177">
        <f t="shared" si="3"/>
        <v>4</v>
      </c>
      <c r="AD73" s="261"/>
      <c r="AE73" s="250"/>
      <c r="AF73" s="517">
        <f>+'Exhibit G state'!AH72+'Exhibit G Federal'!AH44</f>
        <v>0</v>
      </c>
      <c r="AG73" s="520"/>
      <c r="AH73" s="249"/>
      <c r="AI73" s="1177">
        <f t="shared" si="7"/>
        <v>4</v>
      </c>
      <c r="AJ73" s="248"/>
      <c r="AK73" s="2843">
        <f>ROUND(IF(AF73=0,1,AI73/(AF73)),3)</f>
        <v>1</v>
      </c>
    </row>
    <row r="74" spans="1:37" ht="15" customHeight="1">
      <c r="A74" s="223"/>
      <c r="B74" s="1837" t="s">
        <v>1363</v>
      </c>
      <c r="C74" s="223"/>
      <c r="D74" s="1358">
        <f>'Exhibit G state'!D73+'Exhibit G Federal'!D45</f>
        <v>-747.8</v>
      </c>
      <c r="E74" s="261"/>
      <c r="F74" s="1358">
        <f>'Exhibit G state'!F73+'Exhibit G Federal'!F45</f>
        <v>228.7</v>
      </c>
      <c r="G74" s="261"/>
      <c r="H74" s="1358"/>
      <c r="I74" s="261"/>
      <c r="J74" s="1333"/>
      <c r="K74" s="261"/>
      <c r="L74" s="1333"/>
      <c r="M74" s="261"/>
      <c r="N74" s="1333"/>
      <c r="O74" s="261"/>
      <c r="P74" s="1333"/>
      <c r="Q74" s="261"/>
      <c r="R74" s="1333"/>
      <c r="S74" s="261"/>
      <c r="T74" s="2144"/>
      <c r="U74" s="261"/>
      <c r="V74" s="2144"/>
      <c r="W74" s="261"/>
      <c r="X74" s="2144"/>
      <c r="Y74" s="261"/>
      <c r="Z74" s="2144"/>
      <c r="AA74" s="261"/>
      <c r="AB74" s="250"/>
      <c r="AC74" s="1177">
        <f t="shared" si="3"/>
        <v>-519.1</v>
      </c>
      <c r="AD74" s="261"/>
      <c r="AE74" s="250"/>
      <c r="AF74" s="517">
        <f>+'Exhibit G state'!AH73+'Exhibit G Federal'!AH45</f>
        <v>371</v>
      </c>
      <c r="AG74" s="520"/>
      <c r="AH74" s="249"/>
      <c r="AI74" s="1177">
        <f t="shared" si="7"/>
        <v>-890.1</v>
      </c>
      <c r="AJ74" s="248"/>
      <c r="AK74" s="1871">
        <f t="shared" si="4"/>
        <v>-2.399</v>
      </c>
    </row>
    <row r="75" spans="1:37" ht="15" customHeight="1">
      <c r="A75" s="223"/>
      <c r="B75" s="1837" t="s">
        <v>1364</v>
      </c>
      <c r="C75" s="223"/>
      <c r="D75" s="1358">
        <f>'Exhibit G state'!D74+'Exhibit G Federal'!D46</f>
        <v>11.2</v>
      </c>
      <c r="E75" s="261"/>
      <c r="F75" s="1358">
        <f>'Exhibit G state'!F74+'Exhibit G Federal'!F46</f>
        <v>9.3000000000000007</v>
      </c>
      <c r="G75" s="261"/>
      <c r="H75" s="1358"/>
      <c r="I75" s="261"/>
      <c r="J75" s="1333"/>
      <c r="K75" s="261"/>
      <c r="L75" s="1333"/>
      <c r="M75" s="261"/>
      <c r="N75" s="1333"/>
      <c r="O75" s="261"/>
      <c r="P75" s="1333"/>
      <c r="Q75" s="261"/>
      <c r="R75" s="1333"/>
      <c r="S75" s="261"/>
      <c r="T75" s="2144"/>
      <c r="U75" s="261"/>
      <c r="V75" s="2144"/>
      <c r="W75" s="261"/>
      <c r="X75" s="2144"/>
      <c r="Y75" s="261"/>
      <c r="Z75" s="2144"/>
      <c r="AA75" s="261"/>
      <c r="AB75" s="250"/>
      <c r="AC75" s="1177">
        <f t="shared" si="3"/>
        <v>20.5</v>
      </c>
      <c r="AD75" s="261"/>
      <c r="AE75" s="250"/>
      <c r="AF75" s="517">
        <f>+'Exhibit G state'!AH74+'Exhibit G Federal'!AH46</f>
        <v>18.400000000000002</v>
      </c>
      <c r="AG75" s="520"/>
      <c r="AH75" s="249"/>
      <c r="AI75" s="1177">
        <f t="shared" si="7"/>
        <v>2.1</v>
      </c>
      <c r="AJ75" s="248"/>
      <c r="AK75" s="1871">
        <f t="shared" si="4"/>
        <v>0.114</v>
      </c>
    </row>
    <row r="76" spans="1:37" ht="15" customHeight="1">
      <c r="A76" s="223"/>
      <c r="B76" s="1837" t="s">
        <v>1365</v>
      </c>
      <c r="C76" s="223"/>
      <c r="D76" s="1358">
        <f>'Exhibit G state'!D75+'Exhibit G Federal'!D47</f>
        <v>0.6</v>
      </c>
      <c r="E76" s="261"/>
      <c r="F76" s="1358">
        <f>'Exhibit G state'!F75+'Exhibit G Federal'!F47</f>
        <v>3.5</v>
      </c>
      <c r="G76" s="261"/>
      <c r="H76" s="1358"/>
      <c r="I76" s="261"/>
      <c r="J76" s="1358"/>
      <c r="K76" s="261"/>
      <c r="L76" s="1358"/>
      <c r="M76" s="261"/>
      <c r="N76" s="1358"/>
      <c r="O76" s="261"/>
      <c r="P76" s="1333"/>
      <c r="Q76" s="261"/>
      <c r="R76" s="1333"/>
      <c r="S76" s="261"/>
      <c r="T76" s="2144"/>
      <c r="U76" s="261"/>
      <c r="V76" s="2144"/>
      <c r="W76" s="261"/>
      <c r="X76" s="2144"/>
      <c r="Y76" s="261"/>
      <c r="Z76" s="2144"/>
      <c r="AA76" s="261"/>
      <c r="AB76" s="250"/>
      <c r="AC76" s="1177">
        <f t="shared" si="3"/>
        <v>4.0999999999999996</v>
      </c>
      <c r="AD76" s="261"/>
      <c r="AE76" s="250"/>
      <c r="AF76" s="517">
        <f>+'Exhibit G state'!AH75+'Exhibit G Federal'!AH47</f>
        <v>18.100000000000001</v>
      </c>
      <c r="AG76" s="520"/>
      <c r="AH76" s="249"/>
      <c r="AI76" s="1177">
        <f t="shared" si="7"/>
        <v>-14</v>
      </c>
      <c r="AJ76" s="248"/>
      <c r="AK76" s="2811">
        <f t="shared" si="4"/>
        <v>-0.77300000000000002</v>
      </c>
    </row>
    <row r="77" spans="1:37" ht="15" customHeight="1">
      <c r="A77" s="223"/>
      <c r="B77" s="1837" t="s">
        <v>1366</v>
      </c>
      <c r="C77" s="223"/>
      <c r="D77" s="1358">
        <f>'Exhibit G state'!D76+'Exhibit G Federal'!D48</f>
        <v>8.4</v>
      </c>
      <c r="E77" s="261"/>
      <c r="F77" s="1358">
        <f>'Exhibit G state'!F76+'Exhibit G Federal'!F48</f>
        <v>7.9</v>
      </c>
      <c r="G77" s="261"/>
      <c r="H77" s="1358"/>
      <c r="I77" s="261"/>
      <c r="J77" s="1333"/>
      <c r="K77" s="261"/>
      <c r="L77" s="1333"/>
      <c r="M77" s="261"/>
      <c r="N77" s="1333"/>
      <c r="O77" s="261"/>
      <c r="P77" s="1333"/>
      <c r="Q77" s="261"/>
      <c r="R77" s="1333"/>
      <c r="S77" s="261"/>
      <c r="T77" s="2144"/>
      <c r="U77" s="261"/>
      <c r="V77" s="2144"/>
      <c r="W77" s="261"/>
      <c r="X77" s="2144"/>
      <c r="Y77" s="261"/>
      <c r="Z77" s="2144"/>
      <c r="AA77" s="261"/>
      <c r="AB77" s="250"/>
      <c r="AC77" s="1177">
        <f t="shared" si="3"/>
        <v>16.3</v>
      </c>
      <c r="AD77" s="261"/>
      <c r="AE77" s="250"/>
      <c r="AF77" s="517">
        <f>+'Exhibit G state'!AH76+'Exhibit G Federal'!AH48</f>
        <v>10.7</v>
      </c>
      <c r="AG77" s="520"/>
      <c r="AH77" s="249"/>
      <c r="AI77" s="1177">
        <f t="shared" si="7"/>
        <v>5.6</v>
      </c>
      <c r="AJ77" s="248"/>
      <c r="AK77" s="1871">
        <f t="shared" si="4"/>
        <v>0.52300000000000002</v>
      </c>
    </row>
    <row r="78" spans="1:37" ht="15" customHeight="1">
      <c r="A78" s="223"/>
      <c r="B78" s="1837" t="s">
        <v>1367</v>
      </c>
      <c r="C78" s="223"/>
      <c r="D78" s="1358">
        <f>'Exhibit G state'!D77+'Exhibit G Federal'!D49</f>
        <v>6.4</v>
      </c>
      <c r="E78" s="261"/>
      <c r="F78" s="1358">
        <f>'Exhibit G state'!F77+'Exhibit G Federal'!F49</f>
        <v>-2.1</v>
      </c>
      <c r="G78" s="261"/>
      <c r="H78" s="1358"/>
      <c r="I78" s="261"/>
      <c r="J78" s="1333"/>
      <c r="K78" s="261"/>
      <c r="L78" s="1333"/>
      <c r="M78" s="261"/>
      <c r="N78" s="1333"/>
      <c r="O78" s="261"/>
      <c r="P78" s="1333"/>
      <c r="Q78" s="261"/>
      <c r="R78" s="1333"/>
      <c r="S78" s="261"/>
      <c r="T78" s="2144"/>
      <c r="U78" s="261"/>
      <c r="V78" s="2144"/>
      <c r="W78" s="261"/>
      <c r="X78" s="2144"/>
      <c r="Y78" s="261"/>
      <c r="Z78" s="2144"/>
      <c r="AA78" s="261"/>
      <c r="AB78" s="250"/>
      <c r="AC78" s="1177">
        <f t="shared" si="3"/>
        <v>4.3</v>
      </c>
      <c r="AD78" s="261"/>
      <c r="AE78" s="250"/>
      <c r="AF78" s="517">
        <f>+'Exhibit G state'!AH77+'Exhibit G Federal'!AH49</f>
        <v>7.5</v>
      </c>
      <c r="AG78" s="520"/>
      <c r="AH78" s="249"/>
      <c r="AI78" s="1177">
        <f t="shared" si="7"/>
        <v>-3.2</v>
      </c>
      <c r="AJ78" s="248"/>
      <c r="AK78" s="2913">
        <f>ROUND(IF(AF78=0,0,AI78/(AF78)),3)</f>
        <v>-0.42699999999999999</v>
      </c>
    </row>
    <row r="79" spans="1:37" ht="15" customHeight="1">
      <c r="A79" s="223"/>
      <c r="B79" s="1837" t="s">
        <v>1339</v>
      </c>
      <c r="C79" s="223"/>
      <c r="D79" s="1358">
        <f>'Exhibit G state'!D78+'Exhibit G Federal'!D50</f>
        <v>0.9</v>
      </c>
      <c r="E79" s="261"/>
      <c r="F79" s="1358">
        <f>'Exhibit G state'!F78+'Exhibit G Federal'!F50</f>
        <v>4.5</v>
      </c>
      <c r="G79" s="261"/>
      <c r="H79" s="1358"/>
      <c r="I79" s="261"/>
      <c r="J79" s="1333"/>
      <c r="K79" s="261"/>
      <c r="L79" s="1333"/>
      <c r="M79" s="261"/>
      <c r="N79" s="1333"/>
      <c r="O79" s="261"/>
      <c r="P79" s="1333"/>
      <c r="Q79" s="261"/>
      <c r="R79" s="1333"/>
      <c r="S79" s="261"/>
      <c r="T79" s="2144"/>
      <c r="U79" s="261"/>
      <c r="V79" s="2144"/>
      <c r="W79" s="261"/>
      <c r="X79" s="2144"/>
      <c r="Y79" s="261"/>
      <c r="Z79" s="2144"/>
      <c r="AA79" s="261"/>
      <c r="AB79" s="250"/>
      <c r="AC79" s="261">
        <f t="shared" si="3"/>
        <v>5.4</v>
      </c>
      <c r="AD79" s="261"/>
      <c r="AE79" s="250"/>
      <c r="AF79" s="517">
        <f>+'Exhibit G state'!AH78+'Exhibit G Federal'!AH50</f>
        <v>2</v>
      </c>
      <c r="AG79" s="520"/>
      <c r="AH79" s="249"/>
      <c r="AI79" s="1177">
        <f t="shared" si="7"/>
        <v>3.4</v>
      </c>
      <c r="AJ79" s="248"/>
      <c r="AK79" s="1871">
        <f t="shared" si="4"/>
        <v>1.7</v>
      </c>
    </row>
    <row r="80" spans="1:37" ht="15" customHeight="1">
      <c r="A80" s="223"/>
      <c r="B80" s="1837" t="s">
        <v>1340</v>
      </c>
      <c r="C80" s="223"/>
      <c r="D80" s="1358">
        <f>'Exhibit G state'!D79+'Exhibit G Federal'!D51</f>
        <v>125.2</v>
      </c>
      <c r="E80" s="261"/>
      <c r="F80" s="1358">
        <f>'Exhibit G state'!F79+'Exhibit G Federal'!F51</f>
        <v>76.099999999999994</v>
      </c>
      <c r="G80" s="261"/>
      <c r="H80" s="1358"/>
      <c r="I80" s="261"/>
      <c r="J80" s="1333"/>
      <c r="K80" s="261"/>
      <c r="L80" s="1333"/>
      <c r="M80" s="261"/>
      <c r="N80" s="1333"/>
      <c r="O80" s="261"/>
      <c r="P80" s="1333"/>
      <c r="Q80" s="261"/>
      <c r="R80" s="1333"/>
      <c r="S80" s="261"/>
      <c r="T80" s="2144"/>
      <c r="U80" s="261"/>
      <c r="V80" s="2144"/>
      <c r="W80" s="261"/>
      <c r="X80" s="2144"/>
      <c r="Y80" s="261"/>
      <c r="Z80" s="2144"/>
      <c r="AA80" s="261"/>
      <c r="AB80" s="250"/>
      <c r="AC80" s="261">
        <f t="shared" si="3"/>
        <v>201.3</v>
      </c>
      <c r="AD80" s="261"/>
      <c r="AE80" s="250"/>
      <c r="AF80" s="517">
        <f>+'Exhibit G state'!AH79+'Exhibit G Federal'!AH51</f>
        <v>144.80000000000001</v>
      </c>
      <c r="AG80" s="520"/>
      <c r="AH80" s="249"/>
      <c r="AI80" s="1177">
        <f t="shared" si="7"/>
        <v>56.5</v>
      </c>
      <c r="AJ80" s="248"/>
      <c r="AK80" s="1871">
        <f t="shared" si="4"/>
        <v>0.39</v>
      </c>
    </row>
    <row r="81" spans="1:44" s="413" customFormat="1" ht="15" customHeight="1">
      <c r="A81" s="221"/>
      <c r="B81" s="590" t="s">
        <v>1375</v>
      </c>
      <c r="C81" s="221"/>
      <c r="D81" s="485">
        <f>ROUND(SUM(D44:D80),1)</f>
        <v>451.1</v>
      </c>
      <c r="E81" s="2114"/>
      <c r="F81" s="485">
        <f>ROUND(SUM(F44:F80),1)</f>
        <v>1603.7</v>
      </c>
      <c r="G81" s="2114"/>
      <c r="H81" s="485">
        <f>ROUND(SUM(H44:H80),1)</f>
        <v>0</v>
      </c>
      <c r="I81" s="1899"/>
      <c r="J81" s="485">
        <f>ROUND(SUM(J44:J80),1)</f>
        <v>0</v>
      </c>
      <c r="K81" s="1899"/>
      <c r="L81" s="485">
        <f>ROUND(SUM(L44:L80),1)</f>
        <v>0</v>
      </c>
      <c r="M81" s="1899"/>
      <c r="N81" s="485">
        <f>ROUND(SUM(N44:N80),1)</f>
        <v>0</v>
      </c>
      <c r="O81" s="1899"/>
      <c r="P81" s="485">
        <f>ROUND(SUM(P44:P80),1)</f>
        <v>0</v>
      </c>
      <c r="Q81" s="1899"/>
      <c r="R81" s="485">
        <f>ROUND(SUM(R44:R80),1)</f>
        <v>0</v>
      </c>
      <c r="S81" s="1899"/>
      <c r="T81" s="485">
        <f>ROUND(SUM(T44:T80),1)</f>
        <v>0</v>
      </c>
      <c r="U81" s="1899"/>
      <c r="V81" s="485">
        <f>ROUND(SUM(V44:V80),1)</f>
        <v>0</v>
      </c>
      <c r="W81" s="1899"/>
      <c r="X81" s="485">
        <f>ROUND(SUM(X44:X80),1)</f>
        <v>0</v>
      </c>
      <c r="Y81" s="1899"/>
      <c r="Z81" s="485">
        <f>ROUND(SUM(Z44:Z80),1)</f>
        <v>0</v>
      </c>
      <c r="AA81" s="1899"/>
      <c r="AB81" s="259"/>
      <c r="AC81" s="485">
        <f>ROUND(SUM(AC44:AC80),1)</f>
        <v>2054.8000000000002</v>
      </c>
      <c r="AD81" s="1899"/>
      <c r="AE81" s="259"/>
      <c r="AF81" s="485">
        <f>ROUND(SUM(AF44:AF80),1)</f>
        <v>2424.9</v>
      </c>
      <c r="AG81" s="523"/>
      <c r="AH81" s="273"/>
      <c r="AI81" s="485">
        <f>ROUND(SUM(AI44:AI80),1)</f>
        <v>-370.1</v>
      </c>
      <c r="AJ81" s="1021"/>
      <c r="AK81" s="2115">
        <f>ROUND(SUM(+AI81/AF81),3)</f>
        <v>-0.153</v>
      </c>
    </row>
    <row r="82" spans="1:44" ht="15" customHeight="1">
      <c r="A82" s="223"/>
      <c r="B82" s="1727"/>
      <c r="C82" s="223"/>
      <c r="D82" s="1177"/>
      <c r="E82" s="1179"/>
      <c r="F82" s="261"/>
      <c r="G82" s="1179"/>
      <c r="H82" s="261"/>
      <c r="I82" s="261"/>
      <c r="J82" s="261"/>
      <c r="K82" s="261"/>
      <c r="L82" s="261"/>
      <c r="M82" s="261"/>
      <c r="N82" s="274"/>
      <c r="O82" s="261"/>
      <c r="P82" s="274"/>
      <c r="Q82" s="261"/>
      <c r="R82" s="274"/>
      <c r="S82" s="261"/>
      <c r="T82" s="274"/>
      <c r="U82" s="261"/>
      <c r="V82" s="274"/>
      <c r="W82" s="261"/>
      <c r="X82" s="274"/>
      <c r="Y82" s="261"/>
      <c r="Z82" s="519"/>
      <c r="AA82" s="261"/>
      <c r="AB82" s="250"/>
      <c r="AC82" s="261"/>
      <c r="AD82" s="261"/>
      <c r="AE82" s="250"/>
      <c r="AF82" s="261"/>
      <c r="AG82" s="516"/>
      <c r="AH82" s="249"/>
      <c r="AI82" s="1177"/>
      <c r="AJ82" s="248"/>
      <c r="AK82" s="1945"/>
    </row>
    <row r="83" spans="1:44" ht="15" customHeight="1">
      <c r="A83" s="223"/>
      <c r="B83" s="521" t="s">
        <v>155</v>
      </c>
      <c r="C83" s="223"/>
      <c r="D83" s="1333">
        <f>+'Exhibit G state'!D82+'Exhibit G Federal'!D54</f>
        <v>1629</v>
      </c>
      <c r="E83" s="261"/>
      <c r="F83" s="1333">
        <f>+'Exhibit G state'!F82+'Exhibit G Federal'!F54</f>
        <v>4578.6000000000004</v>
      </c>
      <c r="G83" s="261"/>
      <c r="H83" s="1333"/>
      <c r="I83" s="261"/>
      <c r="J83" s="1333"/>
      <c r="K83" s="261"/>
      <c r="L83" s="1333"/>
      <c r="M83" s="261"/>
      <c r="N83" s="1333"/>
      <c r="O83" s="261"/>
      <c r="P83" s="1333"/>
      <c r="Q83" s="261"/>
      <c r="R83" s="1333"/>
      <c r="S83" s="261"/>
      <c r="T83" s="2144"/>
      <c r="U83" s="261"/>
      <c r="V83" s="2144"/>
      <c r="W83" s="261"/>
      <c r="X83" s="2144"/>
      <c r="Y83" s="261"/>
      <c r="Z83" s="2144"/>
      <c r="AA83" s="261"/>
      <c r="AB83" s="250"/>
      <c r="AC83" s="261">
        <f t="shared" si="3"/>
        <v>6207.6</v>
      </c>
      <c r="AD83" s="261"/>
      <c r="AE83" s="250"/>
      <c r="AF83" s="517">
        <f>'Exhibit G state'!AH82+'Exhibit G Federal'!AH54</f>
        <v>6705.9</v>
      </c>
      <c r="AG83" s="516"/>
      <c r="AH83" s="249"/>
      <c r="AI83" s="1921">
        <f>ROUND(SUM(+AC83-AF83),1)</f>
        <v>-498.3</v>
      </c>
      <c r="AJ83" s="1007"/>
      <c r="AK83" s="1871">
        <f>ROUND(IF(AF83=0,0,AI83/(AF83)),3)</f>
        <v>-7.3999999999999996E-2</v>
      </c>
    </row>
    <row r="84" spans="1:44" ht="15" customHeight="1">
      <c r="A84" s="223"/>
      <c r="B84" s="223"/>
      <c r="C84" s="223"/>
      <c r="D84" s="289"/>
      <c r="E84" s="261"/>
      <c r="F84" s="289"/>
      <c r="G84" s="261"/>
      <c r="H84" s="289"/>
      <c r="I84" s="261"/>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6"/>
      <c r="AH84" s="249"/>
      <c r="AI84" s="2767"/>
      <c r="AK84" s="2772"/>
    </row>
    <row r="85" spans="1:44" ht="15" customHeight="1">
      <c r="A85" s="223"/>
      <c r="B85" s="221" t="s">
        <v>156</v>
      </c>
      <c r="C85" s="223"/>
      <c r="D85" s="1899">
        <f>ROUND(SUM(D83+D81+D40),1)</f>
        <v>2479.6999999999998</v>
      </c>
      <c r="E85" s="257"/>
      <c r="F85" s="1899">
        <f>ROUND(SUM(F83+F81+F40),1)</f>
        <v>6460.1</v>
      </c>
      <c r="G85" s="257"/>
      <c r="H85" s="1899">
        <f>ROUND(SUM(H83+H81+H40),1)</f>
        <v>0</v>
      </c>
      <c r="I85" s="257"/>
      <c r="J85" s="1899">
        <f>ROUND(SUM(J83+J81+J40),1)</f>
        <v>0</v>
      </c>
      <c r="K85" s="257"/>
      <c r="L85" s="1899">
        <f>ROUND(SUM(L83+L81+L40),1)</f>
        <v>0</v>
      </c>
      <c r="M85" s="257"/>
      <c r="N85" s="1899">
        <f>ROUND(SUM(N83+N81+N40),1)</f>
        <v>0</v>
      </c>
      <c r="O85" s="257"/>
      <c r="P85" s="1899">
        <f>ROUND(SUM(P83+P81+P40),1)</f>
        <v>0</v>
      </c>
      <c r="Q85" s="257"/>
      <c r="R85" s="1899">
        <f>ROUND(SUM(R83+R81+R40),1)</f>
        <v>0</v>
      </c>
      <c r="S85" s="257"/>
      <c r="T85" s="1899">
        <f>ROUND(SUM(T83+T81+T40),1)</f>
        <v>0</v>
      </c>
      <c r="U85" s="257"/>
      <c r="V85" s="1899">
        <f>ROUND(SUM(V83+V81+V40),1)</f>
        <v>0</v>
      </c>
      <c r="W85" s="257"/>
      <c r="X85" s="1899">
        <f>ROUND(SUM(X83+X81+X40),1)</f>
        <v>0</v>
      </c>
      <c r="Y85" s="257"/>
      <c r="Z85" s="1899">
        <f>ROUND(SUM(Z83+Z81+Z40),1)</f>
        <v>0</v>
      </c>
      <c r="AA85" s="257"/>
      <c r="AB85" s="259"/>
      <c r="AC85" s="1899">
        <f>ROUND(SUM(AC83+AC81+AC40),1)</f>
        <v>8939.7999999999993</v>
      </c>
      <c r="AD85" s="257"/>
      <c r="AE85" s="259"/>
      <c r="AF85" s="1899">
        <f>ROUND(SUM(AF83+AF81+AF40),1)</f>
        <v>9909.5</v>
      </c>
      <c r="AG85" s="523"/>
      <c r="AH85" s="273"/>
      <c r="AI85" s="271">
        <f>ROUND(SUM(AI83+AI81+AI40),1)</f>
        <v>-969.7</v>
      </c>
      <c r="AJ85" s="525"/>
      <c r="AK85" s="1948">
        <f>ROUND(SUM(+AI85/AF85),3)</f>
        <v>-9.8000000000000004E-2</v>
      </c>
    </row>
    <row r="86" spans="1:44" ht="15" customHeight="1">
      <c r="A86" s="223"/>
      <c r="B86" s="223"/>
      <c r="C86" s="223"/>
      <c r="D86" s="289"/>
      <c r="E86" s="261"/>
      <c r="F86" s="289"/>
      <c r="G86" s="261"/>
      <c r="H86" s="289"/>
      <c r="I86" s="261"/>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6"/>
      <c r="AH86" s="249"/>
      <c r="AI86" s="1177"/>
      <c r="AK86" s="1945"/>
    </row>
    <row r="87" spans="1:44" ht="15" customHeight="1">
      <c r="A87" s="223"/>
      <c r="B87" s="376" t="s">
        <v>24</v>
      </c>
      <c r="C87" s="223"/>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50"/>
      <c r="AC87" s="261"/>
      <c r="AD87" s="1642"/>
      <c r="AE87" s="1639"/>
      <c r="AF87" s="261"/>
      <c r="AG87" s="516"/>
      <c r="AH87" s="249"/>
      <c r="AI87" s="1177"/>
      <c r="AK87" s="1945"/>
    </row>
    <row r="88" spans="1:44" ht="15" customHeight="1">
      <c r="A88" s="223"/>
      <c r="B88" s="1365" t="s">
        <v>157</v>
      </c>
      <c r="C88" s="223"/>
      <c r="D88" s="261"/>
      <c r="E88" s="261"/>
      <c r="F88" s="274"/>
      <c r="G88" s="261"/>
      <c r="H88" s="319"/>
      <c r="I88" s="261"/>
      <c r="J88" s="319"/>
      <c r="K88" s="261"/>
      <c r="L88" s="319"/>
      <c r="M88" s="261"/>
      <c r="N88" s="274"/>
      <c r="O88" s="261"/>
      <c r="P88" s="274"/>
      <c r="Q88" s="261"/>
      <c r="R88" s="274"/>
      <c r="S88" s="261"/>
      <c r="T88" s="274"/>
      <c r="U88" s="261"/>
      <c r="V88" s="274"/>
      <c r="W88" s="261"/>
      <c r="X88" s="261"/>
      <c r="Y88" s="261"/>
      <c r="Z88" s="519"/>
      <c r="AA88" s="261"/>
      <c r="AB88" s="250"/>
      <c r="AC88" s="261"/>
      <c r="AD88" s="261"/>
      <c r="AE88" s="250"/>
      <c r="AF88" s="319"/>
      <c r="AG88" s="516"/>
      <c r="AH88" s="249"/>
      <c r="AI88" s="1177"/>
      <c r="AK88" s="1274"/>
    </row>
    <row r="89" spans="1:44" ht="15" customHeight="1">
      <c r="A89" s="223"/>
      <c r="B89" s="382" t="s">
        <v>26</v>
      </c>
      <c r="C89" s="223"/>
      <c r="D89" s="1333">
        <f>+'Exhibit G state'!D88+'Exhibit G Federal'!D60</f>
        <v>324.20000000000005</v>
      </c>
      <c r="E89" s="261"/>
      <c r="F89" s="1333">
        <f>+'Exhibit G state'!F88+'Exhibit G Federal'!F60</f>
        <v>445.40000000000003</v>
      </c>
      <c r="G89" s="261"/>
      <c r="H89" s="1333"/>
      <c r="I89" s="261"/>
      <c r="J89" s="1333"/>
      <c r="K89" s="261"/>
      <c r="L89" s="1333"/>
      <c r="M89" s="261"/>
      <c r="N89" s="1333"/>
      <c r="O89" s="261"/>
      <c r="P89" s="1333"/>
      <c r="Q89" s="261"/>
      <c r="R89" s="1333"/>
      <c r="S89" s="261"/>
      <c r="T89" s="2144"/>
      <c r="U89" s="261"/>
      <c r="V89" s="2144"/>
      <c r="W89" s="261"/>
      <c r="X89" s="2144"/>
      <c r="Y89" s="261"/>
      <c r="Z89" s="2144"/>
      <c r="AA89" s="261"/>
      <c r="AB89" s="250"/>
      <c r="AC89" s="261">
        <f>ROUND(SUM(D89:Z89),1)</f>
        <v>769.6</v>
      </c>
      <c r="AD89" s="261"/>
      <c r="AE89" s="250"/>
      <c r="AF89" s="262">
        <f>'Exhibit G state'!AH88+'Exhibit G Federal'!AH60</f>
        <v>899</v>
      </c>
      <c r="AG89" s="516"/>
      <c r="AH89" s="249"/>
      <c r="AI89" s="1177">
        <f>ROUND(SUM(+AC89-AF89),1)</f>
        <v>-129.4</v>
      </c>
      <c r="AJ89" s="1007"/>
      <c r="AK89" s="1871">
        <f>ROUND(IF(AF89=0,0,AI89/(AF89)),3)</f>
        <v>-0.14399999999999999</v>
      </c>
      <c r="AQ89" s="342"/>
      <c r="AR89" s="476"/>
    </row>
    <row r="90" spans="1:44" ht="15" customHeight="1">
      <c r="A90" s="223"/>
      <c r="B90" s="382" t="s">
        <v>27</v>
      </c>
      <c r="C90" s="223"/>
      <c r="D90" s="1333">
        <f>+'Exhibit G state'!D89+'Exhibit G Federal'!D61</f>
        <v>0.3</v>
      </c>
      <c r="E90" s="261"/>
      <c r="F90" s="1333">
        <f>+'Exhibit G state'!F89+'Exhibit G Federal'!F61</f>
        <v>1</v>
      </c>
      <c r="G90" s="261"/>
      <c r="H90" s="1333"/>
      <c r="I90" s="261"/>
      <c r="J90" s="1333"/>
      <c r="K90" s="261"/>
      <c r="L90" s="1333"/>
      <c r="M90" s="261"/>
      <c r="N90" s="1333"/>
      <c r="O90" s="261"/>
      <c r="P90" s="1991"/>
      <c r="Q90" s="261"/>
      <c r="R90" s="1991"/>
      <c r="S90" s="261"/>
      <c r="T90" s="2144"/>
      <c r="U90" s="261"/>
      <c r="V90" s="2144"/>
      <c r="W90" s="261"/>
      <c r="X90" s="2144"/>
      <c r="Y90" s="261"/>
      <c r="Z90" s="2144"/>
      <c r="AA90" s="261"/>
      <c r="AB90" s="250"/>
      <c r="AC90" s="261">
        <f>ROUND(SUM(D90:Z90),1)</f>
        <v>1.3</v>
      </c>
      <c r="AD90" s="261"/>
      <c r="AE90" s="250"/>
      <c r="AF90" s="262">
        <f>'Exhibit G state'!AH89+'Exhibit G Federal'!AH61</f>
        <v>0.2</v>
      </c>
      <c r="AG90" s="516"/>
      <c r="AH90" s="249"/>
      <c r="AI90" s="1177">
        <f>ROUND(SUM(+AC90-AF90),1)</f>
        <v>1.1000000000000001</v>
      </c>
      <c r="AJ90" s="1007"/>
      <c r="AK90" s="1871">
        <f>ROUND(IF(AF90=0,0,AI90/(AF90)),3)</f>
        <v>5.5</v>
      </c>
      <c r="AQ90" s="476"/>
      <c r="AR90" s="476"/>
    </row>
    <row r="91" spans="1:44" ht="15" customHeight="1">
      <c r="A91" s="223"/>
      <c r="B91" s="382" t="s">
        <v>28</v>
      </c>
      <c r="C91" s="223"/>
      <c r="D91" s="1333">
        <f>+'Exhibit G state'!D90+'Exhibit G Federal'!D62</f>
        <v>12.700000000000001</v>
      </c>
      <c r="E91" s="261"/>
      <c r="F91" s="1333">
        <f>+'Exhibit G state'!F90+'Exhibit G Federal'!F62</f>
        <v>27.2</v>
      </c>
      <c r="G91" s="261"/>
      <c r="H91" s="1333"/>
      <c r="I91" s="261"/>
      <c r="J91" s="1333"/>
      <c r="K91" s="261"/>
      <c r="L91" s="1333"/>
      <c r="M91" s="261"/>
      <c r="N91" s="1333"/>
      <c r="O91" s="261"/>
      <c r="P91" s="1333"/>
      <c r="Q91" s="261"/>
      <c r="R91" s="1333"/>
      <c r="S91" s="261"/>
      <c r="T91" s="2144"/>
      <c r="U91" s="261"/>
      <c r="V91" s="2144"/>
      <c r="W91" s="261"/>
      <c r="X91" s="2144"/>
      <c r="Y91" s="261"/>
      <c r="Z91" s="2144"/>
      <c r="AA91" s="261"/>
      <c r="AB91" s="250"/>
      <c r="AC91" s="261">
        <f>ROUND(SUM(D91:Z91),1)</f>
        <v>39.9</v>
      </c>
      <c r="AD91" s="261"/>
      <c r="AE91" s="250"/>
      <c r="AF91" s="262">
        <f>'Exhibit G state'!AH90+'Exhibit G Federal'!AH62</f>
        <v>24</v>
      </c>
      <c r="AG91" s="516"/>
      <c r="AH91" s="249"/>
      <c r="AI91" s="1177">
        <f>ROUND(SUM(+AC91-AF91),1)</f>
        <v>15.9</v>
      </c>
      <c r="AJ91" s="1007"/>
      <c r="AK91" s="1871">
        <f>ROUND(IF(AF91=0,0,AI91/(AF91)),3)</f>
        <v>0.66300000000000003</v>
      </c>
      <c r="AQ91" s="476"/>
      <c r="AR91" s="476"/>
    </row>
    <row r="92" spans="1:44" ht="15" customHeight="1">
      <c r="A92" s="223"/>
      <c r="B92" s="382" t="s">
        <v>29</v>
      </c>
      <c r="C92" s="223"/>
      <c r="D92" s="249"/>
      <c r="E92" s="261"/>
      <c r="F92" s="249"/>
      <c r="G92" s="261"/>
      <c r="H92" s="249"/>
      <c r="I92" s="261"/>
      <c r="J92" s="249"/>
      <c r="K92" s="261"/>
      <c r="L92" s="249"/>
      <c r="M92" s="261"/>
      <c r="N92" s="249"/>
      <c r="O92" s="261"/>
      <c r="P92" s="261"/>
      <c r="Q92" s="261"/>
      <c r="R92" s="261"/>
      <c r="S92" s="261"/>
      <c r="T92" s="249"/>
      <c r="U92" s="261"/>
      <c r="V92" s="249"/>
      <c r="W92" s="261"/>
      <c r="X92" s="2144"/>
      <c r="Y92" s="261"/>
      <c r="Z92" s="2144"/>
      <c r="AA92" s="261"/>
      <c r="AB92" s="250"/>
      <c r="AC92" s="261"/>
      <c r="AD92" s="261"/>
      <c r="AE92" s="250"/>
      <c r="AF92" s="262"/>
      <c r="AG92" s="516"/>
      <c r="AH92" s="249"/>
      <c r="AI92" s="1177" t="s">
        <v>16</v>
      </c>
      <c r="AJ92" s="1273" t="s">
        <v>16</v>
      </c>
      <c r="AK92" s="1274" t="s">
        <v>16</v>
      </c>
      <c r="AQ92" s="342"/>
      <c r="AR92" s="342"/>
    </row>
    <row r="93" spans="1:44" ht="15" customHeight="1">
      <c r="A93" s="223"/>
      <c r="B93" s="1728" t="s">
        <v>30</v>
      </c>
      <c r="C93" s="223"/>
      <c r="D93" s="1333">
        <f>+'Exhibit G state'!D92+'Exhibit G Federal'!D64</f>
        <v>1967.5</v>
      </c>
      <c r="E93" s="261"/>
      <c r="F93" s="1333">
        <f>+'Exhibit G state'!F92+'Exhibit G Federal'!F64</f>
        <v>2871.6000000000004</v>
      </c>
      <c r="G93" s="261"/>
      <c r="H93" s="1333"/>
      <c r="I93" s="261"/>
      <c r="J93" s="1333"/>
      <c r="K93" s="261"/>
      <c r="L93" s="1333"/>
      <c r="M93" s="261"/>
      <c r="N93" s="1333"/>
      <c r="O93" s="261"/>
      <c r="P93" s="1333"/>
      <c r="Q93" s="261"/>
      <c r="R93" s="1333"/>
      <c r="S93" s="261"/>
      <c r="T93" s="2144"/>
      <c r="U93" s="261"/>
      <c r="V93" s="2144"/>
      <c r="W93" s="261"/>
      <c r="X93" s="2144"/>
      <c r="Y93" s="261"/>
      <c r="Z93" s="2144"/>
      <c r="AA93" s="261"/>
      <c r="AB93" s="250"/>
      <c r="AC93" s="261">
        <f t="shared" ref="AC93:AC98" si="8">ROUND(SUM(D93:Z93),1)</f>
        <v>4839.1000000000004</v>
      </c>
      <c r="AD93" s="261"/>
      <c r="AE93" s="250"/>
      <c r="AF93" s="262">
        <f>'Exhibit G state'!AH92+'Exhibit G Federal'!AH64</f>
        <v>5135.8</v>
      </c>
      <c r="AG93" s="516"/>
      <c r="AH93" s="249"/>
      <c r="AI93" s="1177">
        <f t="shared" ref="AI93:AI98" si="9">ROUND(SUM(+AC93-AF93),1)</f>
        <v>-296.7</v>
      </c>
      <c r="AJ93" s="1007"/>
      <c r="AK93" s="1871">
        <f t="shared" ref="AK93:AK97" si="10">ROUND(IF(AF93=0,0,AI93/(AF93)),3)</f>
        <v>-5.8000000000000003E-2</v>
      </c>
      <c r="AQ93" s="342"/>
      <c r="AR93" s="342"/>
    </row>
    <row r="94" spans="1:44" ht="15" customHeight="1">
      <c r="A94" s="223"/>
      <c r="B94" s="382" t="s">
        <v>31</v>
      </c>
      <c r="C94" s="223"/>
      <c r="D94" s="1333">
        <f>+'Exhibit G state'!D93+'Exhibit G Federal'!D65</f>
        <v>204.39999999999998</v>
      </c>
      <c r="E94" s="261"/>
      <c r="F94" s="1333">
        <f>+'Exhibit G state'!F93+'Exhibit G Federal'!F65</f>
        <v>187.6</v>
      </c>
      <c r="G94" s="261"/>
      <c r="H94" s="1333"/>
      <c r="I94" s="261"/>
      <c r="J94" s="1333"/>
      <c r="K94" s="261"/>
      <c r="L94" s="1333"/>
      <c r="M94" s="261"/>
      <c r="N94" s="1333"/>
      <c r="O94" s="261"/>
      <c r="P94" s="1333"/>
      <c r="Q94" s="261"/>
      <c r="R94" s="1333"/>
      <c r="S94" s="261"/>
      <c r="T94" s="2144"/>
      <c r="U94" s="261"/>
      <c r="V94" s="2144"/>
      <c r="W94" s="261"/>
      <c r="X94" s="2144"/>
      <c r="Y94" s="261"/>
      <c r="Z94" s="2144"/>
      <c r="AA94" s="261"/>
      <c r="AB94" s="250"/>
      <c r="AC94" s="261">
        <f t="shared" si="8"/>
        <v>392</v>
      </c>
      <c r="AD94" s="261"/>
      <c r="AE94" s="250"/>
      <c r="AF94" s="262">
        <f>'Exhibit G state'!AH93+'Exhibit G Federal'!AH65</f>
        <v>464.8</v>
      </c>
      <c r="AG94" s="516"/>
      <c r="AH94" s="249"/>
      <c r="AI94" s="1177">
        <f t="shared" si="9"/>
        <v>-72.8</v>
      </c>
      <c r="AJ94" s="1007"/>
      <c r="AK94" s="1871">
        <f t="shared" si="10"/>
        <v>-0.157</v>
      </c>
      <c r="AQ94" s="342"/>
      <c r="AR94" s="342"/>
    </row>
    <row r="95" spans="1:44" ht="15" customHeight="1">
      <c r="A95" s="223"/>
      <c r="B95" s="382" t="s">
        <v>32</v>
      </c>
      <c r="C95" s="223"/>
      <c r="D95" s="1333">
        <f>+'Exhibit G state'!D94+'Exhibit G Federal'!D66</f>
        <v>168</v>
      </c>
      <c r="E95" s="261"/>
      <c r="F95" s="1333">
        <f>+'Exhibit G state'!F94+'Exhibit G Federal'!F66</f>
        <v>111.3</v>
      </c>
      <c r="G95" s="261"/>
      <c r="H95" s="1333"/>
      <c r="I95" s="261"/>
      <c r="J95" s="1333"/>
      <c r="K95" s="261"/>
      <c r="L95" s="1333"/>
      <c r="M95" s="261"/>
      <c r="N95" s="1333"/>
      <c r="O95" s="261"/>
      <c r="P95" s="1333"/>
      <c r="Q95" s="261"/>
      <c r="R95" s="1333"/>
      <c r="S95" s="261"/>
      <c r="T95" s="2144"/>
      <c r="U95" s="261"/>
      <c r="V95" s="2144"/>
      <c r="W95" s="261"/>
      <c r="X95" s="2144"/>
      <c r="Y95" s="261"/>
      <c r="Z95" s="2144"/>
      <c r="AA95" s="261"/>
      <c r="AB95" s="250"/>
      <c r="AC95" s="261">
        <f t="shared" si="8"/>
        <v>279.3</v>
      </c>
      <c r="AD95" s="261"/>
      <c r="AE95" s="250"/>
      <c r="AF95" s="262">
        <f>'Exhibit G state'!AH94+'Exhibit G Federal'!AH66</f>
        <v>225.20000000000002</v>
      </c>
      <c r="AG95" s="516"/>
      <c r="AH95" s="249"/>
      <c r="AI95" s="1177">
        <f t="shared" si="9"/>
        <v>54.1</v>
      </c>
      <c r="AJ95" s="1007"/>
      <c r="AK95" s="1871">
        <f t="shared" si="10"/>
        <v>0.24</v>
      </c>
      <c r="AQ95" s="342"/>
      <c r="AR95" s="342"/>
    </row>
    <row r="96" spans="1:44" ht="15" customHeight="1">
      <c r="A96" s="223"/>
      <c r="B96" s="382" t="s">
        <v>33</v>
      </c>
      <c r="C96" s="223"/>
      <c r="D96" s="1333">
        <f>+'Exhibit G state'!D95+'Exhibit G Federal'!D67</f>
        <v>235.1</v>
      </c>
      <c r="E96" s="261"/>
      <c r="F96" s="1333">
        <f>+'Exhibit G state'!F95+'Exhibit G Federal'!F67</f>
        <v>327.3</v>
      </c>
      <c r="G96" s="261"/>
      <c r="H96" s="1333"/>
      <c r="I96" s="261"/>
      <c r="J96" s="1333"/>
      <c r="K96" s="261"/>
      <c r="L96" s="1333"/>
      <c r="M96" s="261"/>
      <c r="N96" s="1333"/>
      <c r="O96" s="261"/>
      <c r="P96" s="1333"/>
      <c r="Q96" s="261"/>
      <c r="R96" s="1333"/>
      <c r="S96" s="261"/>
      <c r="T96" s="2144"/>
      <c r="U96" s="261"/>
      <c r="V96" s="2144"/>
      <c r="W96" s="261"/>
      <c r="X96" s="2144"/>
      <c r="Y96" s="261"/>
      <c r="Z96" s="2144"/>
      <c r="AA96" s="261"/>
      <c r="AB96" s="250"/>
      <c r="AC96" s="261">
        <f t="shared" si="8"/>
        <v>562.4</v>
      </c>
      <c r="AD96" s="261"/>
      <c r="AE96" s="250"/>
      <c r="AF96" s="262">
        <f>'Exhibit G state'!AH95+'Exhibit G Federal'!AH67</f>
        <v>625.29999999999995</v>
      </c>
      <c r="AG96" s="516"/>
      <c r="AH96" s="249"/>
      <c r="AI96" s="1177">
        <f t="shared" si="9"/>
        <v>-62.9</v>
      </c>
      <c r="AJ96" s="1007"/>
      <c r="AK96" s="1871">
        <f t="shared" si="10"/>
        <v>-0.10100000000000001</v>
      </c>
      <c r="AQ96" s="342"/>
      <c r="AR96" s="342"/>
    </row>
    <row r="97" spans="1:45" ht="15" customHeight="1">
      <c r="A97" s="223"/>
      <c r="B97" s="382" t="s">
        <v>34</v>
      </c>
      <c r="C97" s="223"/>
      <c r="D97" s="1333">
        <f>+'Exhibit G state'!D96+'Exhibit G Federal'!D68</f>
        <v>2.2999999999999998</v>
      </c>
      <c r="E97" s="261"/>
      <c r="F97" s="1333">
        <f>+'Exhibit G state'!F96+'Exhibit G Federal'!F68</f>
        <v>2.2000000000000002</v>
      </c>
      <c r="G97" s="261"/>
      <c r="H97" s="1333"/>
      <c r="I97" s="261"/>
      <c r="J97" s="1333"/>
      <c r="K97" s="261"/>
      <c r="L97" s="1333"/>
      <c r="M97" s="261"/>
      <c r="N97" s="1333"/>
      <c r="O97" s="261"/>
      <c r="P97" s="1333"/>
      <c r="Q97" s="261"/>
      <c r="R97" s="1333"/>
      <c r="S97" s="261"/>
      <c r="T97" s="2144"/>
      <c r="U97" s="261"/>
      <c r="V97" s="2144"/>
      <c r="W97" s="261"/>
      <c r="X97" s="2144"/>
      <c r="Y97" s="261"/>
      <c r="Z97" s="2144"/>
      <c r="AA97" s="261"/>
      <c r="AB97" s="250"/>
      <c r="AC97" s="261">
        <f t="shared" si="8"/>
        <v>4.5</v>
      </c>
      <c r="AD97" s="261"/>
      <c r="AE97" s="250"/>
      <c r="AF97" s="262">
        <f>'Exhibit G state'!AH96+'Exhibit G Federal'!AH68</f>
        <v>2.5</v>
      </c>
      <c r="AG97" s="516"/>
      <c r="AH97" s="249"/>
      <c r="AI97" s="1177">
        <f t="shared" si="9"/>
        <v>2</v>
      </c>
      <c r="AJ97" s="1007"/>
      <c r="AK97" s="1871">
        <f t="shared" si="10"/>
        <v>0.8</v>
      </c>
      <c r="AQ97" s="476"/>
      <c r="AR97" s="476"/>
    </row>
    <row r="98" spans="1:45" ht="15" customHeight="1">
      <c r="A98" s="223"/>
      <c r="B98" s="382" t="s">
        <v>35</v>
      </c>
      <c r="C98" s="223"/>
      <c r="D98" s="1333">
        <f>+'Exhibit G state'!D97+'Exhibit G Federal'!D69</f>
        <v>127.5</v>
      </c>
      <c r="E98" s="261"/>
      <c r="F98" s="1333">
        <f>+'Exhibit G state'!F97+'Exhibit G Federal'!F69</f>
        <v>473.59999999999997</v>
      </c>
      <c r="G98" s="261"/>
      <c r="H98" s="1333"/>
      <c r="I98" s="261"/>
      <c r="J98" s="1333"/>
      <c r="K98" s="261"/>
      <c r="L98" s="1333"/>
      <c r="M98" s="261"/>
      <c r="N98" s="1333"/>
      <c r="O98" s="261"/>
      <c r="P98" s="1922"/>
      <c r="Q98" s="261"/>
      <c r="R98" s="1922"/>
      <c r="S98" s="261"/>
      <c r="T98" s="2144"/>
      <c r="U98" s="261"/>
      <c r="V98" s="2144"/>
      <c r="W98" s="261"/>
      <c r="X98" s="2144"/>
      <c r="Y98" s="261"/>
      <c r="Z98" s="2144"/>
      <c r="AA98" s="261"/>
      <c r="AB98" s="250"/>
      <c r="AC98" s="249">
        <f t="shared" si="8"/>
        <v>601.1</v>
      </c>
      <c r="AD98" s="261"/>
      <c r="AE98" s="250"/>
      <c r="AF98" s="262">
        <f>'Exhibit G state'!AH97+'Exhibit G Federal'!AH69</f>
        <v>704</v>
      </c>
      <c r="AG98" s="516"/>
      <c r="AH98" s="249"/>
      <c r="AI98" s="1921">
        <f t="shared" si="9"/>
        <v>-102.9</v>
      </c>
      <c r="AJ98" s="1007"/>
      <c r="AK98" s="2846">
        <f>ROUND(IF(AF98=0,0,AI98/(AF98)),3)</f>
        <v>-0.14599999999999999</v>
      </c>
      <c r="AL98" s="2911"/>
      <c r="AQ98" s="318"/>
      <c r="AR98" s="318"/>
      <c r="AS98" s="229"/>
    </row>
    <row r="99" spans="1:45" ht="15" customHeight="1">
      <c r="A99" s="223"/>
      <c r="B99" s="221" t="s">
        <v>1493</v>
      </c>
      <c r="C99" s="223"/>
      <c r="D99" s="256">
        <f>ROUND(SUM(D89:D98),1)</f>
        <v>3042</v>
      </c>
      <c r="E99" s="257"/>
      <c r="F99" s="256">
        <f>ROUND(SUM(F89:F98),1)</f>
        <v>4447.2</v>
      </c>
      <c r="G99" s="257"/>
      <c r="H99" s="256">
        <f>ROUND(SUM(H89:H98),1)</f>
        <v>0</v>
      </c>
      <c r="I99" s="257"/>
      <c r="J99" s="256">
        <f>ROUND(SUM(J89:J98),1)</f>
        <v>0</v>
      </c>
      <c r="K99" s="257"/>
      <c r="L99" s="256">
        <f>ROUND(SUM(L89:L98),1)</f>
        <v>0</v>
      </c>
      <c r="M99" s="257"/>
      <c r="N99" s="256">
        <f>ROUND(SUM(N89:N98),1)</f>
        <v>0</v>
      </c>
      <c r="O99" s="257"/>
      <c r="P99" s="256">
        <f>ROUND(SUM(P89:P98),1)</f>
        <v>0</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7489.2</v>
      </c>
      <c r="AD99" s="257"/>
      <c r="AE99" s="259"/>
      <c r="AF99" s="528">
        <f>ROUND(SUM(AF89:AF98),1)</f>
        <v>8080.8</v>
      </c>
      <c r="AG99" s="523"/>
      <c r="AH99" s="273"/>
      <c r="AI99" s="256">
        <f>ROUND(SUM(AI89:AI98),1)</f>
        <v>-591.6</v>
      </c>
      <c r="AJ99" s="369"/>
      <c r="AK99" s="1948">
        <f>ROUND(SUM(+AI99/AF99),3)</f>
        <v>-7.2999999999999995E-2</v>
      </c>
      <c r="AQ99" s="229"/>
      <c r="AR99" s="318"/>
      <c r="AS99" s="229"/>
    </row>
    <row r="100" spans="1:45" ht="15" customHeight="1">
      <c r="A100" s="223"/>
      <c r="B100" s="223" t="s">
        <v>176</v>
      </c>
      <c r="C100" s="223"/>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6"/>
      <c r="AH100" s="249"/>
      <c r="AI100" s="1177"/>
      <c r="AK100" s="1945"/>
      <c r="AR100" s="342"/>
    </row>
    <row r="101" spans="1:45" ht="15" customHeight="1">
      <c r="A101" s="223"/>
      <c r="B101" s="223" t="s">
        <v>159</v>
      </c>
      <c r="C101" s="223"/>
      <c r="D101" s="1333">
        <f>+'Exhibit G state'!D100+'Exhibit G Federal'!D72</f>
        <v>683.5</v>
      </c>
      <c r="E101" s="261"/>
      <c r="F101" s="1333">
        <f>+'Exhibit G state'!F100+'Exhibit G Federal'!F72</f>
        <v>580.20000000000005</v>
      </c>
      <c r="G101" s="261"/>
      <c r="H101" s="1333"/>
      <c r="I101" s="261"/>
      <c r="J101" s="1333"/>
      <c r="K101" s="261"/>
      <c r="L101" s="1333"/>
      <c r="M101" s="261"/>
      <c r="N101" s="1333"/>
      <c r="O101" s="261"/>
      <c r="P101" s="1333"/>
      <c r="Q101" s="261"/>
      <c r="R101" s="1333"/>
      <c r="S101" s="261"/>
      <c r="T101" s="2144"/>
      <c r="U101" s="261"/>
      <c r="V101" s="2144"/>
      <c r="W101" s="261"/>
      <c r="X101" s="2144"/>
      <c r="Y101" s="261"/>
      <c r="Z101" s="2144"/>
      <c r="AA101" s="261"/>
      <c r="AB101" s="250"/>
      <c r="AC101" s="261">
        <f>ROUND(SUM(D101:Z101),1)</f>
        <v>1263.7</v>
      </c>
      <c r="AD101" s="261"/>
      <c r="AE101" s="250"/>
      <c r="AF101" s="261">
        <f>'Exhibit G state'!AH100+'Exhibit G Federal'!AH72</f>
        <v>1257.3</v>
      </c>
      <c r="AG101" s="516"/>
      <c r="AH101" s="249"/>
      <c r="AI101" s="1177">
        <f>ROUND(SUM(+AC101-AF101),1)</f>
        <v>6.4</v>
      </c>
      <c r="AJ101" s="248"/>
      <c r="AK101" s="1871">
        <f>ROUND(IF(AF101=0,0,AI101/(AF101)),3)</f>
        <v>5.0000000000000001E-3</v>
      </c>
    </row>
    <row r="102" spans="1:45" ht="15" customHeight="1">
      <c r="A102" s="223"/>
      <c r="B102" s="223" t="s">
        <v>177</v>
      </c>
      <c r="C102" s="223"/>
      <c r="D102" s="1333">
        <f>+'Exhibit G state'!D101+'Exhibit G Federal'!D73</f>
        <v>280.39999999999998</v>
      </c>
      <c r="E102" s="261"/>
      <c r="F102" s="1333">
        <f>+'Exhibit G state'!F101+'Exhibit G Federal'!F73</f>
        <v>326.39999999999998</v>
      </c>
      <c r="G102" s="261"/>
      <c r="H102" s="1333"/>
      <c r="I102" s="261"/>
      <c r="J102" s="1333"/>
      <c r="K102" s="261"/>
      <c r="L102" s="1333"/>
      <c r="M102" s="261"/>
      <c r="N102" s="1333"/>
      <c r="O102" s="261"/>
      <c r="P102" s="1333"/>
      <c r="Q102" s="261"/>
      <c r="R102" s="1333"/>
      <c r="S102" s="261"/>
      <c r="T102" s="2144"/>
      <c r="U102" s="261"/>
      <c r="V102" s="2144"/>
      <c r="W102" s="261"/>
      <c r="X102" s="2144"/>
      <c r="Y102" s="261"/>
      <c r="Z102" s="2144"/>
      <c r="AA102" s="261"/>
      <c r="AB102" s="250"/>
      <c r="AC102" s="261">
        <f>ROUND(SUM(D102:Z102),1)</f>
        <v>606.79999999999995</v>
      </c>
      <c r="AD102" s="261"/>
      <c r="AE102" s="250"/>
      <c r="AF102" s="261">
        <f>'Exhibit G state'!AH101+'Exhibit G Federal'!AH73</f>
        <v>671</v>
      </c>
      <c r="AG102" s="516"/>
      <c r="AH102" s="249"/>
      <c r="AI102" s="1177">
        <f>ROUND(SUM(+AC102-AF102),1)</f>
        <v>-64.2</v>
      </c>
      <c r="AJ102" s="248"/>
      <c r="AK102" s="1871">
        <f>ROUND(IF(AF102=0,0,AI102/(AF102)),3)</f>
        <v>-9.6000000000000002E-2</v>
      </c>
    </row>
    <row r="103" spans="1:45" ht="15" customHeight="1">
      <c r="A103" s="223"/>
      <c r="B103" s="223" t="s">
        <v>178</v>
      </c>
      <c r="C103" s="223"/>
      <c r="D103" s="1333">
        <f>+'Exhibit G state'!D102+'Exhibit G Federal'!D74</f>
        <v>51.400000000000006</v>
      </c>
      <c r="E103" s="261"/>
      <c r="F103" s="1333">
        <f>+'Exhibit G state'!F102+'Exhibit G Federal'!F74</f>
        <v>239.60000000000002</v>
      </c>
      <c r="G103" s="261"/>
      <c r="H103" s="1333"/>
      <c r="I103" s="261"/>
      <c r="J103" s="1333"/>
      <c r="K103" s="261"/>
      <c r="L103" s="1333"/>
      <c r="M103" s="261"/>
      <c r="N103" s="1333"/>
      <c r="O103" s="261"/>
      <c r="P103" s="1333"/>
      <c r="Q103" s="261"/>
      <c r="R103" s="1333"/>
      <c r="S103" s="261"/>
      <c r="T103" s="2144"/>
      <c r="U103" s="261"/>
      <c r="V103" s="2144"/>
      <c r="W103" s="261"/>
      <c r="X103" s="2144"/>
      <c r="Y103" s="261"/>
      <c r="Z103" s="2144"/>
      <c r="AA103" s="261"/>
      <c r="AB103" s="250"/>
      <c r="AC103" s="261">
        <f>ROUND(SUM(D103:Z103),1)</f>
        <v>291</v>
      </c>
      <c r="AD103" s="261"/>
      <c r="AE103" s="250"/>
      <c r="AF103" s="261">
        <f>'Exhibit G state'!AH102+'Exhibit G Federal'!AH74</f>
        <v>379.4</v>
      </c>
      <c r="AG103" s="516"/>
      <c r="AH103" s="249"/>
      <c r="AI103" s="1177">
        <f>ROUND(SUM(+AC103-AF103),1)</f>
        <v>-88.4</v>
      </c>
      <c r="AJ103" s="248"/>
      <c r="AK103" s="1871">
        <f>ROUND(IF(AF103=0,0,AI103/(AF103)),3)</f>
        <v>-0.23300000000000001</v>
      </c>
    </row>
    <row r="104" spans="1:45" ht="15" customHeight="1">
      <c r="A104" s="223"/>
      <c r="B104" s="223" t="s">
        <v>179</v>
      </c>
      <c r="C104" s="223"/>
      <c r="D104" s="1333">
        <f>+'Exhibit G state'!D103+'Exhibit G Federal'!D75</f>
        <v>0</v>
      </c>
      <c r="E104" s="261"/>
      <c r="F104" s="1333">
        <f>+'Exhibit G state'!F103+'Exhibit G Federal'!F75</f>
        <v>0.2</v>
      </c>
      <c r="G104" s="261"/>
      <c r="H104" s="1333"/>
      <c r="I104" s="261"/>
      <c r="J104" s="1333"/>
      <c r="K104" s="261"/>
      <c r="L104" s="1333"/>
      <c r="M104" s="261"/>
      <c r="N104" s="1333"/>
      <c r="O104" s="261"/>
      <c r="P104" s="1922"/>
      <c r="Q104" s="261"/>
      <c r="R104" s="1922"/>
      <c r="S104" s="261"/>
      <c r="T104" s="2144"/>
      <c r="U104" s="261"/>
      <c r="V104" s="2144"/>
      <c r="W104" s="261"/>
      <c r="X104" s="2144"/>
      <c r="Y104" s="261"/>
      <c r="Z104" s="2144"/>
      <c r="AA104" s="261"/>
      <c r="AB104" s="250"/>
      <c r="AC104" s="261">
        <f>ROUND(SUM(D104:Z104),1)</f>
        <v>0.2</v>
      </c>
      <c r="AD104" s="261"/>
      <c r="AE104" s="250"/>
      <c r="AF104" s="261">
        <f>'Exhibit G state'!AH103+'Exhibit G Federal'!AH75</f>
        <v>0.3</v>
      </c>
      <c r="AG104" s="516"/>
      <c r="AH104" s="249"/>
      <c r="AI104" s="1921">
        <f>ROUND(SUM(+AC104-AF104),1)</f>
        <v>-0.1</v>
      </c>
      <c r="AJ104" s="1007"/>
      <c r="AK104" s="1871">
        <f>ROUND(IF(AF104=0,0,AI104/(AF104)),3)</f>
        <v>-0.33300000000000002</v>
      </c>
    </row>
    <row r="105" spans="1:45" ht="15" customHeight="1">
      <c r="A105" s="223"/>
      <c r="B105" s="223"/>
      <c r="C105" s="223"/>
      <c r="D105" s="289"/>
      <c r="E105" s="261"/>
      <c r="F105" s="289"/>
      <c r="G105" s="261"/>
      <c r="H105" s="289"/>
      <c r="I105" s="261"/>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6"/>
      <c r="AH105" s="249"/>
      <c r="AI105" s="2767"/>
      <c r="AK105" s="2772"/>
    </row>
    <row r="106" spans="1:45" ht="15" customHeight="1">
      <c r="A106" s="223"/>
      <c r="B106" s="221" t="s">
        <v>162</v>
      </c>
      <c r="C106" s="223"/>
      <c r="D106" s="257">
        <f>ROUND(SUM(D99:D104),1)</f>
        <v>4057.3</v>
      </c>
      <c r="E106" s="257"/>
      <c r="F106" s="257">
        <f>ROUND(SUM(F99:F104),1)</f>
        <v>5593.6</v>
      </c>
      <c r="G106" s="257"/>
      <c r="H106" s="257">
        <f>ROUND(SUM(H99:H104),1)</f>
        <v>0</v>
      </c>
      <c r="I106" s="257"/>
      <c r="J106" s="1899">
        <f>ROUND(SUM(J99:J104),1)</f>
        <v>0</v>
      </c>
      <c r="K106" s="257"/>
      <c r="L106" s="1899">
        <f>ROUND(SUM(L99:L104),1)</f>
        <v>0</v>
      </c>
      <c r="M106" s="257"/>
      <c r="N106" s="257">
        <f>ROUND(SUM(N99:N104),1)</f>
        <v>0</v>
      </c>
      <c r="O106" s="257"/>
      <c r="P106" s="257">
        <f>ROUND(SUM(P99:P104),1)</f>
        <v>0</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9650.9</v>
      </c>
      <c r="AD106" s="257"/>
      <c r="AE106" s="259"/>
      <c r="AF106" s="257">
        <f>ROUND(SUM(AF99:AF104),1)</f>
        <v>10388.799999999999</v>
      </c>
      <c r="AG106" s="523"/>
      <c r="AH106" s="273"/>
      <c r="AI106" s="271">
        <f>ROUND(SUM(AI99:AI104),1)</f>
        <v>-737.9</v>
      </c>
      <c r="AJ106" s="414"/>
      <c r="AK106" s="1948">
        <f>ROUND(SUM(+AI106/AF106),3)</f>
        <v>-7.0999999999999994E-2</v>
      </c>
    </row>
    <row r="107" spans="1:45" ht="15" customHeight="1">
      <c r="A107" s="223"/>
      <c r="B107" s="223"/>
      <c r="C107" s="223"/>
      <c r="D107" s="289"/>
      <c r="E107" s="261"/>
      <c r="F107" s="289"/>
      <c r="G107" s="261"/>
      <c r="H107" s="289"/>
      <c r="I107" s="261"/>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6"/>
      <c r="AH107" s="249"/>
      <c r="AI107" s="1177"/>
      <c r="AK107" s="1945"/>
    </row>
    <row r="108" spans="1:45" ht="15" customHeight="1">
      <c r="A108" s="223"/>
      <c r="B108" s="221" t="s">
        <v>163</v>
      </c>
      <c r="C108" s="223"/>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40"/>
      <c r="AE108" s="1641"/>
      <c r="AF108" s="261"/>
      <c r="AG108" s="530"/>
      <c r="AH108" s="531"/>
      <c r="AI108" s="1177"/>
      <c r="AK108" s="1945"/>
    </row>
    <row r="109" spans="1:45" ht="15" customHeight="1">
      <c r="A109" s="223"/>
      <c r="B109" s="221" t="s">
        <v>46</v>
      </c>
      <c r="C109" s="223"/>
      <c r="D109" s="257">
        <f>ROUND(SUM(D85-D106),1)</f>
        <v>-1577.6</v>
      </c>
      <c r="E109" s="257"/>
      <c r="F109" s="257">
        <f>ROUND(SUM(F85-F106),1)</f>
        <v>866.5</v>
      </c>
      <c r="G109" s="257"/>
      <c r="H109" s="257">
        <f>ROUND(SUM(H85-H106),1)</f>
        <v>0</v>
      </c>
      <c r="I109" s="257"/>
      <c r="J109" s="1899">
        <f>ROUND(SUM(J85-J106),1)</f>
        <v>0</v>
      </c>
      <c r="K109" s="257"/>
      <c r="L109" s="1899">
        <f>ROUND(SUM(L85-L106),1)</f>
        <v>0</v>
      </c>
      <c r="M109" s="257"/>
      <c r="N109" s="257">
        <f>ROUND(SUM(N85-N106),1)</f>
        <v>0</v>
      </c>
      <c r="O109" s="257"/>
      <c r="P109" s="257">
        <f>ROUND(SUM(P85-P106),1)</f>
        <v>0</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-711.1</v>
      </c>
      <c r="AD109" s="257"/>
      <c r="AE109" s="259"/>
      <c r="AF109" s="257">
        <f>ROUND(SUM(AF85-AF106),1)</f>
        <v>-479.3</v>
      </c>
      <c r="AG109" s="523"/>
      <c r="AH109" s="273"/>
      <c r="AI109" s="1745">
        <f>ROUND(SUM(AI85-AI106),1)</f>
        <v>-231.8</v>
      </c>
      <c r="AJ109" s="413"/>
      <c r="AK109" s="1948">
        <f>-ROUND(SUM(+AI109/AF109),3)</f>
        <v>-0.48399999999999999</v>
      </c>
    </row>
    <row r="110" spans="1:45" ht="15" customHeight="1">
      <c r="A110" s="223"/>
      <c r="B110" s="223"/>
      <c r="C110" s="223"/>
      <c r="D110" s="289"/>
      <c r="E110" s="261"/>
      <c r="F110" s="289"/>
      <c r="G110" s="261"/>
      <c r="H110" s="289"/>
      <c r="I110" s="261"/>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6"/>
      <c r="AH110" s="249"/>
      <c r="AI110" s="1177"/>
      <c r="AK110" s="1945"/>
    </row>
    <row r="111" spans="1:45" ht="15" customHeight="1">
      <c r="A111" s="223"/>
      <c r="B111" s="221" t="s">
        <v>47</v>
      </c>
      <c r="C111" s="223"/>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6"/>
      <c r="AH111" s="249"/>
      <c r="AI111" s="1177"/>
      <c r="AK111" s="1945"/>
    </row>
    <row r="112" spans="1:45" ht="15" customHeight="1">
      <c r="A112" s="223"/>
      <c r="B112" s="223" t="s">
        <v>180</v>
      </c>
      <c r="C112" s="223"/>
      <c r="D112" s="1333">
        <v>1783</v>
      </c>
      <c r="E112" s="261"/>
      <c r="F112" s="1333">
        <v>846.1</v>
      </c>
      <c r="G112" s="261"/>
      <c r="H112" s="319"/>
      <c r="I112" s="261"/>
      <c r="J112" s="319"/>
      <c r="K112" s="261"/>
      <c r="L112" s="319"/>
      <c r="M112" s="261"/>
      <c r="N112" s="274"/>
      <c r="O112" s="261"/>
      <c r="P112" s="274"/>
      <c r="Q112" s="261"/>
      <c r="R112" s="274"/>
      <c r="S112" s="261"/>
      <c r="T112" s="274"/>
      <c r="U112" s="261"/>
      <c r="V112" s="274"/>
      <c r="W112" s="261"/>
      <c r="X112" s="274"/>
      <c r="Y112" s="261"/>
      <c r="Z112" s="517"/>
      <c r="AA112" s="261"/>
      <c r="AB112" s="250"/>
      <c r="AC112" s="261">
        <f>ROUND(SUM(D112:Z112),1)</f>
        <v>2629.1</v>
      </c>
      <c r="AD112" s="261"/>
      <c r="AE112" s="250"/>
      <c r="AF112" s="261">
        <f>'Exhibit G state'!AH111+'Exhibit G Federal'!AH83</f>
        <v>1282.0999999999999</v>
      </c>
      <c r="AG112" s="516"/>
      <c r="AH112" s="249"/>
      <c r="AI112" s="1921">
        <f>ROUND(SUM(+AC112-AF112),1)</f>
        <v>1347</v>
      </c>
      <c r="AJ112" s="1007"/>
      <c r="AK112" s="1871">
        <f>ROUND(IF(AF112=0,0,AI112/(AF112)),3)</f>
        <v>1.0509999999999999</v>
      </c>
    </row>
    <row r="113" spans="1:48" ht="15" customHeight="1">
      <c r="A113" s="223"/>
      <c r="B113" s="223" t="s">
        <v>181</v>
      </c>
      <c r="C113" s="223"/>
      <c r="D113" s="1333">
        <v>-166.8</v>
      </c>
      <c r="E113" s="261"/>
      <c r="F113" s="274">
        <v>-307.89999999999998</v>
      </c>
      <c r="G113" s="261"/>
      <c r="H113" s="319"/>
      <c r="I113" s="261"/>
      <c r="J113" s="319"/>
      <c r="K113" s="261"/>
      <c r="L113" s="319"/>
      <c r="M113" s="261"/>
      <c r="N113" s="274"/>
      <c r="O113" s="261"/>
      <c r="P113" s="275"/>
      <c r="Q113" s="261"/>
      <c r="R113" s="274"/>
      <c r="S113" s="261"/>
      <c r="T113" s="274"/>
      <c r="U113" s="261"/>
      <c r="V113" s="274"/>
      <c r="W113" s="261"/>
      <c r="X113" s="274"/>
      <c r="Y113" s="261"/>
      <c r="Z113" s="517"/>
      <c r="AA113" s="261"/>
      <c r="AB113" s="250"/>
      <c r="AC113" s="261">
        <f>ROUND(SUM(D113:Z113),1)</f>
        <v>-474.7</v>
      </c>
      <c r="AD113" s="261"/>
      <c r="AE113" s="250"/>
      <c r="AF113" s="319">
        <f>'Exhibit G state'!AH112+'Exhibit G Federal'!AH84</f>
        <v>-458.2</v>
      </c>
      <c r="AG113" s="516"/>
      <c r="AH113" s="249"/>
      <c r="AI113" s="1921">
        <f>ROUND(SUM(+AC113-AF113)*-1,1)</f>
        <v>16.5</v>
      </c>
      <c r="AJ113" s="1007"/>
      <c r="AK113" s="1871">
        <f>-ROUND(IF(AF113=0,0,AI113/(AF113)),3)</f>
        <v>3.5999999999999997E-2</v>
      </c>
    </row>
    <row r="114" spans="1:48" ht="15" customHeight="1">
      <c r="A114" s="223"/>
      <c r="B114" s="223"/>
      <c r="C114" s="223"/>
      <c r="D114" s="289"/>
      <c r="E114" s="261"/>
      <c r="F114" s="289"/>
      <c r="G114" s="261"/>
      <c r="H114" s="289"/>
      <c r="I114" s="261"/>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6"/>
      <c r="AH114" s="249"/>
      <c r="AI114" s="2767"/>
      <c r="AK114" s="2772"/>
    </row>
    <row r="115" spans="1:48" ht="15" customHeight="1">
      <c r="A115" s="223"/>
      <c r="B115" s="221" t="s">
        <v>1494</v>
      </c>
      <c r="C115" s="223"/>
      <c r="D115" s="257">
        <f>ROUND(SUM(D112:D113),1)</f>
        <v>1616.2</v>
      </c>
      <c r="E115" s="257"/>
      <c r="F115" s="257">
        <f>ROUND(SUM(F112:F113),1)</f>
        <v>538.20000000000005</v>
      </c>
      <c r="G115" s="257"/>
      <c r="H115" s="257">
        <f>ROUND(SUM(H112:H113),1)</f>
        <v>0</v>
      </c>
      <c r="I115" s="257"/>
      <c r="J115" s="1899">
        <f>ROUND(SUM(J112:J113),1)</f>
        <v>0</v>
      </c>
      <c r="K115" s="257"/>
      <c r="L115" s="1899">
        <f>ROUND(SUM(L112:L113),1)</f>
        <v>0</v>
      </c>
      <c r="M115" s="257"/>
      <c r="N115" s="257">
        <f>ROUND(SUM(N112:N113),1)</f>
        <v>0</v>
      </c>
      <c r="O115" s="257"/>
      <c r="P115" s="257">
        <f>ROUND(SUM(P112:P113),1)</f>
        <v>0</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2154.4</v>
      </c>
      <c r="AD115" s="257"/>
      <c r="AE115" s="259"/>
      <c r="AF115" s="257">
        <f>ROUND(SUM(AF112:AF113),1)</f>
        <v>823.9</v>
      </c>
      <c r="AG115" s="523"/>
      <c r="AH115" s="273"/>
      <c r="AI115" s="271">
        <f>ROUND(SUM(AC115-AF115),1)</f>
        <v>1330.5</v>
      </c>
      <c r="AJ115" s="369"/>
      <c r="AK115" s="1948">
        <f>ROUND(SUM(+AI115/AF115),3)</f>
        <v>1.615</v>
      </c>
    </row>
    <row r="116" spans="1:48" ht="15" customHeight="1">
      <c r="A116" s="223"/>
      <c r="B116" s="223"/>
      <c r="C116" s="223"/>
      <c r="D116" s="289"/>
      <c r="E116" s="261"/>
      <c r="F116" s="289"/>
      <c r="G116" s="261"/>
      <c r="H116" s="289"/>
      <c r="I116" s="261"/>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6"/>
      <c r="AH116" s="249"/>
      <c r="AI116" s="1177"/>
      <c r="AK116" s="1945"/>
    </row>
    <row r="117" spans="1:48" ht="15" customHeight="1">
      <c r="A117" s="223"/>
      <c r="B117" s="221" t="s">
        <v>172</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6"/>
      <c r="AH117" s="249"/>
      <c r="AI117" s="1177"/>
      <c r="AK117" s="1945"/>
    </row>
    <row r="118" spans="1:48" ht="15" customHeight="1">
      <c r="A118" s="223"/>
      <c r="B118" s="221" t="s">
        <v>173</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6"/>
      <c r="AH118" s="249"/>
      <c r="AI118" s="1177"/>
      <c r="AK118" s="1945"/>
    </row>
    <row r="119" spans="1:48" ht="15" customHeight="1">
      <c r="A119" s="223"/>
      <c r="B119" s="221" t="s">
        <v>1495</v>
      </c>
      <c r="C119" s="223"/>
      <c r="D119" s="257">
        <f>ROUND(SUM(D109+D115),1)</f>
        <v>38.6</v>
      </c>
      <c r="E119" s="257"/>
      <c r="F119" s="257">
        <f>ROUND(SUM(F109+F115),1)</f>
        <v>1404.7</v>
      </c>
      <c r="G119" s="257"/>
      <c r="H119" s="257">
        <f>ROUND(SUM(H109+H115),1)</f>
        <v>0</v>
      </c>
      <c r="I119" s="257"/>
      <c r="J119" s="1899">
        <f>ROUND(SUM(J109+J115),1)</f>
        <v>0</v>
      </c>
      <c r="K119" s="257"/>
      <c r="L119" s="1899">
        <f>ROUND(SUM(L109+L115),1)</f>
        <v>0</v>
      </c>
      <c r="M119" s="257"/>
      <c r="N119" s="257">
        <f>ROUND(SUM(N109+N115),1)</f>
        <v>0</v>
      </c>
      <c r="O119" s="257"/>
      <c r="P119" s="257">
        <f>ROUND(SUM(P109+P115),1)</f>
        <v>0</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1443.3</v>
      </c>
      <c r="AD119" s="257"/>
      <c r="AE119" s="259"/>
      <c r="AF119" s="257">
        <f>ROUND(SUM(AF109+AF115),1)</f>
        <v>344.6</v>
      </c>
      <c r="AG119" s="523"/>
      <c r="AH119" s="273"/>
      <c r="AI119" s="271">
        <f>ROUND(SUM(AC119-AF119),1)</f>
        <v>1098.7</v>
      </c>
      <c r="AJ119" s="413"/>
      <c r="AK119" s="1948">
        <f>ROUND(SUM(AI119/AF119),3)</f>
        <v>3.1880000000000002</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5"/>
      <c r="AH120" s="229"/>
      <c r="AI120" s="1895"/>
      <c r="AK120" s="1945"/>
    </row>
    <row r="121" spans="1:48" ht="15" customHeight="1" thickBot="1">
      <c r="A121" s="223"/>
      <c r="B121" s="221" t="s">
        <v>1496</v>
      </c>
      <c r="C121" s="223"/>
      <c r="D121" s="295">
        <f>ROUND(SUM(D14+D119),1)</f>
        <v>2700.4</v>
      </c>
      <c r="E121" s="295"/>
      <c r="F121" s="295">
        <f>ROUND(SUM(F14+F119),1)</f>
        <v>4105.1000000000004</v>
      </c>
      <c r="G121" s="295"/>
      <c r="H121" s="295">
        <f>ROUND(SUM(H14+H119),1)</f>
        <v>0</v>
      </c>
      <c r="I121" s="295"/>
      <c r="J121" s="295">
        <f>ROUND(SUM(J14+J119),1)</f>
        <v>0</v>
      </c>
      <c r="K121" s="295"/>
      <c r="L121" s="295">
        <f>ROUND(SUM(L14+L119),1)</f>
        <v>0</v>
      </c>
      <c r="M121" s="295"/>
      <c r="N121" s="295">
        <f>ROUND(SUM(N14+N119),1)</f>
        <v>0</v>
      </c>
      <c r="O121" s="295"/>
      <c r="P121" s="295">
        <f>ROUND(SUM(P14+P119),1)</f>
        <v>0</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4105.1000000000004</v>
      </c>
      <c r="AD121" s="295"/>
      <c r="AE121" s="296"/>
      <c r="AF121" s="504">
        <f>ROUND(SUM(AF14+AF119),1)</f>
        <v>2707.5</v>
      </c>
      <c r="AG121" s="512"/>
      <c r="AH121" s="425"/>
      <c r="AI121" s="504">
        <f>ROUND(SUM(AC121-AF121),1)</f>
        <v>1397.6</v>
      </c>
      <c r="AJ121" s="385"/>
      <c r="AK121" s="532">
        <f>ROUND(SUM(+AI121/AF121),3)</f>
        <v>0.51600000000000001</v>
      </c>
      <c r="AL121" s="507"/>
      <c r="AM121" s="507"/>
      <c r="AN121" s="507"/>
      <c r="AO121" s="507"/>
      <c r="AP121" s="507"/>
      <c r="AQ121" s="507"/>
      <c r="AR121" s="507"/>
      <c r="AS121" s="507"/>
      <c r="AT121" s="507"/>
      <c r="AU121" s="507"/>
      <c r="AV121" s="507"/>
    </row>
    <row r="122" spans="1:48" ht="15" customHeight="1" thickTop="1">
      <c r="A122" s="223"/>
      <c r="B122" s="223"/>
      <c r="C122" s="223"/>
      <c r="D122" s="533"/>
      <c r="E122" s="507"/>
      <c r="F122" s="533"/>
      <c r="G122" s="507"/>
      <c r="H122" s="533"/>
      <c r="I122" s="507"/>
      <c r="J122" s="533"/>
      <c r="K122" s="507"/>
      <c r="L122" s="533"/>
      <c r="M122" s="507"/>
      <c r="N122" s="533"/>
      <c r="O122" s="507"/>
      <c r="P122" s="533"/>
      <c r="Q122" s="507"/>
      <c r="R122" s="533"/>
      <c r="S122" s="507"/>
      <c r="T122" s="533"/>
      <c r="U122" s="507"/>
      <c r="V122" s="533"/>
      <c r="W122" s="507"/>
      <c r="X122" s="533"/>
      <c r="Y122" s="507"/>
      <c r="Z122" s="533"/>
      <c r="AA122" s="507"/>
      <c r="AB122" s="507"/>
      <c r="AC122" s="533"/>
      <c r="AD122" s="507"/>
      <c r="AE122" s="507"/>
      <c r="AF122" s="534"/>
      <c r="AG122" s="534"/>
      <c r="AH122" s="507"/>
      <c r="AI122" s="2768"/>
      <c r="AJ122" s="507"/>
      <c r="AK122" s="1945"/>
      <c r="AL122" s="507"/>
      <c r="AM122" s="507"/>
      <c r="AN122" s="507"/>
      <c r="AO122" s="507"/>
      <c r="AP122" s="507"/>
      <c r="AQ122" s="507"/>
      <c r="AR122" s="507"/>
      <c r="AS122" s="507"/>
      <c r="AT122" s="507"/>
      <c r="AU122" s="507"/>
      <c r="AV122" s="507"/>
    </row>
    <row r="123" spans="1:48" ht="15" customHeight="1">
      <c r="A123" s="223"/>
      <c r="B123" s="223"/>
      <c r="C123" s="223"/>
      <c r="D123" s="534"/>
      <c r="E123" s="534"/>
      <c r="F123" s="534"/>
      <c r="G123" s="534"/>
      <c r="H123" s="534"/>
      <c r="I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4"/>
      <c r="AE123" s="534"/>
      <c r="AF123" s="534"/>
      <c r="AG123" s="534"/>
      <c r="AH123" s="507"/>
      <c r="AI123" s="2768"/>
      <c r="AJ123" s="507"/>
      <c r="AK123" s="1945"/>
      <c r="AL123" s="507"/>
      <c r="AM123" s="507"/>
      <c r="AN123" s="507"/>
      <c r="AO123" s="507"/>
      <c r="AP123" s="507"/>
      <c r="AQ123" s="507"/>
      <c r="AR123" s="507"/>
      <c r="AS123" s="507"/>
      <c r="AT123" s="507"/>
      <c r="AU123" s="507"/>
      <c r="AV123" s="507"/>
    </row>
    <row r="124" spans="1:48" ht="15" customHeight="1">
      <c r="A124" s="499"/>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2768"/>
      <c r="AJ124" s="507"/>
      <c r="AK124" s="1945"/>
      <c r="AL124" s="507"/>
      <c r="AM124" s="507"/>
      <c r="AN124" s="507"/>
      <c r="AO124" s="507"/>
      <c r="AP124" s="507"/>
      <c r="AQ124" s="507"/>
      <c r="AR124" s="507"/>
      <c r="AS124" s="507"/>
      <c r="AT124" s="507"/>
      <c r="AU124" s="507"/>
      <c r="AV124" s="507"/>
    </row>
    <row r="125" spans="1:48" ht="15" customHeight="1">
      <c r="D125" s="507"/>
      <c r="E125" s="507"/>
      <c r="F125" s="507"/>
      <c r="G125" s="507"/>
      <c r="H125" s="507"/>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2768"/>
      <c r="AJ125" s="507"/>
      <c r="AK125" s="1945"/>
      <c r="AL125" s="507"/>
      <c r="AM125" s="507"/>
      <c r="AN125" s="507"/>
      <c r="AO125" s="507"/>
      <c r="AP125" s="507"/>
      <c r="AQ125" s="507"/>
      <c r="AR125" s="507"/>
      <c r="AS125" s="507"/>
      <c r="AT125" s="507"/>
      <c r="AU125" s="507"/>
      <c r="AV125" s="507"/>
    </row>
    <row r="126" spans="1:48" ht="15" customHeight="1">
      <c r="AI126" s="1895"/>
      <c r="AK126" s="1945"/>
    </row>
    <row r="127" spans="1:48" ht="15" customHeight="1">
      <c r="AI127" s="1895"/>
      <c r="AK127" s="1945"/>
    </row>
    <row r="128" spans="1:48" ht="15" customHeight="1">
      <c r="AI128" s="1895"/>
      <c r="AK128" s="1945"/>
    </row>
    <row r="129" spans="35:37" ht="15" customHeight="1">
      <c r="AI129" s="1895"/>
      <c r="AK129" s="1945"/>
    </row>
    <row r="130" spans="35:37" ht="15" customHeight="1">
      <c r="AI130" s="1895"/>
      <c r="AK130" s="1945"/>
    </row>
    <row r="131" spans="35:37" ht="15" customHeight="1">
      <c r="AI131" s="1895"/>
      <c r="AK131" s="1945"/>
    </row>
    <row r="132" spans="35:37" ht="15" customHeight="1">
      <c r="AI132" s="1895"/>
      <c r="AK132" s="1945"/>
    </row>
    <row r="133" spans="35:37" ht="15" customHeight="1">
      <c r="AI133" s="1895"/>
      <c r="AK133" s="1945"/>
    </row>
    <row r="134" spans="35:37" ht="15" customHeight="1">
      <c r="AI134" s="1895"/>
      <c r="AK134" s="1945"/>
    </row>
    <row r="135" spans="35:37" ht="15" customHeight="1">
      <c r="AI135" s="1895"/>
      <c r="AK135" s="1945"/>
    </row>
    <row r="136" spans="35:37" ht="15" customHeight="1">
      <c r="AI136" s="1895"/>
      <c r="AK136" s="1945"/>
    </row>
    <row r="137" spans="35:37" ht="15" customHeight="1">
      <c r="AI137" s="1895"/>
      <c r="AK137" s="1945"/>
    </row>
    <row r="138" spans="35:37" ht="15" customHeight="1">
      <c r="AI138" s="1895"/>
      <c r="AK138" s="1945"/>
    </row>
    <row r="139" spans="35:37" ht="15" customHeight="1">
      <c r="AI139" s="1895"/>
      <c r="AK139" s="1945"/>
    </row>
    <row r="140" spans="35:37" ht="15" customHeight="1">
      <c r="AI140" s="1895"/>
      <c r="AK140" s="1945"/>
    </row>
    <row r="141" spans="35:37" ht="15" customHeight="1">
      <c r="AI141" s="1895"/>
      <c r="AK141" s="1945"/>
    </row>
    <row r="142" spans="35:37" ht="15" customHeight="1">
      <c r="AI142" s="1895"/>
      <c r="AK142" s="1945"/>
    </row>
    <row r="143" spans="35:37" ht="15" customHeight="1">
      <c r="AI143" s="1895"/>
      <c r="AK143" s="1945"/>
    </row>
    <row r="144" spans="35:37" ht="15" customHeight="1">
      <c r="AI144" s="1895"/>
      <c r="AK144" s="1945"/>
    </row>
    <row r="145" spans="35:37" ht="15" customHeight="1">
      <c r="AI145" s="1895"/>
      <c r="AK145" s="1945"/>
    </row>
    <row r="146" spans="35:37" ht="15" customHeight="1">
      <c r="AI146" s="1895"/>
      <c r="AK146" s="1945"/>
    </row>
    <row r="147" spans="35:37" ht="15" customHeight="1">
      <c r="AI147" s="1895"/>
      <c r="AK147" s="1945"/>
    </row>
    <row r="148" spans="35:37" ht="15" customHeight="1">
      <c r="AI148" s="1895"/>
      <c r="AK148" s="1945"/>
    </row>
    <row r="149" spans="35:37" ht="15" customHeight="1">
      <c r="AI149" s="1895"/>
      <c r="AK149" s="1945"/>
    </row>
    <row r="150" spans="35:37" ht="15" customHeight="1">
      <c r="AI150" s="1895"/>
      <c r="AK150" s="1945"/>
    </row>
    <row r="151" spans="35:37" ht="15" customHeight="1">
      <c r="AI151" s="1895"/>
      <c r="AK151" s="1945"/>
    </row>
    <row r="152" spans="35:37" ht="15" customHeight="1">
      <c r="AI152" s="1895"/>
      <c r="AK152" s="1945"/>
    </row>
    <row r="153" spans="35:37" ht="15" customHeight="1">
      <c r="AI153" s="1895"/>
      <c r="AK153" s="1945"/>
    </row>
    <row r="154" spans="35:37" ht="15" customHeight="1">
      <c r="AI154" s="1895"/>
      <c r="AK154" s="1945"/>
    </row>
    <row r="155" spans="35:37" ht="15" customHeight="1">
      <c r="AI155" s="1895"/>
      <c r="AK155" s="1945"/>
    </row>
    <row r="156" spans="35:37" ht="15" customHeight="1">
      <c r="AI156" s="1895"/>
      <c r="AK156" s="1945"/>
    </row>
    <row r="157" spans="35:37" ht="15" customHeight="1">
      <c r="AI157" s="1895"/>
      <c r="AK157" s="1945"/>
    </row>
    <row r="158" spans="35:37" ht="15" customHeight="1">
      <c r="AI158" s="1895"/>
      <c r="AK158" s="1945"/>
    </row>
    <row r="159" spans="35:37" ht="15" customHeight="1">
      <c r="AI159" s="1895"/>
      <c r="AK159" s="1945"/>
    </row>
    <row r="160" spans="35:37" ht="15" customHeight="1">
      <c r="AI160" s="1895"/>
      <c r="AK160" s="1945"/>
    </row>
    <row r="161" spans="35:37" ht="15" customHeight="1">
      <c r="AI161" s="1895"/>
      <c r="AK161" s="1945"/>
    </row>
    <row r="162" spans="35:37" ht="15" customHeight="1">
      <c r="AI162" s="1895"/>
      <c r="AK162" s="1945"/>
    </row>
    <row r="163" spans="35:37" ht="15" customHeight="1">
      <c r="AI163" s="1895"/>
      <c r="AK163" s="1945"/>
    </row>
    <row r="164" spans="35:37" ht="15" customHeight="1">
      <c r="AI164" s="1895"/>
      <c r="AK164" s="1945"/>
    </row>
    <row r="165" spans="35:37" ht="15" customHeight="1">
      <c r="AI165" s="1895"/>
      <c r="AK165" s="1945"/>
    </row>
    <row r="166" spans="35:37" ht="15" customHeight="1">
      <c r="AI166" s="1895"/>
      <c r="AK166" s="1945"/>
    </row>
    <row r="167" spans="35:37" ht="15" customHeight="1">
      <c r="AI167" s="1895"/>
      <c r="AK167" s="1945"/>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2" orientation="landscape" useFirstPageNumber="1" r:id="rId2"/>
  <headerFooter scaleWithDoc="0" alignWithMargins="0">
    <oddFooter>&amp;C&amp;8&amp;P</oddFooter>
  </headerFooter>
  <rowBreaks count="1" manualBreakCount="1">
    <brk id="81" min="1" max="36" man="1"/>
  </rowBreaks>
  <ignoredErrors>
    <ignoredError sqref="AK81:AK84 AK86:AK97 AK100:AK105 AK107:AK108 AK110:AK114 AK116:AK118 AK120 AK122 AK20:AK31 AK69 AK62 AK57 AK50 AK46:AK49 AK51:AK55 AK58:AK61 AK63:AK68 AK70:AK72 AK77 AK79:AK80 AK33:AK45 AK74:AK76" unlockedFormula="1"/>
    <ignoredError sqref="AK73 AK32" 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86" bestFit="1" customWidth="1"/>
    <col min="5" max="5" width="1.6640625" style="2" customWidth="1"/>
    <col min="6" max="6" width="13.44140625" style="2" customWidth="1"/>
    <col min="7" max="7" width="2.109375" style="2" customWidth="1"/>
    <col min="8" max="8" width="12.6640625" style="1186" bestFit="1" customWidth="1"/>
    <col min="9" max="9" width="1.88671875" style="2" customWidth="1"/>
    <col min="10" max="10" width="13.6640625" style="2" customWidth="1"/>
    <col min="11" max="11" width="1.88671875" style="2" customWidth="1"/>
    <col min="12" max="12" width="11.6640625" style="1186"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86" bestFit="1" customWidth="1"/>
    <col min="23" max="23" width="1.88671875" style="2" customWidth="1"/>
    <col min="24" max="24" width="13.6640625" style="2" customWidth="1"/>
    <col min="25" max="25" width="1.109375" style="2" customWidth="1"/>
    <col min="26" max="27" width="1.33203125" style="2" customWidth="1"/>
    <col min="28" max="28" width="12.109375" style="1186"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90" t="s">
        <v>1231</v>
      </c>
    </row>
    <row r="2" spans="1:38" ht="15">
      <c r="A2" s="1190"/>
    </row>
    <row r="3" spans="1:38" ht="20.25">
      <c r="A3" s="2398" t="s">
        <v>0</v>
      </c>
      <c r="B3" s="2399"/>
      <c r="C3" s="2399"/>
      <c r="D3" s="2399"/>
      <c r="E3" s="2399"/>
      <c r="F3" s="2399"/>
      <c r="G3" s="2399"/>
      <c r="H3" s="2399"/>
      <c r="I3" s="2399"/>
      <c r="J3" s="2399"/>
      <c r="K3" s="2399"/>
      <c r="L3" s="2399"/>
      <c r="M3" s="2399"/>
      <c r="N3" s="2399"/>
      <c r="O3" s="2399"/>
      <c r="P3" s="2399"/>
      <c r="Q3" s="2399"/>
      <c r="R3" s="2399"/>
      <c r="S3" s="2399"/>
      <c r="T3" s="2399"/>
      <c r="U3" s="2399"/>
      <c r="V3" s="2399"/>
      <c r="W3" s="2399"/>
      <c r="X3" s="2399"/>
      <c r="Y3" s="2399"/>
      <c r="Z3" s="2399"/>
      <c r="AA3" s="2399"/>
      <c r="AB3" s="2399"/>
      <c r="AC3" s="2399"/>
      <c r="AD3" s="2399"/>
      <c r="AE3" s="2399"/>
      <c r="AF3" s="2399"/>
      <c r="AG3" s="2399"/>
      <c r="AH3" s="2399"/>
      <c r="AI3" s="9" t="s">
        <v>2</v>
      </c>
      <c r="AJ3" s="1"/>
    </row>
    <row r="4" spans="1:38" ht="20.25">
      <c r="A4" s="3492" t="s">
        <v>1</v>
      </c>
      <c r="B4" s="3493"/>
      <c r="C4" s="3493"/>
      <c r="D4" s="3493"/>
      <c r="E4" s="3493"/>
      <c r="F4" s="3493"/>
      <c r="G4" s="3493"/>
      <c r="H4" s="3493"/>
      <c r="I4" s="3493"/>
      <c r="J4" s="3493"/>
      <c r="K4" s="3493"/>
      <c r="L4" s="3493"/>
      <c r="M4" s="3493"/>
      <c r="N4" s="3493"/>
      <c r="O4" s="3493"/>
      <c r="P4" s="3493"/>
      <c r="Q4" s="3493"/>
      <c r="R4" s="3493"/>
      <c r="S4" s="3493"/>
      <c r="T4" s="3493"/>
      <c r="U4" s="3493"/>
      <c r="V4" s="3493"/>
      <c r="W4" s="3493"/>
      <c r="X4" s="3493"/>
      <c r="Y4" s="3493"/>
      <c r="Z4" s="3493"/>
      <c r="AA4" s="3493"/>
      <c r="AB4" s="3493"/>
      <c r="AC4" s="3493"/>
      <c r="AD4" s="3493"/>
      <c r="AE4" s="3493"/>
      <c r="AF4" s="3493"/>
      <c r="AG4" s="3493"/>
      <c r="AH4" s="3493"/>
      <c r="AI4" s="3493"/>
      <c r="AJ4" s="1"/>
    </row>
    <row r="5" spans="1:38" ht="20.25">
      <c r="A5" s="3492" t="s">
        <v>1123</v>
      </c>
      <c r="B5" s="3494"/>
      <c r="C5" s="3494"/>
      <c r="D5" s="3494"/>
      <c r="E5" s="3494"/>
      <c r="F5" s="3494"/>
      <c r="G5" s="3494"/>
      <c r="H5" s="3494"/>
      <c r="I5" s="3494"/>
      <c r="J5" s="3494"/>
      <c r="K5" s="3494"/>
      <c r="L5" s="3494"/>
      <c r="M5" s="3494"/>
      <c r="N5" s="3494"/>
      <c r="O5" s="3494"/>
      <c r="P5" s="3494"/>
      <c r="Q5" s="3494"/>
      <c r="R5" s="3494"/>
      <c r="S5" s="3494"/>
      <c r="T5" s="3494"/>
      <c r="U5" s="3494"/>
      <c r="V5" s="3494"/>
      <c r="W5" s="3494"/>
      <c r="X5" s="3494"/>
      <c r="Y5" s="3494"/>
      <c r="Z5" s="3494"/>
      <c r="AA5" s="3494"/>
      <c r="AB5" s="3494"/>
      <c r="AC5" s="3494"/>
      <c r="AD5" s="3494"/>
      <c r="AE5" s="3493"/>
      <c r="AF5" s="3493"/>
      <c r="AG5" s="3493"/>
      <c r="AH5" s="3493"/>
      <c r="AI5" s="3493"/>
      <c r="AJ5" s="1"/>
    </row>
    <row r="6" spans="1:38" ht="18" customHeight="1">
      <c r="A6" s="3492" t="s">
        <v>1116</v>
      </c>
      <c r="B6" s="3493"/>
      <c r="C6" s="3493"/>
      <c r="D6" s="3493"/>
      <c r="E6" s="3493"/>
      <c r="F6" s="3493"/>
      <c r="G6" s="3493"/>
      <c r="H6" s="3493"/>
      <c r="I6" s="3493"/>
      <c r="J6" s="3493"/>
      <c r="K6" s="3493"/>
      <c r="L6" s="3493"/>
      <c r="M6" s="3493"/>
      <c r="N6" s="3493"/>
      <c r="O6" s="3493"/>
      <c r="P6" s="3493"/>
      <c r="Q6" s="3493"/>
      <c r="R6" s="3493"/>
      <c r="S6" s="3493"/>
      <c r="T6" s="3493"/>
      <c r="U6" s="3493"/>
      <c r="V6" s="3493"/>
      <c r="W6" s="3493"/>
      <c r="X6" s="3493"/>
      <c r="Y6" s="3493"/>
      <c r="Z6" s="3493"/>
      <c r="AA6" s="3493"/>
      <c r="AB6" s="3493"/>
      <c r="AC6" s="3493"/>
      <c r="AD6" s="3493"/>
      <c r="AE6" s="3493"/>
      <c r="AF6" s="3493"/>
      <c r="AG6" s="3493"/>
      <c r="AH6" s="3493"/>
      <c r="AI6" s="3493"/>
      <c r="AJ6" s="1"/>
    </row>
    <row r="7" spans="1:38" ht="15.75">
      <c r="A7" s="3"/>
      <c r="B7" s="3"/>
      <c r="C7" s="3"/>
      <c r="D7" s="1182"/>
      <c r="E7" s="3"/>
      <c r="F7" s="4"/>
      <c r="G7" s="3"/>
      <c r="H7" s="1187"/>
      <c r="I7" s="5"/>
      <c r="J7" s="6"/>
      <c r="K7" s="5"/>
      <c r="L7" s="1187"/>
      <c r="M7" s="3"/>
      <c r="N7" s="6"/>
      <c r="O7" s="5"/>
      <c r="P7" s="5"/>
      <c r="Q7" s="5"/>
      <c r="R7" s="6"/>
      <c r="S7" s="3"/>
      <c r="T7" s="3"/>
      <c r="U7" s="3"/>
      <c r="V7" s="1182"/>
      <c r="W7" s="3"/>
      <c r="X7" s="3"/>
      <c r="Y7" s="3"/>
      <c r="Z7" s="3"/>
      <c r="AA7" s="3"/>
      <c r="AB7" s="1182"/>
      <c r="AC7" s="3"/>
      <c r="AD7" s="7"/>
      <c r="AE7" s="7"/>
      <c r="AF7" s="8"/>
      <c r="AG7" s="8"/>
      <c r="AJ7" s="1"/>
      <c r="AK7" s="1"/>
      <c r="AL7" s="1"/>
    </row>
    <row r="8" spans="1:38" ht="15.95" customHeight="1">
      <c r="A8" s="5"/>
      <c r="B8" s="3"/>
      <c r="C8" s="3"/>
      <c r="D8" s="1187"/>
      <c r="E8" s="3"/>
      <c r="F8" s="4"/>
      <c r="G8" s="3"/>
      <c r="H8" s="1187"/>
      <c r="I8" s="5"/>
      <c r="J8" s="6"/>
      <c r="K8" s="5"/>
      <c r="L8" s="1187"/>
      <c r="M8" s="3"/>
      <c r="N8" s="6"/>
      <c r="O8" s="5"/>
      <c r="P8" s="5"/>
      <c r="Q8" s="5"/>
      <c r="R8" s="6"/>
      <c r="S8" s="3"/>
      <c r="T8" s="3"/>
      <c r="U8" s="3"/>
      <c r="V8" s="1182"/>
      <c r="W8" s="3"/>
      <c r="X8" s="3"/>
      <c r="Y8" s="3"/>
      <c r="Z8" s="3"/>
      <c r="AA8" s="3"/>
      <c r="AB8" s="1182"/>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90"/>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95" t="s">
        <v>1477</v>
      </c>
      <c r="W10" s="3496"/>
      <c r="X10" s="3496"/>
      <c r="Y10" s="3496"/>
      <c r="Z10" s="3496"/>
      <c r="AA10" s="3496"/>
      <c r="AB10" s="3496"/>
      <c r="AC10" s="3496"/>
      <c r="AD10" s="3496"/>
      <c r="AE10" s="3496"/>
      <c r="AF10" s="3496"/>
      <c r="AG10" s="3496"/>
      <c r="AH10" s="3496"/>
      <c r="AI10" s="3497"/>
      <c r="AJ10" s="19"/>
      <c r="AK10" s="1"/>
      <c r="AL10" s="1"/>
    </row>
    <row r="11" spans="1:38" ht="15.95" customHeight="1">
      <c r="A11" s="15"/>
      <c r="B11" s="15"/>
      <c r="C11" s="15"/>
      <c r="D11" s="20" t="s">
        <v>7</v>
      </c>
      <c r="E11" s="20"/>
      <c r="F11" s="21" t="s">
        <v>1595</v>
      </c>
      <c r="G11" s="11"/>
      <c r="H11" s="20" t="s">
        <v>7</v>
      </c>
      <c r="I11" s="20"/>
      <c r="J11" s="22" t="str">
        <f>F11</f>
        <v>2 MOS. ENDED</v>
      </c>
      <c r="K11" s="11"/>
      <c r="L11" s="20" t="s">
        <v>7</v>
      </c>
      <c r="M11" s="20"/>
      <c r="N11" s="22" t="str">
        <f>F11</f>
        <v>2 MOS. ENDED</v>
      </c>
      <c r="O11" s="11"/>
      <c r="P11" s="20" t="s">
        <v>7</v>
      </c>
      <c r="Q11" s="20"/>
      <c r="R11" s="22" t="str">
        <f>J11</f>
        <v>2 MOS. ENDED</v>
      </c>
      <c r="S11" s="11"/>
      <c r="T11" s="11"/>
      <c r="U11" s="1191"/>
      <c r="V11" s="20" t="s">
        <v>7</v>
      </c>
      <c r="W11" s="20"/>
      <c r="X11" s="20" t="str">
        <f>F11</f>
        <v>2 MOS. ENDED</v>
      </c>
      <c r="Y11" s="20"/>
      <c r="Z11" s="20"/>
      <c r="AA11" s="20"/>
      <c r="AB11" s="20" t="s">
        <v>7</v>
      </c>
      <c r="AC11" s="20"/>
      <c r="AD11" s="24" t="str">
        <f>F11</f>
        <v>2 MOS. ENDED</v>
      </c>
      <c r="AE11" s="24"/>
      <c r="AF11" s="20"/>
      <c r="AG11" s="20" t="s">
        <v>8</v>
      </c>
      <c r="AH11" s="1192"/>
      <c r="AI11" s="20" t="s">
        <v>9</v>
      </c>
      <c r="AJ11" s="1"/>
      <c r="AK11" s="1"/>
      <c r="AL11" s="1"/>
    </row>
    <row r="12" spans="1:38" ht="15.95" customHeight="1">
      <c r="A12" s="15"/>
      <c r="B12" s="15"/>
      <c r="C12" s="15"/>
      <c r="D12" s="25" t="s">
        <v>1594</v>
      </c>
      <c r="E12" s="11"/>
      <c r="F12" s="1855" t="s">
        <v>1596</v>
      </c>
      <c r="G12" s="11"/>
      <c r="H12" s="26" t="str">
        <f>D12</f>
        <v>MAY 2015</v>
      </c>
      <c r="I12" s="11"/>
      <c r="J12" s="27" t="str">
        <f>F12</f>
        <v>MAY 31, 2015</v>
      </c>
      <c r="K12" s="11"/>
      <c r="L12" s="26" t="str">
        <f>D12</f>
        <v>MAY 2015</v>
      </c>
      <c r="M12" s="11"/>
      <c r="N12" s="27" t="str">
        <f>F12</f>
        <v>MAY 31, 2015</v>
      </c>
      <c r="O12" s="11"/>
      <c r="P12" s="26" t="str">
        <f>D12</f>
        <v>MAY 2015</v>
      </c>
      <c r="Q12" s="11"/>
      <c r="R12" s="27" t="str">
        <f>J12</f>
        <v>MAY 31, 2015</v>
      </c>
      <c r="S12" s="11"/>
      <c r="T12" s="11"/>
      <c r="U12" s="1193"/>
      <c r="V12" s="26" t="str">
        <f>D12</f>
        <v>MAY 2015</v>
      </c>
      <c r="W12" s="11"/>
      <c r="X12" s="26" t="str">
        <f>F12</f>
        <v>MAY 31, 2015</v>
      </c>
      <c r="Y12" s="11"/>
      <c r="Z12" s="11"/>
      <c r="AA12" s="11"/>
      <c r="AB12" s="25" t="s">
        <v>1598</v>
      </c>
      <c r="AC12" s="11"/>
      <c r="AD12" s="25" t="s">
        <v>1599</v>
      </c>
      <c r="AE12" s="28"/>
      <c r="AF12" s="28"/>
      <c r="AG12" s="26" t="s">
        <v>13</v>
      </c>
      <c r="AH12" s="1190"/>
      <c r="AI12" s="25" t="s">
        <v>14</v>
      </c>
      <c r="AJ12" s="19"/>
      <c r="AK12" s="1"/>
      <c r="AL12" s="1"/>
    </row>
    <row r="13" spans="1:38" ht="15.95" customHeight="1">
      <c r="A13" s="14" t="s">
        <v>15</v>
      </c>
      <c r="B13" s="15"/>
      <c r="C13" s="15"/>
      <c r="D13" s="1183" t="s">
        <v>16</v>
      </c>
      <c r="E13" s="15"/>
      <c r="F13" s="30"/>
      <c r="G13" s="15"/>
      <c r="H13" s="1183" t="s">
        <v>16</v>
      </c>
      <c r="I13" s="15"/>
      <c r="J13" s="30"/>
      <c r="K13" s="15"/>
      <c r="L13" s="1183" t="s">
        <v>16</v>
      </c>
      <c r="M13" s="15"/>
      <c r="N13" s="30"/>
      <c r="O13" s="15"/>
      <c r="P13" s="1139" t="s">
        <v>16</v>
      </c>
      <c r="Q13" s="1140"/>
      <c r="R13" s="1141"/>
      <c r="S13" s="31"/>
      <c r="T13" s="31"/>
      <c r="U13" s="29"/>
      <c r="V13" s="1183"/>
      <c r="W13" s="15"/>
      <c r="X13" s="29"/>
      <c r="Y13" s="31"/>
      <c r="Z13" s="32"/>
      <c r="AA13" s="29"/>
      <c r="AB13" s="1183"/>
      <c r="AC13" s="15"/>
      <c r="AD13" s="33"/>
      <c r="AE13" s="33"/>
      <c r="AF13" s="34"/>
      <c r="AG13" s="29"/>
      <c r="AI13" s="19"/>
      <c r="AJ13" s="19"/>
      <c r="AK13" s="1"/>
      <c r="AL13" s="1"/>
    </row>
    <row r="14" spans="1:38" ht="18" customHeight="1">
      <c r="A14" s="15" t="s">
        <v>17</v>
      </c>
      <c r="B14" s="1888">
        <v>-6</v>
      </c>
      <c r="C14" s="15"/>
      <c r="D14" s="2686">
        <f>+'Exh F'!F28</f>
        <v>1740.6</v>
      </c>
      <c r="E14" s="37" t="s">
        <v>16</v>
      </c>
      <c r="F14" s="1215">
        <f>+'Exh F'!AC28</f>
        <v>6776.3</v>
      </c>
      <c r="G14" s="37"/>
      <c r="H14" s="2686">
        <f>'Exhibit G'!F18</f>
        <v>0</v>
      </c>
      <c r="I14" s="38"/>
      <c r="J14" s="1215">
        <f>'Exhibit G'!AC18</f>
        <v>3.1</v>
      </c>
      <c r="K14" s="37"/>
      <c r="L14" s="2823">
        <f>+'Exhibit H'!D16</f>
        <v>580.20000000000005</v>
      </c>
      <c r="M14" s="1215"/>
      <c r="N14" s="1215">
        <f>+'Exhibit H'!AA16</f>
        <v>2259.8000000000002</v>
      </c>
      <c r="O14" s="1215"/>
      <c r="P14" s="1278">
        <v>0</v>
      </c>
      <c r="Q14" s="1279"/>
      <c r="R14" s="1278">
        <v>0</v>
      </c>
      <c r="S14" s="1466"/>
      <c r="T14" s="1466"/>
      <c r="U14" s="1467"/>
      <c r="V14" s="2686">
        <f>ROUND(SUM(D14)+SUM(H14)+SUM(L14)+SUM(P14),1)</f>
        <v>2320.8000000000002</v>
      </c>
      <c r="W14" s="1465" t="s">
        <v>16</v>
      </c>
      <c r="X14" s="1465">
        <f t="shared" ref="X14:X19" si="0">ROUND(SUM(F14)+SUM(J14)+SUM(N14)+SUM(R14),1)</f>
        <v>9039.2000000000007</v>
      </c>
      <c r="Y14" s="39"/>
      <c r="Z14" s="41"/>
      <c r="AA14" s="40"/>
      <c r="AB14" s="1207">
        <v>2101.9</v>
      </c>
      <c r="AC14" s="37"/>
      <c r="AD14" s="2827">
        <f>ROUND(+'Exh F'!AF28+'Exhibit G'!AF18+'Exhibit H'!AD16,1)</f>
        <v>7455.2</v>
      </c>
      <c r="AE14" s="42"/>
      <c r="AF14" s="43"/>
      <c r="AG14" s="37">
        <f t="shared" ref="AG14:AG19" si="1">ROUND(SUM(X14-AD14),1)</f>
        <v>1584</v>
      </c>
      <c r="AH14" s="44"/>
      <c r="AI14" s="45">
        <f t="shared" ref="AI14:AI19" si="2">ROUND(SUM((+X14-AD14)/AD14),3)</f>
        <v>0.21199999999999999</v>
      </c>
      <c r="AJ14" s="1853"/>
      <c r="AK14" s="1"/>
      <c r="AL14" s="1"/>
    </row>
    <row r="15" spans="1:38" ht="18" customHeight="1">
      <c r="A15" s="15" t="s">
        <v>18</v>
      </c>
      <c r="B15" s="46" t="s">
        <v>16</v>
      </c>
      <c r="C15" s="15"/>
      <c r="D15" s="1144">
        <f>+'Exh F'!F37</f>
        <v>512.70000000000005</v>
      </c>
      <c r="E15" s="47"/>
      <c r="F15" s="48">
        <f>+'Exh F'!AC37</f>
        <v>1019.7</v>
      </c>
      <c r="G15" s="47"/>
      <c r="H15" s="1144">
        <f>'Exhibit G'!F28</f>
        <v>146.80000000000001</v>
      </c>
      <c r="I15" s="47"/>
      <c r="J15" s="48">
        <f>+'Exhibit G'!AC28</f>
        <v>350.4</v>
      </c>
      <c r="K15" s="47"/>
      <c r="L15" s="2822">
        <f>'Exhibit H'!D20</f>
        <v>465.4</v>
      </c>
      <c r="M15" s="48"/>
      <c r="N15" s="48">
        <f>+'Exhibit H'!AA20</f>
        <v>945.3</v>
      </c>
      <c r="O15" s="48"/>
      <c r="P15" s="2822">
        <f>' Exhbit I '!G23</f>
        <v>43.5</v>
      </c>
      <c r="Q15" s="1143"/>
      <c r="R15" s="1142">
        <f>+' Exhbit I '!AD23</f>
        <v>92.5</v>
      </c>
      <c r="S15" s="50"/>
      <c r="T15" s="50"/>
      <c r="U15" s="51"/>
      <c r="V15" s="1143">
        <f t="shared" ref="V15:V19" si="3">ROUND(SUM(D15)+SUM(H15)+SUM(L15)+SUM(P15),1)</f>
        <v>1168.4000000000001</v>
      </c>
      <c r="W15" s="47" t="s">
        <v>16</v>
      </c>
      <c r="X15" s="47">
        <f t="shared" si="0"/>
        <v>2407.9</v>
      </c>
      <c r="Y15" s="50"/>
      <c r="Z15" s="52"/>
      <c r="AA15" s="51"/>
      <c r="AB15" s="1153">
        <v>1164.2</v>
      </c>
      <c r="AC15" s="53"/>
      <c r="AD15" s="33">
        <f>ROUND(+' Exhbit I '!AG23+'Exhibit G'!AF28+'Exhibit H'!AD20+'Exh F'!AF37,1)</f>
        <v>2368.6</v>
      </c>
      <c r="AE15" s="54"/>
      <c r="AF15" s="55"/>
      <c r="AG15" s="47">
        <f t="shared" si="1"/>
        <v>39.299999999999997</v>
      </c>
      <c r="AI15" s="45">
        <f t="shared" si="2"/>
        <v>1.7000000000000001E-2</v>
      </c>
      <c r="AJ15" s="29"/>
      <c r="AK15" s="1"/>
      <c r="AL15" s="1"/>
    </row>
    <row r="16" spans="1:38" ht="18" customHeight="1">
      <c r="A16" s="15" t="s">
        <v>19</v>
      </c>
      <c r="B16" s="56"/>
      <c r="C16" s="15"/>
      <c r="D16" s="1144">
        <f>+'Exh F'!F44</f>
        <v>-32.799999999999997</v>
      </c>
      <c r="E16" s="47"/>
      <c r="F16" s="48">
        <f>+'Exh F'!AC44</f>
        <v>170.7</v>
      </c>
      <c r="G16" s="47"/>
      <c r="H16" s="1144">
        <f>'Exhibit G'!F35</f>
        <v>43.7</v>
      </c>
      <c r="I16" s="47"/>
      <c r="J16" s="48">
        <f>'Exhibit G'!AC35</f>
        <v>104</v>
      </c>
      <c r="K16" s="47"/>
      <c r="L16" s="1150">
        <v>0</v>
      </c>
      <c r="M16" s="48"/>
      <c r="N16" s="58">
        <v>0</v>
      </c>
      <c r="O16" s="48"/>
      <c r="P16" s="2822">
        <f>' Exhbit I '!G28</f>
        <v>49.8</v>
      </c>
      <c r="Q16" s="1143"/>
      <c r="R16" s="1142">
        <f>' Exhbit I '!AD28</f>
        <v>100.7</v>
      </c>
      <c r="S16" s="50"/>
      <c r="T16" s="50"/>
      <c r="U16" s="51"/>
      <c r="V16" s="1143">
        <f t="shared" si="3"/>
        <v>60.7</v>
      </c>
      <c r="W16" s="47" t="s">
        <v>16</v>
      </c>
      <c r="X16" s="47">
        <f t="shared" si="0"/>
        <v>375.4</v>
      </c>
      <c r="Y16" s="50"/>
      <c r="Z16" s="52"/>
      <c r="AA16" s="51"/>
      <c r="AB16" s="1153">
        <v>515.1</v>
      </c>
      <c r="AC16" s="53"/>
      <c r="AD16" s="33">
        <f>ROUND(+'Exhibit G'!AF35+' Exhbit I '!AG28+'Exh F'!AF44,1)</f>
        <v>788.3</v>
      </c>
      <c r="AE16" s="54"/>
      <c r="AF16" s="55"/>
      <c r="AG16" s="47">
        <f t="shared" si="1"/>
        <v>-412.9</v>
      </c>
      <c r="AI16" s="45">
        <f t="shared" si="2"/>
        <v>-0.52400000000000002</v>
      </c>
      <c r="AJ16" s="29"/>
      <c r="AK16" s="1"/>
      <c r="AL16" s="1"/>
    </row>
    <row r="17" spans="1:38" ht="18" customHeight="1">
      <c r="A17" s="15" t="s">
        <v>20</v>
      </c>
      <c r="B17" s="36"/>
      <c r="C17" s="15"/>
      <c r="D17" s="1144">
        <f>+'Exh F'!F52</f>
        <v>150.80000000000001</v>
      </c>
      <c r="E17" s="47"/>
      <c r="F17" s="48">
        <f>+'Exh F'!AC52</f>
        <v>300.60000000000002</v>
      </c>
      <c r="G17" s="47"/>
      <c r="H17" s="1144">
        <f>'Exhibit G'!F37</f>
        <v>87.3</v>
      </c>
      <c r="I17" s="47"/>
      <c r="J17" s="47">
        <f>'Exhibit G'!AC38</f>
        <v>219.9</v>
      </c>
      <c r="K17" s="47"/>
      <c r="L17" s="2822">
        <f>'Exhibit H'!D23</f>
        <v>97</v>
      </c>
      <c r="M17" s="48"/>
      <c r="N17" s="48">
        <f>+'Exhibit H'!AA23</f>
        <v>183.3</v>
      </c>
      <c r="O17" s="48"/>
      <c r="P17" s="2822">
        <f>' Exhbit I '!G31</f>
        <v>0</v>
      </c>
      <c r="Q17" s="1143"/>
      <c r="R17" s="1142">
        <f>' Exhbit I '!AD31</f>
        <v>0</v>
      </c>
      <c r="S17" s="50"/>
      <c r="T17" s="50"/>
      <c r="U17" s="51"/>
      <c r="V17" s="1143">
        <f t="shared" si="3"/>
        <v>335.1</v>
      </c>
      <c r="W17" s="47" t="s">
        <v>16</v>
      </c>
      <c r="X17" s="47">
        <f t="shared" si="0"/>
        <v>703.8</v>
      </c>
      <c r="Y17" s="50"/>
      <c r="Z17" s="52"/>
      <c r="AA17" s="51"/>
      <c r="AB17" s="1143">
        <v>290</v>
      </c>
      <c r="AC17" s="47"/>
      <c r="AD17" s="54">
        <f>ROUND(+'Exh F'!AF52+'Exhibit G'!AF38+'Exhibit H'!AD23+' Exhbit I '!AG31,1)</f>
        <v>576.9</v>
      </c>
      <c r="AE17" s="54"/>
      <c r="AF17" s="55"/>
      <c r="AG17" s="47">
        <f t="shared" si="1"/>
        <v>126.9</v>
      </c>
      <c r="AI17" s="45">
        <f t="shared" si="2"/>
        <v>0.22</v>
      </c>
      <c r="AJ17" s="33"/>
      <c r="AK17" s="1"/>
      <c r="AL17" s="1"/>
    </row>
    <row r="18" spans="1:38" ht="18" customHeight="1">
      <c r="A18" s="15" t="s">
        <v>21</v>
      </c>
      <c r="B18" s="59">
        <v>-5</v>
      </c>
      <c r="C18" s="15"/>
      <c r="D18" s="1144">
        <f>+'Exh F'!F89</f>
        <v>2444.6</v>
      </c>
      <c r="E18" s="47"/>
      <c r="F18" s="48">
        <f>+'Exh F'!AC89</f>
        <v>2622.8</v>
      </c>
      <c r="G18" s="47"/>
      <c r="H18" s="1144">
        <f>'Exhibit G'!F81</f>
        <v>1603.7</v>
      </c>
      <c r="I18" s="47"/>
      <c r="J18" s="48">
        <f>+'Exhibit G'!AC81</f>
        <v>2054.8000000000002</v>
      </c>
      <c r="K18" s="47"/>
      <c r="L18" s="2822">
        <f>+'Exhibit H'!D43</f>
        <v>94.7</v>
      </c>
      <c r="M18" s="48"/>
      <c r="N18" s="48">
        <f>+'Exhibit H'!AA43</f>
        <v>86.4</v>
      </c>
      <c r="O18" s="48"/>
      <c r="P18" s="2822">
        <f>+' Exhbit I '!G59</f>
        <v>132.4</v>
      </c>
      <c r="Q18" s="1143"/>
      <c r="R18" s="1144">
        <f>+' Exhbit I '!AD59</f>
        <v>216.4</v>
      </c>
      <c r="S18" s="50"/>
      <c r="T18" s="50"/>
      <c r="U18" s="51"/>
      <c r="V18" s="1143">
        <f t="shared" si="3"/>
        <v>4275.3999999999996</v>
      </c>
      <c r="W18" s="47" t="s">
        <v>16</v>
      </c>
      <c r="X18" s="47">
        <f t="shared" si="0"/>
        <v>4980.3999999999996</v>
      </c>
      <c r="Y18" s="50"/>
      <c r="Z18" s="52"/>
      <c r="AA18" s="51"/>
      <c r="AB18" s="1153">
        <v>3256.5</v>
      </c>
      <c r="AC18" s="53"/>
      <c r="AD18" s="54">
        <f>ROUND('Exh F'!AF89+'Exhibit G'!AF81+'Exhibit H'!AD43+' Exhbit I '!AG59,1)</f>
        <v>4841.7</v>
      </c>
      <c r="AE18" s="54"/>
      <c r="AF18" s="55"/>
      <c r="AG18" s="47">
        <f t="shared" si="1"/>
        <v>138.69999999999999</v>
      </c>
      <c r="AI18" s="45">
        <f t="shared" si="2"/>
        <v>2.9000000000000001E-2</v>
      </c>
      <c r="AJ18" s="29"/>
      <c r="AK18" s="1"/>
      <c r="AL18" s="1"/>
    </row>
    <row r="19" spans="1:38" ht="18" customHeight="1">
      <c r="A19" s="15" t="s">
        <v>22</v>
      </c>
      <c r="B19" s="59">
        <v>-5</v>
      </c>
      <c r="C19" s="15"/>
      <c r="D19" s="1144">
        <f>+'Exh F'!F91</f>
        <v>0.1</v>
      </c>
      <c r="E19" s="51"/>
      <c r="F19" s="48">
        <f>+'Exh F'!AC91</f>
        <v>0.1</v>
      </c>
      <c r="G19" s="47"/>
      <c r="H19" s="1144">
        <f>'Exhibit G'!F83</f>
        <v>4578.6000000000004</v>
      </c>
      <c r="I19" s="47"/>
      <c r="J19" s="48">
        <f>+'Exhibit G'!AC83</f>
        <v>6207.6</v>
      </c>
      <c r="K19" s="47"/>
      <c r="L19" s="2822">
        <f>+'Exhibit H'!D45</f>
        <v>0</v>
      </c>
      <c r="M19" s="74"/>
      <c r="N19" s="48">
        <f>+'Exhibit H'!AA45</f>
        <v>0</v>
      </c>
      <c r="O19" s="48"/>
      <c r="P19" s="2822">
        <f>+' Exhbit I '!G61</f>
        <v>69.7</v>
      </c>
      <c r="Q19" s="1143"/>
      <c r="R19" s="1144">
        <f>+' Exhbit I '!AD61</f>
        <v>170.7</v>
      </c>
      <c r="S19" s="50"/>
      <c r="T19" s="50"/>
      <c r="U19" s="51"/>
      <c r="V19" s="1145">
        <f t="shared" si="3"/>
        <v>4648.3999999999996</v>
      </c>
      <c r="W19" s="47" t="s">
        <v>16</v>
      </c>
      <c r="X19" s="51">
        <f t="shared" si="0"/>
        <v>6378.4</v>
      </c>
      <c r="Y19" s="50"/>
      <c r="Z19" s="52"/>
      <c r="AA19" s="51"/>
      <c r="AB19" s="1143">
        <v>3968.6</v>
      </c>
      <c r="AC19" s="47"/>
      <c r="AD19" s="54">
        <f>ROUND(+'Exh F'!AF91+'Exhibit G'!AF83+'Exhibit H'!AD45+' Exhbit I '!AG61,1)</f>
        <v>6946.6</v>
      </c>
      <c r="AE19" s="54"/>
      <c r="AF19" s="55"/>
      <c r="AG19" s="47">
        <f t="shared" si="1"/>
        <v>-568.20000000000005</v>
      </c>
      <c r="AI19" s="45">
        <f t="shared" si="2"/>
        <v>-8.2000000000000003E-2</v>
      </c>
      <c r="AJ19" s="29"/>
      <c r="AK19" s="1"/>
      <c r="AL19" s="1"/>
    </row>
    <row r="20" spans="1:38" ht="18" customHeight="1">
      <c r="A20" s="14" t="s">
        <v>23</v>
      </c>
      <c r="B20" s="15"/>
      <c r="C20" s="15"/>
      <c r="D20" s="62">
        <f>ROUND(SUM(D14:D19),1)</f>
        <v>4816</v>
      </c>
      <c r="E20" s="61"/>
      <c r="F20" s="62">
        <f>ROUND(SUM(F14:F19),1)</f>
        <v>10890.2</v>
      </c>
      <c r="G20" s="63"/>
      <c r="H20" s="65">
        <f>ROUND(SUM(H14:H19),1)</f>
        <v>6460.1</v>
      </c>
      <c r="I20" s="63"/>
      <c r="J20" s="65">
        <f>ROUND(SUM(J14:J19),1)</f>
        <v>8939.7999999999993</v>
      </c>
      <c r="K20" s="63"/>
      <c r="L20" s="65">
        <f>ROUND(SUM(L14:L19),1)</f>
        <v>1237.3</v>
      </c>
      <c r="M20" s="2691"/>
      <c r="N20" s="65">
        <f>ROUND(SUM(N14:N19),1)</f>
        <v>3474.8</v>
      </c>
      <c r="O20" s="2691"/>
      <c r="P20" s="65">
        <f>ROUND(SUM(P14:P19),1)</f>
        <v>295.39999999999998</v>
      </c>
      <c r="Q20" s="63"/>
      <c r="R20" s="65">
        <f>ROUND(SUM(R14:R19),1)</f>
        <v>580.29999999999995</v>
      </c>
      <c r="S20" s="66"/>
      <c r="T20" s="66"/>
      <c r="U20" s="67"/>
      <c r="V20" s="64">
        <f>ROUND(SUM(V14:V19),1)</f>
        <v>12808.8</v>
      </c>
      <c r="W20" s="63"/>
      <c r="X20" s="64">
        <f>ROUND(SUM(X14:X19),1)</f>
        <v>23885.1</v>
      </c>
      <c r="Y20" s="66"/>
      <c r="Z20" s="68"/>
      <c r="AA20" s="67"/>
      <c r="AB20" s="64">
        <f>ROUND(SUM(AB14:AB19),1)</f>
        <v>11296.3</v>
      </c>
      <c r="AC20" s="63"/>
      <c r="AD20" s="64">
        <f>ROUND(SUM(AD14:AD19),1)</f>
        <v>22977.3</v>
      </c>
      <c r="AE20" s="69"/>
      <c r="AF20" s="70"/>
      <c r="AG20" s="64">
        <f>ROUND(SUM(AG14:AG19),1)</f>
        <v>907.8</v>
      </c>
      <c r="AH20" s="71"/>
      <c r="AI20" s="72">
        <f>(+X20-AD20)/AD20</f>
        <v>3.9508558446814869E-2</v>
      </c>
      <c r="AJ20" s="73"/>
      <c r="AK20" s="1"/>
      <c r="AL20" s="1"/>
    </row>
    <row r="21" spans="1:38" ht="15.95" customHeight="1">
      <c r="A21" s="14"/>
      <c r="B21" s="15"/>
      <c r="C21" s="15"/>
      <c r="D21" s="1146"/>
      <c r="E21" s="51"/>
      <c r="F21" s="74"/>
      <c r="G21" s="47"/>
      <c r="H21" s="1146"/>
      <c r="I21" s="47"/>
      <c r="J21" s="74"/>
      <c r="K21" s="47"/>
      <c r="L21" s="1146"/>
      <c r="M21" s="48"/>
      <c r="N21" s="74"/>
      <c r="O21" s="48"/>
      <c r="P21" s="1146"/>
      <c r="Q21" s="1143"/>
      <c r="R21" s="1146"/>
      <c r="S21" s="50"/>
      <c r="T21" s="50"/>
      <c r="U21" s="51"/>
      <c r="V21" s="1145"/>
      <c r="W21" s="47"/>
      <c r="X21" s="51"/>
      <c r="Y21" s="50"/>
      <c r="Z21" s="52"/>
      <c r="AA21" s="51"/>
      <c r="AB21" s="1145"/>
      <c r="AC21" s="47"/>
      <c r="AD21" s="54"/>
      <c r="AE21" s="54"/>
      <c r="AF21" s="55"/>
      <c r="AG21" s="51"/>
      <c r="AI21" s="19"/>
      <c r="AJ21" s="29"/>
      <c r="AK21" s="1"/>
      <c r="AL21" s="1"/>
    </row>
    <row r="22" spans="1:38" ht="15.95" customHeight="1">
      <c r="A22" s="14" t="s">
        <v>24</v>
      </c>
      <c r="B22" s="15"/>
      <c r="C22" s="15"/>
      <c r="D22" s="1144"/>
      <c r="E22" s="47"/>
      <c r="F22" s="48"/>
      <c r="G22" s="47"/>
      <c r="H22" s="1144"/>
      <c r="I22" s="47"/>
      <c r="J22" s="48"/>
      <c r="K22" s="47"/>
      <c r="L22" s="1144"/>
      <c r="M22" s="48"/>
      <c r="N22" s="48"/>
      <c r="O22" s="48"/>
      <c r="P22" s="1144"/>
      <c r="Q22" s="1143"/>
      <c r="R22" s="1144"/>
      <c r="S22" s="50"/>
      <c r="T22" s="50"/>
      <c r="U22" s="51"/>
      <c r="V22" s="1143"/>
      <c r="W22" s="47"/>
      <c r="X22" s="47"/>
      <c r="Y22" s="50"/>
      <c r="Z22" s="52"/>
      <c r="AA22" s="51"/>
      <c r="AB22" s="1143"/>
      <c r="AC22" s="47"/>
      <c r="AD22" s="54"/>
      <c r="AE22" s="54"/>
      <c r="AF22" s="55"/>
      <c r="AG22" s="47"/>
      <c r="AI22" s="19"/>
      <c r="AJ22" s="29"/>
      <c r="AK22" s="1"/>
      <c r="AL22" s="1"/>
    </row>
    <row r="23" spans="1:38" ht="15.95" customHeight="1">
      <c r="A23" s="15" t="s">
        <v>25</v>
      </c>
      <c r="B23" s="36" t="s">
        <v>1209</v>
      </c>
      <c r="C23" s="15"/>
      <c r="D23" s="1150" t="s">
        <v>16</v>
      </c>
      <c r="E23" s="47"/>
      <c r="F23" s="58" t="s">
        <v>16</v>
      </c>
      <c r="G23" s="47"/>
      <c r="H23" s="1148"/>
      <c r="I23" s="47"/>
      <c r="J23" s="75"/>
      <c r="K23" s="47"/>
      <c r="L23" s="1148"/>
      <c r="M23" s="48"/>
      <c r="N23" s="75"/>
      <c r="O23" s="48"/>
      <c r="P23" s="1148"/>
      <c r="Q23" s="1143"/>
      <c r="R23" s="1148"/>
      <c r="S23" s="50"/>
      <c r="T23" s="50"/>
      <c r="U23" s="51"/>
      <c r="V23" s="1147"/>
      <c r="W23" s="47"/>
      <c r="X23" s="60"/>
      <c r="Y23" s="50"/>
      <c r="Z23" s="52"/>
      <c r="AA23" s="51"/>
      <c r="AB23" s="1147"/>
      <c r="AC23" s="47"/>
      <c r="AD23" s="60"/>
      <c r="AE23" s="54"/>
      <c r="AF23" s="55"/>
      <c r="AG23" s="60"/>
      <c r="AI23" s="76"/>
      <c r="AJ23" s="29"/>
      <c r="AK23" s="1"/>
      <c r="AL23" s="1"/>
    </row>
    <row r="24" spans="1:38" ht="18" customHeight="1">
      <c r="A24" s="1729" t="s">
        <v>26</v>
      </c>
      <c r="B24" s="15"/>
      <c r="C24" s="15"/>
      <c r="D24" s="2698">
        <f>+'Exh F'!F97</f>
        <v>2822.2</v>
      </c>
      <c r="E24" s="47"/>
      <c r="F24" s="48">
        <f>+'Exh F'!AC97</f>
        <v>3393.8</v>
      </c>
      <c r="G24" s="47"/>
      <c r="H24" s="2822">
        <f>'Exhibit G'!F89</f>
        <v>445.40000000000003</v>
      </c>
      <c r="I24" s="47"/>
      <c r="J24" s="48">
        <f>+'Exhibit G'!AC89</f>
        <v>769.6</v>
      </c>
      <c r="K24" s="47"/>
      <c r="L24" s="2689">
        <v>0</v>
      </c>
      <c r="M24" s="74"/>
      <c r="N24" s="78">
        <v>0</v>
      </c>
      <c r="O24" s="48"/>
      <c r="P24" s="2822">
        <f>' Exhbit I '!G67</f>
        <v>0.1</v>
      </c>
      <c r="Q24" s="1142"/>
      <c r="R24" s="1144">
        <f>+' Exhbit I '!AD67</f>
        <v>0.2</v>
      </c>
      <c r="S24" s="50"/>
      <c r="T24" s="50"/>
      <c r="U24" s="51"/>
      <c r="V24" s="1143">
        <f>ROUND(SUM(D24)+SUM(H24)+SUM(L24)+SUM(P24),1)</f>
        <v>3267.7</v>
      </c>
      <c r="W24" s="47" t="s">
        <v>16</v>
      </c>
      <c r="X24" s="47">
        <f>ROUND(SUM(F24)+SUM(J24)+SUM(N24)+SUM(R24),1)</f>
        <v>4163.6000000000004</v>
      </c>
      <c r="Y24" s="50"/>
      <c r="Z24" s="52"/>
      <c r="AA24" s="51"/>
      <c r="AB24" s="1143">
        <v>3474.8</v>
      </c>
      <c r="AC24" s="47"/>
      <c r="AD24" s="54">
        <f>ROUND(+'Exh F'!AF97+'Exhibit G'!AF89+'Exhibit H'!L49+' Exhbit I '!AG67,1)</f>
        <v>4238.6000000000004</v>
      </c>
      <c r="AE24" s="79"/>
      <c r="AF24" s="80"/>
      <c r="AG24" s="47">
        <f>ROUND(SUM(X24-AD24),1)</f>
        <v>-75</v>
      </c>
      <c r="AI24" s="45">
        <f>ROUND(SUM((+X24-AD24)/AD24),3)</f>
        <v>-1.7999999999999999E-2</v>
      </c>
      <c r="AJ24" s="29"/>
      <c r="AK24" s="1"/>
      <c r="AL24" s="1"/>
    </row>
    <row r="25" spans="1:38" ht="18" customHeight="1">
      <c r="A25" s="1729" t="s">
        <v>27</v>
      </c>
      <c r="B25" s="81"/>
      <c r="C25" s="15"/>
      <c r="D25" s="2698">
        <f>+'Exh F'!F98</f>
        <v>0.5</v>
      </c>
      <c r="E25" s="47"/>
      <c r="F25" s="48">
        <f>+'Exh F'!AC98</f>
        <v>0.5</v>
      </c>
      <c r="G25" s="47"/>
      <c r="H25" s="2822">
        <f>'Exhibit G'!F90</f>
        <v>1</v>
      </c>
      <c r="I25" s="47"/>
      <c r="J25" s="48">
        <f>+'Exhibit G'!AC90</f>
        <v>1.3</v>
      </c>
      <c r="K25" s="47"/>
      <c r="L25" s="2689">
        <v>0</v>
      </c>
      <c r="M25" s="74"/>
      <c r="N25" s="78">
        <v>0</v>
      </c>
      <c r="O25" s="48"/>
      <c r="P25" s="2822">
        <f>' Exhbit I '!G68</f>
        <v>2.6</v>
      </c>
      <c r="Q25" s="1142"/>
      <c r="R25" s="1144">
        <f>+' Exhbit I '!AD68</f>
        <v>5.3</v>
      </c>
      <c r="S25" s="50"/>
      <c r="T25" s="50"/>
      <c r="U25" s="51"/>
      <c r="V25" s="1143">
        <f t="shared" ref="V25:V32" si="4">ROUND(SUM(D25)+SUM(H25)+SUM(L25)+SUM(P25),1)</f>
        <v>4.0999999999999996</v>
      </c>
      <c r="W25" s="47" t="s">
        <v>16</v>
      </c>
      <c r="X25" s="47">
        <f t="shared" ref="X25:X32" si="5">ROUND(SUM(F25)+SUM(J25)+SUM(N25)+SUM(R25),1)</f>
        <v>7.1</v>
      </c>
      <c r="Y25" s="50"/>
      <c r="Z25" s="52"/>
      <c r="AA25" s="51"/>
      <c r="AB25" s="1208">
        <v>4.3</v>
      </c>
      <c r="AC25" s="49" t="s">
        <v>16</v>
      </c>
      <c r="AD25" s="54">
        <f>ROUND(+'Exh F'!AF98+'Exhibit G'!AF90+'Exhibit H'!N49+' Exhbit I '!AG68,1)</f>
        <v>6.9</v>
      </c>
      <c r="AE25" s="51"/>
      <c r="AF25" s="55"/>
      <c r="AG25" s="47">
        <f t="shared" ref="AG25:AG33" si="6">ROUND(SUM(X25-AD25),1)</f>
        <v>0.2</v>
      </c>
      <c r="AI25" s="45">
        <f t="shared" ref="AI25:AI33" si="7">ROUND(SUM((+X25-AD25)/AD25),3)</f>
        <v>2.9000000000000001E-2</v>
      </c>
      <c r="AJ25" s="29"/>
      <c r="AK25" s="1"/>
      <c r="AL25" s="1"/>
    </row>
    <row r="26" spans="1:38" ht="18" customHeight="1">
      <c r="A26" s="1729" t="s">
        <v>28</v>
      </c>
      <c r="B26" s="82"/>
      <c r="C26" s="15"/>
      <c r="D26" s="2698">
        <f>+'Exh F'!F99</f>
        <v>15.4</v>
      </c>
      <c r="E26" s="47"/>
      <c r="F26" s="48">
        <f>+'Exh F'!AC99</f>
        <v>17.8</v>
      </c>
      <c r="G26" s="47"/>
      <c r="H26" s="2822">
        <f>'Exhibit G'!F91</f>
        <v>27.2</v>
      </c>
      <c r="I26" s="47"/>
      <c r="J26" s="48">
        <f>+'Exhibit G'!AC91</f>
        <v>39.9</v>
      </c>
      <c r="K26" s="47"/>
      <c r="L26" s="2689">
        <v>0</v>
      </c>
      <c r="M26" s="74"/>
      <c r="N26" s="78">
        <v>0</v>
      </c>
      <c r="O26" s="48"/>
      <c r="P26" s="2822">
        <f>' Exhbit I '!G69</f>
        <v>4.2</v>
      </c>
      <c r="Q26" s="1142"/>
      <c r="R26" s="1144">
        <f>+' Exhbit I '!AD69</f>
        <v>13.3</v>
      </c>
      <c r="S26" s="50"/>
      <c r="T26" s="50"/>
      <c r="U26" s="51"/>
      <c r="V26" s="1143">
        <f t="shared" si="4"/>
        <v>46.8</v>
      </c>
      <c r="W26" s="47" t="s">
        <v>16</v>
      </c>
      <c r="X26" s="47">
        <f t="shared" si="5"/>
        <v>71</v>
      </c>
      <c r="Y26" s="50"/>
      <c r="Z26" s="52"/>
      <c r="AA26" s="51"/>
      <c r="AB26" s="1143">
        <v>24.3</v>
      </c>
      <c r="AC26" s="47" t="s">
        <v>16</v>
      </c>
      <c r="AD26" s="54">
        <f>ROUND(+'Exh F'!AF99+'Exhibit G'!AF91+'Exhibit H'!J49+' Exhbit I '!AG69,1)</f>
        <v>41.9</v>
      </c>
      <c r="AE26" s="51"/>
      <c r="AF26" s="55"/>
      <c r="AG26" s="47">
        <f t="shared" si="6"/>
        <v>29.1</v>
      </c>
      <c r="AI26" s="45">
        <f t="shared" si="7"/>
        <v>0.69499999999999995</v>
      </c>
      <c r="AJ26" s="29"/>
      <c r="AK26" s="1"/>
      <c r="AL26" s="1"/>
    </row>
    <row r="27" spans="1:38" ht="18" customHeight="1">
      <c r="A27" s="1729" t="s">
        <v>29</v>
      </c>
      <c r="B27" s="36"/>
      <c r="C27" s="15"/>
      <c r="D27" s="1144"/>
      <c r="E27" s="47"/>
      <c r="F27" s="48"/>
      <c r="G27" s="47"/>
      <c r="H27" s="2822"/>
      <c r="I27" s="47"/>
      <c r="J27" s="48" t="s">
        <v>16</v>
      </c>
      <c r="K27" s="47"/>
      <c r="L27" s="2819" t="s">
        <v>16</v>
      </c>
      <c r="M27" s="74"/>
      <c r="N27" s="84" t="s">
        <v>16</v>
      </c>
      <c r="O27" s="48"/>
      <c r="P27" s="2822"/>
      <c r="Q27" s="1142"/>
      <c r="R27" s="1144"/>
      <c r="S27" s="50"/>
      <c r="T27" s="50"/>
      <c r="U27" s="51"/>
      <c r="V27" s="1143" t="s">
        <v>16</v>
      </c>
      <c r="W27" s="47"/>
      <c r="X27" s="1143" t="s">
        <v>16</v>
      </c>
      <c r="Y27" s="50"/>
      <c r="Z27" s="52"/>
      <c r="AA27" s="51"/>
      <c r="AB27" s="1143"/>
      <c r="AC27" s="47"/>
      <c r="AD27" s="47"/>
      <c r="AE27" s="51"/>
      <c r="AF27" s="55"/>
      <c r="AG27" s="47"/>
      <c r="AI27" s="45"/>
      <c r="AJ27" s="29"/>
      <c r="AK27" s="1"/>
      <c r="AL27" s="1"/>
    </row>
    <row r="28" spans="1:38" ht="18" customHeight="1">
      <c r="A28" s="1730" t="s">
        <v>30</v>
      </c>
      <c r="B28" s="46">
        <v>-5</v>
      </c>
      <c r="C28" s="15"/>
      <c r="D28" s="2698">
        <f>+'Exh F'!F101</f>
        <v>1598.6</v>
      </c>
      <c r="E28" s="47"/>
      <c r="F28" s="48">
        <f>+'Exh F'!AC101</f>
        <v>2822.9</v>
      </c>
      <c r="G28" s="47"/>
      <c r="H28" s="2822">
        <f>'Exhibit G'!F93</f>
        <v>2871.6000000000004</v>
      </c>
      <c r="I28" s="47"/>
      <c r="J28" s="48">
        <f>+'Exhibit G'!AC93</f>
        <v>4839.1000000000004</v>
      </c>
      <c r="K28" s="47"/>
      <c r="L28" s="2689">
        <v>0</v>
      </c>
      <c r="M28" s="74"/>
      <c r="N28" s="78">
        <v>0</v>
      </c>
      <c r="O28" s="48"/>
      <c r="P28" s="2822">
        <f>' Exhbit I '!G71</f>
        <v>0</v>
      </c>
      <c r="Q28" s="1142"/>
      <c r="R28" s="1148">
        <f>+' Exhbit I '!AD71</f>
        <v>0</v>
      </c>
      <c r="S28" s="50"/>
      <c r="T28" s="50"/>
      <c r="U28" s="51"/>
      <c r="V28" s="1143">
        <f t="shared" si="4"/>
        <v>4470.2</v>
      </c>
      <c r="W28" s="47" t="s">
        <v>16</v>
      </c>
      <c r="X28" s="47">
        <f t="shared" si="5"/>
        <v>7662</v>
      </c>
      <c r="Y28" s="50"/>
      <c r="Z28" s="52"/>
      <c r="AA28" s="51"/>
      <c r="AB28" s="1143">
        <v>3615.8</v>
      </c>
      <c r="AC28" s="47" t="s">
        <v>16</v>
      </c>
      <c r="AD28" s="47">
        <f>ROUND(+'Exh F'!AF101+'Exhibit G'!AF93+'Exhibit H'!F49+' Exhbit I '!AG71,1)</f>
        <v>7239.4</v>
      </c>
      <c r="AE28" s="51"/>
      <c r="AF28" s="55"/>
      <c r="AG28" s="47">
        <f t="shared" si="6"/>
        <v>422.6</v>
      </c>
      <c r="AI28" s="45">
        <f t="shared" si="7"/>
        <v>5.8000000000000003E-2</v>
      </c>
      <c r="AJ28" s="29"/>
      <c r="AK28" s="1"/>
      <c r="AL28" s="1"/>
    </row>
    <row r="29" spans="1:38" ht="18" customHeight="1">
      <c r="A29" s="1729" t="s">
        <v>31</v>
      </c>
      <c r="B29" s="46"/>
      <c r="C29" s="15"/>
      <c r="D29" s="2698">
        <f>+'Exh F'!F102</f>
        <v>190.3</v>
      </c>
      <c r="E29" s="47"/>
      <c r="F29" s="48">
        <f>+'Exh F'!AC102</f>
        <v>203.3</v>
      </c>
      <c r="G29" s="47"/>
      <c r="H29" s="2822">
        <f>'Exhibit G'!F94</f>
        <v>187.6</v>
      </c>
      <c r="I29" s="47"/>
      <c r="J29" s="48">
        <f>+'Exhibit G'!AC94</f>
        <v>392</v>
      </c>
      <c r="K29" s="47"/>
      <c r="L29" s="2689">
        <v>0</v>
      </c>
      <c r="M29" s="74"/>
      <c r="N29" s="78">
        <v>0</v>
      </c>
      <c r="O29" s="48"/>
      <c r="P29" s="2822">
        <f>' Exhbit I '!G72</f>
        <v>4.9000000000000004</v>
      </c>
      <c r="Q29" s="1142"/>
      <c r="R29" s="1144">
        <f>+' Exhbit I '!AD72</f>
        <v>8.5</v>
      </c>
      <c r="S29" s="50"/>
      <c r="T29" s="50"/>
      <c r="U29" s="51"/>
      <c r="V29" s="1143">
        <f t="shared" si="4"/>
        <v>382.8</v>
      </c>
      <c r="W29" s="47" t="s">
        <v>16</v>
      </c>
      <c r="X29" s="47">
        <f t="shared" si="5"/>
        <v>603.79999999999995</v>
      </c>
      <c r="Y29" s="50"/>
      <c r="Z29" s="52"/>
      <c r="AA29" s="51"/>
      <c r="AB29" s="1143">
        <v>334.3</v>
      </c>
      <c r="AC29" s="47" t="s">
        <v>16</v>
      </c>
      <c r="AD29" s="47">
        <f>ROUND(+'Exh F'!AF102+'Exhibit G'!AF94+' Exhbit I '!AG72,1)</f>
        <v>564.5</v>
      </c>
      <c r="AE29" s="51"/>
      <c r="AF29" s="55"/>
      <c r="AG29" s="47">
        <f t="shared" si="6"/>
        <v>39.299999999999997</v>
      </c>
      <c r="AI29" s="45">
        <f t="shared" si="7"/>
        <v>7.0000000000000007E-2</v>
      </c>
      <c r="AJ29" s="29"/>
      <c r="AK29" s="1"/>
      <c r="AL29" s="1"/>
    </row>
    <row r="30" spans="1:38" ht="18" customHeight="1">
      <c r="A30" s="1729" t="s">
        <v>32</v>
      </c>
      <c r="B30" s="36"/>
      <c r="C30" s="15"/>
      <c r="D30" s="2698">
        <f>+'Exh F'!F103</f>
        <v>29.8</v>
      </c>
      <c r="E30" s="47"/>
      <c r="F30" s="48">
        <f>+'Exh F'!AC103</f>
        <v>34.200000000000003</v>
      </c>
      <c r="G30" s="47"/>
      <c r="H30" s="2822">
        <f>'Exhibit G'!F95</f>
        <v>111.3</v>
      </c>
      <c r="I30" s="47"/>
      <c r="J30" s="48">
        <f>+'Exhibit G'!AC95</f>
        <v>279.3</v>
      </c>
      <c r="K30" s="47"/>
      <c r="L30" s="2689">
        <v>0</v>
      </c>
      <c r="M30" s="74"/>
      <c r="N30" s="78">
        <v>0</v>
      </c>
      <c r="O30" s="48"/>
      <c r="P30" s="2822">
        <f>' Exhbit I '!G73</f>
        <v>0</v>
      </c>
      <c r="Q30" s="1142"/>
      <c r="R30" s="1148">
        <f>+' Exhbit I '!AD73</f>
        <v>0</v>
      </c>
      <c r="S30" s="50"/>
      <c r="T30" s="50"/>
      <c r="U30" s="51"/>
      <c r="V30" s="1143">
        <f t="shared" si="4"/>
        <v>141.1</v>
      </c>
      <c r="W30" s="47" t="s">
        <v>16</v>
      </c>
      <c r="X30" s="47">
        <f t="shared" si="5"/>
        <v>313.5</v>
      </c>
      <c r="Y30" s="50"/>
      <c r="Z30" s="52"/>
      <c r="AA30" s="51"/>
      <c r="AB30" s="1143">
        <v>180.2</v>
      </c>
      <c r="AC30" s="47" t="s">
        <v>16</v>
      </c>
      <c r="AD30" s="47">
        <f>ROUND(+'Exh F'!AF103+'Exhibit G'!AF95+' Exhbit I '!AG73,1)</f>
        <v>250</v>
      </c>
      <c r="AE30" s="51"/>
      <c r="AF30" s="55"/>
      <c r="AG30" s="47">
        <f t="shared" si="6"/>
        <v>63.5</v>
      </c>
      <c r="AI30" s="45">
        <f t="shared" si="7"/>
        <v>0.254</v>
      </c>
      <c r="AJ30" s="29"/>
      <c r="AK30" s="1"/>
      <c r="AL30" s="1"/>
    </row>
    <row r="31" spans="1:38" ht="18" customHeight="1">
      <c r="A31" s="1729" t="s">
        <v>33</v>
      </c>
      <c r="B31" s="15"/>
      <c r="C31" s="15"/>
      <c r="D31" s="2698">
        <f>+'Exh F'!F104</f>
        <v>138.19999999999999</v>
      </c>
      <c r="E31" s="47"/>
      <c r="F31" s="48">
        <f>+'Exh F'!AC104</f>
        <v>270.39999999999998</v>
      </c>
      <c r="G31" s="47"/>
      <c r="H31" s="2822">
        <f>'Exhibit G'!F96</f>
        <v>327.3</v>
      </c>
      <c r="I31" s="47"/>
      <c r="J31" s="48">
        <f>+'Exhibit G'!AC96</f>
        <v>562.4</v>
      </c>
      <c r="K31" s="47"/>
      <c r="L31" s="2689">
        <v>0</v>
      </c>
      <c r="M31" s="74"/>
      <c r="N31" s="78">
        <v>0</v>
      </c>
      <c r="O31" s="48"/>
      <c r="P31" s="2822">
        <f>' Exhbit I '!G74</f>
        <v>0</v>
      </c>
      <c r="Q31" s="1142"/>
      <c r="R31" s="1144">
        <f>+' Exhbit I '!AD74</f>
        <v>0</v>
      </c>
      <c r="S31" s="50"/>
      <c r="T31" s="50"/>
      <c r="U31" s="51"/>
      <c r="V31" s="1143">
        <f t="shared" si="4"/>
        <v>465.5</v>
      </c>
      <c r="W31" s="47" t="s">
        <v>16</v>
      </c>
      <c r="X31" s="47">
        <f t="shared" si="5"/>
        <v>832.8</v>
      </c>
      <c r="Y31" s="50"/>
      <c r="Z31" s="52"/>
      <c r="AA31" s="51"/>
      <c r="AB31" s="1143">
        <v>469.1</v>
      </c>
      <c r="AC31" s="47" t="s">
        <v>16</v>
      </c>
      <c r="AD31" s="47">
        <f>ROUND(+'Exh F'!AF104+'Exhibit G'!AF96+' Exhbit I '!AG74,1)</f>
        <v>961</v>
      </c>
      <c r="AE31" s="51"/>
      <c r="AF31" s="55"/>
      <c r="AG31" s="47">
        <f t="shared" si="6"/>
        <v>-128.19999999999999</v>
      </c>
      <c r="AI31" s="45">
        <f t="shared" si="7"/>
        <v>-0.13300000000000001</v>
      </c>
      <c r="AJ31" s="29"/>
      <c r="AK31" s="1"/>
      <c r="AL31" s="1"/>
    </row>
    <row r="32" spans="1:38" ht="18" customHeight="1">
      <c r="A32" s="1729" t="s">
        <v>34</v>
      </c>
      <c r="B32" s="36"/>
      <c r="C32" s="15"/>
      <c r="D32" s="2698">
        <f>+'Exh F'!F105</f>
        <v>7.2</v>
      </c>
      <c r="E32" s="47"/>
      <c r="F32" s="48">
        <f>+'Exh F'!AC105</f>
        <v>9.5</v>
      </c>
      <c r="G32" s="47"/>
      <c r="H32" s="2822">
        <f>'Exhibit G'!F97</f>
        <v>2.2000000000000002</v>
      </c>
      <c r="I32" s="47"/>
      <c r="J32" s="48">
        <f>+'Exhibit G'!AC97</f>
        <v>4.5</v>
      </c>
      <c r="K32" s="47"/>
      <c r="L32" s="2689">
        <v>0</v>
      </c>
      <c r="M32" s="74" t="s">
        <v>16</v>
      </c>
      <c r="N32" s="78">
        <v>0</v>
      </c>
      <c r="O32" s="48"/>
      <c r="P32" s="2822">
        <f>' Exhbit I '!G75</f>
        <v>60</v>
      </c>
      <c r="Q32" s="1142"/>
      <c r="R32" s="1144">
        <f>+' Exhbit I '!AD75</f>
        <v>81.2</v>
      </c>
      <c r="S32" s="50"/>
      <c r="T32" s="50"/>
      <c r="U32" s="51"/>
      <c r="V32" s="1143">
        <f t="shared" si="4"/>
        <v>69.400000000000006</v>
      </c>
      <c r="W32" s="47" t="s">
        <v>16</v>
      </c>
      <c r="X32" s="47">
        <f t="shared" si="5"/>
        <v>95.2</v>
      </c>
      <c r="Y32" s="50"/>
      <c r="Z32" s="52"/>
      <c r="AA32" s="51"/>
      <c r="AB32" s="1143">
        <v>10.3</v>
      </c>
      <c r="AC32" s="47" t="s">
        <v>16</v>
      </c>
      <c r="AD32" s="47">
        <f>ROUND(+'Exh F'!AF105+'Exhibit G'!AF97+' Exhbit I '!AG75,1)</f>
        <v>22.3</v>
      </c>
      <c r="AE32" s="51"/>
      <c r="AF32" s="55"/>
      <c r="AG32" s="47">
        <f t="shared" si="6"/>
        <v>72.900000000000006</v>
      </c>
      <c r="AI32" s="45">
        <f t="shared" si="7"/>
        <v>3.2690000000000001</v>
      </c>
      <c r="AJ32" s="29"/>
      <c r="AK32" s="1"/>
      <c r="AL32" s="1"/>
    </row>
    <row r="33" spans="1:38" ht="18" customHeight="1">
      <c r="A33" s="1729" t="s">
        <v>35</v>
      </c>
      <c r="B33" s="15"/>
      <c r="C33" s="15"/>
      <c r="D33" s="2698">
        <f>+'Exh F'!F106</f>
        <v>24.3</v>
      </c>
      <c r="E33" s="47"/>
      <c r="F33" s="48">
        <f>+'Exh F'!AC106</f>
        <v>24.3</v>
      </c>
      <c r="G33" s="47"/>
      <c r="H33" s="2822">
        <f>'Exhibit G'!F98</f>
        <v>473.59999999999997</v>
      </c>
      <c r="I33" s="47"/>
      <c r="J33" s="48">
        <f>+'Exhibit G'!AC98</f>
        <v>601.1</v>
      </c>
      <c r="K33" s="47"/>
      <c r="L33" s="2689">
        <v>0</v>
      </c>
      <c r="M33" s="74"/>
      <c r="N33" s="78">
        <v>0</v>
      </c>
      <c r="O33" s="48"/>
      <c r="P33" s="2822">
        <f>' Exhbit I '!G76</f>
        <v>31.099999999999998</v>
      </c>
      <c r="Q33" s="1142"/>
      <c r="R33" s="1144">
        <f>+' Exhbit I '!AD76</f>
        <v>62.1</v>
      </c>
      <c r="S33" s="50"/>
      <c r="T33" s="50"/>
      <c r="U33" s="51"/>
      <c r="V33" s="1143">
        <f>ROUND(SUM(D33)+SUM(H33)+SUM(L33)+SUM(P33),1)</f>
        <v>529</v>
      </c>
      <c r="W33" s="47" t="s">
        <v>16</v>
      </c>
      <c r="X33" s="47">
        <f>ROUND(SUM(F33)+SUM(J33)+SUM(N33)+SUM(R33),1)</f>
        <v>687.5</v>
      </c>
      <c r="Y33" s="50"/>
      <c r="Z33" s="52"/>
      <c r="AA33" s="51"/>
      <c r="AB33" s="1143">
        <v>602.20000000000005</v>
      </c>
      <c r="AC33" s="47" t="s">
        <v>16</v>
      </c>
      <c r="AD33" s="48">
        <f>ROUND(+'Exh F'!AF106+'Exhibit G'!AF98+' Exhbit I '!AG76,1)</f>
        <v>815.3</v>
      </c>
      <c r="AE33" s="51"/>
      <c r="AF33" s="55"/>
      <c r="AG33" s="47">
        <f t="shared" si="6"/>
        <v>-127.8</v>
      </c>
      <c r="AI33" s="45">
        <f t="shared" si="7"/>
        <v>-0.157</v>
      </c>
      <c r="AJ33" s="29"/>
      <c r="AK33" s="1"/>
      <c r="AL33" s="1"/>
    </row>
    <row r="34" spans="1:38" ht="18" customHeight="1">
      <c r="A34" s="14" t="s">
        <v>36</v>
      </c>
      <c r="B34" s="15"/>
      <c r="C34" s="15"/>
      <c r="D34" s="65">
        <f>ROUND(SUM(D24:D33),1)</f>
        <v>4826.5</v>
      </c>
      <c r="E34" s="67"/>
      <c r="F34" s="65">
        <f>ROUND(SUM(F24:F33),1)</f>
        <v>6776.7</v>
      </c>
      <c r="G34" s="63"/>
      <c r="H34" s="65">
        <f>ROUND(SUM(H24:H33),1)</f>
        <v>4447.2</v>
      </c>
      <c r="I34" s="63"/>
      <c r="J34" s="65">
        <f>ROUND(SUM(J24:J33),1)</f>
        <v>7489.2</v>
      </c>
      <c r="K34" s="63"/>
      <c r="L34" s="2824">
        <f>ROUND(SUM(L24:L33),1)</f>
        <v>0</v>
      </c>
      <c r="M34" s="2691"/>
      <c r="N34" s="2824">
        <f>ROUND(SUM(N24:N33),1)</f>
        <v>0</v>
      </c>
      <c r="O34" s="2691"/>
      <c r="P34" s="62">
        <f>ROUND(SUM(P24:P33),1)</f>
        <v>102.9</v>
      </c>
      <c r="Q34" s="63"/>
      <c r="R34" s="62">
        <f>ROUND(SUM(R24:R33),1)</f>
        <v>170.6</v>
      </c>
      <c r="S34" s="66"/>
      <c r="T34" s="66"/>
      <c r="U34" s="67"/>
      <c r="V34" s="64">
        <f>ROUND(SUM(V24:V33),1)</f>
        <v>9376.6</v>
      </c>
      <c r="W34" s="63"/>
      <c r="X34" s="64">
        <f>ROUND(SUM(X24:X33),1)</f>
        <v>14436.5</v>
      </c>
      <c r="Y34" s="66"/>
      <c r="Z34" s="68"/>
      <c r="AA34" s="67"/>
      <c r="AB34" s="64">
        <f>ROUND(SUM(AB23:AB33),1)</f>
        <v>8715.2999999999993</v>
      </c>
      <c r="AC34" s="63"/>
      <c r="AD34" s="64">
        <f>ROUND(SUM(AD23:AD33),1)</f>
        <v>14139.9</v>
      </c>
      <c r="AE34" s="69"/>
      <c r="AF34" s="70"/>
      <c r="AG34" s="64">
        <f>ROUND(SUM(AG24:AG33),1)</f>
        <v>296.60000000000002</v>
      </c>
      <c r="AH34" s="71"/>
      <c r="AI34" s="72">
        <f>ROUND(SUM((+X34-AD34)/AD34),3)</f>
        <v>2.1000000000000001E-2</v>
      </c>
      <c r="AJ34" s="18"/>
      <c r="AK34" s="1"/>
      <c r="AL34" s="1"/>
    </row>
    <row r="35" spans="1:38" ht="18" customHeight="1">
      <c r="A35" s="15" t="s">
        <v>37</v>
      </c>
      <c r="B35" s="82"/>
      <c r="C35" s="15"/>
      <c r="D35" s="1144"/>
      <c r="E35" s="47"/>
      <c r="F35" s="48"/>
      <c r="G35" s="47"/>
      <c r="H35" s="1144"/>
      <c r="I35" s="47"/>
      <c r="J35" s="48"/>
      <c r="K35" s="47"/>
      <c r="L35" s="1144"/>
      <c r="M35" s="48"/>
      <c r="N35" s="48"/>
      <c r="O35" s="48"/>
      <c r="P35" s="1144"/>
      <c r="Q35" s="1143"/>
      <c r="R35" s="1144"/>
      <c r="S35" s="50"/>
      <c r="T35" s="50"/>
      <c r="U35" s="51"/>
      <c r="V35" s="1143"/>
      <c r="W35" s="47"/>
      <c r="X35" s="47"/>
      <c r="Y35" s="50"/>
      <c r="Z35" s="52"/>
      <c r="AA35" s="51"/>
      <c r="AB35" s="1143"/>
      <c r="AC35" s="47"/>
      <c r="AD35" s="54"/>
      <c r="AE35" s="54"/>
      <c r="AF35" s="55"/>
      <c r="AG35" s="47"/>
      <c r="AI35" s="19"/>
      <c r="AJ35" s="29"/>
      <c r="AK35" s="1"/>
      <c r="AL35" s="1"/>
    </row>
    <row r="36" spans="1:38" ht="18" customHeight="1">
      <c r="A36" s="15" t="s">
        <v>38</v>
      </c>
      <c r="B36" s="81"/>
      <c r="C36" s="15"/>
      <c r="D36" s="1144">
        <f>+'Exh F'!F109</f>
        <v>443.4</v>
      </c>
      <c r="E36" s="47"/>
      <c r="F36" s="48">
        <f>+'Exh F'!AC109</f>
        <v>997.6</v>
      </c>
      <c r="G36" s="47"/>
      <c r="H36" s="2822">
        <f>'Exhibit G'!F101</f>
        <v>580.20000000000005</v>
      </c>
      <c r="I36" s="47"/>
      <c r="J36" s="48">
        <f>+'Exhibit G'!AC101</f>
        <v>1263.7</v>
      </c>
      <c r="K36" s="47"/>
      <c r="L36" s="1150">
        <v>0</v>
      </c>
      <c r="M36" s="48"/>
      <c r="N36" s="58">
        <v>0</v>
      </c>
      <c r="O36" s="48"/>
      <c r="P36" s="1150">
        <f>' Exhbit I '!G79</f>
        <v>0</v>
      </c>
      <c r="Q36" s="1143"/>
      <c r="R36" s="1150">
        <f>+' Exhbit I '!AD79</f>
        <v>0</v>
      </c>
      <c r="S36" s="50"/>
      <c r="T36" s="50"/>
      <c r="U36" s="51"/>
      <c r="V36" s="1143">
        <f>ROUND(SUM(D36)+SUM(H36)+SUM(L36)+SUM(P36),1)</f>
        <v>1023.6</v>
      </c>
      <c r="W36" s="47" t="s">
        <v>16</v>
      </c>
      <c r="X36" s="47">
        <f>ROUND(SUM(F36)+SUM(J36)+SUM(N36)+SUM(R36),1)</f>
        <v>2261.3000000000002</v>
      </c>
      <c r="Y36" s="50"/>
      <c r="Z36" s="52"/>
      <c r="AA36" s="51"/>
      <c r="AB36" s="1143">
        <v>1180.3</v>
      </c>
      <c r="AC36" s="85"/>
      <c r="AD36" s="47">
        <f>ROUND(+'Exh F'!AF109+'Exhibit G'!AF101+' Exhbit I '!AG79,1)</f>
        <v>2233.6</v>
      </c>
      <c r="AE36" s="51"/>
      <c r="AF36" s="55"/>
      <c r="AG36" s="47">
        <f>ROUND(SUM(X36-AD36),1)</f>
        <v>27.7</v>
      </c>
      <c r="AI36" s="45">
        <f>ROUND(SUM((+X36-AD36)/AD36),3)</f>
        <v>1.2E-2</v>
      </c>
      <c r="AJ36" s="29"/>
      <c r="AK36" s="1"/>
      <c r="AL36" s="1"/>
    </row>
    <row r="37" spans="1:38" ht="18" customHeight="1">
      <c r="A37" s="15" t="s">
        <v>39</v>
      </c>
      <c r="B37" s="82"/>
      <c r="C37" s="15"/>
      <c r="D37" s="1144">
        <f>+'Exh F'!F110</f>
        <v>124.7</v>
      </c>
      <c r="E37" s="47"/>
      <c r="F37" s="48">
        <f>+'Exh F'!AC110</f>
        <v>193.1</v>
      </c>
      <c r="G37" s="47"/>
      <c r="H37" s="2822">
        <f>'Exhibit G'!F102</f>
        <v>326.39999999999998</v>
      </c>
      <c r="I37" s="47"/>
      <c r="J37" s="48">
        <f>+'Exhibit G'!AC102</f>
        <v>606.79999999999995</v>
      </c>
      <c r="K37" s="47"/>
      <c r="L37" s="2822">
        <f>+'Exhibit H'!D51</f>
        <v>1.2</v>
      </c>
      <c r="M37" s="48"/>
      <c r="N37" s="48">
        <f>+'Exhibit H'!AA51</f>
        <v>1.6</v>
      </c>
      <c r="O37" s="48" t="s">
        <v>16</v>
      </c>
      <c r="P37" s="1150">
        <f>' Exhbit I '!G80</f>
        <v>0</v>
      </c>
      <c r="Q37" s="1143"/>
      <c r="R37" s="1150">
        <f>+' Exhbit I '!AD80</f>
        <v>0</v>
      </c>
      <c r="S37" s="50"/>
      <c r="T37" s="50"/>
      <c r="U37" s="51"/>
      <c r="V37" s="1143">
        <f>ROUND(SUM(D37)+SUM(H37)+SUM(L37)+SUM(P37),1)</f>
        <v>452.3</v>
      </c>
      <c r="W37" s="47" t="s">
        <v>16</v>
      </c>
      <c r="X37" s="47">
        <f>ROUND(SUM(F37)+SUM(J37)+SUM(N37)+SUM(R37),1)</f>
        <v>801.5</v>
      </c>
      <c r="Y37" s="50"/>
      <c r="Z37" s="52"/>
      <c r="AA37" s="51"/>
      <c r="AB37" s="1153">
        <v>459.6</v>
      </c>
      <c r="AC37" s="86"/>
      <c r="AD37" s="47">
        <f>ROUND(+'Exh F'!AF110+'Exhibit G'!AF102+' Exhbit I '!AG80+'Exhibit H'!AD51,1)</f>
        <v>903.6</v>
      </c>
      <c r="AE37" s="51"/>
      <c r="AF37" s="55"/>
      <c r="AG37" s="47">
        <f>ROUND(SUM(X37-AD37),1)</f>
        <v>-102.1</v>
      </c>
      <c r="AI37" s="45">
        <f>ROUND(SUM((+X37-AD37)/AD37),3)</f>
        <v>-0.113</v>
      </c>
      <c r="AJ37" s="29"/>
      <c r="AK37" s="1"/>
      <c r="AL37" s="1"/>
    </row>
    <row r="38" spans="1:38" ht="18" customHeight="1">
      <c r="A38" s="15" t="s">
        <v>40</v>
      </c>
      <c r="B38" s="36"/>
      <c r="C38" s="15"/>
      <c r="D38" s="1144">
        <f>+'Exh F'!F111</f>
        <v>503.7</v>
      </c>
      <c r="E38" s="47"/>
      <c r="F38" s="48">
        <f>+'Exh F'!AC111</f>
        <v>1116</v>
      </c>
      <c r="G38" s="87"/>
      <c r="H38" s="2822">
        <f>'Exhibit G'!F103</f>
        <v>239.60000000000002</v>
      </c>
      <c r="I38" s="47"/>
      <c r="J38" s="48">
        <f>+'Exhibit G'!AC103</f>
        <v>291</v>
      </c>
      <c r="K38" s="47"/>
      <c r="L38" s="1150">
        <v>0</v>
      </c>
      <c r="M38" s="48"/>
      <c r="N38" s="58">
        <v>0</v>
      </c>
      <c r="O38" s="48"/>
      <c r="P38" s="1150">
        <f>' Exhbit I '!G81</f>
        <v>0</v>
      </c>
      <c r="Q38" s="1143"/>
      <c r="R38" s="1150">
        <f>+' Exhbit I '!AD81</f>
        <v>0</v>
      </c>
      <c r="S38" s="50"/>
      <c r="T38" s="50"/>
      <c r="U38" s="51"/>
      <c r="V38" s="1143">
        <f>ROUND(SUM(D38)+SUM(H38)+SUM(L38)+SUM(P38),1)</f>
        <v>743.3</v>
      </c>
      <c r="W38" s="47" t="s">
        <v>16</v>
      </c>
      <c r="X38" s="47">
        <f>ROUND(SUM(F38)+SUM(J38)+SUM(N38)+SUM(R38),1)</f>
        <v>1407</v>
      </c>
      <c r="Y38" s="50"/>
      <c r="Z38" s="52"/>
      <c r="AA38" s="51"/>
      <c r="AB38" s="1153">
        <v>842.6</v>
      </c>
      <c r="AC38" s="53"/>
      <c r="AD38" s="47">
        <f>ROUND(+'Exh F'!AF111+'Exhibit G'!AF103+' Exhbit I '!AG81,1)</f>
        <v>1531</v>
      </c>
      <c r="AE38" s="51"/>
      <c r="AF38" s="55"/>
      <c r="AG38" s="47">
        <f>ROUND(SUM(X38-AD38),1)</f>
        <v>-124</v>
      </c>
      <c r="AI38" s="45">
        <f>ROUND(SUM((+X38-AD38)/AD38),3)</f>
        <v>-8.1000000000000003E-2</v>
      </c>
      <c r="AJ38" s="29"/>
      <c r="AK38" s="1"/>
      <c r="AL38" s="1"/>
    </row>
    <row r="39" spans="1:38" ht="18" customHeight="1">
      <c r="A39" s="15" t="s">
        <v>41</v>
      </c>
      <c r="B39" s="15"/>
      <c r="C39" s="15"/>
      <c r="D39" s="1144"/>
      <c r="E39" s="47"/>
      <c r="F39" s="48"/>
      <c r="G39" s="47"/>
      <c r="H39" s="1144"/>
      <c r="I39" s="47"/>
      <c r="J39" s="88"/>
      <c r="K39" s="47"/>
      <c r="L39" s="1144"/>
      <c r="M39" s="48"/>
      <c r="N39" s="48"/>
      <c r="O39" s="48"/>
      <c r="P39" s="1150"/>
      <c r="Q39" s="1143"/>
      <c r="R39" s="1144"/>
      <c r="S39" s="50"/>
      <c r="T39" s="50"/>
      <c r="U39" s="51"/>
      <c r="V39" s="1143"/>
      <c r="W39" s="47"/>
      <c r="X39" s="47"/>
      <c r="Y39" s="50"/>
      <c r="Z39" s="52"/>
      <c r="AA39" s="51"/>
      <c r="AB39" s="1153"/>
      <c r="AC39" s="53"/>
      <c r="AD39" s="54"/>
      <c r="AE39" s="51"/>
      <c r="AF39" s="55"/>
      <c r="AG39" s="47"/>
      <c r="AI39" s="45"/>
      <c r="AJ39" s="29"/>
      <c r="AK39" s="1"/>
      <c r="AL39" s="1"/>
    </row>
    <row r="40" spans="1:38" ht="18" customHeight="1">
      <c r="A40" s="15" t="s">
        <v>42</v>
      </c>
      <c r="B40" s="36"/>
      <c r="C40" s="15"/>
      <c r="D40" s="1150">
        <v>0</v>
      </c>
      <c r="E40" s="47"/>
      <c r="F40" s="58">
        <v>0</v>
      </c>
      <c r="G40" s="47"/>
      <c r="H40" s="2822">
        <v>0</v>
      </c>
      <c r="I40" s="47"/>
      <c r="J40" s="58">
        <v>0</v>
      </c>
      <c r="K40" s="47"/>
      <c r="L40" s="1144">
        <f>+'Exhibit H'!D53</f>
        <v>254.6</v>
      </c>
      <c r="M40" s="48"/>
      <c r="N40" s="48">
        <f>+'Exhibit H'!AA53</f>
        <v>420.5</v>
      </c>
      <c r="O40" s="48" t="s">
        <v>16</v>
      </c>
      <c r="P40" s="1150">
        <v>0</v>
      </c>
      <c r="Q40" s="1143"/>
      <c r="R40" s="1150">
        <v>0</v>
      </c>
      <c r="S40" s="50"/>
      <c r="T40" s="50"/>
      <c r="U40" s="51"/>
      <c r="V40" s="1143">
        <f>ROUND(SUM(D40)+SUM(H40)+SUM(L40)+SUM(P40),1)</f>
        <v>254.6</v>
      </c>
      <c r="W40" s="47" t="s">
        <v>16</v>
      </c>
      <c r="X40" s="47">
        <f>ROUND(SUM(F40)+SUM(J40)+SUM(N40)+SUM(R40),1)</f>
        <v>420.5</v>
      </c>
      <c r="Y40" s="50"/>
      <c r="Z40" s="52"/>
      <c r="AA40" s="51"/>
      <c r="AB40" s="1153">
        <v>216.8</v>
      </c>
      <c r="AC40" s="53"/>
      <c r="AD40" s="54">
        <f>ROUND(+'Exhibit H'!AD53,1)</f>
        <v>390</v>
      </c>
      <c r="AE40" s="51"/>
      <c r="AF40" s="55"/>
      <c r="AG40" s="47">
        <f>ROUND(SUM(X40-AD40),1)</f>
        <v>30.5</v>
      </c>
      <c r="AI40" s="45">
        <f>ROUND(SUM((+X40-AD40)/AD40),3)</f>
        <v>7.8E-2</v>
      </c>
      <c r="AJ40" s="23"/>
      <c r="AK40" s="1"/>
      <c r="AL40" s="1"/>
    </row>
    <row r="41" spans="1:38" ht="18" customHeight="1">
      <c r="A41" s="15" t="s">
        <v>43</v>
      </c>
      <c r="B41" s="36" t="s">
        <v>1210</v>
      </c>
      <c r="C41" s="15"/>
      <c r="D41" s="2819">
        <v>0</v>
      </c>
      <c r="E41" s="47"/>
      <c r="F41" s="84">
        <v>0</v>
      </c>
      <c r="G41" s="47"/>
      <c r="H41" s="2822">
        <f>'Exhibit G'!F104</f>
        <v>0.2</v>
      </c>
      <c r="I41" s="47"/>
      <c r="J41" s="48">
        <f>+'Exhibit G'!AC104</f>
        <v>0.2</v>
      </c>
      <c r="K41" s="47"/>
      <c r="L41" s="2819">
        <v>0</v>
      </c>
      <c r="M41" s="48"/>
      <c r="N41" s="84">
        <v>0</v>
      </c>
      <c r="O41" s="48"/>
      <c r="P41" s="2822">
        <f>' Exhbit I '!G82</f>
        <v>426.1</v>
      </c>
      <c r="Q41" s="1143"/>
      <c r="R41" s="1151">
        <f>+' Exhbit I '!AD82</f>
        <v>715</v>
      </c>
      <c r="S41" s="50"/>
      <c r="T41" s="50"/>
      <c r="U41" s="51"/>
      <c r="V41" s="1143">
        <f>ROUND(SUM(D41)+SUM(H41)+SUM(L41)+SUM(P41),1)</f>
        <v>426.3</v>
      </c>
      <c r="W41" s="47" t="s">
        <v>16</v>
      </c>
      <c r="X41" s="47">
        <f>ROUND(SUM(F41)+SUM(J41)+SUM(N41)+SUM(R41),1)</f>
        <v>715.2</v>
      </c>
      <c r="Y41" s="50"/>
      <c r="Z41" s="52"/>
      <c r="AA41" s="51"/>
      <c r="AB41" s="1152">
        <v>340.7</v>
      </c>
      <c r="AC41" s="53"/>
      <c r="AD41" s="2826">
        <f>'Exhibit G state'!AH103+' Exhibit I State'!AI81+'Exhibit I Federal'!AI63</f>
        <v>636.5</v>
      </c>
      <c r="AE41" s="51"/>
      <c r="AF41" s="55"/>
      <c r="AG41" s="47">
        <f>ROUND(SUM(X41-AD41),1)</f>
        <v>78.7</v>
      </c>
      <c r="AI41" s="45">
        <f>ROUND(SUM((+X41-AD41)/AD41),3)</f>
        <v>0.124</v>
      </c>
      <c r="AJ41" s="23"/>
      <c r="AK41" s="1"/>
      <c r="AL41" s="1"/>
    </row>
    <row r="42" spans="1:38" ht="18" customHeight="1">
      <c r="A42" s="14" t="s">
        <v>44</v>
      </c>
      <c r="B42" s="15"/>
      <c r="C42" s="15"/>
      <c r="D42" s="65">
        <f>ROUND(SUM(D34:D41),1)</f>
        <v>5898.3</v>
      </c>
      <c r="E42" s="63"/>
      <c r="F42" s="65">
        <f>ROUND(SUM(F34:F41),1)</f>
        <v>9083.4</v>
      </c>
      <c r="G42" s="63"/>
      <c r="H42" s="65">
        <f>ROUND(SUM(H34:H41),1)</f>
        <v>5593.6</v>
      </c>
      <c r="I42" s="63"/>
      <c r="J42" s="65">
        <f>ROUND(SUM(J34:J41),1)</f>
        <v>9650.9</v>
      </c>
      <c r="K42" s="63"/>
      <c r="L42" s="65">
        <f>ROUND(SUM(L34:L41),1)</f>
        <v>255.8</v>
      </c>
      <c r="M42" s="2691"/>
      <c r="N42" s="65">
        <f>ROUND(SUM(N34:N41),1)</f>
        <v>422.1</v>
      </c>
      <c r="O42" s="2691"/>
      <c r="P42" s="65">
        <f>ROUND(SUM(P34:P41),1)</f>
        <v>529</v>
      </c>
      <c r="Q42" s="63"/>
      <c r="R42" s="65">
        <f>ROUND(SUM(R34:R41),1)</f>
        <v>885.6</v>
      </c>
      <c r="S42" s="66"/>
      <c r="T42" s="66"/>
      <c r="U42" s="67"/>
      <c r="V42" s="64">
        <f>ROUND(SUM(V34:V41),1)</f>
        <v>12276.7</v>
      </c>
      <c r="W42" s="63"/>
      <c r="X42" s="64">
        <f>ROUND(SUM(X34:X41),1)</f>
        <v>20042</v>
      </c>
      <c r="Y42" s="66"/>
      <c r="Z42" s="68"/>
      <c r="AA42" s="67"/>
      <c r="AB42" s="64">
        <f>ROUND(SUM(AB34:AB41),1)</f>
        <v>11755.3</v>
      </c>
      <c r="AC42" s="63"/>
      <c r="AD42" s="64">
        <f>ROUND(SUM(AD34:AD41),1)</f>
        <v>19834.599999999999</v>
      </c>
      <c r="AE42" s="69"/>
      <c r="AF42" s="70"/>
      <c r="AG42" s="64">
        <f>ROUND(SUM(AG34:AG41),1)</f>
        <v>207.4</v>
      </c>
      <c r="AH42" s="71"/>
      <c r="AI42" s="72">
        <f>ROUND(SUM((+X42-AD42)/AD42),3)</f>
        <v>0.01</v>
      </c>
      <c r="AJ42" s="18"/>
      <c r="AK42" s="1"/>
      <c r="AL42" s="1"/>
    </row>
    <row r="43" spans="1:38" ht="15.95" customHeight="1">
      <c r="A43" s="14"/>
      <c r="B43" s="15"/>
      <c r="C43" s="15"/>
      <c r="D43" s="1146"/>
      <c r="E43" s="47"/>
      <c r="F43" s="74"/>
      <c r="G43" s="47"/>
      <c r="H43" s="1146"/>
      <c r="I43" s="47"/>
      <c r="J43" s="74"/>
      <c r="K43" s="47"/>
      <c r="L43" s="1146"/>
      <c r="M43" s="48"/>
      <c r="N43" s="74"/>
      <c r="O43" s="48"/>
      <c r="P43" s="2825"/>
      <c r="Q43" s="1143"/>
      <c r="R43" s="1146"/>
      <c r="S43" s="50"/>
      <c r="T43" s="50"/>
      <c r="U43" s="51"/>
      <c r="V43" s="1145"/>
      <c r="W43" s="47"/>
      <c r="X43" s="51"/>
      <c r="Y43" s="50"/>
      <c r="Z43" s="52"/>
      <c r="AA43" s="51"/>
      <c r="AB43" s="1145" t="s">
        <v>16</v>
      </c>
      <c r="AC43" s="47"/>
      <c r="AD43" s="54"/>
      <c r="AE43" s="54"/>
      <c r="AF43" s="55"/>
      <c r="AG43" s="51"/>
      <c r="AI43" s="19"/>
      <c r="AJ43" s="29"/>
      <c r="AK43" s="1"/>
      <c r="AL43" s="1"/>
    </row>
    <row r="44" spans="1:38" ht="15.95" customHeight="1">
      <c r="A44" s="14" t="s">
        <v>45</v>
      </c>
      <c r="B44" s="14"/>
      <c r="C44" s="15"/>
      <c r="D44" s="1144"/>
      <c r="E44" s="47"/>
      <c r="F44" s="48"/>
      <c r="G44" s="47"/>
      <c r="H44" s="1144"/>
      <c r="I44" s="47"/>
      <c r="J44" s="48"/>
      <c r="K44" s="47"/>
      <c r="L44" s="1144"/>
      <c r="M44" s="48"/>
      <c r="N44" s="48"/>
      <c r="O44" s="48"/>
      <c r="P44" s="2822"/>
      <c r="Q44" s="1143"/>
      <c r="R44" s="1144"/>
      <c r="S44" s="50"/>
      <c r="T44" s="50"/>
      <c r="U44" s="51"/>
      <c r="V44" s="1143"/>
      <c r="W44" s="47"/>
      <c r="X44" s="47"/>
      <c r="Y44" s="50"/>
      <c r="Z44" s="52"/>
      <c r="AA44" s="51"/>
      <c r="AB44" s="1143"/>
      <c r="AC44" s="47"/>
      <c r="AD44" s="54"/>
      <c r="AE44" s="54"/>
      <c r="AF44" s="55"/>
      <c r="AG44" s="47"/>
      <c r="AI44" s="19"/>
      <c r="AJ44" s="29"/>
      <c r="AK44" s="1"/>
      <c r="AL44" s="1"/>
    </row>
    <row r="45" spans="1:38" ht="15.95" customHeight="1">
      <c r="A45" s="14" t="s">
        <v>46</v>
      </c>
      <c r="B45" s="14"/>
      <c r="C45" s="15"/>
      <c r="D45" s="91">
        <f>ROUND(SUM(D20-D42),1)</f>
        <v>-1082.3</v>
      </c>
      <c r="E45" s="63"/>
      <c r="F45" s="91">
        <f>ROUND(SUM(F20-F42),1)</f>
        <v>1806.8</v>
      </c>
      <c r="G45" s="63"/>
      <c r="H45" s="91">
        <f>ROUND(SUM(H20-H42),1)</f>
        <v>866.5</v>
      </c>
      <c r="I45" s="63"/>
      <c r="J45" s="91">
        <f>ROUND(SUM(J20-J42),1)</f>
        <v>-711.1</v>
      </c>
      <c r="K45" s="63"/>
      <c r="L45" s="91">
        <f>ROUND(SUM(L20-L42),1)</f>
        <v>981.5</v>
      </c>
      <c r="M45" s="2691" t="s">
        <v>16</v>
      </c>
      <c r="N45" s="91">
        <f>ROUND(SUM(N20-N42),1)</f>
        <v>3052.7</v>
      </c>
      <c r="O45" s="2691" t="s">
        <v>16</v>
      </c>
      <c r="P45" s="92">
        <f>ROUND(SUM(P20-P42),1)</f>
        <v>-233.6</v>
      </c>
      <c r="Q45" s="63" t="s">
        <v>16</v>
      </c>
      <c r="R45" s="92">
        <f>ROUND(SUM(R20-R42),1)</f>
        <v>-305.3</v>
      </c>
      <c r="S45" s="66"/>
      <c r="T45" s="66"/>
      <c r="U45" s="67"/>
      <c r="V45" s="90">
        <f>ROUND(SUM(V20-V42),1)</f>
        <v>532.1</v>
      </c>
      <c r="W45" s="63" t="s">
        <v>16</v>
      </c>
      <c r="X45" s="90">
        <f>ROUND(SUM(X20-X42),1)</f>
        <v>3843.1</v>
      </c>
      <c r="Y45" s="66"/>
      <c r="Z45" s="68"/>
      <c r="AA45" s="67"/>
      <c r="AB45" s="90">
        <f>ROUND(SUM(AB20-AB42),1)</f>
        <v>-459</v>
      </c>
      <c r="AC45" s="63"/>
      <c r="AD45" s="93">
        <f>ROUND(SUM(AD20-AD42),1)</f>
        <v>3142.7</v>
      </c>
      <c r="AE45" s="69"/>
      <c r="AF45" s="70"/>
      <c r="AG45" s="90">
        <f>ROUND(SUM(X45-AD45),1)</f>
        <v>700.4</v>
      </c>
      <c r="AH45" s="94"/>
      <c r="AI45" s="108">
        <f>ROUND(SUM((+X45-AD45)/AD45),3)</f>
        <v>0.223</v>
      </c>
      <c r="AJ45" s="18"/>
      <c r="AK45" s="1"/>
      <c r="AL45" s="1"/>
    </row>
    <row r="46" spans="1:38" ht="15.95" customHeight="1">
      <c r="A46" s="15"/>
      <c r="B46" s="15"/>
      <c r="C46" s="15"/>
      <c r="D46" s="1146"/>
      <c r="E46" s="47"/>
      <c r="F46" s="74"/>
      <c r="G46" s="47"/>
      <c r="H46" s="1146"/>
      <c r="I46" s="47"/>
      <c r="J46" s="74"/>
      <c r="K46" s="47"/>
      <c r="L46" s="1146"/>
      <c r="M46" s="48"/>
      <c r="N46" s="74"/>
      <c r="O46" s="48"/>
      <c r="P46" s="2825"/>
      <c r="Q46" s="1143"/>
      <c r="R46" s="1146"/>
      <c r="S46" s="50"/>
      <c r="T46" s="50"/>
      <c r="U46" s="51"/>
      <c r="V46" s="1145"/>
      <c r="W46" s="47"/>
      <c r="X46" s="51"/>
      <c r="Y46" s="50"/>
      <c r="Z46" s="52"/>
      <c r="AA46" s="51"/>
      <c r="AB46" s="1145"/>
      <c r="AC46" s="47"/>
      <c r="AD46" s="54"/>
      <c r="AE46" s="54"/>
      <c r="AF46" s="55"/>
      <c r="AG46" s="51"/>
      <c r="AI46" s="19"/>
      <c r="AJ46" s="29"/>
      <c r="AK46" s="1"/>
      <c r="AL46" s="1"/>
    </row>
    <row r="47" spans="1:38" ht="15.95" customHeight="1">
      <c r="A47" s="14" t="s">
        <v>47</v>
      </c>
      <c r="B47" s="14"/>
      <c r="C47" s="15"/>
      <c r="D47" s="1144"/>
      <c r="E47" s="47"/>
      <c r="F47" s="48"/>
      <c r="G47" s="47"/>
      <c r="H47" s="1144"/>
      <c r="I47" s="47"/>
      <c r="J47" s="48"/>
      <c r="K47" s="47"/>
      <c r="L47" s="1144"/>
      <c r="M47" s="48"/>
      <c r="N47" s="48"/>
      <c r="O47" s="48"/>
      <c r="P47" s="2822"/>
      <c r="Q47" s="1143"/>
      <c r="R47" s="1146"/>
      <c r="S47" s="50"/>
      <c r="T47" s="50"/>
      <c r="U47" s="51"/>
      <c r="V47" s="1143"/>
      <c r="W47" s="47"/>
      <c r="X47" s="53"/>
      <c r="Y47" s="50"/>
      <c r="Z47" s="52"/>
      <c r="AA47" s="51"/>
      <c r="AB47" s="1143"/>
      <c r="AC47" s="47"/>
      <c r="AD47" s="54"/>
      <c r="AE47" s="54"/>
      <c r="AF47" s="55"/>
      <c r="AG47" s="47"/>
      <c r="AI47" s="19"/>
      <c r="AJ47" s="29"/>
      <c r="AK47" s="1"/>
      <c r="AL47" s="1"/>
    </row>
    <row r="48" spans="1:38" ht="18" customHeight="1">
      <c r="A48" s="96" t="s">
        <v>48</v>
      </c>
      <c r="B48" s="15"/>
      <c r="C48" s="15"/>
      <c r="D48" s="2820">
        <v>0</v>
      </c>
      <c r="E48" s="47"/>
      <c r="F48" s="97">
        <v>0</v>
      </c>
      <c r="G48" s="47"/>
      <c r="H48" s="1150">
        <v>0</v>
      </c>
      <c r="I48" s="47"/>
      <c r="J48" s="58">
        <v>0</v>
      </c>
      <c r="K48" s="47"/>
      <c r="L48" s="1150">
        <v>0</v>
      </c>
      <c r="M48" s="74"/>
      <c r="N48" s="58">
        <v>0</v>
      </c>
      <c r="O48" s="74"/>
      <c r="P48" s="1150">
        <f>+' Exhbit I '!G90</f>
        <v>0</v>
      </c>
      <c r="Q48" s="1145"/>
      <c r="R48" s="1150">
        <f>' Exhbit I '!AD90</f>
        <v>0</v>
      </c>
      <c r="S48" s="50"/>
      <c r="T48" s="50"/>
      <c r="U48" s="51"/>
      <c r="V48" s="1143">
        <f>ROUND(SUM(D48)+SUM(H48)+SUM(L48)+SUM(P48),1)</f>
        <v>0</v>
      </c>
      <c r="W48" s="83"/>
      <c r="X48" s="47">
        <f>ROUND(SUM(F48)+SUM(J48)+SUM(N48)+SUM(R48),1)</f>
        <v>0</v>
      </c>
      <c r="Y48" s="50"/>
      <c r="Z48" s="52"/>
      <c r="AA48" s="51"/>
      <c r="AB48" s="1149">
        <v>0</v>
      </c>
      <c r="AC48" s="57"/>
      <c r="AD48" s="77">
        <f>+' Exhbit I '!AG90</f>
        <v>0</v>
      </c>
      <c r="AE48" s="83"/>
      <c r="AF48" s="98"/>
      <c r="AG48" s="51">
        <f>X48-AD48</f>
        <v>0</v>
      </c>
      <c r="AH48" s="99"/>
      <c r="AI48" s="2828">
        <f>ROUND(IF(AD48=0,0,AG48/(AD48)),3)</f>
        <v>0</v>
      </c>
      <c r="AJ48" s="100"/>
      <c r="AK48" s="1"/>
      <c r="AL48" s="1"/>
    </row>
    <row r="49" spans="1:40" ht="18" customHeight="1">
      <c r="A49" s="96" t="s">
        <v>49</v>
      </c>
      <c r="B49" s="3279" t="s">
        <v>1576</v>
      </c>
      <c r="C49" s="96"/>
      <c r="D49" s="1154">
        <f>+'Exh F'!F120+'Exh F'!F121+'Exh F'!F122+'Exh F'!F123</f>
        <v>1182.9000000000001</v>
      </c>
      <c r="E49" s="47"/>
      <c r="F49" s="48">
        <f>+'Exh F'!AC120+'Exh F'!AC121+'Exh F'!AC122+'Exh F'!AC123</f>
        <v>3412.8</v>
      </c>
      <c r="G49" s="53"/>
      <c r="H49" s="1154">
        <f>'Exhibit G'!F112</f>
        <v>846.1</v>
      </c>
      <c r="I49" s="53"/>
      <c r="J49" s="101">
        <f>+'Exhibit G'!AC112</f>
        <v>2629.1</v>
      </c>
      <c r="K49" s="54"/>
      <c r="L49" s="2821">
        <f>+'Exhibit H'!D62</f>
        <v>76.8</v>
      </c>
      <c r="M49" s="2826"/>
      <c r="N49" s="48">
        <f>+'Exhibit H'!AA62</f>
        <v>603.70000000000005</v>
      </c>
      <c r="O49" s="2826"/>
      <c r="P49" s="1150">
        <f>' Exhbit I '!G91</f>
        <v>148</v>
      </c>
      <c r="Q49" s="1152"/>
      <c r="R49" s="1146">
        <f>+' Exhbit I '!AD91</f>
        <v>225.8</v>
      </c>
      <c r="S49" s="102"/>
      <c r="T49" s="102"/>
      <c r="U49" s="54"/>
      <c r="V49" s="1143">
        <f>ROUND(SUM(D49)+SUM(H49)+SUM(L49)+SUM(P49),1)</f>
        <v>2253.8000000000002</v>
      </c>
      <c r="W49" s="53" t="s">
        <v>16</v>
      </c>
      <c r="X49" s="47">
        <f>ROUND(SUM(F49)+SUM(J49)+SUM(N49)+SUM(R49),1)</f>
        <v>6871.4</v>
      </c>
      <c r="Y49" s="102"/>
      <c r="Z49" s="103"/>
      <c r="AA49" s="54"/>
      <c r="AB49" s="1153">
        <v>1552.5</v>
      </c>
      <c r="AC49" s="53"/>
      <c r="AD49" s="54">
        <f>+'Exh F'!AF120+'Exh F'!AF121+'Exh F'!AF122+'Exh F'!AF123+'Exhibit G'!AF112+'Exhibit H'!AD62+' Exhbit I '!AG91</f>
        <v>4739.2</v>
      </c>
      <c r="AE49" s="54"/>
      <c r="AF49" s="55"/>
      <c r="AG49" s="51">
        <f>ROUND(SUM(X49-AD49),1)</f>
        <v>2132.1999999999998</v>
      </c>
      <c r="AH49" s="99"/>
      <c r="AI49" s="2828">
        <f>ROUND(SUM((+X49-AD49)/AD49),3)</f>
        <v>0.45</v>
      </c>
      <c r="AJ49" s="29"/>
      <c r="AK49" s="1"/>
      <c r="AL49" s="1"/>
    </row>
    <row r="50" spans="1:40" ht="18" customHeight="1">
      <c r="A50" s="96" t="s">
        <v>50</v>
      </c>
      <c r="B50" s="3279" t="s">
        <v>1576</v>
      </c>
      <c r="C50" s="96"/>
      <c r="D50" s="2821">
        <f>+'Exh F'!F124+'Exh F'!F126+'Exh F'!F127</f>
        <v>-852.8</v>
      </c>
      <c r="E50" s="53"/>
      <c r="F50" s="48">
        <f>+'Exh F'!AC124+'Exh F'!AC126+'Exh F'!AC127</f>
        <v>-2927.7000000000003</v>
      </c>
      <c r="G50" s="53"/>
      <c r="H50" s="1154">
        <f>'Exhibit G'!F113</f>
        <v>-307.89999999999998</v>
      </c>
      <c r="I50" s="53"/>
      <c r="J50" s="101">
        <f>+'Exhibit G'!AC113</f>
        <v>-474.7</v>
      </c>
      <c r="K50" s="53"/>
      <c r="L50" s="2821">
        <f>+'Exhibit H'!D63</f>
        <v>-1020.9</v>
      </c>
      <c r="M50" s="2826"/>
      <c r="N50" s="48">
        <f>+'Exhibit H'!AA63</f>
        <v>-3323.1</v>
      </c>
      <c r="O50" s="2826"/>
      <c r="P50" s="1150">
        <f>' Exhbit I '!G92</f>
        <v>-75.2</v>
      </c>
      <c r="Q50" s="1153"/>
      <c r="R50" s="1146">
        <f>+' Exhbit I '!AD92</f>
        <v>-151.9</v>
      </c>
      <c r="S50" s="102"/>
      <c r="T50" s="102"/>
      <c r="U50" s="54"/>
      <c r="V50" s="1143">
        <f>ROUND(SUM(D50)+SUM(H50)+SUM(L50)+SUM(P50),1)</f>
        <v>-2256.8000000000002</v>
      </c>
      <c r="W50" s="104" t="s">
        <v>16</v>
      </c>
      <c r="X50" s="47">
        <f>ROUND(SUM(F50)+SUM(J50)+SUM(N50)+SUM(R50),1)</f>
        <v>-6877.4</v>
      </c>
      <c r="Y50" s="102"/>
      <c r="Z50" s="103"/>
      <c r="AA50" s="54"/>
      <c r="AB50" s="1152">
        <v>-1554</v>
      </c>
      <c r="AC50" s="53"/>
      <c r="AD50" s="54">
        <f>ROUND(+'Exh F'!AF124+'Exh F'!AF125+'Exh F'!AF126+'Exh F'!AF127+'Exhibit G'!AF113+'Exhibit H'!AD63+' Exhbit I '!AG92,1)</f>
        <v>-4802.3</v>
      </c>
      <c r="AE50" s="54"/>
      <c r="AF50" s="55"/>
      <c r="AG50" s="89">
        <f>ROUND(SUM(X50-AD50),1)*-1</f>
        <v>2075.1</v>
      </c>
      <c r="AI50" s="2829">
        <f>ROUND(SUM((+X50-AD50)/AD50),3)</f>
        <v>0.432</v>
      </c>
      <c r="AJ50" s="29"/>
      <c r="AK50" s="1"/>
      <c r="AL50" s="1"/>
    </row>
    <row r="51" spans="1:40" ht="18" customHeight="1">
      <c r="A51" s="14" t="s">
        <v>51</v>
      </c>
      <c r="B51" s="14"/>
      <c r="C51" s="15"/>
      <c r="D51" s="65">
        <f>ROUND(SUM(D48:D50),1)</f>
        <v>330.1</v>
      </c>
      <c r="E51" s="47"/>
      <c r="F51" s="65">
        <f>ROUND(SUM(F48:F50),1)</f>
        <v>485.1</v>
      </c>
      <c r="G51" s="63"/>
      <c r="H51" s="65">
        <f>ROUND(SUM(H48:H50),1)</f>
        <v>538.20000000000005</v>
      </c>
      <c r="I51" s="63"/>
      <c r="J51" s="65">
        <f>ROUND(SUM(J48:J50),1)</f>
        <v>2154.4</v>
      </c>
      <c r="K51" s="63"/>
      <c r="L51" s="65">
        <f>ROUND(SUM(L48:L50),1)</f>
        <v>-944.1</v>
      </c>
      <c r="M51" s="2691"/>
      <c r="N51" s="65">
        <f>ROUND(SUM(N48:N50),1)</f>
        <v>-2719.4</v>
      </c>
      <c r="O51" s="2691"/>
      <c r="P51" s="62">
        <f>ROUND(SUM(P48:P50),1)</f>
        <v>72.8</v>
      </c>
      <c r="Q51" s="63"/>
      <c r="R51" s="62">
        <f>ROUND(SUM(R48:R50),1)</f>
        <v>73.900000000000006</v>
      </c>
      <c r="S51" s="66"/>
      <c r="T51" s="66"/>
      <c r="U51" s="67"/>
      <c r="V51" s="3043">
        <f>ROUND(SUM(V48+V49+V50),1)</f>
        <v>-3</v>
      </c>
      <c r="W51" s="63"/>
      <c r="X51" s="3043">
        <f>ROUND(SUM(+X48+X49+X50),1)</f>
        <v>-6</v>
      </c>
      <c r="Y51" s="66"/>
      <c r="Z51" s="68"/>
      <c r="AA51" s="67"/>
      <c r="AB51" s="106">
        <f>ROUND(SUM(+AB49+AB50),1)</f>
        <v>-1.5</v>
      </c>
      <c r="AC51" s="63"/>
      <c r="AD51" s="106">
        <f>ROUND(SUM(+AD49+AD50),1)</f>
        <v>-63.1</v>
      </c>
      <c r="AE51" s="107"/>
      <c r="AF51" s="70"/>
      <c r="AG51" s="62">
        <f>ROUND(SUM(+AG49-AG50+AG48),1)</f>
        <v>57.1</v>
      </c>
      <c r="AH51" s="71"/>
      <c r="AI51" s="2830">
        <f>ROUND(SUM(-AG51/AD51),3)</f>
        <v>0.90500000000000003</v>
      </c>
      <c r="AJ51" s="18"/>
      <c r="AK51" s="1"/>
      <c r="AL51" s="1"/>
    </row>
    <row r="52" spans="1:40" ht="15.95" customHeight="1">
      <c r="A52" s="15"/>
      <c r="B52" s="15"/>
      <c r="C52" s="15"/>
      <c r="D52" s="1145"/>
      <c r="E52" s="47"/>
      <c r="F52" s="74"/>
      <c r="G52" s="47"/>
      <c r="H52" s="1146"/>
      <c r="I52" s="47"/>
      <c r="J52" s="74"/>
      <c r="K52" s="47"/>
      <c r="L52" s="1146"/>
      <c r="M52" s="48"/>
      <c r="N52" s="74"/>
      <c r="O52" s="48"/>
      <c r="P52" s="1146"/>
      <c r="Q52" s="1143"/>
      <c r="R52" s="1146"/>
      <c r="S52" s="50"/>
      <c r="T52" s="50"/>
      <c r="U52" s="51"/>
      <c r="V52" s="1145"/>
      <c r="W52" s="47"/>
      <c r="X52" s="51"/>
      <c r="Y52" s="50"/>
      <c r="Z52" s="52"/>
      <c r="AA52" s="51"/>
      <c r="AB52" s="1145"/>
      <c r="AC52" s="47"/>
      <c r="AD52" s="54"/>
      <c r="AE52" s="54"/>
      <c r="AF52" s="55"/>
      <c r="AG52" s="51"/>
      <c r="AI52" s="2831"/>
      <c r="AJ52" s="29"/>
      <c r="AK52" s="1"/>
      <c r="AL52" s="1"/>
    </row>
    <row r="53" spans="1:40" ht="18" customHeight="1">
      <c r="A53" s="13" t="s">
        <v>45</v>
      </c>
      <c r="B53" s="14"/>
      <c r="C53" s="15"/>
      <c r="D53" s="1143"/>
      <c r="E53" s="47"/>
      <c r="F53" s="48"/>
      <c r="G53" s="47"/>
      <c r="H53" s="1144"/>
      <c r="I53" s="47"/>
      <c r="J53" s="48"/>
      <c r="K53" s="47"/>
      <c r="L53" s="1144"/>
      <c r="M53" s="48"/>
      <c r="N53" s="48"/>
      <c r="O53" s="48"/>
      <c r="P53" s="1144"/>
      <c r="Q53" s="1143"/>
      <c r="R53" s="1144"/>
      <c r="S53" s="50"/>
      <c r="T53" s="50"/>
      <c r="U53" s="51"/>
      <c r="V53" s="1143"/>
      <c r="W53" s="47"/>
      <c r="X53" s="47"/>
      <c r="Y53" s="50"/>
      <c r="Z53" s="52"/>
      <c r="AA53" s="51"/>
      <c r="AB53" s="1143"/>
      <c r="AC53" s="47"/>
      <c r="AD53" s="54"/>
      <c r="AE53" s="54"/>
      <c r="AF53" s="55"/>
      <c r="AG53" s="47"/>
      <c r="AI53" s="2832"/>
      <c r="AJ53" s="29"/>
      <c r="AK53" s="1"/>
      <c r="AL53" s="1"/>
    </row>
    <row r="54" spans="1:40" ht="18" customHeight="1">
      <c r="A54" s="13" t="s">
        <v>52</v>
      </c>
      <c r="B54" s="13"/>
      <c r="C54" s="96"/>
      <c r="D54" s="1153"/>
      <c r="E54" s="47"/>
      <c r="F54" s="48"/>
      <c r="G54" s="47"/>
      <c r="H54" s="1144"/>
      <c r="I54" s="47"/>
      <c r="J54" s="48"/>
      <c r="K54" s="47"/>
      <c r="L54" s="1144"/>
      <c r="M54" s="48"/>
      <c r="N54" s="48"/>
      <c r="O54" s="48"/>
      <c r="P54" s="1144"/>
      <c r="Q54" s="1143"/>
      <c r="R54" s="1144"/>
      <c r="S54" s="50"/>
      <c r="T54" s="50"/>
      <c r="U54" s="51"/>
      <c r="V54" s="1143" t="s">
        <v>16</v>
      </c>
      <c r="W54" s="47"/>
      <c r="X54" s="47"/>
      <c r="Y54" s="50"/>
      <c r="Z54" s="52"/>
      <c r="AA54" s="51"/>
      <c r="AB54" s="1143"/>
      <c r="AC54" s="47"/>
      <c r="AD54" s="54"/>
      <c r="AE54" s="54"/>
      <c r="AF54" s="55"/>
      <c r="AG54" s="47"/>
      <c r="AI54" s="2831"/>
      <c r="AJ54" s="29"/>
      <c r="AK54" s="1"/>
      <c r="AL54" s="1"/>
    </row>
    <row r="55" spans="1:40" ht="18" customHeight="1">
      <c r="A55" s="13" t="s">
        <v>53</v>
      </c>
      <c r="B55" s="13"/>
      <c r="C55" s="96"/>
      <c r="D55" s="110">
        <f>ROUND(SUM(D45+D51),1)</f>
        <v>-752.2</v>
      </c>
      <c r="E55" s="110"/>
      <c r="F55" s="111">
        <f>ROUND(SUM(F45)+SUM(F51),1)</f>
        <v>2291.9</v>
      </c>
      <c r="G55" s="110"/>
      <c r="H55" s="111">
        <f>ROUND(SUM(H45+H51),1)</f>
        <v>1404.7</v>
      </c>
      <c r="I55" s="110"/>
      <c r="J55" s="111">
        <f>ROUND(SUM(J45)+SUM(J51),1)</f>
        <v>1443.3</v>
      </c>
      <c r="K55" s="110"/>
      <c r="L55" s="111">
        <f>ROUND(SUM(L45+L51),1)</f>
        <v>37.4</v>
      </c>
      <c r="M55" s="111"/>
      <c r="N55" s="111">
        <f>ROUND(SUM(N45+N51),1)</f>
        <v>333.3</v>
      </c>
      <c r="O55" s="111"/>
      <c r="P55" s="111">
        <f>ROUND(SUM(P45+P51),1)</f>
        <v>-160.80000000000001</v>
      </c>
      <c r="Q55" s="110"/>
      <c r="R55" s="111">
        <f>ROUND(SUM(R45+R51),1)</f>
        <v>-231.4</v>
      </c>
      <c r="S55" s="112"/>
      <c r="T55" s="112"/>
      <c r="U55" s="69"/>
      <c r="V55" s="110">
        <f>ROUND(SUM(V45)+SUM(V51),1)</f>
        <v>529.1</v>
      </c>
      <c r="W55" s="110"/>
      <c r="X55" s="110">
        <f>ROUND(SUM(X45)+SUM(X51),1)</f>
        <v>3837.1</v>
      </c>
      <c r="Y55" s="112"/>
      <c r="Z55" s="113"/>
      <c r="AA55" s="69"/>
      <c r="AB55" s="110">
        <f>ROUND(SUM(AB45)+SUM(AB51),1)</f>
        <v>-460.5</v>
      </c>
      <c r="AC55" s="110"/>
      <c r="AD55" s="110">
        <f>ROUND(SUM(AD45)+SUM(AD51),1)</f>
        <v>3079.6</v>
      </c>
      <c r="AE55" s="69"/>
      <c r="AF55" s="70"/>
      <c r="AG55" s="67">
        <f>ROUND(SUM(+AG45+AG51),1)</f>
        <v>757.5</v>
      </c>
      <c r="AH55" s="71"/>
      <c r="AI55" s="2956">
        <f>ROUND(SUM((+X55-AD55)/AD55),3)</f>
        <v>0.246</v>
      </c>
      <c r="AJ55" s="115"/>
      <c r="AK55" s="116"/>
      <c r="AL55" s="1"/>
    </row>
    <row r="56" spans="1:40" ht="15.95" customHeight="1">
      <c r="A56" s="14"/>
      <c r="B56" s="14"/>
      <c r="C56" s="15"/>
      <c r="D56" s="1143"/>
      <c r="E56" s="47"/>
      <c r="F56" s="74"/>
      <c r="G56" s="47"/>
      <c r="H56" s="1144"/>
      <c r="I56" s="47"/>
      <c r="J56" s="48"/>
      <c r="K56" s="47"/>
      <c r="L56" s="1154"/>
      <c r="M56" s="101"/>
      <c r="N56" s="101"/>
      <c r="O56" s="101"/>
      <c r="P56" s="2821"/>
      <c r="Q56" s="1143"/>
      <c r="R56" s="1154"/>
      <c r="S56" s="50"/>
      <c r="T56" s="50"/>
      <c r="U56" s="51"/>
      <c r="V56" s="1143"/>
      <c r="W56" s="47"/>
      <c r="X56" s="47"/>
      <c r="Y56" s="102"/>
      <c r="Z56" s="103"/>
      <c r="AA56" s="54"/>
      <c r="AB56" s="1153"/>
      <c r="AC56" s="53"/>
      <c r="AD56" s="54"/>
      <c r="AE56" s="54"/>
      <c r="AF56" s="55"/>
      <c r="AG56" s="47"/>
      <c r="AI56" s="19"/>
      <c r="AJ56" s="29"/>
      <c r="AK56" s="1"/>
      <c r="AL56" s="1"/>
    </row>
    <row r="57" spans="1:40" ht="18" customHeight="1">
      <c r="A57" s="1733" t="s">
        <v>54</v>
      </c>
      <c r="B57" s="36" t="s">
        <v>1211</v>
      </c>
      <c r="C57" s="15"/>
      <c r="D57" s="90">
        <v>10343.6</v>
      </c>
      <c r="E57" s="63"/>
      <c r="F57" s="91">
        <f>+'Exh F'!AC14</f>
        <v>7299.5</v>
      </c>
      <c r="G57" s="63"/>
      <c r="H57" s="91">
        <f>'Exhibit G'!F14</f>
        <v>2700.4</v>
      </c>
      <c r="I57" s="63"/>
      <c r="J57" s="91">
        <f>+'Exhibit G'!AC14</f>
        <v>2661.8</v>
      </c>
      <c r="K57" s="63"/>
      <c r="L57" s="91">
        <f>'Exhibit H'!D12</f>
        <v>414.6</v>
      </c>
      <c r="M57" s="2691"/>
      <c r="N57" s="91">
        <f>+'Exhibit H'!AA12</f>
        <v>118.7</v>
      </c>
      <c r="O57" s="2690"/>
      <c r="P57" s="92">
        <f>+' Exhbit I '!G15</f>
        <v>-795</v>
      </c>
      <c r="Q57" s="67"/>
      <c r="R57" s="91">
        <f>+' Exhbit I '!AD15</f>
        <v>-724.4</v>
      </c>
      <c r="S57" s="66"/>
      <c r="T57" s="66"/>
      <c r="U57" s="67"/>
      <c r="V57" s="90">
        <f>ROUND(SUM(D57+H57+L57+P57),1)</f>
        <v>12663.6</v>
      </c>
      <c r="W57" s="63" t="s">
        <v>16</v>
      </c>
      <c r="X57" s="90">
        <f>ROUND(SUM(F57+J57+N57+R57),1)</f>
        <v>9355.6</v>
      </c>
      <c r="Y57" s="66"/>
      <c r="Z57" s="68"/>
      <c r="AA57" s="67"/>
      <c r="AB57" s="90">
        <v>7574.6</v>
      </c>
      <c r="AC57" s="63"/>
      <c r="AD57" s="93">
        <v>4034.5</v>
      </c>
      <c r="AE57" s="69"/>
      <c r="AF57" s="70"/>
      <c r="AG57" s="90">
        <f>ROUND(SUM(X57-AD57),1)</f>
        <v>5321.1</v>
      </c>
      <c r="AH57" s="71"/>
      <c r="AI57" s="95">
        <f>ROUND(SUM((+X57-AD57)/AD57),3)</f>
        <v>1.319</v>
      </c>
      <c r="AJ57" s="18"/>
      <c r="AK57" s="1"/>
      <c r="AL57" s="1"/>
    </row>
    <row r="58" spans="1:40" ht="15.95" customHeight="1">
      <c r="A58" s="96"/>
      <c r="B58" s="15"/>
      <c r="C58" s="15"/>
      <c r="D58" s="1152"/>
      <c r="E58" s="47"/>
      <c r="F58" s="74"/>
      <c r="G58" s="47"/>
      <c r="H58" s="1145"/>
      <c r="I58" s="47"/>
      <c r="J58" s="74"/>
      <c r="K58" s="47"/>
      <c r="L58" s="1152"/>
      <c r="M58" s="47"/>
      <c r="N58" s="74"/>
      <c r="O58" s="47"/>
      <c r="P58" s="1145"/>
      <c r="Q58" s="1143"/>
      <c r="R58" s="1146"/>
      <c r="S58" s="50"/>
      <c r="T58" s="50"/>
      <c r="U58" s="51"/>
      <c r="V58" s="1145"/>
      <c r="W58" s="47"/>
      <c r="X58" s="51"/>
      <c r="Y58" s="50"/>
      <c r="Z58" s="52"/>
      <c r="AA58" s="51"/>
      <c r="AB58" s="1145"/>
      <c r="AC58" s="47"/>
      <c r="AD58" s="54"/>
      <c r="AE58" s="54"/>
      <c r="AF58" s="55"/>
      <c r="AG58" s="51"/>
      <c r="AI58" s="19"/>
      <c r="AJ58" s="29"/>
      <c r="AK58" s="1"/>
      <c r="AL58" s="1"/>
    </row>
    <row r="59" spans="1:40" ht="18" customHeight="1" thickBot="1">
      <c r="A59" s="1734" t="s">
        <v>55</v>
      </c>
      <c r="B59" s="117"/>
      <c r="C59" s="118"/>
      <c r="D59" s="119">
        <f>ROUND(SUM(D55+D57),1)</f>
        <v>9591.4</v>
      </c>
      <c r="E59" s="120"/>
      <c r="F59" s="121">
        <f>ROUND(SUM(F55+F57),1)</f>
        <v>9591.4</v>
      </c>
      <c r="G59" s="120"/>
      <c r="H59" s="119">
        <f>ROUND(SUM(H55+H57),1)</f>
        <v>4105.1000000000004</v>
      </c>
      <c r="I59" s="120"/>
      <c r="J59" s="121">
        <f>ROUND(SUM(J55)+SUM(J57),1)</f>
        <v>4105.1000000000004</v>
      </c>
      <c r="K59" s="120"/>
      <c r="L59" s="119">
        <f>ROUND(SUM(L55+L57),1)</f>
        <v>452</v>
      </c>
      <c r="M59" s="120"/>
      <c r="N59" s="121">
        <f>ROUND(SUM(N55+N57),1)</f>
        <v>452</v>
      </c>
      <c r="O59" s="120"/>
      <c r="P59" s="119">
        <f>ROUND(SUM(P55+P57),1)</f>
        <v>-955.8</v>
      </c>
      <c r="Q59" s="120"/>
      <c r="R59" s="121">
        <f>ROUND(SUM(R55+R57),1)</f>
        <v>-955.8</v>
      </c>
      <c r="S59" s="122"/>
      <c r="T59" s="122"/>
      <c r="U59" s="123"/>
      <c r="V59" s="119">
        <f>ROUND(SUM(V55+V57),1)</f>
        <v>13192.7</v>
      </c>
      <c r="W59" s="120"/>
      <c r="X59" s="119">
        <f>ROUND(SUM(X55+X57),1)</f>
        <v>13192.7</v>
      </c>
      <c r="Y59" s="122"/>
      <c r="Z59" s="124"/>
      <c r="AA59" s="123"/>
      <c r="AB59" s="119">
        <f>ROUND(SUM(AB55+AB57),1)</f>
        <v>7114.1</v>
      </c>
      <c r="AC59" s="120"/>
      <c r="AD59" s="119">
        <f>ROUND(SUM(AD55+AD57),1)</f>
        <v>7114.1</v>
      </c>
      <c r="AE59" s="123"/>
      <c r="AF59" s="125"/>
      <c r="AG59" s="126">
        <f>ROUND(SUM(AG55+AG57),1)</f>
        <v>6078.6</v>
      </c>
      <c r="AH59" s="71"/>
      <c r="AI59" s="127">
        <f>ROUND(SUM((+X59-AD59)/AD59),3)</f>
        <v>0.85399999999999998</v>
      </c>
      <c r="AJ59" s="128"/>
      <c r="AK59" s="116"/>
      <c r="AL59" s="116"/>
      <c r="AM59" s="129"/>
      <c r="AN59" s="71"/>
    </row>
    <row r="60" spans="1:40" ht="15.75" thickTop="1">
      <c r="A60" s="130"/>
      <c r="B60" s="130"/>
      <c r="C60" s="130"/>
      <c r="D60" s="1184"/>
      <c r="E60" s="131"/>
      <c r="F60" s="131"/>
      <c r="G60" s="131"/>
      <c r="H60" s="1184"/>
      <c r="I60" s="131"/>
      <c r="J60" s="131"/>
      <c r="K60" s="131"/>
      <c r="L60" s="1184"/>
      <c r="M60" s="131"/>
      <c r="N60" s="131"/>
      <c r="O60" s="131"/>
      <c r="P60" s="131"/>
      <c r="Q60" s="131"/>
      <c r="R60" s="131"/>
      <c r="S60" s="131"/>
      <c r="T60" s="131"/>
      <c r="U60" s="131"/>
      <c r="V60" s="1184"/>
      <c r="W60" s="131"/>
      <c r="X60" s="131"/>
      <c r="Y60" s="131"/>
      <c r="Z60" s="131"/>
      <c r="AA60" s="131"/>
      <c r="AB60" s="1184"/>
      <c r="AC60" s="132"/>
      <c r="AD60" s="133"/>
      <c r="AE60" s="133"/>
      <c r="AF60" s="131"/>
      <c r="AG60" s="131"/>
      <c r="AI60" s="134"/>
      <c r="AJ60" s="19"/>
      <c r="AK60" s="1"/>
      <c r="AL60" s="1"/>
    </row>
    <row r="61" spans="1:40" ht="15.75">
      <c r="A61" s="135"/>
      <c r="B61" s="94"/>
      <c r="C61" s="94"/>
      <c r="D61" s="1185"/>
      <c r="E61" s="99"/>
      <c r="F61" s="99"/>
      <c r="G61" s="99"/>
      <c r="H61" s="1185"/>
      <c r="I61" s="99"/>
      <c r="J61" s="99"/>
      <c r="K61" s="99"/>
      <c r="L61" s="1185"/>
      <c r="M61" s="99"/>
      <c r="N61" s="99"/>
      <c r="O61" s="99"/>
      <c r="P61" s="135" t="s">
        <v>16</v>
      </c>
      <c r="Q61" s="99"/>
      <c r="R61" s="99"/>
      <c r="S61" s="99"/>
      <c r="T61" s="99"/>
      <c r="U61" s="99"/>
      <c r="V61" s="1185"/>
      <c r="W61" s="99"/>
      <c r="X61" s="99"/>
      <c r="Y61" s="99"/>
      <c r="Z61" s="99"/>
      <c r="AA61" s="99"/>
      <c r="AB61" s="1185"/>
      <c r="AC61" s="99"/>
      <c r="AI61" s="134"/>
      <c r="AJ61" s="19"/>
      <c r="AK61" s="1"/>
      <c r="AL61" s="1"/>
    </row>
    <row r="62" spans="1:40" ht="15">
      <c r="A62" s="99"/>
      <c r="B62" s="99"/>
      <c r="C62" s="99"/>
      <c r="D62" s="1185"/>
      <c r="E62" s="99"/>
      <c r="F62" s="99"/>
      <c r="G62" s="99"/>
      <c r="H62" s="1185"/>
      <c r="I62" s="99"/>
      <c r="J62" s="99"/>
      <c r="K62" s="99"/>
      <c r="L62" s="1185"/>
      <c r="M62" s="99"/>
      <c r="N62" s="99"/>
      <c r="O62" s="99"/>
      <c r="P62" s="99" t="s">
        <v>16</v>
      </c>
      <c r="Q62" s="99"/>
      <c r="R62" s="99"/>
      <c r="S62" s="99"/>
      <c r="T62" s="99"/>
      <c r="U62" s="99"/>
      <c r="V62" s="1185"/>
      <c r="W62" s="99"/>
      <c r="X62" s="99"/>
      <c r="Y62" s="99"/>
      <c r="Z62" s="99"/>
      <c r="AA62" s="99"/>
      <c r="AB62" s="1185"/>
      <c r="AC62" s="99"/>
      <c r="AD62" s="3042"/>
      <c r="AI62" s="134"/>
      <c r="AJ62" s="19"/>
      <c r="AK62" s="1"/>
      <c r="AL62" s="1"/>
    </row>
    <row r="63" spans="1:40" ht="15">
      <c r="A63" s="99"/>
      <c r="B63" s="99"/>
      <c r="C63" s="99"/>
      <c r="D63" s="1185"/>
      <c r="E63" s="99"/>
      <c r="F63" s="99"/>
      <c r="G63" s="99"/>
      <c r="H63" s="1185"/>
      <c r="I63" s="99"/>
      <c r="J63" s="99"/>
      <c r="K63" s="99"/>
      <c r="L63" s="1185"/>
      <c r="M63" s="99"/>
      <c r="N63" s="99"/>
      <c r="O63" s="99"/>
      <c r="P63" s="99" t="s">
        <v>16</v>
      </c>
      <c r="Q63" s="99"/>
      <c r="R63" s="99"/>
      <c r="S63" s="99"/>
      <c r="T63" s="99"/>
      <c r="U63" s="99"/>
      <c r="V63" s="1185"/>
      <c r="W63" s="99"/>
      <c r="X63" s="99"/>
      <c r="Y63" s="99"/>
      <c r="Z63" s="99"/>
      <c r="AA63" s="99"/>
      <c r="AB63" s="1185"/>
      <c r="AC63" s="99"/>
      <c r="AI63" s="137"/>
      <c r="AJ63" s="19"/>
      <c r="AK63" s="1"/>
      <c r="AL63" s="1"/>
    </row>
    <row r="64" spans="1:40" ht="15.75">
      <c r="A64" s="138"/>
      <c r="B64" s="99"/>
      <c r="C64" s="99"/>
      <c r="D64" s="1185"/>
      <c r="E64" s="99"/>
      <c r="F64" s="99"/>
      <c r="G64" s="99"/>
      <c r="H64" s="1185"/>
      <c r="I64" s="99"/>
      <c r="J64" s="99"/>
      <c r="K64" s="99"/>
      <c r="L64" s="1185"/>
      <c r="M64" s="99"/>
      <c r="N64" s="99"/>
      <c r="O64" s="99"/>
      <c r="P64" s="99"/>
      <c r="Q64" s="99"/>
      <c r="R64" s="99"/>
      <c r="S64" s="99"/>
      <c r="T64" s="99"/>
      <c r="U64" s="99"/>
      <c r="V64" s="1185"/>
      <c r="W64" s="99"/>
      <c r="X64" s="99"/>
      <c r="Y64" s="99"/>
      <c r="Z64" s="99"/>
      <c r="AA64" s="99"/>
      <c r="AB64" s="1185"/>
      <c r="AC64" s="99"/>
      <c r="AI64" s="137"/>
      <c r="AJ64" s="1"/>
      <c r="AK64" s="1"/>
      <c r="AL64" s="1"/>
    </row>
    <row r="65" spans="1:38" ht="15.75">
      <c r="A65" s="138"/>
      <c r="B65" s="99"/>
      <c r="C65" s="99"/>
      <c r="D65" s="1185"/>
      <c r="E65" s="99"/>
      <c r="F65" s="99"/>
      <c r="G65" s="99"/>
      <c r="H65" s="1185"/>
      <c r="I65" s="99"/>
      <c r="J65" s="99"/>
      <c r="K65" s="99"/>
      <c r="L65" s="1185"/>
      <c r="M65" s="99"/>
      <c r="N65" s="99"/>
      <c r="O65" s="99"/>
      <c r="P65" s="99"/>
      <c r="Q65" s="99"/>
      <c r="R65" s="99"/>
      <c r="S65" s="99"/>
      <c r="T65" s="99"/>
      <c r="U65" s="99"/>
      <c r="V65" s="1185"/>
      <c r="W65" s="99"/>
      <c r="X65" s="99"/>
      <c r="Y65" s="99"/>
      <c r="Z65" s="99"/>
      <c r="AA65" s="99"/>
      <c r="AB65" s="1185"/>
      <c r="AC65" s="99"/>
      <c r="AI65" s="137"/>
      <c r="AJ65" s="1" t="s">
        <v>16</v>
      </c>
      <c r="AK65" s="1"/>
      <c r="AL65" s="1"/>
    </row>
    <row r="66" spans="1:38" ht="15.75">
      <c r="A66" s="139"/>
      <c r="B66" s="140"/>
      <c r="C66" s="135"/>
      <c r="D66" s="1188"/>
      <c r="E66" s="35"/>
      <c r="F66" s="35"/>
      <c r="G66" s="35"/>
      <c r="H66" s="1188"/>
      <c r="I66" s="35"/>
      <c r="J66" s="35"/>
      <c r="K66" s="35"/>
      <c r="L66" s="1188"/>
      <c r="M66" s="99"/>
      <c r="N66" s="99"/>
      <c r="O66" s="99"/>
      <c r="P66" s="99"/>
      <c r="Q66" s="99"/>
      <c r="R66" s="99"/>
      <c r="S66" s="99"/>
      <c r="T66" s="99"/>
      <c r="U66" s="99"/>
      <c r="V66" s="1185"/>
      <c r="W66" s="99"/>
      <c r="X66" s="99"/>
      <c r="Y66" s="99"/>
      <c r="Z66" s="99"/>
      <c r="AA66" s="99"/>
      <c r="AB66" s="1185"/>
      <c r="AC66" s="99"/>
      <c r="AI66" s="137"/>
      <c r="AJ66" s="1"/>
      <c r="AK66" s="1"/>
      <c r="AL66" s="1"/>
    </row>
    <row r="67" spans="1:38" ht="15">
      <c r="A67" s="19"/>
      <c r="B67" s="19"/>
      <c r="C67" s="19"/>
      <c r="D67" s="1189"/>
      <c r="E67" s="19"/>
      <c r="F67" s="19"/>
      <c r="G67" s="19"/>
      <c r="H67" s="1189"/>
      <c r="I67" s="19"/>
      <c r="J67" s="19"/>
      <c r="K67" s="19"/>
      <c r="L67" s="1189"/>
      <c r="M67" s="99"/>
      <c r="N67" s="99"/>
      <c r="O67" s="99"/>
      <c r="P67" s="99"/>
      <c r="Q67" s="99"/>
      <c r="R67" s="99"/>
      <c r="S67" s="99"/>
      <c r="T67" s="99"/>
      <c r="U67" s="99"/>
      <c r="V67" s="1185"/>
      <c r="W67" s="99"/>
      <c r="X67" s="99"/>
      <c r="Y67" s="99"/>
      <c r="Z67" s="99"/>
      <c r="AA67" s="99"/>
      <c r="AB67" s="1185"/>
      <c r="AC67" s="99"/>
      <c r="AI67" s="137"/>
      <c r="AJ67" s="1"/>
      <c r="AK67" s="1"/>
      <c r="AL67" s="1"/>
    </row>
    <row r="68" spans="1:38" ht="15">
      <c r="A68" s="19"/>
      <c r="B68" s="19"/>
      <c r="C68" s="19"/>
      <c r="D68" s="1189"/>
      <c r="E68" s="19"/>
      <c r="F68" s="19"/>
      <c r="G68" s="19"/>
      <c r="H68" s="1189"/>
      <c r="I68" s="19"/>
      <c r="J68" s="19"/>
      <c r="K68" s="19"/>
      <c r="L68" s="1189"/>
      <c r="M68" s="99"/>
      <c r="N68" s="99"/>
      <c r="O68" s="99"/>
      <c r="P68" s="99"/>
      <c r="Q68" s="99"/>
      <c r="R68" s="99"/>
      <c r="S68" s="99"/>
      <c r="T68" s="99"/>
      <c r="U68" s="99"/>
      <c r="V68" s="1185"/>
      <c r="W68" s="99"/>
      <c r="X68" s="99"/>
      <c r="Y68" s="99"/>
      <c r="Z68" s="99"/>
      <c r="AA68" s="99"/>
      <c r="AB68" s="1185"/>
      <c r="AC68" s="99"/>
      <c r="AI68" s="137"/>
      <c r="AJ68" s="1"/>
      <c r="AK68" s="1"/>
      <c r="AL68" s="1"/>
    </row>
    <row r="69" spans="1:38" ht="15">
      <c r="A69" s="19"/>
      <c r="B69" s="19"/>
      <c r="C69" s="19"/>
      <c r="D69" s="1189"/>
      <c r="E69" s="19"/>
      <c r="F69" s="19"/>
      <c r="G69" s="19"/>
      <c r="H69" s="1189"/>
      <c r="I69" s="19"/>
      <c r="J69" s="19"/>
      <c r="K69" s="19"/>
      <c r="L69" s="1189"/>
      <c r="M69" s="99"/>
      <c r="N69" s="99"/>
      <c r="O69" s="99"/>
      <c r="P69" s="99"/>
      <c r="Q69" s="99"/>
      <c r="R69" s="99"/>
      <c r="S69" s="99"/>
      <c r="T69" s="99"/>
      <c r="U69" s="99"/>
      <c r="V69" s="1185"/>
      <c r="W69" s="99"/>
      <c r="X69" s="99"/>
      <c r="Y69" s="99"/>
      <c r="Z69" s="99"/>
      <c r="AA69" s="99"/>
      <c r="AB69" s="1185"/>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I20 S59:AI59 S55:AH55 S51:U51 S45:AF45 S42:AI42 S34:AI34 S20:AF20 S56:AI56 S52:AI54 S46:AI47 S43:AI44 S21:AI23 S35:AI35 AI14 G12 AE14:AG14 AC14 AC15 AC16 AC17 AC18:AD18 AC19:AI19 AC24:AI24 AC25:AI25 AC26:AI26 AC28:AI28 AC29:AI29 AC30:AI30 AC31:AI31 AC32:AI32 S39:AA39 AC36:AI36 AC37:AI37 AC38:AI38 AC40:AI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F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I18 H39 H34 H20 H27 H35 H21:H23 D34 D27 D35 C26 C38 C35 C32 C27 C34 C33 M39:P39 M38:O38 L38 L39 M16:O16 AE50:AH50 K14 K15 K16 K17 AE15:AI15 AE16:AI16 AE17:AI17 O14:P14 O15 O17 J17 R15:R16 AD15:AD17 AI51 AC49 C24 C25 C28 C29 C30 C31 C36 C37 AC27:AI27 AC39:AI39 AE33:AI33 AE41:AI41 W51 Y51:AF51 AH51 AE57:AI57 AH45:AI45"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50" workbookViewId="0"/>
  </sheetViews>
  <sheetFormatPr defaultColWidth="8.88671875" defaultRowHeight="12.75"/>
  <cols>
    <col min="1" max="1" width="1.6640625" style="458" customWidth="1"/>
    <col min="2" max="2" width="40.88671875" style="458" customWidth="1"/>
    <col min="3" max="3" width="1.6640625" style="458" customWidth="1"/>
    <col min="4" max="4" width="10.33203125" style="458" customWidth="1"/>
    <col min="5" max="5" width="1.6640625" style="458" customWidth="1"/>
    <col min="6" max="6" width="12" style="458" customWidth="1"/>
    <col min="7" max="7" width="1.6640625" style="458" customWidth="1"/>
    <col min="8" max="8" width="13.21875" style="458" customWidth="1"/>
    <col min="9" max="9" width="1.6640625" style="458" customWidth="1"/>
    <col min="10" max="10" width="13.21875" style="458" customWidth="1"/>
    <col min="11" max="11" width="1.6640625" style="458" customWidth="1"/>
    <col min="12" max="12" width="11" style="458" customWidth="1"/>
    <col min="13" max="13" width="1.6640625" style="458" customWidth="1"/>
    <col min="14" max="14" width="14" style="458" customWidth="1"/>
    <col min="15" max="15" width="1.6640625" style="458" customWidth="1"/>
    <col min="16" max="16" width="11.88671875" style="458" customWidth="1"/>
    <col min="17" max="17" width="1.6640625" style="458" customWidth="1"/>
    <col min="18" max="18" width="11.21875" style="458" customWidth="1"/>
    <col min="19" max="19" width="1.6640625" style="458" customWidth="1"/>
    <col min="20" max="20" width="12.109375" style="458" customWidth="1"/>
    <col min="21" max="21" width="1.6640625" style="458" customWidth="1"/>
    <col min="22" max="22" width="13" style="458" customWidth="1"/>
    <col min="23" max="23" width="1.6640625" style="458" customWidth="1"/>
    <col min="24" max="24" width="11.21875" style="458" customWidth="1"/>
    <col min="25" max="25" width="1.6640625" style="458" customWidth="1"/>
    <col min="26" max="26" width="9.109375" style="458" customWidth="1"/>
    <col min="27" max="27" width="1.77734375" style="458" customWidth="1"/>
    <col min="28" max="28" width="13.21875" style="458" customWidth="1"/>
    <col min="29" max="30" width="1.6640625" style="458" customWidth="1"/>
    <col min="31" max="31" width="12" style="458" bestFit="1" customWidth="1"/>
    <col min="32" max="33" width="1.44140625" style="458" customWidth="1"/>
    <col min="34" max="34" width="12.6640625" style="458" bestFit="1" customWidth="1"/>
    <col min="35" max="35" width="1.5546875" style="458" customWidth="1"/>
    <col min="36" max="36" width="0.88671875" style="458" customWidth="1"/>
    <col min="37" max="37" width="13" style="458" customWidth="1"/>
    <col min="38" max="38" width="0.6640625" style="458" customWidth="1"/>
    <col min="39" max="39" width="13" style="458" bestFit="1" customWidth="1"/>
    <col min="40" max="16384" width="8.88671875" style="458"/>
  </cols>
  <sheetData>
    <row r="1" spans="1:41" ht="15">
      <c r="B1" s="1190" t="s">
        <v>1231</v>
      </c>
    </row>
    <row r="2" spans="1:41" ht="15.75">
      <c r="A2" s="457"/>
      <c r="M2" s="221"/>
      <c r="N2" s="221"/>
      <c r="O2" s="502"/>
    </row>
    <row r="3" spans="1:41" ht="20.25" customHeight="1">
      <c r="A3" s="457"/>
      <c r="B3" s="462" t="s">
        <v>0</v>
      </c>
      <c r="M3" s="221"/>
      <c r="N3" s="221"/>
      <c r="O3" s="502"/>
      <c r="AG3" s="535"/>
      <c r="AH3" s="535"/>
      <c r="AI3" s="535"/>
      <c r="AJ3" s="535"/>
      <c r="AK3" s="535"/>
      <c r="AL3" s="535"/>
      <c r="AM3" s="742" t="s">
        <v>175</v>
      </c>
    </row>
    <row r="4" spans="1:41" ht="18">
      <c r="A4" s="457"/>
      <c r="B4" s="462" t="s">
        <v>182</v>
      </c>
      <c r="L4" s="221"/>
      <c r="M4" s="221"/>
      <c r="O4" s="502"/>
    </row>
    <row r="5" spans="1:41" ht="18">
      <c r="A5" s="457"/>
      <c r="B5" s="643" t="s">
        <v>1256</v>
      </c>
      <c r="L5" s="502"/>
      <c r="M5" s="502"/>
      <c r="O5" s="502"/>
      <c r="X5" s="536"/>
    </row>
    <row r="6" spans="1:41" ht="20.25">
      <c r="A6" s="457"/>
      <c r="B6" s="643" t="s">
        <v>1541</v>
      </c>
      <c r="L6" s="502"/>
      <c r="M6" s="502"/>
      <c r="O6" s="502"/>
      <c r="AM6" s="508"/>
    </row>
    <row r="7" spans="1:41" ht="18">
      <c r="A7" s="457"/>
      <c r="B7" s="462" t="s">
        <v>1116</v>
      </c>
      <c r="AJ7" s="353"/>
      <c r="AK7" s="353"/>
      <c r="AL7" s="353"/>
      <c r="AM7" s="353"/>
    </row>
    <row r="8" spans="1:41" ht="13.5" customHeight="1">
      <c r="A8" s="457"/>
      <c r="L8" s="502"/>
      <c r="M8" s="502"/>
      <c r="N8" s="502"/>
      <c r="O8" s="502"/>
      <c r="AD8" s="353"/>
      <c r="AE8" s="502"/>
      <c r="AF8" s="502"/>
      <c r="AG8" s="353"/>
      <c r="AH8" s="353"/>
      <c r="AI8" s="353"/>
      <c r="AJ8" s="502"/>
      <c r="AK8" s="502"/>
      <c r="AL8" s="502"/>
      <c r="AM8" s="502"/>
    </row>
    <row r="9" spans="1:41" ht="20.25" customHeight="1">
      <c r="A9" s="457"/>
      <c r="L9" s="502"/>
      <c r="M9" s="502"/>
      <c r="N9" s="502"/>
      <c r="O9" s="502"/>
      <c r="AD9" s="537"/>
      <c r="AE9" s="538"/>
      <c r="AF9" s="538"/>
      <c r="AG9" s="3518" t="str">
        <f>+'Exhibit G'!AF10</f>
        <v>2 Months Ended May 31</v>
      </c>
      <c r="AH9" s="3519"/>
      <c r="AI9" s="3519"/>
      <c r="AJ9" s="3519"/>
      <c r="AK9" s="3519"/>
      <c r="AL9" s="537"/>
      <c r="AM9" s="537"/>
    </row>
    <row r="10" spans="1:41" ht="20.25">
      <c r="A10" s="457"/>
      <c r="B10" s="539"/>
      <c r="D10" s="1531"/>
      <c r="E10" s="1531"/>
      <c r="F10" s="1531"/>
      <c r="G10" s="1531"/>
      <c r="H10" s="1531"/>
      <c r="I10" s="1531"/>
      <c r="J10" s="1531"/>
      <c r="K10" s="1531"/>
      <c r="L10" s="1532"/>
      <c r="M10" s="1532"/>
      <c r="N10" s="1532"/>
      <c r="O10" s="1532"/>
      <c r="P10" s="1531"/>
      <c r="Q10" s="1531"/>
      <c r="R10" s="1531"/>
      <c r="S10" s="1531"/>
      <c r="T10" s="1531"/>
      <c r="U10" s="1531"/>
      <c r="V10" s="1531"/>
      <c r="W10" s="1531"/>
      <c r="X10" s="1531"/>
      <c r="Y10" s="1531"/>
      <c r="Z10" s="1531"/>
      <c r="AA10" s="1531"/>
      <c r="AB10" s="1526" t="s">
        <v>1468</v>
      </c>
      <c r="AC10" s="1531"/>
      <c r="AD10" s="1531"/>
      <c r="AE10" s="1531"/>
      <c r="AF10" s="1531"/>
      <c r="AG10" s="1531"/>
      <c r="AH10" s="1531"/>
      <c r="AI10" s="1531"/>
      <c r="AJ10" s="1531"/>
      <c r="AK10" s="1531"/>
      <c r="AL10" s="1531"/>
      <c r="AM10" s="1531"/>
      <c r="AN10" s="1531"/>
      <c r="AO10" s="1531"/>
    </row>
    <row r="11" spans="1:41" ht="13.5" customHeight="1">
      <c r="A11" s="457"/>
      <c r="B11" s="222"/>
      <c r="C11" s="222"/>
      <c r="D11" s="1519">
        <v>2015</v>
      </c>
      <c r="E11" s="221"/>
      <c r="F11" s="221"/>
      <c r="G11" s="221"/>
      <c r="H11" s="221"/>
      <c r="I11" s="221"/>
      <c r="J11" s="221"/>
      <c r="K11" s="221"/>
      <c r="L11" s="221"/>
      <c r="M11" s="221"/>
      <c r="N11" s="221"/>
      <c r="O11" s="221"/>
      <c r="P11" s="221"/>
      <c r="Q11" s="221"/>
      <c r="R11" s="221"/>
      <c r="S11" s="221"/>
      <c r="T11" s="221"/>
      <c r="U11" s="221"/>
      <c r="V11" s="1519">
        <v>2016</v>
      </c>
      <c r="W11" s="221"/>
      <c r="X11" s="221"/>
      <c r="Y11" s="221"/>
      <c r="Z11" s="221"/>
      <c r="AA11" s="221"/>
      <c r="AB11" s="1526" t="s">
        <v>1469</v>
      </c>
      <c r="AC11" s="221"/>
      <c r="AD11" s="221"/>
      <c r="AE11" s="414"/>
      <c r="AF11" s="414"/>
      <c r="AG11" s="414"/>
      <c r="AH11" s="414"/>
      <c r="AI11" s="414"/>
      <c r="AJ11" s="413"/>
      <c r="AK11" s="1526" t="s">
        <v>8</v>
      </c>
      <c r="AL11" s="1526"/>
      <c r="AM11" s="1526" t="s">
        <v>9</v>
      </c>
      <c r="AN11" s="1531"/>
      <c r="AO11" s="1531"/>
    </row>
    <row r="12" spans="1:41" ht="15.75">
      <c r="A12" s="457"/>
      <c r="B12" s="222"/>
      <c r="C12" s="222"/>
      <c r="D12" s="2099" t="s">
        <v>129</v>
      </c>
      <c r="E12" s="221"/>
      <c r="F12" s="2099" t="s">
        <v>130</v>
      </c>
      <c r="G12" s="221"/>
      <c r="H12" s="2099" t="s">
        <v>131</v>
      </c>
      <c r="I12" s="221"/>
      <c r="J12" s="2099" t="s">
        <v>132</v>
      </c>
      <c r="K12" s="221"/>
      <c r="L12" s="2099" t="s">
        <v>133</v>
      </c>
      <c r="M12" s="221"/>
      <c r="N12" s="2099" t="s">
        <v>134</v>
      </c>
      <c r="O12" s="221"/>
      <c r="P12" s="2099" t="s">
        <v>135</v>
      </c>
      <c r="Q12" s="221"/>
      <c r="R12" s="2099" t="s">
        <v>136</v>
      </c>
      <c r="S12" s="221"/>
      <c r="T12" s="2099" t="s">
        <v>137</v>
      </c>
      <c r="U12" s="221"/>
      <c r="V12" s="2099" t="s">
        <v>154</v>
      </c>
      <c r="W12" s="221"/>
      <c r="X12" s="2099" t="s">
        <v>139</v>
      </c>
      <c r="Y12" s="221"/>
      <c r="Z12" s="2099" t="s">
        <v>140</v>
      </c>
      <c r="AA12" s="1533"/>
      <c r="AB12" s="2106" t="s">
        <v>1470</v>
      </c>
      <c r="AC12" s="221"/>
      <c r="AD12" s="221"/>
      <c r="AE12" s="2105">
        <v>2015</v>
      </c>
      <c r="AF12" s="1519"/>
      <c r="AG12" s="1505" t="s">
        <v>16</v>
      </c>
      <c r="AH12" s="2105">
        <v>2014</v>
      </c>
      <c r="AI12" s="1504"/>
      <c r="AJ12" s="413"/>
      <c r="AK12" s="2106" t="s">
        <v>13</v>
      </c>
      <c r="AL12" s="1524"/>
      <c r="AM12" s="2106" t="s">
        <v>14</v>
      </c>
      <c r="AN12" s="1531"/>
      <c r="AO12" s="1531"/>
    </row>
    <row r="13" spans="1:41" s="2104" customFormat="1" ht="15.75">
      <c r="A13" s="2102"/>
      <c r="B13" s="229"/>
      <c r="C13" s="229"/>
      <c r="D13" s="1533"/>
      <c r="E13" s="479"/>
      <c r="F13" s="1533"/>
      <c r="G13" s="479"/>
      <c r="H13" s="1533"/>
      <c r="I13" s="479"/>
      <c r="J13" s="1533"/>
      <c r="K13" s="479"/>
      <c r="L13" s="1533"/>
      <c r="M13" s="479"/>
      <c r="N13" s="1533"/>
      <c r="O13" s="479"/>
      <c r="P13" s="1533"/>
      <c r="Q13" s="479"/>
      <c r="R13" s="1533"/>
      <c r="S13" s="479"/>
      <c r="T13" s="1533"/>
      <c r="U13" s="479"/>
      <c r="V13" s="1533"/>
      <c r="W13" s="479"/>
      <c r="X13" s="1533"/>
      <c r="Y13" s="479"/>
      <c r="Z13" s="1533"/>
      <c r="AA13" s="1533"/>
      <c r="AB13" s="1533"/>
      <c r="AC13" s="479"/>
      <c r="AD13" s="479"/>
      <c r="AE13" s="1504"/>
      <c r="AF13" s="1504"/>
      <c r="AG13" s="1533"/>
      <c r="AH13" s="1504"/>
      <c r="AI13" s="1504"/>
      <c r="AJ13" s="414"/>
      <c r="AK13" s="1524"/>
      <c r="AL13" s="1524"/>
      <c r="AM13" s="1524"/>
      <c r="AN13" s="2103"/>
      <c r="AO13" s="2103"/>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101"/>
      <c r="AE14" s="229"/>
      <c r="AF14" s="222"/>
      <c r="AG14" s="540"/>
      <c r="AH14" s="222"/>
      <c r="AI14" s="229"/>
      <c r="AJ14" s="511"/>
      <c r="AK14" s="222"/>
      <c r="AL14" s="222"/>
      <c r="AM14" s="222"/>
    </row>
    <row r="15" spans="1:41" ht="15" customHeight="1">
      <c r="A15" s="353"/>
      <c r="B15" s="491" t="s">
        <v>1373</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40"/>
      <c r="AE15" s="229"/>
      <c r="AF15" s="222"/>
      <c r="AG15" s="540"/>
      <c r="AH15" s="222"/>
      <c r="AI15" s="515"/>
      <c r="AJ15" s="229"/>
      <c r="AK15" s="222"/>
      <c r="AL15" s="222"/>
      <c r="AM15" s="222"/>
    </row>
    <row r="16" spans="1:41" s="1531" customFormat="1" ht="15" customHeight="1">
      <c r="A16" s="2113"/>
      <c r="B16" s="2400" t="s">
        <v>1378</v>
      </c>
      <c r="C16" s="221"/>
      <c r="D16" s="2416">
        <v>3.1</v>
      </c>
      <c r="E16" s="1258"/>
      <c r="F16" s="2416">
        <v>0</v>
      </c>
      <c r="G16" s="1258"/>
      <c r="H16" s="2416"/>
      <c r="I16" s="1258"/>
      <c r="J16" s="2416"/>
      <c r="K16" s="1258"/>
      <c r="L16" s="2416"/>
      <c r="M16" s="1258"/>
      <c r="N16" s="2416"/>
      <c r="O16" s="1258"/>
      <c r="P16" s="2416"/>
      <c r="Q16" s="1258"/>
      <c r="R16" s="2416"/>
      <c r="S16" s="1258"/>
      <c r="T16" s="1260"/>
      <c r="U16" s="1258"/>
      <c r="V16" s="1260"/>
      <c r="W16" s="1258"/>
      <c r="X16" s="1260"/>
      <c r="Y16" s="1258"/>
      <c r="Z16" s="1260"/>
      <c r="AA16" s="1260"/>
      <c r="AB16" s="2416">
        <v>0</v>
      </c>
      <c r="AC16" s="1258"/>
      <c r="AD16" s="2812"/>
      <c r="AE16" s="1988">
        <f>ROUND(SUM(D16:AB16),1)</f>
        <v>3.1</v>
      </c>
      <c r="AF16" s="1260"/>
      <c r="AG16" s="2417"/>
      <c r="AH16" s="1258">
        <v>0</v>
      </c>
      <c r="AI16" s="2418"/>
      <c r="AJ16" s="1988"/>
      <c r="AK16" s="1258">
        <f>ROUND(SUM(+AE16-AH16),1)</f>
        <v>3.1</v>
      </c>
      <c r="AL16" s="1177"/>
      <c r="AM16" s="2834">
        <f>ROUND(IF(AH16=0,1,AK16/(AH16)),3)</f>
        <v>1</v>
      </c>
    </row>
    <row r="17" spans="1:39" s="1531" customFormat="1" ht="15" customHeight="1">
      <c r="A17" s="2113"/>
      <c r="B17" s="2400"/>
      <c r="C17" s="221"/>
      <c r="D17" s="2415"/>
      <c r="E17" s="295"/>
      <c r="F17" s="2415"/>
      <c r="G17" s="295"/>
      <c r="H17" s="2416"/>
      <c r="I17" s="295"/>
      <c r="J17" s="2415"/>
      <c r="K17" s="295"/>
      <c r="L17" s="2415"/>
      <c r="M17" s="295"/>
      <c r="N17" s="2415"/>
      <c r="O17" s="295"/>
      <c r="P17" s="295"/>
      <c r="Q17" s="295"/>
      <c r="R17" s="295"/>
      <c r="S17" s="295"/>
      <c r="T17" s="384"/>
      <c r="U17" s="295"/>
      <c r="V17" s="384"/>
      <c r="W17" s="295"/>
      <c r="X17" s="384"/>
      <c r="Y17" s="295"/>
      <c r="Z17" s="384"/>
      <c r="AA17" s="384"/>
      <c r="AB17" s="2415"/>
      <c r="AC17" s="295"/>
      <c r="AD17" s="547"/>
      <c r="AE17" s="425"/>
      <c r="AF17" s="1260"/>
      <c r="AG17" s="2725"/>
      <c r="AH17" s="295"/>
      <c r="AI17" s="2418"/>
      <c r="AJ17" s="1988"/>
      <c r="AK17" s="295"/>
      <c r="AL17" s="1899"/>
      <c r="AM17" s="2722"/>
    </row>
    <row r="18" spans="1:39" s="1531" customFormat="1" ht="6" customHeight="1">
      <c r="A18" s="2113"/>
      <c r="B18" s="2400"/>
      <c r="C18" s="221"/>
      <c r="D18" s="2415"/>
      <c r="E18" s="295"/>
      <c r="F18" s="2415"/>
      <c r="G18" s="295"/>
      <c r="H18" s="2416"/>
      <c r="I18" s="295"/>
      <c r="J18" s="2415"/>
      <c r="K18" s="295"/>
      <c r="L18" s="2415"/>
      <c r="M18" s="295"/>
      <c r="N18" s="2415"/>
      <c r="O18" s="295"/>
      <c r="P18" s="295"/>
      <c r="Q18" s="295"/>
      <c r="R18" s="295"/>
      <c r="S18" s="295"/>
      <c r="T18" s="384"/>
      <c r="U18" s="295"/>
      <c r="V18" s="384"/>
      <c r="W18" s="295"/>
      <c r="X18" s="384"/>
      <c r="Y18" s="295"/>
      <c r="Z18" s="384"/>
      <c r="AA18" s="384"/>
      <c r="AB18" s="2415"/>
      <c r="AC18" s="295"/>
      <c r="AD18" s="547"/>
      <c r="AE18" s="425"/>
      <c r="AF18" s="1260"/>
      <c r="AG18" s="2725"/>
      <c r="AH18" s="295"/>
      <c r="AI18" s="2418"/>
      <c r="AJ18" s="1988"/>
      <c r="AK18" s="295"/>
      <c r="AL18" s="1899"/>
      <c r="AM18" s="2722"/>
    </row>
    <row r="19" spans="1:39" ht="15" customHeight="1">
      <c r="A19" s="353"/>
      <c r="B19" s="2400" t="s">
        <v>1444</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8"/>
      <c r="AC19" s="261"/>
      <c r="AD19" s="252"/>
      <c r="AE19" s="249"/>
      <c r="AF19" s="261"/>
      <c r="AG19" s="1639"/>
      <c r="AH19" s="261"/>
      <c r="AI19" s="516"/>
      <c r="AJ19" s="249"/>
      <c r="AK19" s="1177"/>
      <c r="AL19" s="1895"/>
      <c r="AM19" s="2779"/>
    </row>
    <row r="20" spans="1:39" ht="15" customHeight="1">
      <c r="A20" s="353"/>
      <c r="B20" s="2131" t="s">
        <v>1393</v>
      </c>
      <c r="C20" s="223"/>
      <c r="D20" s="2134">
        <v>91</v>
      </c>
      <c r="E20" s="2135"/>
      <c r="F20" s="2134">
        <v>65.2</v>
      </c>
      <c r="G20" s="2135"/>
      <c r="H20" s="2134"/>
      <c r="I20" s="2135"/>
      <c r="J20" s="2135"/>
      <c r="K20" s="2135"/>
      <c r="L20" s="1142"/>
      <c r="M20" s="2135"/>
      <c r="N20" s="1208"/>
      <c r="O20" s="2135"/>
      <c r="P20" s="1208"/>
      <c r="Q20" s="2135"/>
      <c r="R20" s="2135"/>
      <c r="S20" s="2135"/>
      <c r="T20" s="2135"/>
      <c r="U20" s="2135"/>
      <c r="V20" s="2135"/>
      <c r="W20" s="2135"/>
      <c r="X20" s="2135"/>
      <c r="Y20" s="2135"/>
      <c r="Z20" s="2135"/>
      <c r="AA20" s="2135"/>
      <c r="AB20" s="1208">
        <v>0</v>
      </c>
      <c r="AC20" s="2135"/>
      <c r="AD20" s="2136"/>
      <c r="AE20" s="2137">
        <f>ROUND(SUM(D20:AB20),1)</f>
        <v>156.19999999999999</v>
      </c>
      <c r="AF20" s="2138"/>
      <c r="AG20" s="2139"/>
      <c r="AH20" s="2655">
        <v>165.3</v>
      </c>
      <c r="AI20" s="516"/>
      <c r="AJ20" s="249"/>
      <c r="AK20" s="1177">
        <f t="shared" ref="AK20:AK26" si="0">ROUND(SUM(+AE20-AH20),1)</f>
        <v>-9.1</v>
      </c>
      <c r="AL20" s="1895"/>
      <c r="AM20" s="2743">
        <f t="shared" ref="AM20:AM27" si="1">ROUND(IF(AH20=0,0,AK20/(AH20)),3)</f>
        <v>-5.5E-2</v>
      </c>
    </row>
    <row r="21" spans="1:39" ht="15" customHeight="1">
      <c r="A21" s="353"/>
      <c r="B21" s="2131" t="s">
        <v>1394</v>
      </c>
      <c r="C21" s="223"/>
      <c r="D21" s="2134">
        <v>1.5</v>
      </c>
      <c r="E21" s="2135"/>
      <c r="F21" s="2134">
        <v>0.2</v>
      </c>
      <c r="G21" s="2135"/>
      <c r="H21" s="2134"/>
      <c r="I21" s="2135"/>
      <c r="J21" s="2135"/>
      <c r="K21" s="2135"/>
      <c r="L21" s="1208"/>
      <c r="M21" s="2135"/>
      <c r="N21" s="1208"/>
      <c r="O21" s="2135"/>
      <c r="P21" s="1208"/>
      <c r="Q21" s="2135"/>
      <c r="R21" s="2135"/>
      <c r="S21" s="2135"/>
      <c r="T21" s="2135"/>
      <c r="U21" s="2135"/>
      <c r="V21" s="2135"/>
      <c r="W21" s="2135"/>
      <c r="X21" s="2135"/>
      <c r="Y21" s="2135"/>
      <c r="Z21" s="2135"/>
      <c r="AA21" s="2135"/>
      <c r="AB21" s="1208">
        <v>0</v>
      </c>
      <c r="AC21" s="2135"/>
      <c r="AD21" s="2136"/>
      <c r="AE21" s="2137">
        <f t="shared" ref="AE21:AE26" si="2">ROUND(SUM(D21:AB21),1)</f>
        <v>1.7</v>
      </c>
      <c r="AF21" s="2138"/>
      <c r="AG21" s="2139"/>
      <c r="AH21" s="2650">
        <v>1.7</v>
      </c>
      <c r="AI21" s="516"/>
      <c r="AJ21" s="249"/>
      <c r="AK21" s="1177">
        <f t="shared" si="0"/>
        <v>0</v>
      </c>
      <c r="AL21" s="1895"/>
      <c r="AM21" s="2743">
        <f t="shared" si="1"/>
        <v>0</v>
      </c>
    </row>
    <row r="22" spans="1:39" ht="15" customHeight="1">
      <c r="A22" s="353"/>
      <c r="B22" s="2131" t="s">
        <v>1395</v>
      </c>
      <c r="C22" s="223"/>
      <c r="D22" s="2134">
        <v>83.2</v>
      </c>
      <c r="E22" s="2135"/>
      <c r="F22" s="2134">
        <v>72.2</v>
      </c>
      <c r="G22" s="2135"/>
      <c r="H22" s="2134"/>
      <c r="I22" s="2135"/>
      <c r="J22" s="2135"/>
      <c r="K22" s="2135"/>
      <c r="L22" s="1208"/>
      <c r="M22" s="2135"/>
      <c r="N22" s="1208"/>
      <c r="O22" s="2135"/>
      <c r="P22" s="1208"/>
      <c r="Q22" s="2135"/>
      <c r="R22" s="2135"/>
      <c r="S22" s="2135"/>
      <c r="T22" s="2135"/>
      <c r="U22" s="2135"/>
      <c r="V22" s="2135"/>
      <c r="W22" s="2135"/>
      <c r="X22" s="2135"/>
      <c r="Y22" s="2135"/>
      <c r="Z22" s="2135"/>
      <c r="AA22" s="2135"/>
      <c r="AB22" s="1208">
        <v>0</v>
      </c>
      <c r="AC22" s="2135"/>
      <c r="AD22" s="2136"/>
      <c r="AE22" s="2137">
        <f t="shared" si="2"/>
        <v>155.4</v>
      </c>
      <c r="AF22" s="2138"/>
      <c r="AG22" s="2139"/>
      <c r="AH22" s="2650">
        <v>165.8</v>
      </c>
      <c r="AI22" s="516"/>
      <c r="AJ22" s="249"/>
      <c r="AK22" s="1177">
        <f t="shared" si="0"/>
        <v>-10.4</v>
      </c>
      <c r="AL22" s="1895"/>
      <c r="AM22" s="2743">
        <f t="shared" si="1"/>
        <v>-6.3E-2</v>
      </c>
    </row>
    <row r="23" spans="1:39" ht="15" customHeight="1">
      <c r="A23" s="353"/>
      <c r="B23" s="2131" t="s">
        <v>1396</v>
      </c>
      <c r="C23" s="223"/>
      <c r="D23" s="2134">
        <v>8.6999999999999993</v>
      </c>
      <c r="E23" s="2135"/>
      <c r="F23" s="2134">
        <v>8.6</v>
      </c>
      <c r="G23" s="2135"/>
      <c r="H23" s="2134"/>
      <c r="I23" s="2135"/>
      <c r="J23" s="2135"/>
      <c r="K23" s="2135"/>
      <c r="L23" s="1142"/>
      <c r="M23" s="2135"/>
      <c r="N23" s="1208"/>
      <c r="O23" s="2135"/>
      <c r="P23" s="1208"/>
      <c r="Q23" s="2135"/>
      <c r="R23" s="2135"/>
      <c r="S23" s="2135"/>
      <c r="T23" s="2135"/>
      <c r="U23" s="2135"/>
      <c r="V23" s="2135"/>
      <c r="W23" s="2135"/>
      <c r="X23" s="2135"/>
      <c r="Y23" s="2135"/>
      <c r="Z23" s="2135"/>
      <c r="AA23" s="2135"/>
      <c r="AB23" s="1208">
        <v>0</v>
      </c>
      <c r="AC23" s="2135"/>
      <c r="AD23" s="2136"/>
      <c r="AE23" s="2137">
        <f t="shared" si="2"/>
        <v>17.3</v>
      </c>
      <c r="AF23" s="2138"/>
      <c r="AG23" s="2139"/>
      <c r="AH23" s="2655">
        <v>18.5</v>
      </c>
      <c r="AI23" s="516"/>
      <c r="AJ23" s="249"/>
      <c r="AK23" s="1177">
        <f t="shared" si="0"/>
        <v>-1.2</v>
      </c>
      <c r="AL23" s="1895"/>
      <c r="AM23" s="2743">
        <f t="shared" si="1"/>
        <v>-6.5000000000000002E-2</v>
      </c>
    </row>
    <row r="24" spans="1:39" ht="15" customHeight="1">
      <c r="A24" s="353"/>
      <c r="B24" s="2131" t="s">
        <v>1397</v>
      </c>
      <c r="C24" s="223"/>
      <c r="D24" s="2134">
        <v>0</v>
      </c>
      <c r="E24" s="2135"/>
      <c r="F24" s="2134">
        <v>0</v>
      </c>
      <c r="G24" s="2135"/>
      <c r="H24" s="2134"/>
      <c r="I24" s="2135"/>
      <c r="J24" s="2135"/>
      <c r="K24" s="2135"/>
      <c r="L24" s="1208"/>
      <c r="M24" s="2135"/>
      <c r="N24" s="1208"/>
      <c r="O24" s="2135"/>
      <c r="P24" s="1208"/>
      <c r="Q24" s="2135"/>
      <c r="R24" s="2135"/>
      <c r="S24" s="2135"/>
      <c r="T24" s="2135"/>
      <c r="U24" s="2135"/>
      <c r="V24" s="2135"/>
      <c r="W24" s="2135"/>
      <c r="X24" s="2135"/>
      <c r="Y24" s="2135"/>
      <c r="Z24" s="2135"/>
      <c r="AA24" s="2135"/>
      <c r="AB24" s="1208">
        <v>0</v>
      </c>
      <c r="AC24" s="2135"/>
      <c r="AD24" s="2136"/>
      <c r="AE24" s="2137">
        <f t="shared" si="2"/>
        <v>0</v>
      </c>
      <c r="AF24" s="2138"/>
      <c r="AG24" s="2139"/>
      <c r="AH24" s="2652">
        <v>0</v>
      </c>
      <c r="AI24" s="516"/>
      <c r="AJ24" s="249"/>
      <c r="AK24" s="1177">
        <f t="shared" si="0"/>
        <v>0</v>
      </c>
      <c r="AL24" s="1895"/>
      <c r="AM24" s="2743">
        <f t="shared" si="1"/>
        <v>0</v>
      </c>
    </row>
    <row r="25" spans="1:39" ht="15" customHeight="1">
      <c r="A25" s="353"/>
      <c r="B25" s="2131" t="s">
        <v>1398</v>
      </c>
      <c r="C25" s="223"/>
      <c r="D25" s="2134">
        <v>0</v>
      </c>
      <c r="E25" s="2135"/>
      <c r="F25" s="2134">
        <v>0</v>
      </c>
      <c r="G25" s="2135"/>
      <c r="H25" s="2134"/>
      <c r="I25" s="2135"/>
      <c r="J25" s="2135"/>
      <c r="K25" s="2135"/>
      <c r="L25" s="1208"/>
      <c r="M25" s="2135"/>
      <c r="N25" s="1208"/>
      <c r="O25" s="2135"/>
      <c r="P25" s="1208"/>
      <c r="Q25" s="2135"/>
      <c r="R25" s="2135"/>
      <c r="S25" s="2135"/>
      <c r="T25" s="2135"/>
      <c r="U25" s="2135"/>
      <c r="V25" s="2135"/>
      <c r="W25" s="2135"/>
      <c r="X25" s="2135"/>
      <c r="Y25" s="2135"/>
      <c r="Z25" s="2135"/>
      <c r="AA25" s="2135"/>
      <c r="AB25" s="1208">
        <v>0</v>
      </c>
      <c r="AC25" s="2135"/>
      <c r="AD25" s="2136"/>
      <c r="AE25" s="2137">
        <f t="shared" si="2"/>
        <v>0</v>
      </c>
      <c r="AF25" s="2138"/>
      <c r="AG25" s="2139"/>
      <c r="AH25" s="2652">
        <v>0</v>
      </c>
      <c r="AI25" s="516"/>
      <c r="AJ25" s="249"/>
      <c r="AK25" s="1177">
        <f t="shared" si="0"/>
        <v>0</v>
      </c>
      <c r="AL25" s="1895"/>
      <c r="AM25" s="2743">
        <f t="shared" si="1"/>
        <v>0</v>
      </c>
    </row>
    <row r="26" spans="1:39" ht="15" customHeight="1">
      <c r="A26" s="353"/>
      <c r="B26" s="2133" t="s">
        <v>1399</v>
      </c>
      <c r="C26" s="223"/>
      <c r="D26" s="2134">
        <v>19.2</v>
      </c>
      <c r="E26" s="2135"/>
      <c r="F26" s="2134">
        <v>0.6</v>
      </c>
      <c r="G26" s="2135"/>
      <c r="H26" s="2134"/>
      <c r="I26" s="2135"/>
      <c r="J26" s="2135"/>
      <c r="K26" s="2135"/>
      <c r="L26" s="1208"/>
      <c r="M26" s="2135"/>
      <c r="N26" s="1208"/>
      <c r="O26" s="2135"/>
      <c r="P26" s="1208"/>
      <c r="Q26" s="2135"/>
      <c r="R26" s="2135"/>
      <c r="S26" s="2135"/>
      <c r="T26" s="2135"/>
      <c r="U26" s="2135"/>
      <c r="V26" s="2135"/>
      <c r="W26" s="2135"/>
      <c r="X26" s="2135"/>
      <c r="Y26" s="2135"/>
      <c r="Z26" s="2135"/>
      <c r="AA26" s="2135"/>
      <c r="AB26" s="1208">
        <v>0</v>
      </c>
      <c r="AC26" s="2135"/>
      <c r="AD26" s="2136"/>
      <c r="AE26" s="2137">
        <f t="shared" si="2"/>
        <v>19.8</v>
      </c>
      <c r="AF26" s="2138"/>
      <c r="AG26" s="2139"/>
      <c r="AH26" s="2650">
        <v>21.2</v>
      </c>
      <c r="AI26" s="516"/>
      <c r="AJ26" s="249"/>
      <c r="AK26" s="1177">
        <f t="shared" si="0"/>
        <v>-1.4</v>
      </c>
      <c r="AL26" s="1895"/>
      <c r="AM26" s="2743">
        <f t="shared" si="1"/>
        <v>-6.6000000000000003E-2</v>
      </c>
    </row>
    <row r="27" spans="1:39" s="1531" customFormat="1" ht="15" customHeight="1">
      <c r="A27" s="2113"/>
      <c r="B27" s="2132" t="s">
        <v>1392</v>
      </c>
      <c r="C27" s="221"/>
      <c r="D27" s="256">
        <f>ROUND(SUM(D20:D26),1)</f>
        <v>203.6</v>
      </c>
      <c r="E27" s="1899"/>
      <c r="F27" s="256">
        <f>ROUND(SUM(F20:F26),1)</f>
        <v>146.80000000000001</v>
      </c>
      <c r="G27" s="1899"/>
      <c r="H27" s="256">
        <f>ROUND(SUM(H20:H26),1)</f>
        <v>0</v>
      </c>
      <c r="I27" s="1899"/>
      <c r="J27" s="256">
        <f>ROUND(SUM(J20:J26),1)</f>
        <v>0</v>
      </c>
      <c r="K27" s="1899"/>
      <c r="L27" s="256">
        <f>ROUND(SUM(L20:L26),1)</f>
        <v>0</v>
      </c>
      <c r="M27" s="1899"/>
      <c r="N27" s="256">
        <f>ROUND(SUM(N20:N26),1)</f>
        <v>0</v>
      </c>
      <c r="O27" s="1899"/>
      <c r="P27" s="256">
        <f>ROUND(SUM(P20:P26),1)</f>
        <v>0</v>
      </c>
      <c r="Q27" s="1899"/>
      <c r="R27" s="256">
        <f>ROUND(SUM(R20:R26),1)</f>
        <v>0</v>
      </c>
      <c r="S27" s="1899"/>
      <c r="T27" s="256">
        <f>ROUND(SUM(T20:T26),1)</f>
        <v>0</v>
      </c>
      <c r="U27" s="1899"/>
      <c r="V27" s="256">
        <f>ROUND(SUM(V20:V26),1)</f>
        <v>0</v>
      </c>
      <c r="W27" s="1899"/>
      <c r="X27" s="256">
        <f>ROUND(SUM(X20:X26),1)</f>
        <v>0</v>
      </c>
      <c r="Y27" s="1899"/>
      <c r="Z27" s="256">
        <f>ROUND(SUM(Z20:Z26),1)</f>
        <v>0</v>
      </c>
      <c r="AA27" s="273"/>
      <c r="AB27" s="256">
        <f>ROUND(SUM(AB20:AB26),1)</f>
        <v>0</v>
      </c>
      <c r="AC27" s="1899"/>
      <c r="AD27" s="746"/>
      <c r="AE27" s="256">
        <f>ROUND(SUM(AE20:AE26),1)</f>
        <v>350.4</v>
      </c>
      <c r="AF27" s="1899"/>
      <c r="AG27" s="1937"/>
      <c r="AH27" s="256">
        <f>ROUND(SUM(AH20:AH26),1)</f>
        <v>372.5</v>
      </c>
      <c r="AI27" s="523"/>
      <c r="AJ27" s="273"/>
      <c r="AK27" s="256">
        <f>ROUND(SUM(AK20:AK26),1)</f>
        <v>-22.1</v>
      </c>
      <c r="AL27" s="413"/>
      <c r="AM27" s="2086">
        <f t="shared" si="1"/>
        <v>-5.8999999999999997E-2</v>
      </c>
    </row>
    <row r="28" spans="1:39" ht="15" customHeight="1">
      <c r="A28" s="353"/>
      <c r="B28" s="2400" t="s">
        <v>1379</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9"/>
      <c r="AH28" s="261"/>
      <c r="AI28" s="516"/>
      <c r="AJ28" s="249"/>
      <c r="AK28" s="1177"/>
      <c r="AL28" s="1895"/>
      <c r="AM28" s="1895"/>
    </row>
    <row r="29" spans="1:39" ht="15" customHeight="1">
      <c r="A29" s="353"/>
      <c r="B29" s="2131" t="s">
        <v>1401</v>
      </c>
      <c r="C29" s="223"/>
      <c r="D29" s="2134">
        <v>11.5</v>
      </c>
      <c r="E29" s="2135"/>
      <c r="F29" s="2134">
        <v>3.5</v>
      </c>
      <c r="G29" s="2135"/>
      <c r="H29" s="2134"/>
      <c r="I29" s="261"/>
      <c r="J29" s="261"/>
      <c r="K29" s="261"/>
      <c r="L29" s="1142"/>
      <c r="M29" s="261"/>
      <c r="N29" s="1208"/>
      <c r="O29" s="261"/>
      <c r="P29" s="1208"/>
      <c r="Q29" s="261"/>
      <c r="R29" s="2135"/>
      <c r="S29" s="261"/>
      <c r="T29" s="261"/>
      <c r="U29" s="261"/>
      <c r="V29" s="261"/>
      <c r="W29" s="261"/>
      <c r="X29" s="261"/>
      <c r="Y29" s="261"/>
      <c r="Z29" s="1177"/>
      <c r="AA29" s="261"/>
      <c r="AB29" s="1208">
        <v>0</v>
      </c>
      <c r="AC29" s="261"/>
      <c r="AD29" s="252"/>
      <c r="AE29" s="2137">
        <f>ROUND(SUM(D29:AB29),1)</f>
        <v>15</v>
      </c>
      <c r="AF29" s="261"/>
      <c r="AG29" s="1639"/>
      <c r="AH29" s="85">
        <v>39.6</v>
      </c>
      <c r="AI29" s="516"/>
      <c r="AJ29" s="249"/>
      <c r="AK29" s="1177">
        <f>ROUND(SUM(+AE29-AH29),1)</f>
        <v>-24.6</v>
      </c>
      <c r="AL29" s="1895"/>
      <c r="AM29" s="2743">
        <f t="shared" ref="AM29:AM34" si="3">ROUND(IF(AH29=0,0,AK29/(AH29)),3)</f>
        <v>-0.621</v>
      </c>
    </row>
    <row r="30" spans="1:39" ht="15" customHeight="1">
      <c r="A30" s="353"/>
      <c r="B30" s="2131" t="s">
        <v>1402</v>
      </c>
      <c r="C30" s="223"/>
      <c r="D30" s="2134">
        <v>1.7</v>
      </c>
      <c r="E30" s="2135"/>
      <c r="F30" s="2134">
        <v>0.5</v>
      </c>
      <c r="G30" s="2135"/>
      <c r="H30" s="2134"/>
      <c r="I30" s="261"/>
      <c r="J30" s="261"/>
      <c r="K30" s="261"/>
      <c r="L30" s="1142"/>
      <c r="M30" s="261"/>
      <c r="N30" s="1208"/>
      <c r="O30" s="261"/>
      <c r="P30" s="1208"/>
      <c r="Q30" s="261"/>
      <c r="R30" s="2135"/>
      <c r="S30" s="261"/>
      <c r="T30" s="261"/>
      <c r="U30" s="261"/>
      <c r="V30" s="261"/>
      <c r="W30" s="261"/>
      <c r="X30" s="261"/>
      <c r="Y30" s="261"/>
      <c r="Z30" s="261"/>
      <c r="AA30" s="261"/>
      <c r="AB30" s="1208">
        <v>0</v>
      </c>
      <c r="AC30" s="261"/>
      <c r="AD30" s="252"/>
      <c r="AE30" s="2137">
        <f>ROUND(SUM(D30:AB30),1)</f>
        <v>2.2000000000000002</v>
      </c>
      <c r="AF30" s="261"/>
      <c r="AG30" s="1639"/>
      <c r="AH30" s="85">
        <v>1.6</v>
      </c>
      <c r="AI30" s="516"/>
      <c r="AJ30" s="249"/>
      <c r="AK30" s="1177">
        <f>ROUND(SUM(+AE30-AH30),1)</f>
        <v>0.6</v>
      </c>
      <c r="AL30" s="1895"/>
      <c r="AM30" s="2743">
        <f t="shared" si="3"/>
        <v>0.375</v>
      </c>
    </row>
    <row r="31" spans="1:39" ht="15" customHeight="1">
      <c r="A31" s="353"/>
      <c r="B31" s="2131" t="s">
        <v>1403</v>
      </c>
      <c r="C31" s="223"/>
      <c r="D31" s="2134">
        <v>-0.1</v>
      </c>
      <c r="E31" s="2135"/>
      <c r="F31" s="2134">
        <v>-0.1</v>
      </c>
      <c r="G31" s="2135"/>
      <c r="H31" s="2134"/>
      <c r="I31" s="261"/>
      <c r="J31" s="261"/>
      <c r="K31" s="261"/>
      <c r="L31" s="1142"/>
      <c r="M31" s="261"/>
      <c r="N31" s="1208"/>
      <c r="O31" s="261"/>
      <c r="P31" s="1208"/>
      <c r="Q31" s="261"/>
      <c r="R31" s="2135"/>
      <c r="S31" s="261"/>
      <c r="T31" s="261"/>
      <c r="U31" s="261"/>
      <c r="V31" s="261"/>
      <c r="W31" s="261"/>
      <c r="X31" s="261"/>
      <c r="Y31" s="261"/>
      <c r="Z31" s="261"/>
      <c r="AA31" s="261"/>
      <c r="AB31" s="1208">
        <v>0</v>
      </c>
      <c r="AC31" s="261"/>
      <c r="AD31" s="252"/>
      <c r="AE31" s="2137">
        <f>ROUND(SUM(D31:AB31),1)</f>
        <v>-0.2</v>
      </c>
      <c r="AF31" s="261"/>
      <c r="AG31" s="1639"/>
      <c r="AH31" s="2650">
        <v>-1.1000000000000001</v>
      </c>
      <c r="AI31" s="516"/>
      <c r="AJ31" s="249"/>
      <c r="AK31" s="1177">
        <f>ROUND(SUM(+AE31-AH31),1)</f>
        <v>0.9</v>
      </c>
      <c r="AL31" s="1895"/>
      <c r="AM31" s="2743">
        <f>-ROUND(IF(AH31=0,0,AK31/(AH31)),3)</f>
        <v>0.81799999999999995</v>
      </c>
    </row>
    <row r="32" spans="1:39" ht="15" customHeight="1">
      <c r="A32" s="353"/>
      <c r="B32" s="2131" t="s">
        <v>1404</v>
      </c>
      <c r="C32" s="223"/>
      <c r="D32" s="2134">
        <v>6.6</v>
      </c>
      <c r="E32" s="2135"/>
      <c r="F32" s="2134">
        <v>-0.1</v>
      </c>
      <c r="G32" s="2135"/>
      <c r="H32" s="2134"/>
      <c r="I32" s="261"/>
      <c r="J32" s="261"/>
      <c r="K32" s="261"/>
      <c r="L32" s="1142"/>
      <c r="M32" s="261"/>
      <c r="N32" s="1208"/>
      <c r="O32" s="261"/>
      <c r="P32" s="1208"/>
      <c r="Q32" s="261"/>
      <c r="R32" s="2135"/>
      <c r="S32" s="261"/>
      <c r="T32" s="261"/>
      <c r="U32" s="261"/>
      <c r="V32" s="261"/>
      <c r="W32" s="261"/>
      <c r="X32" s="261"/>
      <c r="Y32" s="261"/>
      <c r="Z32" s="261"/>
      <c r="AA32" s="261"/>
      <c r="AB32" s="1208">
        <v>0</v>
      </c>
      <c r="AC32" s="261"/>
      <c r="AD32" s="252"/>
      <c r="AE32" s="2137">
        <f>ROUND(SUM(D32:AB32),1)</f>
        <v>6.5</v>
      </c>
      <c r="AF32" s="261"/>
      <c r="AG32" s="1639"/>
      <c r="AH32" s="85">
        <v>56.1</v>
      </c>
      <c r="AI32" s="516"/>
      <c r="AJ32" s="249"/>
      <c r="AK32" s="1177">
        <f>ROUND(SUM(+AE32-AH32),1)</f>
        <v>-49.6</v>
      </c>
      <c r="AL32" s="1895"/>
      <c r="AM32" s="2743">
        <f t="shared" si="3"/>
        <v>-0.88400000000000001</v>
      </c>
    </row>
    <row r="33" spans="1:40" ht="15" customHeight="1">
      <c r="A33" s="353"/>
      <c r="B33" s="2131" t="s">
        <v>1405</v>
      </c>
      <c r="C33" s="223"/>
      <c r="D33" s="2134">
        <v>40.6</v>
      </c>
      <c r="E33" s="2135"/>
      <c r="F33" s="2134">
        <v>39.9</v>
      </c>
      <c r="G33" s="2135"/>
      <c r="H33" s="2134"/>
      <c r="I33" s="261"/>
      <c r="J33" s="261"/>
      <c r="K33" s="261"/>
      <c r="L33" s="1142"/>
      <c r="M33" s="261"/>
      <c r="N33" s="1208"/>
      <c r="O33" s="261"/>
      <c r="P33" s="1208"/>
      <c r="Q33" s="261"/>
      <c r="R33" s="2135"/>
      <c r="S33" s="261"/>
      <c r="T33" s="261"/>
      <c r="U33" s="261"/>
      <c r="V33" s="261"/>
      <c r="W33" s="261"/>
      <c r="X33" s="261"/>
      <c r="Y33" s="261"/>
      <c r="Z33" s="1177"/>
      <c r="AA33" s="261"/>
      <c r="AB33" s="1208">
        <v>0</v>
      </c>
      <c r="AC33" s="261"/>
      <c r="AD33" s="252"/>
      <c r="AE33" s="2137">
        <f>ROUND(SUM(D33:AB33),1)</f>
        <v>80.5</v>
      </c>
      <c r="AF33" s="261"/>
      <c r="AG33" s="1639"/>
      <c r="AH33" s="85">
        <v>85</v>
      </c>
      <c r="AI33" s="516"/>
      <c r="AJ33" s="249"/>
      <c r="AK33" s="1177">
        <f>ROUND(SUM(+AE33-AH33),1)</f>
        <v>-4.5</v>
      </c>
      <c r="AL33" s="1895"/>
      <c r="AM33" s="2743">
        <f t="shared" si="3"/>
        <v>-5.2999999999999999E-2</v>
      </c>
    </row>
    <row r="34" spans="1:40" s="1531" customFormat="1" ht="15" customHeight="1">
      <c r="A34" s="2113"/>
      <c r="B34" s="2132" t="s">
        <v>1400</v>
      </c>
      <c r="C34" s="221"/>
      <c r="D34" s="256">
        <f>ROUND(SUM(D29:D33),1)</f>
        <v>60.3</v>
      </c>
      <c r="E34" s="1899"/>
      <c r="F34" s="256">
        <f>ROUND(SUM(F29:F33),1)</f>
        <v>43.7</v>
      </c>
      <c r="G34" s="1899"/>
      <c r="H34" s="256">
        <f>ROUND(SUM(H29:H33),1)</f>
        <v>0</v>
      </c>
      <c r="I34" s="1899"/>
      <c r="J34" s="256">
        <f>ROUND(SUM(J29:J33),1)</f>
        <v>0</v>
      </c>
      <c r="K34" s="1899"/>
      <c r="L34" s="256">
        <f>ROUND(SUM(L29:L33),1)</f>
        <v>0</v>
      </c>
      <c r="M34" s="1899"/>
      <c r="N34" s="256">
        <f>ROUND(SUM(N29:N33),1)</f>
        <v>0</v>
      </c>
      <c r="O34" s="1899"/>
      <c r="P34" s="256">
        <f>ROUND(SUM(P29:P33),1)</f>
        <v>0</v>
      </c>
      <c r="Q34" s="1899"/>
      <c r="R34" s="256">
        <f>ROUND(SUM(R29:R33),1)</f>
        <v>0</v>
      </c>
      <c r="S34" s="1899"/>
      <c r="T34" s="256">
        <f>ROUND(SUM(T29:T33),1)</f>
        <v>0</v>
      </c>
      <c r="U34" s="1899"/>
      <c r="V34" s="256">
        <f>ROUND(SUM(V29:V33),1)</f>
        <v>0</v>
      </c>
      <c r="W34" s="1899"/>
      <c r="X34" s="256">
        <f>ROUND(SUM(X29:X33),1)</f>
        <v>0</v>
      </c>
      <c r="Y34" s="1899"/>
      <c r="Z34" s="256">
        <f>ROUND(SUM(Z29:Z33),1)</f>
        <v>0</v>
      </c>
      <c r="AA34" s="273"/>
      <c r="AB34" s="256">
        <f>ROUND(SUM(AB29:AB33),1)</f>
        <v>0</v>
      </c>
      <c r="AC34" s="1899"/>
      <c r="AD34" s="746"/>
      <c r="AE34" s="256">
        <f>ROUND(SUM(AE29:AE33),1)</f>
        <v>104</v>
      </c>
      <c r="AF34" s="1899"/>
      <c r="AG34" s="1937"/>
      <c r="AH34" s="256">
        <f>ROUND(SUM(AH29:AH33),1)</f>
        <v>181.2</v>
      </c>
      <c r="AI34" s="523"/>
      <c r="AJ34" s="273"/>
      <c r="AK34" s="256">
        <f>ROUND(SUM(AK29:AK33),1)</f>
        <v>-77.2</v>
      </c>
      <c r="AL34" s="413"/>
      <c r="AM34" s="2780">
        <f t="shared" si="3"/>
        <v>-0.42599999999999999</v>
      </c>
    </row>
    <row r="35" spans="1:40" ht="15" customHeight="1">
      <c r="A35" s="353"/>
      <c r="B35" s="2400" t="s">
        <v>1380</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9"/>
      <c r="AH35" s="261"/>
      <c r="AI35" s="516"/>
      <c r="AJ35" s="249"/>
      <c r="AK35" s="1177"/>
      <c r="AL35" s="1895"/>
      <c r="AM35" s="1895"/>
    </row>
    <row r="36" spans="1:40" ht="15" customHeight="1">
      <c r="A36" s="353"/>
      <c r="B36" s="2133" t="s">
        <v>1413</v>
      </c>
      <c r="C36" s="223"/>
      <c r="D36" s="2134">
        <v>132.6</v>
      </c>
      <c r="E36" s="2135"/>
      <c r="F36" s="2134">
        <v>87.3</v>
      </c>
      <c r="G36" s="2135"/>
      <c r="H36" s="2134"/>
      <c r="I36" s="261"/>
      <c r="J36" s="261"/>
      <c r="K36" s="261"/>
      <c r="L36" s="1208"/>
      <c r="M36" s="261"/>
      <c r="N36" s="1208"/>
      <c r="O36" s="261"/>
      <c r="P36" s="1208"/>
      <c r="Q36" s="261"/>
      <c r="R36" s="2135"/>
      <c r="S36" s="261"/>
      <c r="T36" s="261"/>
      <c r="U36" s="261"/>
      <c r="V36" s="261"/>
      <c r="W36" s="261"/>
      <c r="X36" s="261"/>
      <c r="Y36" s="261"/>
      <c r="Z36" s="261"/>
      <c r="AA36" s="261"/>
      <c r="AB36" s="1208">
        <v>0</v>
      </c>
      <c r="AC36" s="261"/>
      <c r="AD36" s="252"/>
      <c r="AE36" s="2137">
        <f>ROUND(SUM(D36:AB36),1)</f>
        <v>219.9</v>
      </c>
      <c r="AF36" s="2142"/>
      <c r="AG36" s="2143"/>
      <c r="AH36" s="2650">
        <v>225</v>
      </c>
      <c r="AI36" s="516"/>
      <c r="AJ36" s="249"/>
      <c r="AK36" s="1177">
        <f>ROUND(SUM(+AE36-AH36),1)</f>
        <v>-5.0999999999999996</v>
      </c>
      <c r="AL36" s="1895"/>
      <c r="AM36" s="2843">
        <f>ROUND(IF(AH36=0,0,AK36/(AH36)),3)</f>
        <v>-2.3E-2</v>
      </c>
    </row>
    <row r="37" spans="1:40" s="1531" customFormat="1" ht="15" customHeight="1">
      <c r="A37" s="2113"/>
      <c r="B37" s="2132" t="s">
        <v>1406</v>
      </c>
      <c r="C37" s="221"/>
      <c r="D37" s="256">
        <f>ROUND(SUM(D36:D36),1)</f>
        <v>132.6</v>
      </c>
      <c r="E37" s="1899"/>
      <c r="F37" s="256">
        <f>ROUND(SUM(F36:F36),1)</f>
        <v>87.3</v>
      </c>
      <c r="G37" s="1899"/>
      <c r="H37" s="256">
        <f>ROUND(SUM(H36:H36),1)</f>
        <v>0</v>
      </c>
      <c r="I37" s="1899"/>
      <c r="J37" s="256">
        <f>ROUND(SUM(J36:J36),1)</f>
        <v>0</v>
      </c>
      <c r="K37" s="1899"/>
      <c r="L37" s="256">
        <f>ROUND(SUM(L36:L36),1)</f>
        <v>0</v>
      </c>
      <c r="M37" s="1899"/>
      <c r="N37" s="256">
        <f>ROUND(SUM(N36:N36),1)</f>
        <v>0</v>
      </c>
      <c r="O37" s="1899"/>
      <c r="P37" s="256">
        <f>ROUND(SUM(P36:P36),1)</f>
        <v>0</v>
      </c>
      <c r="Q37" s="1899"/>
      <c r="R37" s="256">
        <f>ROUND(SUM(R36:R36),1)</f>
        <v>0</v>
      </c>
      <c r="S37" s="1899"/>
      <c r="T37" s="256">
        <f>ROUND(SUM(T36:T36),1)</f>
        <v>0</v>
      </c>
      <c r="U37" s="1899"/>
      <c r="V37" s="256">
        <f>ROUND(SUM(V36:V36),1)</f>
        <v>0</v>
      </c>
      <c r="W37" s="1899"/>
      <c r="X37" s="256">
        <f>ROUND(SUM(X36:X36),1)</f>
        <v>0</v>
      </c>
      <c r="Y37" s="1899"/>
      <c r="Z37" s="256">
        <f>ROUND(SUM(Z36:Z36),1)</f>
        <v>0</v>
      </c>
      <c r="AA37" s="273"/>
      <c r="AB37" s="256">
        <f>ROUND(SUM(AB36:AB36),1)</f>
        <v>0</v>
      </c>
      <c r="AC37" s="1899"/>
      <c r="AD37" s="746"/>
      <c r="AE37" s="256">
        <f>ROUND(SUM(AE36:AE36),1)</f>
        <v>219.9</v>
      </c>
      <c r="AF37" s="1899"/>
      <c r="AG37" s="1937"/>
      <c r="AH37" s="256">
        <f>ROUND(SUM(AH36:AH36),1)</f>
        <v>225</v>
      </c>
      <c r="AI37" s="523"/>
      <c r="AJ37" s="273"/>
      <c r="AK37" s="256">
        <f>ROUND(SUM(AK36:AK36),1)</f>
        <v>-5.0999999999999996</v>
      </c>
      <c r="AL37" s="413"/>
      <c r="AM37" s="2837">
        <f>ROUND(IF(AH37=0,0,AK37/(AH37)),3)</f>
        <v>-2.3E-2</v>
      </c>
    </row>
    <row r="38" spans="1:40" ht="15" customHeight="1">
      <c r="A38" s="353"/>
      <c r="B38" s="2132"/>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9"/>
      <c r="AE38" s="249"/>
      <c r="AF38" s="261"/>
      <c r="AG38" s="1639"/>
      <c r="AH38" s="249"/>
      <c r="AI38" s="516"/>
      <c r="AJ38" s="249"/>
      <c r="AK38" s="1177"/>
      <c r="AL38" s="1895"/>
      <c r="AM38" s="2836"/>
    </row>
    <row r="39" spans="1:40" ht="15" customHeight="1">
      <c r="A39" s="353"/>
      <c r="B39" s="590" t="s">
        <v>1374</v>
      </c>
      <c r="C39" s="223"/>
      <c r="D39" s="2093">
        <f>ROUND(SUM(D16+D27+D34+D37),1)</f>
        <v>399.6</v>
      </c>
      <c r="E39" s="261"/>
      <c r="F39" s="2093">
        <f>ROUND(SUM(F16+F27+F34+F37),1)</f>
        <v>277.8</v>
      </c>
      <c r="G39" s="261"/>
      <c r="H39" s="2093">
        <f>ROUND(SUM(H16+H27+H34+H37),1)</f>
        <v>0</v>
      </c>
      <c r="I39" s="261"/>
      <c r="J39" s="2093">
        <f>ROUND(SUM(J16+J27+J34+J37),1)</f>
        <v>0</v>
      </c>
      <c r="K39" s="261"/>
      <c r="L39" s="2093">
        <f>ROUND(SUM(L16+L27+L34+L37),1)</f>
        <v>0</v>
      </c>
      <c r="M39" s="261"/>
      <c r="N39" s="2093">
        <f>ROUND(SUM(N16+N27+N34+N37),1)</f>
        <v>0</v>
      </c>
      <c r="O39" s="261"/>
      <c r="P39" s="2093">
        <f>ROUND(SUM(P16+P27+P34+P37),1)</f>
        <v>0</v>
      </c>
      <c r="Q39" s="261"/>
      <c r="R39" s="2093">
        <f>ROUND(SUM(R16+R27+R34+R37),1)</f>
        <v>0</v>
      </c>
      <c r="S39" s="261"/>
      <c r="T39" s="2093">
        <f>ROUND(SUM(T16+T27+T34+T37),1)</f>
        <v>0</v>
      </c>
      <c r="U39" s="261"/>
      <c r="V39" s="2093">
        <f>ROUND(SUM(V16+V27+V34+V37),1)</f>
        <v>0</v>
      </c>
      <c r="W39" s="261"/>
      <c r="X39" s="2093">
        <f>ROUND(SUM(X16+X27+X34+X37),1)</f>
        <v>0</v>
      </c>
      <c r="Y39" s="261"/>
      <c r="Z39" s="2093">
        <f>ROUND(SUM(Z16+Z27+Z34+Z37),1)</f>
        <v>0</v>
      </c>
      <c r="AA39" s="2096"/>
      <c r="AB39" s="2093">
        <f>ROUND(SUM(AB16+AB27+AB34+AB37),1)</f>
        <v>0</v>
      </c>
      <c r="AC39" s="261"/>
      <c r="AD39" s="250"/>
      <c r="AE39" s="2093">
        <f>ROUND(SUM(AE16+AE27+AE34+AE37),1)</f>
        <v>677.4</v>
      </c>
      <c r="AF39" s="261"/>
      <c r="AG39" s="250"/>
      <c r="AH39" s="2727">
        <f>ROUND(SUM(AH16+AH27+AH34+AH37),1)</f>
        <v>778.7</v>
      </c>
      <c r="AI39" s="520"/>
      <c r="AJ39" s="249"/>
      <c r="AK39" s="2093">
        <f>ROUND(SUM(AK16+AK27+AK34+AK37),1)</f>
        <v>-101.3</v>
      </c>
      <c r="AL39" s="1177"/>
      <c r="AM39" s="2850">
        <f>ROUND(IF(AH39=0,0,AK39/(AH39)),3)</f>
        <v>-0.13</v>
      </c>
      <c r="AN39" s="1607"/>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7"/>
      <c r="AI40" s="520"/>
      <c r="AJ40" s="249"/>
      <c r="AK40" s="1177"/>
      <c r="AL40" s="1177"/>
      <c r="AM40" s="2834"/>
      <c r="AN40" s="1607"/>
    </row>
    <row r="41" spans="1:40" ht="15" customHeight="1">
      <c r="A41" s="353"/>
      <c r="B41" s="491" t="s">
        <v>1308</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6"/>
      <c r="AJ41" s="249"/>
      <c r="AK41" s="1177"/>
      <c r="AL41" s="1177"/>
      <c r="AM41" s="2834"/>
      <c r="AN41" s="1607"/>
    </row>
    <row r="42" spans="1:40" ht="15" customHeight="1">
      <c r="A42" s="353"/>
      <c r="B42" s="1837" t="s">
        <v>1436</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6"/>
      <c r="AJ42" s="249"/>
      <c r="AK42" s="1177"/>
      <c r="AL42" s="1177"/>
      <c r="AM42" s="2834"/>
      <c r="AN42" s="1607"/>
    </row>
    <row r="43" spans="1:40" ht="15" customHeight="1">
      <c r="A43" s="353"/>
      <c r="B43" s="1837" t="s">
        <v>1341</v>
      </c>
      <c r="C43" s="223"/>
      <c r="D43" s="319">
        <v>0.8</v>
      </c>
      <c r="E43" s="319"/>
      <c r="F43" s="319">
        <v>0.6</v>
      </c>
      <c r="G43" s="319"/>
      <c r="H43" s="319"/>
      <c r="I43" s="319"/>
      <c r="J43" s="319"/>
      <c r="K43" s="261"/>
      <c r="L43" s="274"/>
      <c r="M43" s="261"/>
      <c r="N43" s="1208"/>
      <c r="O43" s="261"/>
      <c r="P43" s="1208"/>
      <c r="Q43" s="261"/>
      <c r="R43" s="2135"/>
      <c r="S43" s="261"/>
      <c r="T43" s="274"/>
      <c r="U43" s="261"/>
      <c r="V43" s="274"/>
      <c r="W43" s="261"/>
      <c r="X43" s="274"/>
      <c r="Y43" s="261"/>
      <c r="Z43" s="274"/>
      <c r="AA43" s="274"/>
      <c r="AB43" s="1208">
        <v>0</v>
      </c>
      <c r="AC43" s="261"/>
      <c r="AD43" s="250"/>
      <c r="AE43" s="319">
        <f>ROUND(SUM(D43:AB43),1)</f>
        <v>1.4</v>
      </c>
      <c r="AF43" s="261"/>
      <c r="AG43" s="252"/>
      <c r="AH43" s="261">
        <v>1.8</v>
      </c>
      <c r="AI43" s="516"/>
      <c r="AJ43" s="249"/>
      <c r="AK43" s="1177">
        <f t="shared" ref="AK43:AK79" si="4">ROUND(SUM(+AE43-AH43),1)</f>
        <v>-0.4</v>
      </c>
      <c r="AL43" s="1177"/>
      <c r="AM43" s="2834">
        <f>ROUND(IF(AH43=0,0,AK43/(AH43)),3)</f>
        <v>-0.222</v>
      </c>
      <c r="AN43" s="1607"/>
    </row>
    <row r="44" spans="1:40" ht="15" customHeight="1">
      <c r="A44" s="353"/>
      <c r="B44" s="1837" t="s">
        <v>1437</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6"/>
      <c r="AJ44" s="249"/>
      <c r="AK44" s="1177"/>
      <c r="AL44" s="1177"/>
      <c r="AM44" s="2834"/>
      <c r="AN44" s="1607"/>
    </row>
    <row r="45" spans="1:40" ht="15" customHeight="1">
      <c r="A45" s="353"/>
      <c r="B45" s="1837" t="s">
        <v>1343</v>
      </c>
      <c r="C45" s="223"/>
      <c r="D45" s="274">
        <v>75.7</v>
      </c>
      <c r="E45" s="261"/>
      <c r="F45" s="274">
        <v>11</v>
      </c>
      <c r="G45" s="261"/>
      <c r="H45" s="261"/>
      <c r="I45" s="261"/>
      <c r="J45" s="274"/>
      <c r="K45" s="261"/>
      <c r="L45" s="274"/>
      <c r="M45" s="261"/>
      <c r="N45" s="1208"/>
      <c r="O45" s="261"/>
      <c r="P45" s="1208"/>
      <c r="Q45" s="261"/>
      <c r="R45" s="2905"/>
      <c r="S45" s="261"/>
      <c r="T45" s="274"/>
      <c r="U45" s="261"/>
      <c r="V45" s="274"/>
      <c r="W45" s="261"/>
      <c r="X45" s="274"/>
      <c r="Y45" s="261"/>
      <c r="Z45" s="274"/>
      <c r="AA45" s="274"/>
      <c r="AB45" s="1208">
        <v>0</v>
      </c>
      <c r="AC45" s="261"/>
      <c r="AD45" s="250"/>
      <c r="AE45" s="261">
        <f>ROUND(SUM(D45:AB45),1)</f>
        <v>86.7</v>
      </c>
      <c r="AF45" s="261"/>
      <c r="AG45" s="252"/>
      <c r="AH45" s="261">
        <v>121.7</v>
      </c>
      <c r="AI45" s="516"/>
      <c r="AJ45" s="249"/>
      <c r="AK45" s="1177">
        <f t="shared" si="4"/>
        <v>-35</v>
      </c>
      <c r="AL45" s="1177"/>
      <c r="AM45" s="2834">
        <f>ROUND(IF(AH45=0,0,AK45/(AH45)),3)</f>
        <v>-0.28799999999999998</v>
      </c>
      <c r="AN45" s="1607"/>
    </row>
    <row r="46" spans="1:40" ht="15" customHeight="1">
      <c r="A46" s="353"/>
      <c r="B46" s="1837" t="s">
        <v>1344</v>
      </c>
      <c r="C46" s="223"/>
      <c r="D46" s="274">
        <v>371.1</v>
      </c>
      <c r="E46" s="261"/>
      <c r="F46" s="274">
        <v>425.4</v>
      </c>
      <c r="G46" s="261"/>
      <c r="H46" s="261"/>
      <c r="I46" s="261"/>
      <c r="J46" s="274"/>
      <c r="K46" s="261"/>
      <c r="L46" s="274"/>
      <c r="M46" s="261"/>
      <c r="N46" s="1208"/>
      <c r="O46" s="261"/>
      <c r="P46" s="1208"/>
      <c r="Q46" s="261"/>
      <c r="R46" s="2135"/>
      <c r="S46" s="261"/>
      <c r="T46" s="274"/>
      <c r="U46" s="261"/>
      <c r="V46" s="274"/>
      <c r="W46" s="261"/>
      <c r="X46" s="274"/>
      <c r="Y46" s="261"/>
      <c r="Z46" s="274"/>
      <c r="AA46" s="274"/>
      <c r="AB46" s="1208">
        <v>0</v>
      </c>
      <c r="AC46" s="261"/>
      <c r="AD46" s="250"/>
      <c r="AE46" s="261">
        <f>ROUND(SUM(D46:AB46),1)</f>
        <v>796.5</v>
      </c>
      <c r="AF46" s="261"/>
      <c r="AG46" s="252"/>
      <c r="AH46" s="261">
        <v>759.1</v>
      </c>
      <c r="AI46" s="516"/>
      <c r="AJ46" s="249"/>
      <c r="AK46" s="1177">
        <f t="shared" si="4"/>
        <v>37.4</v>
      </c>
      <c r="AL46" s="1177"/>
      <c r="AM46" s="2834">
        <f>ROUND(IF(AH46=0,0,AK46/(AH46)),3)</f>
        <v>4.9000000000000002E-2</v>
      </c>
      <c r="AN46" s="1607"/>
    </row>
    <row r="47" spans="1:40" ht="15" customHeight="1">
      <c r="A47" s="353"/>
      <c r="B47" s="1837" t="s">
        <v>1345</v>
      </c>
      <c r="C47" s="223"/>
      <c r="D47" s="274">
        <v>0.7</v>
      </c>
      <c r="E47" s="261"/>
      <c r="F47" s="274">
        <v>-0.1</v>
      </c>
      <c r="G47" s="261"/>
      <c r="H47" s="261"/>
      <c r="I47" s="261"/>
      <c r="J47" s="274"/>
      <c r="K47" s="261"/>
      <c r="L47" s="274"/>
      <c r="M47" s="261"/>
      <c r="N47" s="1208"/>
      <c r="O47" s="261"/>
      <c r="P47" s="1208"/>
      <c r="Q47" s="261"/>
      <c r="R47" s="2135"/>
      <c r="S47" s="261"/>
      <c r="T47" s="274"/>
      <c r="U47" s="261"/>
      <c r="V47" s="274"/>
      <c r="W47" s="261"/>
      <c r="X47" s="274"/>
      <c r="Y47" s="261"/>
      <c r="Z47" s="274"/>
      <c r="AA47" s="274"/>
      <c r="AB47" s="1208">
        <v>0</v>
      </c>
      <c r="AC47" s="261"/>
      <c r="AD47" s="250"/>
      <c r="AE47" s="261">
        <f>ROUND(SUM(D47:AB47),1)</f>
        <v>0.6</v>
      </c>
      <c r="AF47" s="261"/>
      <c r="AG47" s="252"/>
      <c r="AH47" s="261">
        <v>0.5</v>
      </c>
      <c r="AI47" s="516"/>
      <c r="AJ47" s="249"/>
      <c r="AK47" s="1177">
        <f t="shared" si="4"/>
        <v>0.1</v>
      </c>
      <c r="AL47" s="1177"/>
      <c r="AM47" s="2834">
        <f>ROUND(IF(AH47=0,0,AK47/(AH47)),3)</f>
        <v>0.2</v>
      </c>
      <c r="AN47" s="1607"/>
    </row>
    <row r="48" spans="1:40" ht="15" customHeight="1">
      <c r="A48" s="353"/>
      <c r="B48" s="1837" t="s">
        <v>1346</v>
      </c>
      <c r="C48" s="223"/>
      <c r="D48" s="274">
        <v>18.2</v>
      </c>
      <c r="E48" s="261"/>
      <c r="F48" s="274">
        <v>19.3</v>
      </c>
      <c r="G48" s="261"/>
      <c r="H48" s="261"/>
      <c r="I48" s="261"/>
      <c r="J48" s="274"/>
      <c r="K48" s="261"/>
      <c r="L48" s="274"/>
      <c r="M48" s="261"/>
      <c r="N48" s="1208"/>
      <c r="O48" s="261"/>
      <c r="P48" s="1208"/>
      <c r="Q48" s="261"/>
      <c r="R48" s="2135"/>
      <c r="S48" s="261"/>
      <c r="T48" s="274"/>
      <c r="U48" s="261"/>
      <c r="V48" s="274"/>
      <c r="W48" s="261"/>
      <c r="X48" s="274"/>
      <c r="Y48" s="261"/>
      <c r="Z48" s="274"/>
      <c r="AA48" s="274"/>
      <c r="AB48" s="1208">
        <v>0</v>
      </c>
      <c r="AC48" s="261"/>
      <c r="AD48" s="250"/>
      <c r="AE48" s="261">
        <f>ROUND(SUM(D48:AB48),1)</f>
        <v>37.5</v>
      </c>
      <c r="AF48" s="261"/>
      <c r="AG48" s="252"/>
      <c r="AH48" s="261">
        <v>33.6</v>
      </c>
      <c r="AI48" s="516"/>
      <c r="AJ48" s="249"/>
      <c r="AK48" s="1177">
        <f t="shared" si="4"/>
        <v>3.9</v>
      </c>
      <c r="AL48" s="1177"/>
      <c r="AM48" s="2834">
        <f>ROUND(IF(AH48=0,0,AK48/(AH48)),3)</f>
        <v>0.11600000000000001</v>
      </c>
      <c r="AN48" s="1607"/>
    </row>
    <row r="49" spans="1:40" ht="15" customHeight="1">
      <c r="A49" s="353"/>
      <c r="B49" s="1837" t="s">
        <v>1442</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6"/>
      <c r="AJ49" s="249"/>
      <c r="AK49" s="1177"/>
      <c r="AL49" s="1177"/>
      <c r="AM49" s="2834"/>
      <c r="AN49" s="1607"/>
    </row>
    <row r="50" spans="1:40" ht="15" customHeight="1">
      <c r="A50" s="353"/>
      <c r="B50" s="1837" t="s">
        <v>1347</v>
      </c>
      <c r="C50" s="223"/>
      <c r="D50" s="274">
        <v>70.5</v>
      </c>
      <c r="E50" s="261"/>
      <c r="F50" s="274">
        <v>53.4</v>
      </c>
      <c r="G50" s="261"/>
      <c r="H50" s="261"/>
      <c r="I50" s="261"/>
      <c r="J50" s="274"/>
      <c r="K50" s="261"/>
      <c r="L50" s="274"/>
      <c r="M50" s="261"/>
      <c r="N50" s="1208"/>
      <c r="O50" s="261"/>
      <c r="P50" s="1208"/>
      <c r="Q50" s="261"/>
      <c r="R50" s="2135"/>
      <c r="S50" s="261"/>
      <c r="T50" s="274"/>
      <c r="U50" s="261"/>
      <c r="V50" s="274"/>
      <c r="W50" s="261"/>
      <c r="X50" s="274"/>
      <c r="Y50" s="261"/>
      <c r="Z50" s="274"/>
      <c r="AA50" s="274"/>
      <c r="AB50" s="1208">
        <v>0</v>
      </c>
      <c r="AC50" s="261"/>
      <c r="AD50" s="250"/>
      <c r="AE50" s="319">
        <f t="shared" ref="AE50:AE55" si="5">ROUND(SUM(D50:AB50),1)</f>
        <v>123.9</v>
      </c>
      <c r="AF50" s="261"/>
      <c r="AG50" s="252"/>
      <c r="AH50" s="261">
        <v>110.6</v>
      </c>
      <c r="AI50" s="516"/>
      <c r="AJ50" s="249"/>
      <c r="AK50" s="1177">
        <f t="shared" si="4"/>
        <v>13.3</v>
      </c>
      <c r="AL50" s="1177"/>
      <c r="AM50" s="2834">
        <f t="shared" ref="AM50:AM54" si="6">ROUND(IF(AH50=0,0,AK50/(AH50)),3)</f>
        <v>0.12</v>
      </c>
      <c r="AN50" s="1607"/>
    </row>
    <row r="51" spans="1:40" ht="15" customHeight="1">
      <c r="A51" s="353"/>
      <c r="B51" s="1837" t="s">
        <v>1348</v>
      </c>
      <c r="C51" s="223"/>
      <c r="D51" s="274">
        <v>4.4000000000000004</v>
      </c>
      <c r="E51" s="261"/>
      <c r="F51" s="274">
        <v>4.4000000000000004</v>
      </c>
      <c r="G51" s="261"/>
      <c r="H51" s="261"/>
      <c r="I51" s="261"/>
      <c r="J51" s="274"/>
      <c r="K51" s="261"/>
      <c r="L51" s="274"/>
      <c r="M51" s="261"/>
      <c r="N51" s="1208"/>
      <c r="O51" s="261"/>
      <c r="P51" s="1208"/>
      <c r="Q51" s="261"/>
      <c r="R51" s="2135"/>
      <c r="S51" s="261"/>
      <c r="T51" s="274"/>
      <c r="U51" s="261"/>
      <c r="V51" s="274"/>
      <c r="W51" s="261"/>
      <c r="X51" s="274"/>
      <c r="Y51" s="261"/>
      <c r="Z51" s="274"/>
      <c r="AA51" s="274"/>
      <c r="AB51" s="1208">
        <v>0</v>
      </c>
      <c r="AC51" s="261"/>
      <c r="AD51" s="250"/>
      <c r="AE51" s="261">
        <f t="shared" si="5"/>
        <v>8.8000000000000007</v>
      </c>
      <c r="AF51" s="261"/>
      <c r="AG51" s="252"/>
      <c r="AH51" s="261">
        <v>9</v>
      </c>
      <c r="AI51" s="516"/>
      <c r="AJ51" s="249"/>
      <c r="AK51" s="1177">
        <f t="shared" si="4"/>
        <v>-0.2</v>
      </c>
      <c r="AL51" s="1177"/>
      <c r="AM51" s="2834">
        <f t="shared" si="6"/>
        <v>-2.1999999999999999E-2</v>
      </c>
      <c r="AN51" s="1607"/>
    </row>
    <row r="52" spans="1:40" ht="15" customHeight="1">
      <c r="A52" s="353"/>
      <c r="B52" s="1837" t="s">
        <v>1349</v>
      </c>
      <c r="C52" s="223"/>
      <c r="D52" s="274">
        <v>0</v>
      </c>
      <c r="E52" s="261"/>
      <c r="F52" s="274">
        <v>0.3</v>
      </c>
      <c r="G52" s="261"/>
      <c r="H52" s="261"/>
      <c r="I52" s="261"/>
      <c r="J52" s="274"/>
      <c r="K52" s="261"/>
      <c r="L52" s="274"/>
      <c r="M52" s="261"/>
      <c r="N52" s="1208"/>
      <c r="O52" s="261"/>
      <c r="P52" s="1208"/>
      <c r="Q52" s="261"/>
      <c r="R52" s="2135"/>
      <c r="S52" s="261"/>
      <c r="T52" s="274"/>
      <c r="U52" s="261"/>
      <c r="V52" s="274"/>
      <c r="W52" s="261"/>
      <c r="X52" s="274"/>
      <c r="Y52" s="261"/>
      <c r="Z52" s="274"/>
      <c r="AA52" s="274"/>
      <c r="AB52" s="1208">
        <v>0</v>
      </c>
      <c r="AC52" s="261"/>
      <c r="AD52" s="250"/>
      <c r="AE52" s="261">
        <f t="shared" si="5"/>
        <v>0.3</v>
      </c>
      <c r="AF52" s="261"/>
      <c r="AG52" s="252"/>
      <c r="AH52" s="261">
        <v>1.3</v>
      </c>
      <c r="AI52" s="516"/>
      <c r="AJ52" s="249"/>
      <c r="AK52" s="1177">
        <f t="shared" si="4"/>
        <v>-1</v>
      </c>
      <c r="AL52" s="1177"/>
      <c r="AM52" s="2834">
        <f t="shared" si="6"/>
        <v>-0.76900000000000002</v>
      </c>
      <c r="AN52" s="1607"/>
    </row>
    <row r="53" spans="1:40" ht="15" customHeight="1">
      <c r="A53" s="353"/>
      <c r="B53" s="1837" t="s">
        <v>1350</v>
      </c>
      <c r="C53" s="223"/>
      <c r="D53" s="274">
        <v>33.5</v>
      </c>
      <c r="E53" s="261"/>
      <c r="F53" s="274">
        <v>50</v>
      </c>
      <c r="G53" s="261"/>
      <c r="H53" s="261"/>
      <c r="I53" s="261"/>
      <c r="J53" s="274"/>
      <c r="K53" s="261"/>
      <c r="L53" s="274"/>
      <c r="M53" s="261"/>
      <c r="N53" s="1208"/>
      <c r="O53" s="261"/>
      <c r="P53" s="1208"/>
      <c r="Q53" s="261"/>
      <c r="R53" s="2135"/>
      <c r="S53" s="261"/>
      <c r="T53" s="274"/>
      <c r="U53" s="261"/>
      <c r="V53" s="274"/>
      <c r="W53" s="261"/>
      <c r="X53" s="274"/>
      <c r="Y53" s="261"/>
      <c r="Z53" s="274"/>
      <c r="AA53" s="274"/>
      <c r="AB53" s="1208">
        <v>0</v>
      </c>
      <c r="AC53" s="261"/>
      <c r="AD53" s="250"/>
      <c r="AE53" s="261">
        <f t="shared" si="5"/>
        <v>83.5</v>
      </c>
      <c r="AF53" s="261"/>
      <c r="AG53" s="252"/>
      <c r="AH53" s="261">
        <v>81.2</v>
      </c>
      <c r="AI53" s="516"/>
      <c r="AJ53" s="249"/>
      <c r="AK53" s="1177">
        <f t="shared" si="4"/>
        <v>2.2999999999999998</v>
      </c>
      <c r="AL53" s="1177"/>
      <c r="AM53" s="2834">
        <f t="shared" si="6"/>
        <v>2.8000000000000001E-2</v>
      </c>
      <c r="AN53" s="1607"/>
    </row>
    <row r="54" spans="1:40" ht="15" customHeight="1">
      <c r="A54" s="353"/>
      <c r="B54" s="1837" t="s">
        <v>1351</v>
      </c>
      <c r="C54" s="223"/>
      <c r="D54" s="274">
        <v>15.4</v>
      </c>
      <c r="E54" s="261"/>
      <c r="F54" s="274">
        <v>24.1</v>
      </c>
      <c r="G54" s="261"/>
      <c r="H54" s="261"/>
      <c r="I54" s="261"/>
      <c r="J54" s="274"/>
      <c r="K54" s="261"/>
      <c r="L54" s="274"/>
      <c r="M54" s="261"/>
      <c r="N54" s="1208"/>
      <c r="O54" s="261"/>
      <c r="P54" s="1208"/>
      <c r="Q54" s="261"/>
      <c r="R54" s="2135"/>
      <c r="S54" s="261"/>
      <c r="T54" s="274"/>
      <c r="U54" s="261"/>
      <c r="V54" s="274"/>
      <c r="W54" s="261"/>
      <c r="X54" s="274"/>
      <c r="Y54" s="261"/>
      <c r="Z54" s="274"/>
      <c r="AA54" s="274"/>
      <c r="AB54" s="1208">
        <v>0</v>
      </c>
      <c r="AC54" s="261"/>
      <c r="AD54" s="250"/>
      <c r="AE54" s="261">
        <f t="shared" si="5"/>
        <v>39.5</v>
      </c>
      <c r="AF54" s="261"/>
      <c r="AG54" s="252"/>
      <c r="AH54" s="261">
        <v>30.8</v>
      </c>
      <c r="AI54" s="516"/>
      <c r="AJ54" s="249"/>
      <c r="AK54" s="1177">
        <f t="shared" si="4"/>
        <v>8.6999999999999993</v>
      </c>
      <c r="AL54" s="1177"/>
      <c r="AM54" s="2834">
        <f t="shared" si="6"/>
        <v>0.28199999999999997</v>
      </c>
      <c r="AN54" s="1607"/>
    </row>
    <row r="55" spans="1:40" ht="15" customHeight="1">
      <c r="A55" s="353"/>
      <c r="B55" s="1837" t="s">
        <v>1309</v>
      </c>
      <c r="C55" s="223"/>
      <c r="D55" s="274">
        <v>9.1</v>
      </c>
      <c r="E55" s="261"/>
      <c r="F55" s="274">
        <v>320.8</v>
      </c>
      <c r="G55" s="261"/>
      <c r="H55" s="261"/>
      <c r="I55" s="261"/>
      <c r="J55" s="274"/>
      <c r="K55" s="261"/>
      <c r="L55" s="274"/>
      <c r="M55" s="261"/>
      <c r="N55" s="1208"/>
      <c r="O55" s="261"/>
      <c r="P55" s="1208"/>
      <c r="Q55" s="261"/>
      <c r="R55" s="2135"/>
      <c r="S55" s="261"/>
      <c r="T55" s="274"/>
      <c r="U55" s="261"/>
      <c r="V55" s="274"/>
      <c r="W55" s="261"/>
      <c r="X55" s="274"/>
      <c r="Y55" s="261"/>
      <c r="Z55" s="274"/>
      <c r="AA55" s="274"/>
      <c r="AB55" s="1208">
        <v>0</v>
      </c>
      <c r="AC55" s="261"/>
      <c r="AD55" s="250"/>
      <c r="AE55" s="261">
        <f t="shared" si="5"/>
        <v>329.9</v>
      </c>
      <c r="AF55" s="261"/>
      <c r="AG55" s="252"/>
      <c r="AH55" s="261">
        <v>-49.3</v>
      </c>
      <c r="AI55" s="516"/>
      <c r="AJ55" s="249"/>
      <c r="AK55" s="1177">
        <f t="shared" si="4"/>
        <v>379.2</v>
      </c>
      <c r="AL55" s="1177"/>
      <c r="AM55" s="2834">
        <f>ROUND(IF(AH55=0,0,-AK55/(AH55)),3)</f>
        <v>7.6920000000000002</v>
      </c>
      <c r="AN55" s="1607"/>
    </row>
    <row r="56" spans="1:40" ht="15" customHeight="1">
      <c r="A56" s="353"/>
      <c r="B56" s="1837" t="s">
        <v>1439</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6"/>
      <c r="AJ56" s="249"/>
      <c r="AK56" s="1177"/>
      <c r="AL56" s="1177"/>
      <c r="AM56" s="2834"/>
      <c r="AN56" s="1607"/>
    </row>
    <row r="57" spans="1:40" ht="15" customHeight="1">
      <c r="A57" s="353"/>
      <c r="B57" s="1837" t="s">
        <v>1352</v>
      </c>
      <c r="C57" s="223"/>
      <c r="D57" s="274">
        <v>43.5</v>
      </c>
      <c r="E57" s="261"/>
      <c r="F57" s="274">
        <v>0.6</v>
      </c>
      <c r="G57" s="261"/>
      <c r="H57" s="261"/>
      <c r="I57" s="261"/>
      <c r="J57" s="274"/>
      <c r="K57" s="261"/>
      <c r="L57" s="274"/>
      <c r="M57" s="261"/>
      <c r="N57" s="1208"/>
      <c r="O57" s="261"/>
      <c r="P57" s="1208"/>
      <c r="Q57" s="261"/>
      <c r="R57" s="2135"/>
      <c r="S57" s="261"/>
      <c r="T57" s="274"/>
      <c r="U57" s="261"/>
      <c r="V57" s="274"/>
      <c r="W57" s="261"/>
      <c r="X57" s="274"/>
      <c r="Y57" s="261"/>
      <c r="Z57" s="274"/>
      <c r="AA57" s="274"/>
      <c r="AB57" s="1208">
        <v>0</v>
      </c>
      <c r="AC57" s="261"/>
      <c r="AD57" s="250"/>
      <c r="AE57" s="261">
        <f>ROUND(SUM(D57:AB57),1)</f>
        <v>44.1</v>
      </c>
      <c r="AF57" s="261"/>
      <c r="AG57" s="252"/>
      <c r="AH57" s="261">
        <v>5.7</v>
      </c>
      <c r="AI57" s="516"/>
      <c r="AJ57" s="249"/>
      <c r="AK57" s="1177">
        <f t="shared" si="4"/>
        <v>38.4</v>
      </c>
      <c r="AL57" s="1177"/>
      <c r="AM57" s="2834">
        <f>ROUND(IF(AH57=0,0,AK57/(AH57)),3)</f>
        <v>6.7370000000000001</v>
      </c>
      <c r="AN57" s="1607"/>
    </row>
    <row r="58" spans="1:40" ht="15" customHeight="1">
      <c r="A58" s="353"/>
      <c r="B58" s="1837" t="s">
        <v>1353</v>
      </c>
      <c r="C58" s="223"/>
      <c r="D58" s="274">
        <v>226.4</v>
      </c>
      <c r="E58" s="261"/>
      <c r="F58" s="274">
        <v>191.2</v>
      </c>
      <c r="G58" s="261"/>
      <c r="H58" s="261"/>
      <c r="I58" s="261"/>
      <c r="J58" s="274"/>
      <c r="K58" s="261"/>
      <c r="L58" s="274"/>
      <c r="M58" s="261"/>
      <c r="N58" s="1208"/>
      <c r="O58" s="261"/>
      <c r="P58" s="1208"/>
      <c r="Q58" s="261"/>
      <c r="R58" s="2135"/>
      <c r="S58" s="261"/>
      <c r="T58" s="274"/>
      <c r="U58" s="261"/>
      <c r="V58" s="274"/>
      <c r="W58" s="261"/>
      <c r="X58" s="274"/>
      <c r="Y58" s="261"/>
      <c r="Z58" s="274"/>
      <c r="AA58" s="274"/>
      <c r="AB58" s="1208">
        <v>0</v>
      </c>
      <c r="AC58" s="261"/>
      <c r="AD58" s="250"/>
      <c r="AE58" s="261">
        <f>ROUND(SUM(D58:AB58),1)</f>
        <v>417.6</v>
      </c>
      <c r="AF58" s="261"/>
      <c r="AG58" s="252"/>
      <c r="AH58" s="261">
        <v>402.5</v>
      </c>
      <c r="AI58" s="516"/>
      <c r="AJ58" s="249"/>
      <c r="AK58" s="1177">
        <f t="shared" si="4"/>
        <v>15.1</v>
      </c>
      <c r="AL58" s="1177"/>
      <c r="AM58" s="2834">
        <f>ROUND(IF(AH58=0,0,AK58/(AH58)),3)</f>
        <v>3.7999999999999999E-2</v>
      </c>
      <c r="AN58" s="1607"/>
    </row>
    <row r="59" spans="1:40" ht="15" customHeight="1">
      <c r="A59" s="353"/>
      <c r="B59" s="1837" t="s">
        <v>1354</v>
      </c>
      <c r="C59" s="223"/>
      <c r="D59" s="274">
        <v>94.5</v>
      </c>
      <c r="E59" s="261"/>
      <c r="F59" s="274">
        <v>73.400000000000006</v>
      </c>
      <c r="G59" s="261"/>
      <c r="H59" s="261"/>
      <c r="I59" s="261"/>
      <c r="J59" s="274"/>
      <c r="K59" s="261"/>
      <c r="L59" s="274"/>
      <c r="M59" s="261"/>
      <c r="N59" s="1208"/>
      <c r="O59" s="261"/>
      <c r="P59" s="1208"/>
      <c r="Q59" s="261"/>
      <c r="R59" s="2135"/>
      <c r="S59" s="261"/>
      <c r="T59" s="274"/>
      <c r="U59" s="261"/>
      <c r="V59" s="274"/>
      <c r="W59" s="261"/>
      <c r="X59" s="274"/>
      <c r="Y59" s="261"/>
      <c r="Z59" s="274"/>
      <c r="AA59" s="274"/>
      <c r="AB59" s="1208">
        <v>0</v>
      </c>
      <c r="AC59" s="261"/>
      <c r="AD59" s="250"/>
      <c r="AE59" s="261">
        <f>ROUND(SUM(D59:AB59),1)</f>
        <v>167.9</v>
      </c>
      <c r="AF59" s="261"/>
      <c r="AG59" s="252"/>
      <c r="AH59" s="261">
        <v>163.19999999999999</v>
      </c>
      <c r="AI59" s="516"/>
      <c r="AJ59" s="249"/>
      <c r="AK59" s="1177">
        <f t="shared" si="4"/>
        <v>4.7</v>
      </c>
      <c r="AL59" s="1177"/>
      <c r="AM59" s="2834">
        <f>ROUND(IF(AH59=0,0,AK59/(AH59)),3)</f>
        <v>2.9000000000000001E-2</v>
      </c>
      <c r="AN59" s="1607"/>
    </row>
    <row r="60" spans="1:40" ht="15" customHeight="1">
      <c r="A60" s="353"/>
      <c r="B60" s="1837" t="s">
        <v>1310</v>
      </c>
      <c r="C60" s="223"/>
      <c r="D60" s="274">
        <v>2.4</v>
      </c>
      <c r="E60" s="261"/>
      <c r="F60" s="274">
        <v>3.8</v>
      </c>
      <c r="G60" s="261"/>
      <c r="H60" s="261"/>
      <c r="I60" s="261"/>
      <c r="J60" s="274"/>
      <c r="K60" s="261"/>
      <c r="L60" s="274"/>
      <c r="M60" s="261"/>
      <c r="N60" s="1208"/>
      <c r="O60" s="261"/>
      <c r="P60" s="1208"/>
      <c r="Q60" s="261"/>
      <c r="R60" s="2135"/>
      <c r="S60" s="261"/>
      <c r="T60" s="274"/>
      <c r="U60" s="261"/>
      <c r="V60" s="274"/>
      <c r="W60" s="261"/>
      <c r="X60" s="274"/>
      <c r="Y60" s="261"/>
      <c r="Z60" s="274"/>
      <c r="AA60" s="274"/>
      <c r="AB60" s="1208">
        <v>0</v>
      </c>
      <c r="AC60" s="261"/>
      <c r="AD60" s="250"/>
      <c r="AE60" s="319">
        <f>ROUND(SUM(D60:AB60),1)</f>
        <v>6.2</v>
      </c>
      <c r="AF60" s="261"/>
      <c r="AG60" s="252"/>
      <c r="AH60" s="261">
        <v>4.8</v>
      </c>
      <c r="AI60" s="516"/>
      <c r="AJ60" s="249"/>
      <c r="AK60" s="1177">
        <f t="shared" si="4"/>
        <v>1.4</v>
      </c>
      <c r="AL60" s="1177"/>
      <c r="AM60" s="2834">
        <f>ROUND(IF(AH60=0,0,AK60/(AH60)),3)</f>
        <v>0.29199999999999998</v>
      </c>
      <c r="AN60" s="1607"/>
    </row>
    <row r="61" spans="1:40" ht="15" customHeight="1">
      <c r="A61" s="353"/>
      <c r="B61" s="1837" t="s">
        <v>1440</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6"/>
      <c r="AJ61" s="249"/>
      <c r="AK61" s="1177"/>
      <c r="AL61" s="1177"/>
      <c r="AM61" s="2834"/>
      <c r="AN61" s="1607"/>
    </row>
    <row r="62" spans="1:40" ht="15" customHeight="1">
      <c r="A62" s="353"/>
      <c r="B62" s="1837" t="s">
        <v>1355</v>
      </c>
      <c r="C62" s="223"/>
      <c r="D62" s="274">
        <v>0</v>
      </c>
      <c r="E62" s="261"/>
      <c r="F62" s="274">
        <v>0</v>
      </c>
      <c r="G62" s="261"/>
      <c r="H62" s="261"/>
      <c r="I62" s="261"/>
      <c r="J62" s="274"/>
      <c r="K62" s="261"/>
      <c r="L62" s="274"/>
      <c r="M62" s="261"/>
      <c r="N62" s="1208"/>
      <c r="O62" s="261"/>
      <c r="P62" s="1208"/>
      <c r="Q62" s="261"/>
      <c r="R62" s="2135"/>
      <c r="S62" s="261"/>
      <c r="T62" s="274"/>
      <c r="U62" s="261"/>
      <c r="V62" s="274"/>
      <c r="W62" s="261"/>
      <c r="X62" s="274"/>
      <c r="Y62" s="261"/>
      <c r="Z62" s="274"/>
      <c r="AA62" s="274"/>
      <c r="AB62" s="1208">
        <v>0</v>
      </c>
      <c r="AC62" s="261"/>
      <c r="AD62" s="250"/>
      <c r="AE62" s="261">
        <f t="shared" ref="AE62:AE67" si="7">ROUND(SUM(D62:AB62),1)</f>
        <v>0</v>
      </c>
      <c r="AF62" s="261"/>
      <c r="AG62" s="252"/>
      <c r="AH62" s="261">
        <v>0</v>
      </c>
      <c r="AI62" s="516"/>
      <c r="AJ62" s="249"/>
      <c r="AK62" s="1177">
        <f t="shared" si="4"/>
        <v>0</v>
      </c>
      <c r="AL62" s="1177"/>
      <c r="AM62" s="2834">
        <f t="shared" ref="AM62:AM78" si="8">ROUND(IF(AH62=0,0,AK62/(AH62)),3)</f>
        <v>0</v>
      </c>
      <c r="AN62" s="1607"/>
    </row>
    <row r="63" spans="1:40" ht="15" customHeight="1">
      <c r="A63" s="353"/>
      <c r="B63" s="1837" t="s">
        <v>1356</v>
      </c>
      <c r="C63" s="223"/>
      <c r="D63" s="274">
        <v>0</v>
      </c>
      <c r="E63" s="261"/>
      <c r="F63" s="274">
        <v>0</v>
      </c>
      <c r="G63" s="261"/>
      <c r="H63" s="261"/>
      <c r="I63" s="261"/>
      <c r="J63" s="274"/>
      <c r="K63" s="261"/>
      <c r="L63" s="274"/>
      <c r="M63" s="261"/>
      <c r="N63" s="1208"/>
      <c r="O63" s="261"/>
      <c r="P63" s="1208"/>
      <c r="Q63" s="261"/>
      <c r="R63" s="2135"/>
      <c r="S63" s="261"/>
      <c r="T63" s="274"/>
      <c r="U63" s="261"/>
      <c r="V63" s="274"/>
      <c r="W63" s="261"/>
      <c r="X63" s="274"/>
      <c r="Y63" s="261"/>
      <c r="Z63" s="274"/>
      <c r="AA63" s="274"/>
      <c r="AB63" s="1208">
        <v>0</v>
      </c>
      <c r="AC63" s="261"/>
      <c r="AD63" s="250"/>
      <c r="AE63" s="261">
        <f t="shared" si="7"/>
        <v>0</v>
      </c>
      <c r="AF63" s="261"/>
      <c r="AG63" s="252"/>
      <c r="AH63" s="261">
        <v>20.399999999999999</v>
      </c>
      <c r="AI63" s="516"/>
      <c r="AJ63" s="249"/>
      <c r="AK63" s="1177">
        <f t="shared" si="4"/>
        <v>-20.399999999999999</v>
      </c>
      <c r="AL63" s="1177"/>
      <c r="AM63" s="2834">
        <f t="shared" si="8"/>
        <v>-1</v>
      </c>
      <c r="AN63" s="1607"/>
    </row>
    <row r="64" spans="1:40" ht="15" customHeight="1">
      <c r="A64" s="353"/>
      <c r="B64" s="1837" t="s">
        <v>1357</v>
      </c>
      <c r="C64" s="223"/>
      <c r="D64" s="274">
        <v>0.2</v>
      </c>
      <c r="E64" s="261"/>
      <c r="F64" s="274">
        <v>5.7</v>
      </c>
      <c r="G64" s="261"/>
      <c r="H64" s="261"/>
      <c r="I64" s="261"/>
      <c r="J64" s="274"/>
      <c r="K64" s="261"/>
      <c r="L64" s="274"/>
      <c r="M64" s="261"/>
      <c r="N64" s="1208"/>
      <c r="O64" s="261"/>
      <c r="P64" s="1208"/>
      <c r="Q64" s="261"/>
      <c r="R64" s="2135"/>
      <c r="S64" s="261"/>
      <c r="T64" s="274"/>
      <c r="U64" s="261"/>
      <c r="V64" s="274"/>
      <c r="W64" s="261"/>
      <c r="X64" s="274"/>
      <c r="Y64" s="261"/>
      <c r="Z64" s="274"/>
      <c r="AA64" s="274"/>
      <c r="AB64" s="1208">
        <v>0</v>
      </c>
      <c r="AC64" s="261"/>
      <c r="AD64" s="250"/>
      <c r="AE64" s="261">
        <f t="shared" si="7"/>
        <v>5.9</v>
      </c>
      <c r="AF64" s="261"/>
      <c r="AG64" s="252"/>
      <c r="AH64" s="261">
        <v>4.9000000000000004</v>
      </c>
      <c r="AI64" s="516"/>
      <c r="AJ64" s="249"/>
      <c r="AK64" s="1177">
        <f t="shared" si="4"/>
        <v>1</v>
      </c>
      <c r="AL64" s="1177"/>
      <c r="AM64" s="2834">
        <f t="shared" si="8"/>
        <v>0.20399999999999999</v>
      </c>
      <c r="AN64" s="1607"/>
    </row>
    <row r="65" spans="1:40" ht="15" customHeight="1">
      <c r="A65" s="353"/>
      <c r="B65" s="1837" t="s">
        <v>1358</v>
      </c>
      <c r="C65" s="223"/>
      <c r="D65" s="274">
        <v>0.2</v>
      </c>
      <c r="E65" s="261"/>
      <c r="F65" s="274">
        <v>0.7</v>
      </c>
      <c r="G65" s="261"/>
      <c r="H65" s="261"/>
      <c r="I65" s="261"/>
      <c r="J65" s="274"/>
      <c r="K65" s="261"/>
      <c r="L65" s="274"/>
      <c r="M65" s="261"/>
      <c r="N65" s="1208"/>
      <c r="O65" s="261"/>
      <c r="P65" s="1208"/>
      <c r="Q65" s="261"/>
      <c r="R65" s="2135"/>
      <c r="S65" s="261"/>
      <c r="T65" s="274"/>
      <c r="U65" s="261"/>
      <c r="V65" s="274"/>
      <c r="W65" s="261"/>
      <c r="X65" s="274"/>
      <c r="Y65" s="261"/>
      <c r="Z65" s="274"/>
      <c r="AA65" s="274"/>
      <c r="AB65" s="1208">
        <v>0</v>
      </c>
      <c r="AC65" s="261"/>
      <c r="AD65" s="250"/>
      <c r="AE65" s="261">
        <f t="shared" si="7"/>
        <v>0.9</v>
      </c>
      <c r="AF65" s="261"/>
      <c r="AG65" s="252"/>
      <c r="AH65" s="261">
        <v>2</v>
      </c>
      <c r="AI65" s="516"/>
      <c r="AJ65" s="249"/>
      <c r="AK65" s="1177">
        <f t="shared" si="4"/>
        <v>-1.1000000000000001</v>
      </c>
      <c r="AL65" s="1177"/>
      <c r="AM65" s="2834">
        <f t="shared" si="8"/>
        <v>-0.55000000000000004</v>
      </c>
      <c r="AN65" s="1607"/>
    </row>
    <row r="66" spans="1:40" ht="15" customHeight="1">
      <c r="A66" s="353"/>
      <c r="B66" s="1837" t="s">
        <v>1328</v>
      </c>
      <c r="C66" s="223"/>
      <c r="D66" s="274">
        <v>39.700000000000003</v>
      </c>
      <c r="E66" s="261"/>
      <c r="F66" s="274">
        <v>7.9</v>
      </c>
      <c r="G66" s="261"/>
      <c r="H66" s="261"/>
      <c r="I66" s="261"/>
      <c r="J66" s="274"/>
      <c r="K66" s="261"/>
      <c r="L66" s="274"/>
      <c r="M66" s="261"/>
      <c r="N66" s="1208"/>
      <c r="O66" s="261"/>
      <c r="P66" s="1208"/>
      <c r="Q66" s="261"/>
      <c r="R66" s="2135"/>
      <c r="S66" s="261"/>
      <c r="T66" s="274"/>
      <c r="U66" s="261"/>
      <c r="V66" s="274"/>
      <c r="W66" s="261"/>
      <c r="X66" s="274"/>
      <c r="Y66" s="261"/>
      <c r="Z66" s="274"/>
      <c r="AA66" s="274"/>
      <c r="AB66" s="1208">
        <v>0</v>
      </c>
      <c r="AC66" s="261"/>
      <c r="AD66" s="250"/>
      <c r="AE66" s="319">
        <f>ROUND(SUM(D66:AB66),1)</f>
        <v>47.6</v>
      </c>
      <c r="AF66" s="261"/>
      <c r="AG66" s="252"/>
      <c r="AH66" s="261">
        <v>37.9</v>
      </c>
      <c r="AI66" s="516"/>
      <c r="AJ66" s="249"/>
      <c r="AK66" s="1177">
        <f t="shared" si="4"/>
        <v>9.6999999999999993</v>
      </c>
      <c r="AL66" s="1177"/>
      <c r="AM66" s="2834">
        <f t="shared" si="8"/>
        <v>0.25600000000000001</v>
      </c>
      <c r="AN66" s="1607"/>
    </row>
    <row r="67" spans="1:40" ht="15" customHeight="1">
      <c r="A67" s="353"/>
      <c r="B67" s="1837" t="s">
        <v>1329</v>
      </c>
      <c r="C67" s="223"/>
      <c r="D67" s="274">
        <v>33.799999999999997</v>
      </c>
      <c r="E67" s="261"/>
      <c r="F67" s="274">
        <v>20.9</v>
      </c>
      <c r="G67" s="261"/>
      <c r="H67" s="261"/>
      <c r="I67" s="261"/>
      <c r="J67" s="274"/>
      <c r="K67" s="261"/>
      <c r="L67" s="274"/>
      <c r="M67" s="261"/>
      <c r="N67" s="1208"/>
      <c r="O67" s="261"/>
      <c r="P67" s="1208"/>
      <c r="Q67" s="261"/>
      <c r="R67" s="2135"/>
      <c r="S67" s="261"/>
      <c r="T67" s="274"/>
      <c r="U67" s="261"/>
      <c r="V67" s="274"/>
      <c r="W67" s="261"/>
      <c r="X67" s="274"/>
      <c r="Y67" s="261"/>
      <c r="Z67" s="274"/>
      <c r="AA67" s="274"/>
      <c r="AB67" s="1208">
        <v>0</v>
      </c>
      <c r="AC67" s="261"/>
      <c r="AD67" s="250"/>
      <c r="AE67" s="261">
        <f t="shared" si="7"/>
        <v>54.7</v>
      </c>
      <c r="AF67" s="261"/>
      <c r="AG67" s="252"/>
      <c r="AH67" s="261">
        <v>60.8</v>
      </c>
      <c r="AI67" s="516"/>
      <c r="AJ67" s="249"/>
      <c r="AK67" s="1177">
        <f t="shared" si="4"/>
        <v>-6.1</v>
      </c>
      <c r="AL67" s="1177"/>
      <c r="AM67" s="2851">
        <f t="shared" si="8"/>
        <v>-0.1</v>
      </c>
      <c r="AN67" s="1607"/>
    </row>
    <row r="68" spans="1:40" ht="15" customHeight="1">
      <c r="A68" s="353"/>
      <c r="B68" s="1837" t="s">
        <v>1441</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6"/>
      <c r="AJ68" s="249"/>
      <c r="AK68" s="1177"/>
      <c r="AL68" s="1177"/>
      <c r="AM68" s="2834"/>
      <c r="AN68" s="1607"/>
    </row>
    <row r="69" spans="1:40" ht="15" customHeight="1">
      <c r="A69" s="353"/>
      <c r="B69" s="1837" t="s">
        <v>1359</v>
      </c>
      <c r="C69" s="223"/>
      <c r="D69" s="274">
        <v>0.6</v>
      </c>
      <c r="E69" s="261"/>
      <c r="F69" s="274">
        <v>16.100000000000001</v>
      </c>
      <c r="G69" s="261"/>
      <c r="H69" s="261"/>
      <c r="I69" s="261"/>
      <c r="J69" s="274"/>
      <c r="K69" s="261"/>
      <c r="L69" s="274"/>
      <c r="M69" s="261"/>
      <c r="N69" s="1208"/>
      <c r="O69" s="261"/>
      <c r="P69" s="1208"/>
      <c r="Q69" s="261"/>
      <c r="R69" s="2135"/>
      <c r="S69" s="261"/>
      <c r="T69" s="274"/>
      <c r="U69" s="261"/>
      <c r="V69" s="274"/>
      <c r="W69" s="261"/>
      <c r="X69" s="274"/>
      <c r="Y69" s="261"/>
      <c r="Z69" s="274"/>
      <c r="AA69" s="274"/>
      <c r="AB69" s="1208">
        <v>0</v>
      </c>
      <c r="AC69" s="261"/>
      <c r="AD69" s="250"/>
      <c r="AE69" s="261">
        <f t="shared" ref="AE69:AE79" si="9">ROUND(SUM(D69:AB69),1)</f>
        <v>16.7</v>
      </c>
      <c r="AF69" s="261"/>
      <c r="AG69" s="252"/>
      <c r="AH69" s="261">
        <v>9</v>
      </c>
      <c r="AI69" s="516"/>
      <c r="AJ69" s="249"/>
      <c r="AK69" s="1177">
        <f t="shared" si="4"/>
        <v>7.7</v>
      </c>
      <c r="AL69" s="1177"/>
      <c r="AM69" s="2834">
        <f t="shared" si="8"/>
        <v>0.85599999999999998</v>
      </c>
      <c r="AN69" s="1607"/>
    </row>
    <row r="70" spans="1:40" ht="15" customHeight="1">
      <c r="A70" s="353"/>
      <c r="B70" s="1837" t="s">
        <v>1360</v>
      </c>
      <c r="C70" s="223"/>
      <c r="D70" s="274">
        <v>0.1</v>
      </c>
      <c r="E70" s="261"/>
      <c r="F70" s="274">
        <v>0.1</v>
      </c>
      <c r="G70" s="261"/>
      <c r="H70" s="261"/>
      <c r="I70" s="261"/>
      <c r="J70" s="274"/>
      <c r="K70" s="261"/>
      <c r="L70" s="274"/>
      <c r="M70" s="261"/>
      <c r="N70" s="1208"/>
      <c r="O70" s="261"/>
      <c r="P70" s="1208"/>
      <c r="Q70" s="261"/>
      <c r="R70" s="2135"/>
      <c r="S70" s="261"/>
      <c r="T70" s="274"/>
      <c r="U70" s="261"/>
      <c r="V70" s="274"/>
      <c r="W70" s="261"/>
      <c r="X70" s="274"/>
      <c r="Y70" s="261"/>
      <c r="Z70" s="274"/>
      <c r="AA70" s="274"/>
      <c r="AB70" s="1208">
        <v>0</v>
      </c>
      <c r="AC70" s="261"/>
      <c r="AD70" s="250"/>
      <c r="AE70" s="261">
        <f t="shared" si="9"/>
        <v>0.2</v>
      </c>
      <c r="AF70" s="261"/>
      <c r="AG70" s="252"/>
      <c r="AH70" s="261">
        <v>4.5</v>
      </c>
      <c r="AI70" s="516"/>
      <c r="AJ70" s="249"/>
      <c r="AK70" s="1177">
        <f t="shared" si="4"/>
        <v>-4.3</v>
      </c>
      <c r="AL70" s="1177"/>
      <c r="AM70" s="2834">
        <f t="shared" si="8"/>
        <v>-0.95599999999999996</v>
      </c>
      <c r="AN70" s="1607"/>
    </row>
    <row r="71" spans="1:40" ht="15" customHeight="1">
      <c r="A71" s="353"/>
      <c r="B71" s="1837" t="s">
        <v>1361</v>
      </c>
      <c r="C71" s="223"/>
      <c r="D71" s="274">
        <v>0.9</v>
      </c>
      <c r="E71" s="261"/>
      <c r="F71" s="274">
        <v>0.7</v>
      </c>
      <c r="G71" s="261"/>
      <c r="H71" s="261"/>
      <c r="I71" s="261"/>
      <c r="J71" s="274"/>
      <c r="K71" s="261"/>
      <c r="L71" s="274"/>
      <c r="M71" s="261"/>
      <c r="N71" s="1208"/>
      <c r="O71" s="261"/>
      <c r="P71" s="1208"/>
      <c r="Q71" s="261"/>
      <c r="R71" s="2135"/>
      <c r="S71" s="261"/>
      <c r="T71" s="274"/>
      <c r="U71" s="261"/>
      <c r="V71" s="274"/>
      <c r="W71" s="261"/>
      <c r="X71" s="274"/>
      <c r="Y71" s="261"/>
      <c r="Z71" s="274"/>
      <c r="AA71" s="274"/>
      <c r="AB71" s="1208">
        <v>0</v>
      </c>
      <c r="AC71" s="261"/>
      <c r="AD71" s="250"/>
      <c r="AE71" s="261">
        <f t="shared" si="9"/>
        <v>1.6</v>
      </c>
      <c r="AF71" s="261"/>
      <c r="AG71" s="252"/>
      <c r="AH71" s="261">
        <v>1.2</v>
      </c>
      <c r="AI71" s="516"/>
      <c r="AJ71" s="249"/>
      <c r="AK71" s="1177">
        <f t="shared" si="4"/>
        <v>0.4</v>
      </c>
      <c r="AL71" s="1177"/>
      <c r="AM71" s="2834">
        <f t="shared" si="8"/>
        <v>0.33300000000000002</v>
      </c>
      <c r="AN71" s="1607"/>
    </row>
    <row r="72" spans="1:40" ht="15" customHeight="1">
      <c r="A72" s="353"/>
      <c r="B72" s="1837" t="s">
        <v>1362</v>
      </c>
      <c r="C72" s="223"/>
      <c r="D72" s="274">
        <v>0</v>
      </c>
      <c r="E72" s="261"/>
      <c r="F72" s="274">
        <v>4</v>
      </c>
      <c r="G72" s="261"/>
      <c r="H72" s="261"/>
      <c r="I72" s="261"/>
      <c r="J72" s="274"/>
      <c r="K72" s="261"/>
      <c r="L72" s="274"/>
      <c r="M72" s="261"/>
      <c r="N72" s="1208"/>
      <c r="O72" s="261"/>
      <c r="P72" s="1208"/>
      <c r="Q72" s="261"/>
      <c r="R72" s="2135"/>
      <c r="S72" s="261"/>
      <c r="T72" s="274"/>
      <c r="U72" s="261"/>
      <c r="V72" s="274"/>
      <c r="W72" s="261"/>
      <c r="X72" s="274"/>
      <c r="Y72" s="261"/>
      <c r="Z72" s="274"/>
      <c r="AA72" s="274"/>
      <c r="AB72" s="1208">
        <v>0</v>
      </c>
      <c r="AC72" s="261"/>
      <c r="AD72" s="250"/>
      <c r="AE72" s="261">
        <f t="shared" si="9"/>
        <v>4</v>
      </c>
      <c r="AF72" s="261"/>
      <c r="AG72" s="252"/>
      <c r="AH72" s="261">
        <v>0</v>
      </c>
      <c r="AI72" s="516"/>
      <c r="AJ72" s="249"/>
      <c r="AK72" s="1177">
        <f t="shared" si="4"/>
        <v>4</v>
      </c>
      <c r="AL72" s="1177"/>
      <c r="AM72" s="2834">
        <f>ROUND(IF(AH72=0,1,AK72/(AH72)),3)</f>
        <v>1</v>
      </c>
      <c r="AN72" s="1607"/>
    </row>
    <row r="73" spans="1:40" ht="15" customHeight="1">
      <c r="A73" s="353"/>
      <c r="B73" s="1837" t="s">
        <v>1363</v>
      </c>
      <c r="C73" s="223"/>
      <c r="D73" s="274">
        <v>-747.8</v>
      </c>
      <c r="E73" s="261"/>
      <c r="F73" s="274">
        <v>228.7</v>
      </c>
      <c r="G73" s="261"/>
      <c r="H73" s="261"/>
      <c r="I73" s="261"/>
      <c r="J73" s="274"/>
      <c r="K73" s="261"/>
      <c r="L73" s="274"/>
      <c r="M73" s="261"/>
      <c r="N73" s="1208"/>
      <c r="O73" s="261"/>
      <c r="P73" s="1208"/>
      <c r="Q73" s="261"/>
      <c r="R73" s="2135"/>
      <c r="S73" s="261"/>
      <c r="T73" s="274"/>
      <c r="U73" s="261"/>
      <c r="V73" s="274"/>
      <c r="W73" s="261"/>
      <c r="X73" s="274"/>
      <c r="Y73" s="261"/>
      <c r="Z73" s="274"/>
      <c r="AA73" s="274"/>
      <c r="AB73" s="1208">
        <v>0</v>
      </c>
      <c r="AC73" s="261"/>
      <c r="AD73" s="250"/>
      <c r="AE73" s="261">
        <f t="shared" si="9"/>
        <v>-519.1</v>
      </c>
      <c r="AF73" s="261"/>
      <c r="AG73" s="252"/>
      <c r="AH73" s="261">
        <v>371</v>
      </c>
      <c r="AI73" s="516"/>
      <c r="AJ73" s="249"/>
      <c r="AK73" s="1177">
        <f t="shared" si="4"/>
        <v>-890.1</v>
      </c>
      <c r="AL73" s="1177"/>
      <c r="AM73" s="2834">
        <f t="shared" si="8"/>
        <v>-2.399</v>
      </c>
      <c r="AN73" s="1607"/>
    </row>
    <row r="74" spans="1:40" ht="15" customHeight="1">
      <c r="A74" s="353"/>
      <c r="B74" s="1837" t="s">
        <v>1364</v>
      </c>
      <c r="C74" s="223"/>
      <c r="D74" s="274">
        <v>3.4</v>
      </c>
      <c r="E74" s="261"/>
      <c r="F74" s="274">
        <v>0</v>
      </c>
      <c r="G74" s="261"/>
      <c r="H74" s="261"/>
      <c r="I74" s="261"/>
      <c r="J74" s="274"/>
      <c r="K74" s="261"/>
      <c r="L74" s="274"/>
      <c r="M74" s="261"/>
      <c r="N74" s="1208"/>
      <c r="O74" s="261"/>
      <c r="P74" s="1208"/>
      <c r="Q74" s="261"/>
      <c r="R74" s="2135"/>
      <c r="S74" s="261"/>
      <c r="T74" s="274"/>
      <c r="U74" s="261"/>
      <c r="V74" s="274"/>
      <c r="W74" s="261"/>
      <c r="X74" s="274"/>
      <c r="Y74" s="261"/>
      <c r="Z74" s="274"/>
      <c r="AA74" s="274"/>
      <c r="AB74" s="1208">
        <v>0</v>
      </c>
      <c r="AC74" s="261"/>
      <c r="AD74" s="250"/>
      <c r="AE74" s="261">
        <f t="shared" si="9"/>
        <v>3.4</v>
      </c>
      <c r="AF74" s="261"/>
      <c r="AG74" s="252"/>
      <c r="AH74" s="261">
        <v>1.1000000000000001</v>
      </c>
      <c r="AI74" s="516"/>
      <c r="AJ74" s="249"/>
      <c r="AK74" s="1177">
        <f t="shared" si="4"/>
        <v>2.2999999999999998</v>
      </c>
      <c r="AL74" s="1177"/>
      <c r="AM74" s="2851">
        <f t="shared" si="8"/>
        <v>2.0910000000000002</v>
      </c>
      <c r="AN74" s="1607"/>
    </row>
    <row r="75" spans="1:40" ht="15" customHeight="1">
      <c r="A75" s="353"/>
      <c r="B75" s="1837" t="s">
        <v>1365</v>
      </c>
      <c r="C75" s="223"/>
      <c r="D75" s="274">
        <v>0.5</v>
      </c>
      <c r="E75" s="261"/>
      <c r="F75" s="274">
        <v>3.5</v>
      </c>
      <c r="G75" s="261"/>
      <c r="H75" s="261"/>
      <c r="I75" s="261"/>
      <c r="J75" s="274"/>
      <c r="K75" s="261"/>
      <c r="L75" s="274"/>
      <c r="M75" s="261"/>
      <c r="N75" s="1208"/>
      <c r="O75" s="261"/>
      <c r="P75" s="1208"/>
      <c r="Q75" s="261"/>
      <c r="R75" s="2135"/>
      <c r="S75" s="261"/>
      <c r="T75" s="274"/>
      <c r="U75" s="261"/>
      <c r="V75" s="274"/>
      <c r="W75" s="261"/>
      <c r="X75" s="274"/>
      <c r="Y75" s="261"/>
      <c r="Z75" s="274"/>
      <c r="AA75" s="274"/>
      <c r="AB75" s="1208">
        <v>0</v>
      </c>
      <c r="AC75" s="261"/>
      <c r="AD75" s="250"/>
      <c r="AE75" s="261">
        <f t="shared" si="9"/>
        <v>4</v>
      </c>
      <c r="AF75" s="261"/>
      <c r="AG75" s="252"/>
      <c r="AH75" s="261">
        <v>18.100000000000001</v>
      </c>
      <c r="AI75" s="516"/>
      <c r="AJ75" s="249"/>
      <c r="AK75" s="1177">
        <f t="shared" si="4"/>
        <v>-14.1</v>
      </c>
      <c r="AL75" s="1177"/>
      <c r="AM75" s="2851">
        <f t="shared" si="8"/>
        <v>-0.77900000000000003</v>
      </c>
      <c r="AN75" s="1607"/>
    </row>
    <row r="76" spans="1:40" ht="15" customHeight="1">
      <c r="A76" s="353"/>
      <c r="B76" s="1837" t="s">
        <v>1366</v>
      </c>
      <c r="C76" s="223"/>
      <c r="D76" s="320">
        <v>8.4</v>
      </c>
      <c r="E76" s="319"/>
      <c r="F76" s="1358">
        <v>7.9</v>
      </c>
      <c r="G76" s="319"/>
      <c r="H76" s="319"/>
      <c r="I76" s="319"/>
      <c r="J76" s="320"/>
      <c r="K76" s="319"/>
      <c r="L76" s="320"/>
      <c r="M76" s="261"/>
      <c r="N76" s="1208"/>
      <c r="O76" s="261"/>
      <c r="P76" s="1208"/>
      <c r="Q76" s="261"/>
      <c r="R76" s="2135"/>
      <c r="S76" s="261"/>
      <c r="T76" s="274"/>
      <c r="U76" s="261"/>
      <c r="V76" s="274"/>
      <c r="W76" s="261"/>
      <c r="X76" s="274"/>
      <c r="Y76" s="261"/>
      <c r="Z76" s="274"/>
      <c r="AA76" s="274"/>
      <c r="AB76" s="1208">
        <v>0</v>
      </c>
      <c r="AC76" s="261"/>
      <c r="AD76" s="250"/>
      <c r="AE76" s="261">
        <f t="shared" si="9"/>
        <v>16.3</v>
      </c>
      <c r="AF76" s="261"/>
      <c r="AG76" s="252"/>
      <c r="AH76" s="261">
        <v>10.7</v>
      </c>
      <c r="AI76" s="516"/>
      <c r="AJ76" s="249"/>
      <c r="AK76" s="1177">
        <f t="shared" si="4"/>
        <v>5.6</v>
      </c>
      <c r="AL76" s="1177"/>
      <c r="AM76" s="2834">
        <f t="shared" si="8"/>
        <v>0.52300000000000002</v>
      </c>
      <c r="AN76" s="1607"/>
    </row>
    <row r="77" spans="1:40" ht="15" customHeight="1">
      <c r="A77" s="353"/>
      <c r="B77" s="1837" t="s">
        <v>1367</v>
      </c>
      <c r="C77" s="223"/>
      <c r="D77" s="320">
        <v>6.4</v>
      </c>
      <c r="E77" s="319"/>
      <c r="F77" s="320">
        <v>-2.4</v>
      </c>
      <c r="G77" s="319"/>
      <c r="H77" s="319"/>
      <c r="I77" s="319"/>
      <c r="J77" s="320"/>
      <c r="K77" s="319"/>
      <c r="L77" s="320"/>
      <c r="M77" s="261"/>
      <c r="N77" s="1208"/>
      <c r="O77" s="261"/>
      <c r="P77" s="1208"/>
      <c r="Q77" s="261"/>
      <c r="R77" s="2135"/>
      <c r="S77" s="261"/>
      <c r="T77" s="274"/>
      <c r="U77" s="261"/>
      <c r="V77" s="274"/>
      <c r="W77" s="261"/>
      <c r="X77" s="1333"/>
      <c r="Y77" s="261"/>
      <c r="Z77" s="274"/>
      <c r="AA77" s="274"/>
      <c r="AB77" s="1208">
        <v>0</v>
      </c>
      <c r="AC77" s="261"/>
      <c r="AD77" s="250"/>
      <c r="AE77" s="261">
        <f t="shared" si="9"/>
        <v>4</v>
      </c>
      <c r="AF77" s="261"/>
      <c r="AG77" s="252"/>
      <c r="AH77" s="261">
        <v>7.5</v>
      </c>
      <c r="AI77" s="516"/>
      <c r="AJ77" s="249"/>
      <c r="AK77" s="1177">
        <f t="shared" si="4"/>
        <v>-3.5</v>
      </c>
      <c r="AL77" s="1177"/>
      <c r="AM77" s="2851">
        <f>ROUND(IF(AH77=0,0,AK77/(AH77)),3)</f>
        <v>-0.46700000000000003</v>
      </c>
      <c r="AN77" s="1607"/>
    </row>
    <row r="78" spans="1:40" ht="15" customHeight="1">
      <c r="A78" s="353"/>
      <c r="B78" s="1837" t="s">
        <v>1339</v>
      </c>
      <c r="C78" s="223"/>
      <c r="D78" s="320">
        <v>0.9</v>
      </c>
      <c r="E78" s="319"/>
      <c r="F78" s="320">
        <v>4.5</v>
      </c>
      <c r="G78" s="319"/>
      <c r="H78" s="319"/>
      <c r="I78" s="319"/>
      <c r="J78" s="320"/>
      <c r="K78" s="319"/>
      <c r="L78" s="320"/>
      <c r="M78" s="261"/>
      <c r="N78" s="1208"/>
      <c r="O78" s="261"/>
      <c r="P78" s="1208"/>
      <c r="Q78" s="261"/>
      <c r="R78" s="2135"/>
      <c r="S78" s="261"/>
      <c r="T78" s="274"/>
      <c r="U78" s="261"/>
      <c r="V78" s="274"/>
      <c r="W78" s="261"/>
      <c r="X78" s="274"/>
      <c r="Y78" s="261"/>
      <c r="Z78" s="274"/>
      <c r="AA78" s="274"/>
      <c r="AB78" s="1208">
        <v>0</v>
      </c>
      <c r="AC78" s="261"/>
      <c r="AD78" s="250"/>
      <c r="AE78" s="261">
        <f t="shared" si="9"/>
        <v>5.4</v>
      </c>
      <c r="AF78" s="261"/>
      <c r="AG78" s="252"/>
      <c r="AH78" s="261">
        <v>2</v>
      </c>
      <c r="AI78" s="516"/>
      <c r="AJ78" s="249"/>
      <c r="AK78" s="1177">
        <f t="shared" si="4"/>
        <v>3.4</v>
      </c>
      <c r="AL78" s="1177"/>
      <c r="AM78" s="2834">
        <f t="shared" si="8"/>
        <v>1.7</v>
      </c>
      <c r="AN78" s="1607"/>
    </row>
    <row r="79" spans="1:40" ht="15" customHeight="1">
      <c r="A79" s="353"/>
      <c r="B79" s="1837" t="s">
        <v>1340</v>
      </c>
      <c r="C79" s="223"/>
      <c r="D79" s="320">
        <v>125.2</v>
      </c>
      <c r="E79" s="319"/>
      <c r="F79" s="320">
        <v>76.099999999999994</v>
      </c>
      <c r="G79" s="319"/>
      <c r="H79" s="319"/>
      <c r="I79" s="319"/>
      <c r="J79" s="320"/>
      <c r="K79" s="319"/>
      <c r="L79" s="320"/>
      <c r="M79" s="261"/>
      <c r="N79" s="1208"/>
      <c r="O79" s="261"/>
      <c r="P79" s="1208"/>
      <c r="Q79" s="261"/>
      <c r="R79" s="2135"/>
      <c r="S79" s="261"/>
      <c r="T79" s="274"/>
      <c r="U79" s="261"/>
      <c r="V79" s="274"/>
      <c r="W79" s="261"/>
      <c r="X79" s="274"/>
      <c r="Y79" s="261"/>
      <c r="Z79" s="274"/>
      <c r="AA79" s="274"/>
      <c r="AB79" s="1208">
        <v>0</v>
      </c>
      <c r="AC79" s="261"/>
      <c r="AD79" s="250"/>
      <c r="AE79" s="261">
        <f t="shared" si="9"/>
        <v>201.3</v>
      </c>
      <c r="AF79" s="261"/>
      <c r="AG79" s="252"/>
      <c r="AH79" s="261">
        <v>144.80000000000001</v>
      </c>
      <c r="AI79" s="516"/>
      <c r="AJ79" s="249"/>
      <c r="AK79" s="1177">
        <f t="shared" si="4"/>
        <v>56.5</v>
      </c>
      <c r="AL79" s="1177"/>
      <c r="AM79" s="2834">
        <f>ROUND(IF(AH79=0,0,AK79/(AH79)),3)</f>
        <v>0.39</v>
      </c>
      <c r="AN79" s="1607"/>
    </row>
    <row r="80" spans="1:40" ht="15" customHeight="1">
      <c r="A80" s="353"/>
      <c r="B80" s="590" t="s">
        <v>1497</v>
      </c>
      <c r="C80" s="223"/>
      <c r="D80" s="1289">
        <f>ROUND(SUM(D43:D79),1)</f>
        <v>438.7</v>
      </c>
      <c r="E80" s="319"/>
      <c r="F80" s="1289">
        <f>ROUND(SUM(F43:F79),1)</f>
        <v>1552.6</v>
      </c>
      <c r="G80" s="319"/>
      <c r="H80" s="1289">
        <f>ROUND(SUM(H43:H79),1)</f>
        <v>0</v>
      </c>
      <c r="I80" s="319"/>
      <c r="J80" s="1289">
        <f>ROUND(SUM(J43:J79),1)</f>
        <v>0</v>
      </c>
      <c r="K80" s="319"/>
      <c r="L80" s="1289">
        <f>ROUND(SUM(L43:L79),1)</f>
        <v>0</v>
      </c>
      <c r="M80" s="261"/>
      <c r="N80" s="1289">
        <f>ROUND(SUM(N43:N79),1)</f>
        <v>0</v>
      </c>
      <c r="O80" s="261"/>
      <c r="P80" s="1289">
        <f>ROUND(SUM(P43:P79),1)</f>
        <v>0</v>
      </c>
      <c r="Q80" s="261"/>
      <c r="R80" s="1289">
        <f>ROUND(SUM(R43:R79),1)</f>
        <v>0</v>
      </c>
      <c r="S80" s="261"/>
      <c r="T80" s="1289">
        <f>ROUND(SUM(T43:T79),1)</f>
        <v>0</v>
      </c>
      <c r="U80" s="261"/>
      <c r="V80" s="1289">
        <f>ROUND(SUM(V43:V79),1)</f>
        <v>0</v>
      </c>
      <c r="W80" s="261"/>
      <c r="X80" s="1289">
        <f>ROUND(SUM(X43:X79),1)</f>
        <v>0</v>
      </c>
      <c r="Y80" s="261"/>
      <c r="Z80" s="1289">
        <f>ROUND(SUM(Z43:Z79),1)</f>
        <v>0</v>
      </c>
      <c r="AA80" s="316"/>
      <c r="AB80" s="1289">
        <f>ROUND(SUM(AB43:AB79),1)</f>
        <v>0</v>
      </c>
      <c r="AC80" s="261"/>
      <c r="AD80" s="250"/>
      <c r="AE80" s="1289">
        <f>ROUND(SUM(AE43:AE79),1)</f>
        <v>1991.3</v>
      </c>
      <c r="AF80" s="261"/>
      <c r="AG80" s="252"/>
      <c r="AH80" s="1289">
        <f>ROUND(SUM(AH43:AH79),1)</f>
        <v>2372.4</v>
      </c>
      <c r="AI80" s="516"/>
      <c r="AJ80" s="249"/>
      <c r="AK80" s="1289">
        <f>ROUND(SUM(AK43:AK79),1)</f>
        <v>-381.1</v>
      </c>
      <c r="AL80" s="1177"/>
      <c r="AM80" s="2850">
        <f>ROUND(SUM(+AK80/AH80),3)</f>
        <v>-0.161</v>
      </c>
      <c r="AN80" s="1607"/>
    </row>
    <row r="81" spans="1:40" ht="15" customHeight="1">
      <c r="A81" s="353"/>
      <c r="B81" s="590"/>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6"/>
      <c r="AJ81" s="249"/>
      <c r="AK81" s="316"/>
      <c r="AL81" s="1177"/>
      <c r="AM81" s="2852"/>
      <c r="AN81" s="1607"/>
    </row>
    <row r="82" spans="1:40" ht="15" customHeight="1">
      <c r="A82" s="353"/>
      <c r="B82" s="521" t="s">
        <v>155</v>
      </c>
      <c r="C82" s="223"/>
      <c r="D82" s="689">
        <v>0</v>
      </c>
      <c r="E82" s="319"/>
      <c r="F82" s="689">
        <v>0</v>
      </c>
      <c r="G82" s="319"/>
      <c r="H82" s="689"/>
      <c r="I82" s="319"/>
      <c r="J82" s="1283"/>
      <c r="K82" s="319"/>
      <c r="L82" s="1283"/>
      <c r="M82" s="261"/>
      <c r="N82" s="373"/>
      <c r="O82" s="261"/>
      <c r="P82" s="1208"/>
      <c r="Q82" s="261"/>
      <c r="R82" s="2135"/>
      <c r="S82" s="261"/>
      <c r="T82" s="274"/>
      <c r="U82" s="261"/>
      <c r="V82" s="274"/>
      <c r="W82" s="261"/>
      <c r="X82" s="274"/>
      <c r="Y82" s="261"/>
      <c r="Z82" s="373"/>
      <c r="AA82" s="373"/>
      <c r="AB82" s="1208">
        <v>0</v>
      </c>
      <c r="AC82" s="261"/>
      <c r="AD82" s="250"/>
      <c r="AE82" s="261">
        <f>ROUND(SUM(D82:AB82),1)</f>
        <v>0</v>
      </c>
      <c r="AF82" s="249"/>
      <c r="AG82" s="252"/>
      <c r="AH82" s="518">
        <v>0</v>
      </c>
      <c r="AI82" s="516"/>
      <c r="AJ82" s="249"/>
      <c r="AK82" s="1921">
        <f>ROUND(SUM(+AE82-AH82),1)</f>
        <v>0</v>
      </c>
      <c r="AL82" s="1177"/>
      <c r="AM82" s="2843">
        <f>ROUND(IF(AH82=0,0,AK82/(AH82)),3)</f>
        <v>0</v>
      </c>
      <c r="AN82" s="1607"/>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6"/>
      <c r="AJ83" s="249"/>
      <c r="AK83" s="2767"/>
      <c r="AL83" s="1895"/>
      <c r="AM83" s="2853"/>
      <c r="AN83" s="1607"/>
    </row>
    <row r="84" spans="1:40" ht="15" customHeight="1">
      <c r="A84" s="353"/>
      <c r="B84" s="221" t="s">
        <v>156</v>
      </c>
      <c r="C84" s="223"/>
      <c r="D84" s="1899">
        <f>ROUND(SUM(D39+D80+D82),1)</f>
        <v>838.3</v>
      </c>
      <c r="E84" s="1899"/>
      <c r="F84" s="1899">
        <f>ROUND(SUM(F39+F80+F82),1)</f>
        <v>1830.4</v>
      </c>
      <c r="G84" s="1899"/>
      <c r="H84" s="1899">
        <f>ROUND(SUM(H39+H80+H82),1)</f>
        <v>0</v>
      </c>
      <c r="I84" s="1899"/>
      <c r="J84" s="1899">
        <f>ROUND(SUM(J39+J80+J82),1)</f>
        <v>0</v>
      </c>
      <c r="K84" s="1899"/>
      <c r="L84" s="1899">
        <f>ROUND(SUM(L39+L80+L82),1)</f>
        <v>0</v>
      </c>
      <c r="M84" s="1899"/>
      <c r="N84" s="1899">
        <f>ROUND(SUM(N39+N80+N82),1)</f>
        <v>0</v>
      </c>
      <c r="O84" s="1899"/>
      <c r="P84" s="1899">
        <f>ROUND(SUM(P39+P80+P82),1)</f>
        <v>0</v>
      </c>
      <c r="Q84" s="1899"/>
      <c r="R84" s="1899">
        <f>ROUND(SUM(R39+R80+R82),1)</f>
        <v>0</v>
      </c>
      <c r="S84" s="1899"/>
      <c r="T84" s="1899">
        <f>ROUND(SUM(T39+T80+T82),1)</f>
        <v>0</v>
      </c>
      <c r="U84" s="1899"/>
      <c r="V84" s="1899">
        <f>ROUND(SUM(V39+V80+V82),1)</f>
        <v>0</v>
      </c>
      <c r="W84" s="1899"/>
      <c r="X84" s="1899">
        <f>ROUND(SUM(X39+X80+X82),1)</f>
        <v>0</v>
      </c>
      <c r="Y84" s="1899"/>
      <c r="Z84" s="1899">
        <f>ROUND(SUM(Z39+Z80+Z82),1)</f>
        <v>0</v>
      </c>
      <c r="AA84" s="1899"/>
      <c r="AB84" s="1899">
        <f>ROUND(SUM(AB39+AB80+AB82),1)</f>
        <v>0</v>
      </c>
      <c r="AC84" s="1899"/>
      <c r="AD84" s="259"/>
      <c r="AE84" s="1899">
        <f>ROUND(SUM(AE39+AE80+AE82),1)</f>
        <v>2668.7</v>
      </c>
      <c r="AF84" s="273"/>
      <c r="AG84" s="746"/>
      <c r="AH84" s="1899">
        <f>ROUND(SUM(AH39+AH80+AH82),1)</f>
        <v>3151.1</v>
      </c>
      <c r="AI84" s="523"/>
      <c r="AJ84" s="273"/>
      <c r="AK84" s="1745">
        <f>ROUND(SUM(AK39+AK80+AK82),1)</f>
        <v>-482.4</v>
      </c>
      <c r="AL84" s="525"/>
      <c r="AM84" s="2838">
        <f>ROUND(SUM((AE84-AH84)/AH84),3)</f>
        <v>-0.153</v>
      </c>
      <c r="AN84" s="1607"/>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6"/>
      <c r="AJ85" s="249"/>
      <c r="AK85" s="1177"/>
      <c r="AL85" s="1895"/>
      <c r="AM85" s="2834"/>
      <c r="AN85" s="1607"/>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6"/>
      <c r="AJ86" s="249"/>
      <c r="AK86" s="1177"/>
      <c r="AL86" s="1895"/>
      <c r="AM86" s="2834"/>
      <c r="AN86" s="1607"/>
    </row>
    <row r="87" spans="1:40" ht="12.75" customHeight="1">
      <c r="A87" s="353"/>
      <c r="B87" s="1365"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6"/>
      <c r="AJ87" s="249"/>
      <c r="AK87" s="1177"/>
      <c r="AL87" s="1895"/>
      <c r="AM87" s="2854"/>
      <c r="AN87" s="1607"/>
    </row>
    <row r="88" spans="1:40" ht="15" customHeight="1">
      <c r="A88" s="353"/>
      <c r="B88" s="382" t="s">
        <v>26</v>
      </c>
      <c r="C88" s="223"/>
      <c r="D88" s="274">
        <v>0.1</v>
      </c>
      <c r="E88" s="261"/>
      <c r="F88" s="274">
        <v>1.6</v>
      </c>
      <c r="G88" s="261"/>
      <c r="H88" s="319"/>
      <c r="I88" s="261"/>
      <c r="J88" s="1333"/>
      <c r="K88" s="261"/>
      <c r="L88" s="2654"/>
      <c r="M88" s="261"/>
      <c r="N88" s="1208"/>
      <c r="O88" s="261"/>
      <c r="P88" s="1208"/>
      <c r="Q88" s="261"/>
      <c r="R88" s="2135"/>
      <c r="S88" s="261"/>
      <c r="T88" s="274"/>
      <c r="U88" s="261"/>
      <c r="V88" s="261"/>
      <c r="W88" s="261"/>
      <c r="X88" s="274"/>
      <c r="Y88" s="261"/>
      <c r="Z88" s="261"/>
      <c r="AA88" s="261"/>
      <c r="AB88" s="1208">
        <v>0</v>
      </c>
      <c r="AC88" s="261"/>
      <c r="AD88" s="250"/>
      <c r="AE88" s="261">
        <f>ROUND(SUM(D88:AB88),1)</f>
        <v>1.7</v>
      </c>
      <c r="AF88" s="261"/>
      <c r="AG88" s="252"/>
      <c r="AH88" s="1283">
        <v>0.7</v>
      </c>
      <c r="AI88" s="516"/>
      <c r="AJ88" s="249"/>
      <c r="AK88" s="1177">
        <f>ROUND(SUM(+AE88-AH88),1)</f>
        <v>1</v>
      </c>
      <c r="AL88" s="1177"/>
      <c r="AM88" s="2834">
        <f t="shared" ref="AM88:AM97" si="10">ROUND(IF(AH88=0,0,AK88/(AH88)),3)</f>
        <v>1.429</v>
      </c>
      <c r="AN88" s="1607"/>
    </row>
    <row r="89" spans="1:40" ht="15" customHeight="1">
      <c r="A89" s="353"/>
      <c r="B89" s="382" t="s">
        <v>27</v>
      </c>
      <c r="C89" s="223"/>
      <c r="D89" s="274">
        <v>0</v>
      </c>
      <c r="E89" s="261"/>
      <c r="F89" s="274">
        <v>0.4</v>
      </c>
      <c r="G89" s="261"/>
      <c r="H89" s="373"/>
      <c r="I89" s="261"/>
      <c r="J89" s="274"/>
      <c r="K89" s="261"/>
      <c r="L89" s="1259"/>
      <c r="M89" s="261"/>
      <c r="N89" s="1208"/>
      <c r="O89" s="261"/>
      <c r="P89" s="1208"/>
      <c r="Q89" s="261"/>
      <c r="R89" s="2135"/>
      <c r="S89" s="261"/>
      <c r="T89" s="373"/>
      <c r="U89" s="261"/>
      <c r="V89" s="261"/>
      <c r="W89" s="261"/>
      <c r="X89" s="274"/>
      <c r="Y89" s="261"/>
      <c r="Z89" s="261"/>
      <c r="AA89" s="261"/>
      <c r="AB89" s="1208">
        <v>0</v>
      </c>
      <c r="AC89" s="261"/>
      <c r="AD89" s="250"/>
      <c r="AE89" s="261">
        <f>ROUND(SUM(D89:AB89),1)</f>
        <v>0.4</v>
      </c>
      <c r="AF89" s="261"/>
      <c r="AG89" s="252"/>
      <c r="AH89" s="1283">
        <v>0.1</v>
      </c>
      <c r="AI89" s="516"/>
      <c r="AJ89" s="249"/>
      <c r="AK89" s="1177">
        <f>ROUND(SUM(+AE89-AH89),1)</f>
        <v>0.3</v>
      </c>
      <c r="AL89" s="1177"/>
      <c r="AM89" s="2834">
        <f t="shared" si="10"/>
        <v>3</v>
      </c>
      <c r="AN89" s="1607"/>
    </row>
    <row r="90" spans="1:40" ht="15" customHeight="1">
      <c r="A90" s="353"/>
      <c r="B90" s="382" t="s">
        <v>28</v>
      </c>
      <c r="C90" s="223"/>
      <c r="D90" s="274">
        <v>11.9</v>
      </c>
      <c r="E90" s="261"/>
      <c r="F90" s="274">
        <v>16.2</v>
      </c>
      <c r="G90" s="261"/>
      <c r="H90" s="319"/>
      <c r="I90" s="261"/>
      <c r="J90" s="274"/>
      <c r="K90" s="261"/>
      <c r="L90" s="2654"/>
      <c r="M90" s="261"/>
      <c r="N90" s="1208"/>
      <c r="O90" s="261"/>
      <c r="P90" s="1208"/>
      <c r="Q90" s="261"/>
      <c r="R90" s="2135"/>
      <c r="S90" s="261"/>
      <c r="T90" s="274"/>
      <c r="U90" s="261"/>
      <c r="V90" s="261"/>
      <c r="W90" s="261"/>
      <c r="X90" s="274"/>
      <c r="Y90" s="261"/>
      <c r="Z90" s="261"/>
      <c r="AA90" s="261"/>
      <c r="AB90" s="1208">
        <v>0</v>
      </c>
      <c r="AC90" s="261"/>
      <c r="AD90" s="250"/>
      <c r="AE90" s="261">
        <f>ROUND(SUM(D90:AB90),1)</f>
        <v>28.1</v>
      </c>
      <c r="AF90" s="261"/>
      <c r="AG90" s="252"/>
      <c r="AH90" s="1283">
        <v>18.899999999999999</v>
      </c>
      <c r="AI90" s="516"/>
      <c r="AJ90" s="249"/>
      <c r="AK90" s="1177">
        <f>ROUND(SUM(+AE90-AH90),1)</f>
        <v>9.1999999999999993</v>
      </c>
      <c r="AL90" s="1177"/>
      <c r="AM90" s="2834">
        <f t="shared" si="10"/>
        <v>0.48699999999999999</v>
      </c>
      <c r="AN90" s="1607"/>
    </row>
    <row r="91" spans="1:40" ht="15" customHeight="1">
      <c r="A91" s="353"/>
      <c r="B91" s="382" t="s">
        <v>29</v>
      </c>
      <c r="C91" s="223"/>
      <c r="D91" s="274"/>
      <c r="E91" s="261"/>
      <c r="F91" s="274"/>
      <c r="G91" s="261"/>
      <c r="H91" s="319"/>
      <c r="I91" s="261"/>
      <c r="J91" s="274"/>
      <c r="K91" s="261"/>
      <c r="L91" s="2654"/>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6"/>
      <c r="AJ91" s="249"/>
      <c r="AK91" s="1177"/>
      <c r="AL91" s="1721"/>
      <c r="AM91" s="2834"/>
      <c r="AN91" s="1607"/>
    </row>
    <row r="92" spans="1:40" ht="15" customHeight="1">
      <c r="A92" s="353"/>
      <c r="B92" s="1728" t="s">
        <v>30</v>
      </c>
      <c r="C92" s="223"/>
      <c r="D92" s="274">
        <v>408.9</v>
      </c>
      <c r="E92" s="261"/>
      <c r="F92" s="274">
        <v>310.3</v>
      </c>
      <c r="G92" s="261"/>
      <c r="H92" s="319"/>
      <c r="I92" s="261"/>
      <c r="J92" s="274"/>
      <c r="K92" s="261"/>
      <c r="L92" s="2654"/>
      <c r="M92" s="261"/>
      <c r="N92" s="1208"/>
      <c r="O92" s="261"/>
      <c r="P92" s="1208"/>
      <c r="Q92" s="261"/>
      <c r="R92" s="2135"/>
      <c r="S92" s="261"/>
      <c r="T92" s="274"/>
      <c r="U92" s="261"/>
      <c r="V92" s="261"/>
      <c r="W92" s="261"/>
      <c r="X92" s="274"/>
      <c r="Y92" s="261"/>
      <c r="Z92" s="261"/>
      <c r="AA92" s="261"/>
      <c r="AB92" s="1208">
        <v>0</v>
      </c>
      <c r="AC92" s="261"/>
      <c r="AD92" s="250"/>
      <c r="AE92" s="261">
        <f t="shared" ref="AE92:AE97" si="11">ROUND(SUM(D92:AB92),1)</f>
        <v>719.2</v>
      </c>
      <c r="AF92" s="261"/>
      <c r="AG92" s="252"/>
      <c r="AH92" s="319">
        <v>797.6</v>
      </c>
      <c r="AI92" s="516"/>
      <c r="AJ92" s="249"/>
      <c r="AK92" s="1177">
        <f t="shared" ref="AK92:AK97" si="12">ROUND(SUM(+AE92-AH92),1)</f>
        <v>-78.400000000000006</v>
      </c>
      <c r="AL92" s="1177"/>
      <c r="AM92" s="2834">
        <f t="shared" si="10"/>
        <v>-9.8000000000000004E-2</v>
      </c>
      <c r="AN92" s="1607"/>
    </row>
    <row r="93" spans="1:40" ht="15" customHeight="1">
      <c r="A93" s="353"/>
      <c r="B93" s="382" t="s">
        <v>31</v>
      </c>
      <c r="C93" s="223"/>
      <c r="D93" s="274">
        <v>85.8</v>
      </c>
      <c r="E93" s="261"/>
      <c r="F93" s="274">
        <v>70.3</v>
      </c>
      <c r="G93" s="261"/>
      <c r="H93" s="319"/>
      <c r="I93" s="261"/>
      <c r="J93" s="274"/>
      <c r="K93" s="261"/>
      <c r="L93" s="2654"/>
      <c r="M93" s="261"/>
      <c r="N93" s="1208"/>
      <c r="O93" s="261"/>
      <c r="P93" s="1208"/>
      <c r="Q93" s="261"/>
      <c r="R93" s="2135"/>
      <c r="S93" s="261"/>
      <c r="T93" s="274"/>
      <c r="U93" s="261"/>
      <c r="V93" s="261"/>
      <c r="W93" s="261"/>
      <c r="X93" s="274"/>
      <c r="Y93" s="261"/>
      <c r="Z93" s="261"/>
      <c r="AA93" s="261"/>
      <c r="AB93" s="1208">
        <v>0</v>
      </c>
      <c r="AC93" s="261"/>
      <c r="AD93" s="250"/>
      <c r="AE93" s="261">
        <f t="shared" si="11"/>
        <v>156.1</v>
      </c>
      <c r="AF93" s="261"/>
      <c r="AG93" s="252"/>
      <c r="AH93" s="319">
        <v>206.8</v>
      </c>
      <c r="AI93" s="516"/>
      <c r="AJ93" s="249"/>
      <c r="AK93" s="1177">
        <f t="shared" si="12"/>
        <v>-50.7</v>
      </c>
      <c r="AL93" s="1177"/>
      <c r="AM93" s="2834">
        <f t="shared" si="10"/>
        <v>-0.245</v>
      </c>
      <c r="AN93" s="1607"/>
    </row>
    <row r="94" spans="1:40" ht="15" customHeight="1">
      <c r="A94" s="353"/>
      <c r="B94" s="382" t="s">
        <v>32</v>
      </c>
      <c r="C94" s="223"/>
      <c r="D94" s="274">
        <v>10.199999999999999</v>
      </c>
      <c r="E94" s="261"/>
      <c r="F94" s="274">
        <v>14.7</v>
      </c>
      <c r="G94" s="261"/>
      <c r="H94" s="319"/>
      <c r="I94" s="261"/>
      <c r="J94" s="261"/>
      <c r="K94" s="261"/>
      <c r="L94" s="2654"/>
      <c r="M94" s="261"/>
      <c r="N94" s="1208"/>
      <c r="O94" s="261"/>
      <c r="P94" s="1208"/>
      <c r="Q94" s="261"/>
      <c r="R94" s="2135"/>
      <c r="S94" s="261"/>
      <c r="T94" s="274"/>
      <c r="U94" s="261"/>
      <c r="V94" s="261"/>
      <c r="W94" s="261"/>
      <c r="X94" s="274"/>
      <c r="Y94" s="261"/>
      <c r="Z94" s="261"/>
      <c r="AA94" s="261"/>
      <c r="AB94" s="1208">
        <v>0</v>
      </c>
      <c r="AC94" s="261"/>
      <c r="AD94" s="250"/>
      <c r="AE94" s="261">
        <f t="shared" si="11"/>
        <v>24.9</v>
      </c>
      <c r="AF94" s="261"/>
      <c r="AG94" s="252"/>
      <c r="AH94" s="319">
        <v>18.3</v>
      </c>
      <c r="AI94" s="516"/>
      <c r="AJ94" s="249"/>
      <c r="AK94" s="1177">
        <f t="shared" si="12"/>
        <v>6.6</v>
      </c>
      <c r="AL94" s="1177"/>
      <c r="AM94" s="2834">
        <f t="shared" si="10"/>
        <v>0.36099999999999999</v>
      </c>
      <c r="AN94" s="1607"/>
    </row>
    <row r="95" spans="1:40" ht="15" customHeight="1">
      <c r="A95" s="353"/>
      <c r="B95" s="382" t="s">
        <v>33</v>
      </c>
      <c r="C95" s="223"/>
      <c r="D95" s="274">
        <v>0.5</v>
      </c>
      <c r="E95" s="261"/>
      <c r="F95" s="274">
        <v>0.8</v>
      </c>
      <c r="G95" s="261"/>
      <c r="H95" s="319"/>
      <c r="I95" s="261"/>
      <c r="J95" s="261"/>
      <c r="K95" s="261"/>
      <c r="L95" s="1259"/>
      <c r="M95" s="261"/>
      <c r="N95" s="1208"/>
      <c r="O95" s="261"/>
      <c r="P95" s="1208"/>
      <c r="Q95" s="261"/>
      <c r="R95" s="2135"/>
      <c r="S95" s="261"/>
      <c r="T95" s="274"/>
      <c r="U95" s="261"/>
      <c r="V95" s="261"/>
      <c r="W95" s="261"/>
      <c r="X95" s="274"/>
      <c r="Y95" s="261"/>
      <c r="Z95" s="261"/>
      <c r="AA95" s="261"/>
      <c r="AB95" s="1208">
        <v>0</v>
      </c>
      <c r="AC95" s="261"/>
      <c r="AD95" s="250"/>
      <c r="AE95" s="261">
        <f t="shared" si="11"/>
        <v>1.3</v>
      </c>
      <c r="AF95" s="261"/>
      <c r="AG95" s="252"/>
      <c r="AH95" s="319">
        <v>1</v>
      </c>
      <c r="AI95" s="516"/>
      <c r="AJ95" s="249"/>
      <c r="AK95" s="1177">
        <f t="shared" si="12"/>
        <v>0.3</v>
      </c>
      <c r="AL95" s="1177"/>
      <c r="AM95" s="2834">
        <f t="shared" si="10"/>
        <v>0.3</v>
      </c>
      <c r="AN95" s="1607"/>
    </row>
    <row r="96" spans="1:40" ht="15" customHeight="1">
      <c r="A96" s="353"/>
      <c r="B96" s="382" t="s">
        <v>34</v>
      </c>
      <c r="C96" s="223"/>
      <c r="D96" s="274">
        <v>2.2999999999999998</v>
      </c>
      <c r="E96" s="261"/>
      <c r="F96" s="274">
        <v>1.5</v>
      </c>
      <c r="G96" s="261"/>
      <c r="H96" s="319"/>
      <c r="I96" s="261"/>
      <c r="J96" s="518"/>
      <c r="K96" s="261"/>
      <c r="L96" s="2654"/>
      <c r="M96" s="266"/>
      <c r="N96" s="1208"/>
      <c r="O96" s="261"/>
      <c r="P96" s="1208"/>
      <c r="Q96" s="261"/>
      <c r="R96" s="2135"/>
      <c r="S96" s="261"/>
      <c r="T96" s="274"/>
      <c r="U96" s="261"/>
      <c r="V96" s="261"/>
      <c r="W96" s="373"/>
      <c r="X96" s="274"/>
      <c r="Y96" s="261"/>
      <c r="Z96" s="261"/>
      <c r="AA96" s="261"/>
      <c r="AB96" s="1208">
        <v>0</v>
      </c>
      <c r="AC96" s="261"/>
      <c r="AD96" s="250"/>
      <c r="AE96" s="261">
        <f t="shared" si="11"/>
        <v>3.8</v>
      </c>
      <c r="AF96" s="261"/>
      <c r="AG96" s="252"/>
      <c r="AH96" s="1283">
        <v>2.5</v>
      </c>
      <c r="AI96" s="516"/>
      <c r="AJ96" s="249"/>
      <c r="AK96" s="1177">
        <f t="shared" si="12"/>
        <v>1.3</v>
      </c>
      <c r="AL96" s="1177"/>
      <c r="AM96" s="2834">
        <f t="shared" si="10"/>
        <v>0.52</v>
      </c>
      <c r="AN96" s="1607"/>
    </row>
    <row r="97" spans="1:40" ht="15" customHeight="1">
      <c r="A97" s="353"/>
      <c r="B97" s="382" t="s">
        <v>35</v>
      </c>
      <c r="C97" s="223"/>
      <c r="D97" s="274">
        <v>125.3</v>
      </c>
      <c r="E97" s="261"/>
      <c r="F97" s="274">
        <v>470.2</v>
      </c>
      <c r="G97" s="261"/>
      <c r="H97" s="319"/>
      <c r="I97" s="261"/>
      <c r="J97" s="274"/>
      <c r="K97" s="261"/>
      <c r="L97" s="2654"/>
      <c r="M97" s="261"/>
      <c r="N97" s="1208"/>
      <c r="O97" s="261"/>
      <c r="P97" s="1208"/>
      <c r="Q97" s="261"/>
      <c r="R97" s="2135"/>
      <c r="S97" s="261"/>
      <c r="T97" s="274"/>
      <c r="U97" s="261"/>
      <c r="V97" s="261"/>
      <c r="W97" s="261"/>
      <c r="X97" s="274"/>
      <c r="Y97" s="261"/>
      <c r="Z97" s="261"/>
      <c r="AA97" s="261"/>
      <c r="AB97" s="1208">
        <v>0</v>
      </c>
      <c r="AC97" s="261"/>
      <c r="AD97" s="250"/>
      <c r="AE97" s="261">
        <f t="shared" si="11"/>
        <v>595.5</v>
      </c>
      <c r="AF97" s="249"/>
      <c r="AG97" s="252"/>
      <c r="AH97" s="527">
        <v>697.4</v>
      </c>
      <c r="AI97" s="516"/>
      <c r="AJ97" s="249"/>
      <c r="AK97" s="1177">
        <f t="shared" si="12"/>
        <v>-101.9</v>
      </c>
      <c r="AL97" s="1177"/>
      <c r="AM97" s="2834">
        <f t="shared" si="10"/>
        <v>-0.14599999999999999</v>
      </c>
      <c r="AN97" s="1607"/>
    </row>
    <row r="98" spans="1:40" ht="15" customHeight="1">
      <c r="A98" s="353"/>
      <c r="B98" s="221" t="s">
        <v>1498</v>
      </c>
      <c r="C98" s="223"/>
      <c r="D98" s="546">
        <f>ROUND(SUM(D88:D97),1)</f>
        <v>645</v>
      </c>
      <c r="E98" s="1899"/>
      <c r="F98" s="546">
        <f>ROUND(SUM(F88:F97),1)</f>
        <v>886</v>
      </c>
      <c r="G98" s="1899"/>
      <c r="H98" s="546">
        <f>ROUND(SUM(H88:H97),1)</f>
        <v>0</v>
      </c>
      <c r="I98" s="1899"/>
      <c r="J98" s="546">
        <f>ROUND(SUM(J88:J97),1)</f>
        <v>0</v>
      </c>
      <c r="K98" s="1899"/>
      <c r="L98" s="546">
        <f>ROUND(SUM(L88:L97),1)</f>
        <v>0</v>
      </c>
      <c r="M98" s="1899"/>
      <c r="N98" s="546">
        <f>ROUND(SUM(N88:N97),1)</f>
        <v>0</v>
      </c>
      <c r="O98" s="1899"/>
      <c r="P98" s="546">
        <f>ROUND(SUM(P88:P97),1)</f>
        <v>0</v>
      </c>
      <c r="Q98" s="1899"/>
      <c r="R98" s="546">
        <f>ROUND(SUM(R88:R97),1)</f>
        <v>0</v>
      </c>
      <c r="S98" s="1899"/>
      <c r="T98" s="546">
        <f>ROUND(SUM(T88:T97),1)</f>
        <v>0</v>
      </c>
      <c r="U98" s="1899"/>
      <c r="V98" s="546">
        <f>ROUND(SUM(V88:V97),1)</f>
        <v>0</v>
      </c>
      <c r="W98" s="1899"/>
      <c r="X98" s="546">
        <f>ROUND(SUM(X88:X97),1)</f>
        <v>0</v>
      </c>
      <c r="Y98" s="1899"/>
      <c r="Z98" s="546">
        <f>ROUND(SUM(Z88:Z97),1)</f>
        <v>0</v>
      </c>
      <c r="AA98" s="273"/>
      <c r="AB98" s="546">
        <f>ROUND(SUM(AB88:AB97),1)</f>
        <v>0</v>
      </c>
      <c r="AC98" s="1899"/>
      <c r="AD98" s="259"/>
      <c r="AE98" s="256">
        <f>ROUND(SUM(AE88:AE97),1)</f>
        <v>1531</v>
      </c>
      <c r="AF98" s="273"/>
      <c r="AG98" s="746"/>
      <c r="AH98" s="528">
        <f>ROUND(SUM(AH88:AH97),1)</f>
        <v>1743.3</v>
      </c>
      <c r="AI98" s="523"/>
      <c r="AJ98" s="273"/>
      <c r="AK98" s="256">
        <f>ROUND(SUM(AE98-AH98),1)</f>
        <v>-212.3</v>
      </c>
      <c r="AL98" s="369"/>
      <c r="AM98" s="2837">
        <f>ROUND(SUM((AE98-AH98)/AH98),3)</f>
        <v>-0.122</v>
      </c>
      <c r="AN98" s="1607"/>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6"/>
      <c r="AJ99" s="249"/>
      <c r="AK99" s="1177"/>
      <c r="AL99" s="1895"/>
      <c r="AM99" s="2834"/>
      <c r="AN99" s="1607"/>
    </row>
    <row r="100" spans="1:40" ht="15" customHeight="1">
      <c r="A100" s="353"/>
      <c r="B100" s="223" t="s">
        <v>159</v>
      </c>
      <c r="C100" s="223"/>
      <c r="D100" s="274">
        <v>632.70000000000005</v>
      </c>
      <c r="E100" s="261"/>
      <c r="F100" s="274">
        <v>534.20000000000005</v>
      </c>
      <c r="G100" s="261"/>
      <c r="H100" s="261"/>
      <c r="I100" s="261"/>
      <c r="J100" s="274"/>
      <c r="K100" s="261"/>
      <c r="L100" s="2654"/>
      <c r="M100" s="261"/>
      <c r="N100" s="1208"/>
      <c r="O100" s="261"/>
      <c r="P100" s="1208"/>
      <c r="Q100" s="261"/>
      <c r="R100" s="2135"/>
      <c r="S100" s="261"/>
      <c r="T100" s="274"/>
      <c r="U100" s="261"/>
      <c r="V100" s="261"/>
      <c r="W100" s="261"/>
      <c r="X100" s="274"/>
      <c r="Y100" s="261"/>
      <c r="Z100" s="261"/>
      <c r="AA100" s="261"/>
      <c r="AB100" s="1208">
        <v>0</v>
      </c>
      <c r="AC100" s="261"/>
      <c r="AD100" s="250"/>
      <c r="AE100" s="261">
        <f>ROUND(SUM(D100:AB100),1)</f>
        <v>1166.9000000000001</v>
      </c>
      <c r="AF100" s="2141"/>
      <c r="AG100" s="252"/>
      <c r="AH100" s="261">
        <v>1163.8</v>
      </c>
      <c r="AI100" s="516"/>
      <c r="AJ100" s="249"/>
      <c r="AK100" s="1177">
        <f>ROUND(SUM(+AE100-AH100),1)</f>
        <v>3.1</v>
      </c>
      <c r="AL100" s="1177"/>
      <c r="AM100" s="2834">
        <f>ROUND(IF(AH100=0,0,AK100/(AH100)),3)</f>
        <v>3.0000000000000001E-3</v>
      </c>
      <c r="AN100" s="1607"/>
    </row>
    <row r="101" spans="1:40" ht="15" customHeight="1">
      <c r="A101" s="353"/>
      <c r="B101" s="223" t="s">
        <v>177</v>
      </c>
      <c r="C101" s="223"/>
      <c r="D101" s="274">
        <v>223.1</v>
      </c>
      <c r="E101" s="261"/>
      <c r="F101" s="274">
        <v>249.1</v>
      </c>
      <c r="G101" s="261"/>
      <c r="H101" s="261"/>
      <c r="I101" s="261"/>
      <c r="J101" s="274"/>
      <c r="K101" s="261"/>
      <c r="L101" s="2654"/>
      <c r="M101" s="261"/>
      <c r="N101" s="1208"/>
      <c r="O101" s="261"/>
      <c r="P101" s="1208"/>
      <c r="Q101" s="261"/>
      <c r="R101" s="2135"/>
      <c r="S101" s="261"/>
      <c r="T101" s="274"/>
      <c r="U101" s="261"/>
      <c r="V101" s="261"/>
      <c r="W101" s="261"/>
      <c r="X101" s="274"/>
      <c r="Y101" s="261"/>
      <c r="Z101" s="261"/>
      <c r="AA101" s="261"/>
      <c r="AB101" s="1208">
        <v>0</v>
      </c>
      <c r="AC101" s="261"/>
      <c r="AD101" s="250"/>
      <c r="AE101" s="261">
        <f>ROUND(SUM(D101:AB101),1)</f>
        <v>472.2</v>
      </c>
      <c r="AF101" s="2141"/>
      <c r="AG101" s="252"/>
      <c r="AH101" s="261">
        <v>517.4</v>
      </c>
      <c r="AI101" s="516"/>
      <c r="AJ101" s="249"/>
      <c r="AK101" s="1177">
        <f>ROUND(SUM(+AE101-AH101),1)</f>
        <v>-45.2</v>
      </c>
      <c r="AL101" s="1177"/>
      <c r="AM101" s="2834">
        <f>ROUND(IF(AH101=0,0,AK101/(AH101)),3)</f>
        <v>-8.6999999999999994E-2</v>
      </c>
      <c r="AN101" s="1607"/>
    </row>
    <row r="102" spans="1:40" ht="15" customHeight="1">
      <c r="A102" s="353"/>
      <c r="B102" s="223" t="s">
        <v>178</v>
      </c>
      <c r="C102" s="223"/>
      <c r="D102" s="274">
        <v>38.1</v>
      </c>
      <c r="E102" s="261"/>
      <c r="F102" s="274">
        <v>195.4</v>
      </c>
      <c r="G102" s="261"/>
      <c r="H102" s="261"/>
      <c r="I102" s="261"/>
      <c r="J102" s="274"/>
      <c r="K102" s="261"/>
      <c r="L102" s="2654"/>
      <c r="M102" s="261"/>
      <c r="N102" s="1208"/>
      <c r="O102" s="261"/>
      <c r="P102" s="1208"/>
      <c r="Q102" s="261"/>
      <c r="R102" s="2135"/>
      <c r="S102" s="261"/>
      <c r="T102" s="274"/>
      <c r="U102" s="261"/>
      <c r="V102" s="261"/>
      <c r="W102" s="261"/>
      <c r="X102" s="274"/>
      <c r="Y102" s="261"/>
      <c r="Z102" s="261"/>
      <c r="AA102" s="261"/>
      <c r="AB102" s="1208">
        <v>0</v>
      </c>
      <c r="AC102" s="261"/>
      <c r="AD102" s="250"/>
      <c r="AE102" s="261">
        <f>ROUND(SUM(D102:AB102),1)</f>
        <v>233.5</v>
      </c>
      <c r="AF102" s="2141"/>
      <c r="AG102" s="252"/>
      <c r="AH102" s="261">
        <v>363.5</v>
      </c>
      <c r="AI102" s="516"/>
      <c r="AJ102" s="249"/>
      <c r="AK102" s="1177">
        <f>ROUND(SUM(+AE102-AH102),1)</f>
        <v>-130</v>
      </c>
      <c r="AL102" s="1177"/>
      <c r="AM102" s="2834">
        <f>ROUND(IF(AH102=0,0,AK102/(AH102)),3)</f>
        <v>-0.35799999999999998</v>
      </c>
      <c r="AN102" s="1607"/>
    </row>
    <row r="103" spans="1:40" ht="15" customHeight="1">
      <c r="A103" s="353"/>
      <c r="B103" s="223" t="s">
        <v>179</v>
      </c>
      <c r="C103" s="223"/>
      <c r="D103" s="274">
        <v>0</v>
      </c>
      <c r="E103" s="261"/>
      <c r="F103" s="274">
        <v>0.2</v>
      </c>
      <c r="G103" s="261"/>
      <c r="H103" s="261"/>
      <c r="I103" s="261"/>
      <c r="J103" s="274"/>
      <c r="K103" s="261"/>
      <c r="L103" s="2654"/>
      <c r="M103" s="261"/>
      <c r="N103" s="1208"/>
      <c r="O103" s="261"/>
      <c r="P103" s="1208"/>
      <c r="Q103" s="261"/>
      <c r="R103" s="2135"/>
      <c r="S103" s="261"/>
      <c r="T103" s="274"/>
      <c r="U103" s="261"/>
      <c r="V103" s="261"/>
      <c r="W103" s="261"/>
      <c r="X103" s="274"/>
      <c r="Y103" s="261"/>
      <c r="Z103" s="261"/>
      <c r="AA103" s="261"/>
      <c r="AB103" s="1208">
        <v>0</v>
      </c>
      <c r="AC103" s="261"/>
      <c r="AD103" s="250"/>
      <c r="AE103" s="261">
        <f>ROUND(SUM(D103:AB103),1)</f>
        <v>0.2</v>
      </c>
      <c r="AF103" s="264"/>
      <c r="AG103" s="252"/>
      <c r="AH103" s="517">
        <v>0.3</v>
      </c>
      <c r="AI103" s="516"/>
      <c r="AJ103" s="249"/>
      <c r="AK103" s="1177">
        <f>ROUND(SUM(+AE103-AH103),1)</f>
        <v>-0.1</v>
      </c>
      <c r="AL103" s="1177"/>
      <c r="AM103" s="2834">
        <f>ROUND(IF(AH103=0,0,AK103/(AH103)),3)</f>
        <v>-0.33300000000000002</v>
      </c>
      <c r="AN103" s="1607"/>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6"/>
      <c r="AJ104" s="249"/>
      <c r="AK104" s="2767"/>
      <c r="AL104" s="1895"/>
      <c r="AM104" s="2853"/>
      <c r="AN104" s="1607"/>
    </row>
    <row r="105" spans="1:40" ht="15" customHeight="1">
      <c r="A105" s="353"/>
      <c r="B105" s="221" t="s">
        <v>162</v>
      </c>
      <c r="C105" s="223"/>
      <c r="D105" s="1899">
        <f>ROUND(SUM(D98:D103),1)</f>
        <v>1538.9</v>
      </c>
      <c r="E105" s="1899"/>
      <c r="F105" s="1899">
        <f>ROUND(SUM(F98:F103),1)</f>
        <v>1864.9</v>
      </c>
      <c r="G105" s="1899"/>
      <c r="H105" s="1899">
        <f>ROUND(SUM(H98:H103),1)</f>
        <v>0</v>
      </c>
      <c r="I105" s="1899"/>
      <c r="J105" s="1899">
        <f>ROUND(SUM(J98:J103),1)</f>
        <v>0</v>
      </c>
      <c r="K105" s="1899"/>
      <c r="L105" s="1899">
        <f>ROUND(SUM(L98:L103),1)</f>
        <v>0</v>
      </c>
      <c r="M105" s="1899"/>
      <c r="N105" s="1899">
        <f>ROUND(SUM(N98:N103),1)</f>
        <v>0</v>
      </c>
      <c r="O105" s="1899"/>
      <c r="P105" s="1899">
        <f>ROUND(SUM(P98:P103),1)</f>
        <v>0</v>
      </c>
      <c r="Q105" s="1899"/>
      <c r="R105" s="1899">
        <f>ROUND(SUM(R98:R103),1)</f>
        <v>0</v>
      </c>
      <c r="S105" s="1899"/>
      <c r="T105" s="1899">
        <f>ROUND(SUM(T98:T103),1)</f>
        <v>0</v>
      </c>
      <c r="U105" s="1899"/>
      <c r="V105" s="1899">
        <f>ROUND(SUM(V98:V103),1)</f>
        <v>0</v>
      </c>
      <c r="W105" s="1899"/>
      <c r="X105" s="1899">
        <f>ROUND(SUM(X98:X103),1)</f>
        <v>0</v>
      </c>
      <c r="Y105" s="1899"/>
      <c r="Z105" s="1899">
        <f>ROUND(SUM(Z98:Z103),1)</f>
        <v>0</v>
      </c>
      <c r="AA105" s="1899"/>
      <c r="AB105" s="1899">
        <f>ROUND(SUM(AB98:AB103),1)</f>
        <v>0</v>
      </c>
      <c r="AC105" s="1899"/>
      <c r="AD105" s="259"/>
      <c r="AE105" s="1899">
        <f>ROUND(SUM(AE98:AE103),1)</f>
        <v>3403.8</v>
      </c>
      <c r="AF105" s="273"/>
      <c r="AG105" s="746"/>
      <c r="AH105" s="1899">
        <f>ROUND(SUM(AH98:AH103),1)</f>
        <v>3788.3</v>
      </c>
      <c r="AI105" s="523"/>
      <c r="AJ105" s="273"/>
      <c r="AK105" s="271">
        <f>ROUND(SUM(AE105-AH105),1)</f>
        <v>-384.5</v>
      </c>
      <c r="AL105" s="414"/>
      <c r="AM105" s="2838">
        <f>ROUND(SUM((AE105-AH105)/AH105),3)</f>
        <v>-0.10100000000000001</v>
      </c>
      <c r="AN105" s="1607"/>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6"/>
      <c r="AJ106" s="249"/>
      <c r="AK106" s="1177"/>
      <c r="AL106" s="1895"/>
      <c r="AM106" s="2834"/>
      <c r="AN106" s="1607"/>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6"/>
      <c r="AJ107" s="249"/>
      <c r="AK107" s="1921"/>
      <c r="AL107" s="1895"/>
      <c r="AM107" s="2834"/>
      <c r="AN107" s="1607"/>
    </row>
    <row r="108" spans="1:40" ht="15" customHeight="1">
      <c r="A108" s="353"/>
      <c r="B108" s="221" t="s">
        <v>46</v>
      </c>
      <c r="C108" s="223"/>
      <c r="D108" s="1899">
        <f>ROUND(SUM(D84-D105),1)</f>
        <v>-700.6</v>
      </c>
      <c r="E108" s="1899"/>
      <c r="F108" s="1899">
        <f>ROUND(SUM(F84-F105),1)</f>
        <v>-34.5</v>
      </c>
      <c r="G108" s="1899"/>
      <c r="H108" s="1899">
        <f>ROUND(SUM(H84-H105),1)</f>
        <v>0</v>
      </c>
      <c r="I108" s="1899"/>
      <c r="J108" s="1899">
        <f>ROUND(SUM(J84-J105),1)</f>
        <v>0</v>
      </c>
      <c r="K108" s="1899"/>
      <c r="L108" s="1899">
        <f>ROUND(SUM(L84-L105),1)</f>
        <v>0</v>
      </c>
      <c r="M108" s="1899"/>
      <c r="N108" s="1899">
        <f>ROUND(SUM(N84-N105),1)</f>
        <v>0</v>
      </c>
      <c r="O108" s="1899"/>
      <c r="P108" s="1899">
        <f>ROUND(SUM(P84-P105),1)</f>
        <v>0</v>
      </c>
      <c r="Q108" s="1899"/>
      <c r="R108" s="1899">
        <f>ROUND(SUM(R84-R105),1)</f>
        <v>0</v>
      </c>
      <c r="S108" s="1899"/>
      <c r="T108" s="1899">
        <f>ROUND(SUM(T84-T105),1)</f>
        <v>0</v>
      </c>
      <c r="U108" s="1899"/>
      <c r="V108" s="1899">
        <f>ROUND(SUM(V84-V105),1)</f>
        <v>0</v>
      </c>
      <c r="W108" s="1899"/>
      <c r="X108" s="1899">
        <f>ROUND(SUM(X84-X105),1)</f>
        <v>0</v>
      </c>
      <c r="Y108" s="1899"/>
      <c r="Z108" s="1899">
        <f>ROUND(SUM(Z84-Z105),1)</f>
        <v>0</v>
      </c>
      <c r="AA108" s="1899"/>
      <c r="AB108" s="1899">
        <f>ROUND(SUM(AB84-AB105),1)</f>
        <v>0</v>
      </c>
      <c r="AC108" s="1899"/>
      <c r="AD108" s="259"/>
      <c r="AE108" s="1899">
        <f>ROUND(SUM(AE84-AE105),1)</f>
        <v>-735.1</v>
      </c>
      <c r="AF108" s="273"/>
      <c r="AG108" s="746"/>
      <c r="AH108" s="1899">
        <f>ROUND(SUM(AH84-AH105),1)</f>
        <v>-637.20000000000005</v>
      </c>
      <c r="AI108" s="523"/>
      <c r="AJ108" s="273"/>
      <c r="AK108" s="271">
        <f>ROUND(SUM(AE108-AH108),1)</f>
        <v>-97.9</v>
      </c>
      <c r="AL108" s="413"/>
      <c r="AM108" s="2855">
        <f>ROUND(SUM((-AE108-AH108)/AH108),3)</f>
        <v>-2.1539999999999999</v>
      </c>
      <c r="AN108" s="1607"/>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6"/>
      <c r="AJ109" s="249"/>
      <c r="AK109" s="1177"/>
      <c r="AL109" s="1895"/>
      <c r="AM109" s="2834"/>
      <c r="AN109" s="1607"/>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6"/>
      <c r="AJ110" s="249"/>
      <c r="AK110" s="1177"/>
      <c r="AL110" s="1895"/>
      <c r="AM110" s="2834"/>
      <c r="AN110" s="1607"/>
    </row>
    <row r="111" spans="1:40" ht="15" customHeight="1">
      <c r="A111" s="353"/>
      <c r="B111" s="223" t="s">
        <v>183</v>
      </c>
      <c r="C111" s="223"/>
      <c r="D111" s="274">
        <v>1795.2</v>
      </c>
      <c r="E111" s="261"/>
      <c r="F111" s="274">
        <v>859.1</v>
      </c>
      <c r="G111" s="261"/>
      <c r="H111" s="274"/>
      <c r="I111" s="261"/>
      <c r="J111" s="274"/>
      <c r="K111" s="261"/>
      <c r="L111" s="1333"/>
      <c r="M111" s="261"/>
      <c r="N111" s="1208"/>
      <c r="O111" s="261"/>
      <c r="P111" s="1208"/>
      <c r="Q111" s="261"/>
      <c r="R111" s="2135"/>
      <c r="S111" s="261"/>
      <c r="T111" s="274"/>
      <c r="U111" s="261"/>
      <c r="V111" s="274"/>
      <c r="W111" s="261"/>
      <c r="X111" s="274"/>
      <c r="Y111" s="261"/>
      <c r="Z111" s="274"/>
      <c r="AA111" s="274"/>
      <c r="AB111" s="274">
        <v>-25.2</v>
      </c>
      <c r="AC111" s="261"/>
      <c r="AD111" s="250"/>
      <c r="AE111" s="319">
        <f>ROUND(SUM(D111:AB111),1)</f>
        <v>2629.1</v>
      </c>
      <c r="AF111" s="1367"/>
      <c r="AG111" s="252"/>
      <c r="AH111" s="319">
        <v>1282.0999999999999</v>
      </c>
      <c r="AI111" s="516"/>
      <c r="AJ111" s="249"/>
      <c r="AK111" s="1177">
        <f>ROUND(SUM(+AE111-AH111),1)</f>
        <v>1347</v>
      </c>
      <c r="AL111" s="1177"/>
      <c r="AM111" s="2834">
        <f>ROUND(IF(AH111=0,0,AK111/(AH111)),3)</f>
        <v>1.0509999999999999</v>
      </c>
      <c r="AN111" s="1607"/>
    </row>
    <row r="112" spans="1:40" ht="15" customHeight="1">
      <c r="A112" s="353"/>
      <c r="B112" s="223" t="s">
        <v>181</v>
      </c>
      <c r="C112" s="223"/>
      <c r="D112" s="274">
        <v>-19</v>
      </c>
      <c r="E112" s="261"/>
      <c r="F112" s="274">
        <v>-297.10000000000002</v>
      </c>
      <c r="G112" s="261"/>
      <c r="H112" s="274"/>
      <c r="I112" s="261"/>
      <c r="J112" s="274"/>
      <c r="K112" s="261"/>
      <c r="L112" s="1333"/>
      <c r="M112" s="261"/>
      <c r="N112" s="1208"/>
      <c r="O112" s="261"/>
      <c r="P112" s="1208"/>
      <c r="Q112" s="261"/>
      <c r="R112" s="2135"/>
      <c r="S112" s="261"/>
      <c r="T112" s="274"/>
      <c r="U112" s="261"/>
      <c r="V112" s="274"/>
      <c r="W112" s="261"/>
      <c r="X112" s="274"/>
      <c r="Y112" s="261"/>
      <c r="Z112" s="274"/>
      <c r="AA112" s="274"/>
      <c r="AB112" s="1208">
        <v>0</v>
      </c>
      <c r="AC112" s="261"/>
      <c r="AD112" s="250"/>
      <c r="AE112" s="319">
        <f>ROUND(SUM(D112:AB112),1)</f>
        <v>-316.10000000000002</v>
      </c>
      <c r="AF112" s="249"/>
      <c r="AG112" s="252"/>
      <c r="AH112" s="1283">
        <v>-161.19999999999999</v>
      </c>
      <c r="AI112" s="516"/>
      <c r="AJ112" s="249"/>
      <c r="AK112" s="1921">
        <f>ROUND(SUM(+AE112-AH112)*-1,1)</f>
        <v>154.9</v>
      </c>
      <c r="AL112" s="1921"/>
      <c r="AM112" s="2834">
        <f>ROUND(IF(AH112=0,0,AK112/(AH112)),3)*-1</f>
        <v>0.96099999999999997</v>
      </c>
      <c r="AN112" s="1607"/>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6"/>
      <c r="AJ113" s="249"/>
      <c r="AK113" s="2767"/>
      <c r="AL113" s="1895"/>
      <c r="AM113" s="2853"/>
      <c r="AN113" s="1607"/>
    </row>
    <row r="114" spans="1:53" ht="15" customHeight="1">
      <c r="A114" s="353"/>
      <c r="B114" s="221" t="s">
        <v>1499</v>
      </c>
      <c r="C114" s="223"/>
      <c r="D114" s="1899">
        <f>ROUND(SUM(D111:D113),1)</f>
        <v>1776.2</v>
      </c>
      <c r="E114" s="1899"/>
      <c r="F114" s="1899">
        <f>ROUND(SUM(F111:F113),1)</f>
        <v>562</v>
      </c>
      <c r="G114" s="1899"/>
      <c r="H114" s="1899">
        <f>ROUND(SUM(H111:H113),1)</f>
        <v>0</v>
      </c>
      <c r="I114" s="1899"/>
      <c r="J114" s="1899">
        <f>ROUND(SUM(J111:J113),1)</f>
        <v>0</v>
      </c>
      <c r="K114" s="1899"/>
      <c r="L114" s="1899">
        <f>ROUND(SUM(L111:L113),1)</f>
        <v>0</v>
      </c>
      <c r="M114" s="1899"/>
      <c r="N114" s="1899">
        <f>ROUND(SUM(N111:N113),1)</f>
        <v>0</v>
      </c>
      <c r="O114" s="1899"/>
      <c r="P114" s="1899">
        <f>ROUND(SUM(P111:P113),1)</f>
        <v>0</v>
      </c>
      <c r="Q114" s="1899"/>
      <c r="R114" s="1899">
        <f>ROUND(SUM(R111:R113),1)</f>
        <v>0</v>
      </c>
      <c r="S114" s="1899"/>
      <c r="T114" s="1899">
        <f>ROUND(SUM(T111:T113),1)</f>
        <v>0</v>
      </c>
      <c r="U114" s="1899"/>
      <c r="V114" s="1899">
        <f>ROUND(SUM(V111:V113),1)</f>
        <v>0</v>
      </c>
      <c r="W114" s="1899"/>
      <c r="X114" s="1899">
        <f>ROUND(SUM(X111:X113),1)</f>
        <v>0</v>
      </c>
      <c r="Y114" s="1899"/>
      <c r="Z114" s="1899">
        <f>ROUND(SUM(Z111:Z113),1)</f>
        <v>0</v>
      </c>
      <c r="AA114" s="1899"/>
      <c r="AB114" s="1899">
        <f>ROUND(SUM(AB111:AB113),1)</f>
        <v>-25.2</v>
      </c>
      <c r="AC114" s="1899"/>
      <c r="AD114" s="259"/>
      <c r="AE114" s="1899">
        <f>ROUND(SUM(AE111:AE113),1)</f>
        <v>2313</v>
      </c>
      <c r="AF114" s="273"/>
      <c r="AG114" s="746"/>
      <c r="AH114" s="313">
        <f>ROUND(SUM(AH111:AH113),1)</f>
        <v>1120.9000000000001</v>
      </c>
      <c r="AI114" s="523"/>
      <c r="AJ114" s="273"/>
      <c r="AK114" s="271">
        <f>ROUND(SUM(AE114-AH114),1)</f>
        <v>1192.0999999999999</v>
      </c>
      <c r="AL114" s="369"/>
      <c r="AM114" s="2838">
        <f>ROUND(SUM((AE114-AH114)/AH114),3)</f>
        <v>1.0640000000000001</v>
      </c>
      <c r="AN114" s="2706"/>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6"/>
      <c r="AJ115" s="249"/>
      <c r="AK115" s="1177"/>
      <c r="AL115" s="1895"/>
      <c r="AM115" s="2834"/>
      <c r="AN115" s="1607"/>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6"/>
      <c r="AJ116" s="249"/>
      <c r="AK116" s="1177"/>
      <c r="AL116" s="1895"/>
      <c r="AM116" s="2834"/>
      <c r="AN116" s="1607"/>
    </row>
    <row r="117" spans="1:53" ht="15" customHeight="1">
      <c r="A117" s="353"/>
      <c r="B117" s="221" t="s">
        <v>173</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5"/>
      <c r="AI117" s="516"/>
      <c r="AJ117" s="249"/>
      <c r="AK117" s="1177"/>
      <c r="AL117" s="1895"/>
      <c r="AM117" s="2834"/>
      <c r="AN117" s="1607"/>
    </row>
    <row r="118" spans="1:53" ht="15" customHeight="1" thickBot="1">
      <c r="A118" s="353"/>
      <c r="B118" s="221" t="s">
        <v>1495</v>
      </c>
      <c r="C118" s="223"/>
      <c r="D118" s="504">
        <f>ROUND(SUM(D108+D114),1)</f>
        <v>1075.5999999999999</v>
      </c>
      <c r="E118" s="1899"/>
      <c r="F118" s="504">
        <f>ROUND(SUM(F108+F114),1)</f>
        <v>527.5</v>
      </c>
      <c r="G118" s="1899"/>
      <c r="H118" s="504">
        <f>ROUND(SUM(H108+H114),1)</f>
        <v>0</v>
      </c>
      <c r="I118" s="1899"/>
      <c r="J118" s="504">
        <f>ROUND(SUM(J108+J114),1)</f>
        <v>0</v>
      </c>
      <c r="K118" s="1899"/>
      <c r="L118" s="504">
        <f>ROUND(SUM(L108+L114),1)</f>
        <v>0</v>
      </c>
      <c r="M118" s="1899"/>
      <c r="N118" s="504">
        <f>ROUND(SUM(N108+N114),1)</f>
        <v>0</v>
      </c>
      <c r="O118" s="1899"/>
      <c r="P118" s="504">
        <f>ROUND(SUM(P108+P114),1)</f>
        <v>0</v>
      </c>
      <c r="Q118" s="1899"/>
      <c r="R118" s="504">
        <f>ROUND(SUM(R108+R114),1)</f>
        <v>0</v>
      </c>
      <c r="S118" s="1899"/>
      <c r="T118" s="504">
        <f>ROUND(SUM(T108+T114),1)</f>
        <v>0</v>
      </c>
      <c r="U118" s="1899"/>
      <c r="V118" s="504">
        <f>ROUND(SUM(V108+V114),1)</f>
        <v>0</v>
      </c>
      <c r="W118" s="1899"/>
      <c r="X118" s="504">
        <f>ROUND(SUM(X108+X114),1)</f>
        <v>0</v>
      </c>
      <c r="Y118" s="1899"/>
      <c r="Z118" s="504">
        <f>ROUND(SUM(Z108+Z114),1)</f>
        <v>0</v>
      </c>
      <c r="AA118" s="425"/>
      <c r="AB118" s="504">
        <f>ROUND(SUM(AB108+AB114),1)</f>
        <v>-25.2</v>
      </c>
      <c r="AC118" s="1899"/>
      <c r="AD118" s="259"/>
      <c r="AE118" s="504">
        <f>ROUND(SUM(AE108+AE114),1)</f>
        <v>1577.9</v>
      </c>
      <c r="AF118" s="273"/>
      <c r="AG118" s="746"/>
      <c r="AH118" s="504">
        <f>ROUND(SUM(AH108+AH114),1)</f>
        <v>483.7</v>
      </c>
      <c r="AI118" s="523"/>
      <c r="AJ118" s="273"/>
      <c r="AK118" s="504">
        <f>ROUND(SUM(AK108+AK114),1)</f>
        <v>1094.2</v>
      </c>
      <c r="AL118" s="413"/>
      <c r="AM118" s="2856">
        <f>ROUND(IF(AH118=0,0,AK118/(AH118))*1,3)</f>
        <v>2.262</v>
      </c>
      <c r="AN118" s="1607"/>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69"/>
      <c r="AL119" s="2769"/>
      <c r="AM119" s="2854"/>
      <c r="AN119" s="1607"/>
    </row>
    <row r="120" spans="1:53" ht="4.5" customHeight="1">
      <c r="A120" s="353"/>
      <c r="B120" s="223"/>
      <c r="C120" s="223"/>
      <c r="D120" s="548"/>
      <c r="E120" s="548"/>
      <c r="F120" s="548"/>
      <c r="G120" s="548"/>
      <c r="H120" s="548"/>
      <c r="I120" s="548"/>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8"/>
      <c r="AH120" s="548"/>
      <c r="AI120" s="548"/>
      <c r="AJ120" s="548"/>
      <c r="AK120" s="2770"/>
      <c r="AL120" s="2770"/>
      <c r="AM120" s="2857"/>
      <c r="AN120" s="1607"/>
      <c r="AO120" s="549"/>
      <c r="AP120" s="549"/>
      <c r="AQ120" s="549"/>
      <c r="AR120" s="549"/>
      <c r="AS120" s="549"/>
      <c r="AT120" s="549"/>
      <c r="AU120" s="549"/>
      <c r="AV120" s="549"/>
      <c r="AW120" s="549"/>
      <c r="AX120" s="549"/>
      <c r="AY120" s="549"/>
      <c r="AZ120" s="549"/>
      <c r="BA120" s="549"/>
    </row>
    <row r="121" spans="1:53" ht="15" customHeight="1">
      <c r="B121" s="1895" t="s">
        <v>1518</v>
      </c>
      <c r="C121" s="222"/>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2768"/>
      <c r="AL121" s="2768"/>
      <c r="AM121" s="2834"/>
      <c r="AN121" s="1607"/>
      <c r="AO121" s="549"/>
      <c r="AP121" s="549"/>
      <c r="AQ121" s="549"/>
      <c r="AR121" s="549"/>
      <c r="AS121" s="549"/>
      <c r="AT121" s="549"/>
      <c r="AU121" s="549"/>
      <c r="AV121" s="549"/>
      <c r="AW121" s="549"/>
      <c r="AX121" s="549"/>
      <c r="AY121" s="549"/>
      <c r="AZ121" s="549"/>
      <c r="BA121" s="549"/>
    </row>
    <row r="122" spans="1:53" ht="15" customHeight="1">
      <c r="B122" s="222"/>
      <c r="AM122" s="2858"/>
      <c r="AN122" s="1607"/>
    </row>
    <row r="123" spans="1:53" ht="15" customHeight="1">
      <c r="B123" s="222"/>
      <c r="AM123" s="2858"/>
      <c r="AN123" s="1607"/>
    </row>
    <row r="124" spans="1:53">
      <c r="AM124" s="2858"/>
      <c r="AN124" s="1607"/>
    </row>
    <row r="125" spans="1:53" ht="15" customHeight="1">
      <c r="AM125" s="2858"/>
      <c r="AN125" s="1607"/>
    </row>
    <row r="126" spans="1:53" ht="15" customHeight="1">
      <c r="D126" s="1895"/>
      <c r="F126" s="1895"/>
      <c r="H126" s="1895"/>
      <c r="AM126" s="2858"/>
      <c r="AN126" s="1607"/>
    </row>
    <row r="127" spans="1:53" ht="15" customHeight="1">
      <c r="AM127" s="1607"/>
      <c r="AN127" s="1607"/>
    </row>
    <row r="128" spans="1:53" ht="15" customHeight="1">
      <c r="AM128" s="1607"/>
      <c r="AN128" s="1607"/>
    </row>
    <row r="129" spans="39:40" ht="15" customHeight="1">
      <c r="AM129" s="1607"/>
      <c r="AN129" s="1607"/>
    </row>
    <row r="130" spans="39:40" ht="15" customHeight="1">
      <c r="AM130" s="1607"/>
      <c r="AN130" s="1607"/>
    </row>
    <row r="131" spans="39:40" ht="15" customHeight="1">
      <c r="AM131" s="1607"/>
      <c r="AN131" s="1607"/>
    </row>
    <row r="132" spans="39:40" ht="15" customHeight="1">
      <c r="AM132" s="1607"/>
      <c r="AN132" s="1607"/>
    </row>
    <row r="133" spans="39:40" ht="15" customHeight="1">
      <c r="AM133" s="1607"/>
      <c r="AN133" s="1607"/>
    </row>
    <row r="134" spans="39:40" ht="15" customHeight="1">
      <c r="AM134" s="1607"/>
      <c r="AN134" s="1607"/>
    </row>
    <row r="135" spans="39:40" ht="15" customHeight="1">
      <c r="AM135" s="1607"/>
      <c r="AN135" s="1607"/>
    </row>
    <row r="136" spans="39:40" ht="15" customHeight="1">
      <c r="AM136" s="1607"/>
      <c r="AN136" s="1607"/>
    </row>
    <row r="137" spans="39:40" ht="15" customHeight="1">
      <c r="AM137" s="1607"/>
      <c r="AN137" s="1607"/>
    </row>
    <row r="138" spans="39:40" ht="15" customHeight="1">
      <c r="AM138" s="1607"/>
      <c r="AN138" s="1607"/>
    </row>
    <row r="139" spans="39:40" ht="15" customHeight="1">
      <c r="AM139" s="1607"/>
      <c r="AN139" s="1607"/>
    </row>
    <row r="140" spans="39:40" ht="15" customHeight="1">
      <c r="AM140" s="1607"/>
      <c r="AN140" s="1607"/>
    </row>
    <row r="141" spans="39:40" ht="15" customHeight="1">
      <c r="AM141" s="1607"/>
      <c r="AN141" s="1607"/>
    </row>
    <row r="142" spans="39:40" ht="15" customHeight="1">
      <c r="AM142" s="1607"/>
      <c r="AN142" s="1607"/>
    </row>
    <row r="143" spans="39:40" ht="15" customHeight="1">
      <c r="AM143" s="1607"/>
      <c r="AN143" s="1607"/>
    </row>
    <row r="144" spans="39:40" ht="15" customHeight="1">
      <c r="AM144" s="1607"/>
      <c r="AN144" s="1607"/>
    </row>
    <row r="145" spans="39:40" ht="15" customHeight="1">
      <c r="AM145" s="1607"/>
      <c r="AN145" s="1607"/>
    </row>
    <row r="146" spans="39:40" ht="15" customHeight="1">
      <c r="AM146" s="1607"/>
      <c r="AN146" s="1607"/>
    </row>
    <row r="147" spans="39:40" ht="15" customHeight="1">
      <c r="AM147" s="1607"/>
      <c r="AN147" s="1607"/>
    </row>
    <row r="148" spans="39:40" ht="15" customHeight="1">
      <c r="AM148" s="1607"/>
      <c r="AN148" s="1607"/>
    </row>
    <row r="149" spans="39:40" ht="15" customHeight="1">
      <c r="AM149" s="1607"/>
      <c r="AN149" s="1607"/>
    </row>
    <row r="150" spans="39:40" ht="15" customHeight="1">
      <c r="AM150" s="1607"/>
      <c r="AN150" s="1607"/>
    </row>
    <row r="151" spans="39:40" ht="15" customHeight="1">
      <c r="AM151" s="1607"/>
      <c r="AN151" s="1607"/>
    </row>
    <row r="152" spans="39:40" ht="15" customHeight="1">
      <c r="AM152" s="1607"/>
      <c r="AN152" s="1607"/>
    </row>
    <row r="153" spans="39:40" ht="15" customHeight="1">
      <c r="AM153" s="1607"/>
      <c r="AN153" s="1607"/>
    </row>
    <row r="154" spans="39:40" ht="15" customHeight="1">
      <c r="AM154" s="1607"/>
      <c r="AN154" s="1607"/>
    </row>
    <row r="155" spans="39:40" ht="15" customHeight="1">
      <c r="AM155" s="1607"/>
      <c r="AN155" s="1607"/>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4" orientation="landscape" useFirstPageNumber="1" r:id="rId2"/>
  <headerFooter scaleWithDoc="0" alignWithMargins="0">
    <oddFooter>&amp;C&amp;8&amp;P</oddFooter>
  </headerFooter>
  <rowBreaks count="1" manualBreakCount="1">
    <brk id="80" min="1" max="38" man="1"/>
  </rowBreaks>
  <ignoredErrors>
    <ignoredError sqref="AM82 AM20:AM30 AM44 AM56 AM49 AM61 AM68 AM37:AM42 AM32:AM35" unlockedFormula="1"/>
    <ignoredError sqref="AM80" evalError="1"/>
    <ignoredError sqref="AM72" formula="1"/>
    <ignoredError sqref="AM31" formula="1" unlockedFormula="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60" workbookViewId="0"/>
  </sheetViews>
  <sheetFormatPr defaultColWidth="8.88671875" defaultRowHeight="12.75"/>
  <cols>
    <col min="1" max="1" width="1.6640625" style="458" customWidth="1"/>
    <col min="2" max="2" width="44.88671875" style="458" customWidth="1"/>
    <col min="3" max="3" width="1.6640625" style="458" customWidth="1"/>
    <col min="4" max="4" width="15.109375" style="458" bestFit="1" customWidth="1"/>
    <col min="5" max="5" width="1.6640625" style="458" customWidth="1"/>
    <col min="6" max="6" width="12" style="458" customWidth="1"/>
    <col min="7" max="7" width="1.6640625" style="458" customWidth="1"/>
    <col min="8" max="8" width="11.109375" style="458" bestFit="1" customWidth="1"/>
    <col min="9" max="9" width="1.6640625" style="458" customWidth="1"/>
    <col min="10" max="10" width="10.5546875" style="458" customWidth="1"/>
    <col min="11" max="11" width="1.6640625" style="458" customWidth="1"/>
    <col min="12" max="12" width="11.33203125" style="458" customWidth="1"/>
    <col min="13" max="13" width="1.6640625" style="458" customWidth="1"/>
    <col min="14" max="14" width="12.21875" style="458" customWidth="1"/>
    <col min="15" max="15" width="1.6640625" style="458" customWidth="1"/>
    <col min="16" max="16" width="11" style="458" bestFit="1" customWidth="1"/>
    <col min="17" max="17" width="1.6640625" style="458" customWidth="1"/>
    <col min="18" max="18" width="11.5546875" style="458" bestFit="1" customWidth="1"/>
    <col min="19" max="19" width="1.6640625" style="458" customWidth="1"/>
    <col min="20" max="20" width="11.44140625" style="458" customWidth="1"/>
    <col min="21" max="21" width="1.6640625" style="458" customWidth="1"/>
    <col min="22" max="22" width="10.109375" style="458" bestFit="1" customWidth="1"/>
    <col min="23" max="23" width="1.6640625" style="458" customWidth="1"/>
    <col min="24" max="24" width="11.109375" style="458" bestFit="1" customWidth="1"/>
    <col min="25" max="25" width="1.6640625" style="458" customWidth="1"/>
    <col min="26" max="26" width="8.6640625" style="458" customWidth="1"/>
    <col min="27" max="27" width="1" style="458" customWidth="1"/>
    <col min="28" max="28" width="12.33203125" style="458" customWidth="1"/>
    <col min="29" max="30" width="1.6640625" style="458" customWidth="1"/>
    <col min="31" max="31" width="12.21875" style="458" customWidth="1"/>
    <col min="32" max="33" width="1.33203125" style="458" customWidth="1"/>
    <col min="34" max="34" width="11.77734375" style="458" customWidth="1"/>
    <col min="35" max="35" width="1.44140625" style="458" customWidth="1"/>
    <col min="36" max="36" width="0.77734375" style="458" customWidth="1"/>
    <col min="37" max="37" width="13.109375" style="458" bestFit="1" customWidth="1"/>
    <col min="38" max="38" width="0.6640625" style="458" customWidth="1"/>
    <col min="39" max="39" width="13.6640625" style="1607" bestFit="1" customWidth="1"/>
    <col min="40" max="16384" width="8.88671875" style="458"/>
  </cols>
  <sheetData>
    <row r="1" spans="1:42" ht="15">
      <c r="B1" s="1190" t="s">
        <v>1231</v>
      </c>
    </row>
    <row r="2" spans="1:42" ht="15.75">
      <c r="A2" s="457"/>
      <c r="M2" s="221"/>
      <c r="N2" s="221"/>
      <c r="O2" s="502"/>
    </row>
    <row r="3" spans="1:42" ht="18">
      <c r="A3" s="457"/>
      <c r="B3" s="462" t="s">
        <v>0</v>
      </c>
      <c r="M3" s="221"/>
      <c r="N3" s="221"/>
      <c r="O3" s="502"/>
      <c r="AG3" s="535"/>
      <c r="AH3" s="535"/>
      <c r="AI3" s="535"/>
      <c r="AJ3" s="535"/>
      <c r="AK3" s="535"/>
      <c r="AL3" s="535"/>
      <c r="AM3" s="465" t="s">
        <v>175</v>
      </c>
    </row>
    <row r="4" spans="1:42" ht="18">
      <c r="A4" s="457"/>
      <c r="B4" s="462" t="s">
        <v>184</v>
      </c>
      <c r="L4" s="221"/>
      <c r="M4" s="221"/>
      <c r="O4" s="502"/>
    </row>
    <row r="5" spans="1:42" ht="18">
      <c r="A5" s="457"/>
      <c r="B5" s="467" t="s">
        <v>1476</v>
      </c>
      <c r="L5" s="502"/>
      <c r="M5" s="502"/>
      <c r="O5" s="502"/>
      <c r="X5" s="536"/>
    </row>
    <row r="6" spans="1:42" ht="20.25">
      <c r="A6" s="457"/>
      <c r="B6" s="467" t="s">
        <v>1541</v>
      </c>
      <c r="L6" s="502"/>
      <c r="M6" s="502"/>
      <c r="O6" s="502"/>
      <c r="AM6" s="1608"/>
    </row>
    <row r="7" spans="1:42" ht="18">
      <c r="A7" s="457"/>
      <c r="B7" s="462" t="s">
        <v>1483</v>
      </c>
      <c r="AJ7" s="353"/>
      <c r="AK7" s="353"/>
      <c r="AL7" s="353"/>
      <c r="AM7" s="1609"/>
    </row>
    <row r="8" spans="1:42" ht="13.5" customHeight="1">
      <c r="A8" s="457"/>
      <c r="B8" s="550"/>
      <c r="AJ8" s="353"/>
      <c r="AK8" s="353"/>
      <c r="AL8" s="353"/>
      <c r="AM8" s="1609"/>
    </row>
    <row r="9" spans="1:42" ht="19.5" customHeight="1">
      <c r="A9" s="457"/>
      <c r="L9" s="502"/>
      <c r="M9" s="502"/>
      <c r="N9" s="502"/>
      <c r="O9" s="502"/>
      <c r="AD9" s="551"/>
      <c r="AE9" s="538"/>
      <c r="AF9" s="538"/>
      <c r="AG9" s="3518" t="str">
        <f>+'Exhibit G'!AF10</f>
        <v>2 Months Ended May 31</v>
      </c>
      <c r="AH9" s="3518"/>
      <c r="AI9" s="3518"/>
      <c r="AJ9" s="3518"/>
      <c r="AK9" s="3518"/>
      <c r="AL9" s="537"/>
      <c r="AM9" s="1610"/>
    </row>
    <row r="10" spans="1:42" ht="19.5" customHeight="1">
      <c r="A10" s="457"/>
      <c r="B10" s="552"/>
      <c r="D10" s="1531"/>
      <c r="E10" s="1531"/>
      <c r="F10" s="1531"/>
      <c r="G10" s="1531"/>
      <c r="H10" s="1531"/>
      <c r="I10" s="1531"/>
      <c r="J10" s="1531"/>
      <c r="K10" s="1531"/>
      <c r="L10" s="1532"/>
      <c r="M10" s="1532"/>
      <c r="N10" s="1532"/>
      <c r="O10" s="1532"/>
      <c r="P10" s="1531"/>
      <c r="Q10" s="1531"/>
      <c r="R10" s="1531"/>
      <c r="S10" s="1531"/>
      <c r="T10" s="1531"/>
      <c r="U10" s="1531"/>
      <c r="V10" s="1531"/>
      <c r="W10" s="1531"/>
      <c r="X10" s="1531"/>
      <c r="Y10" s="1531"/>
      <c r="Z10" s="1531"/>
      <c r="AA10" s="1531"/>
      <c r="AB10" s="1526" t="s">
        <v>1468</v>
      </c>
      <c r="AC10" s="1531"/>
      <c r="AD10" s="1535"/>
      <c r="AE10" s="1531"/>
      <c r="AF10" s="1531"/>
      <c r="AG10" s="1531"/>
      <c r="AH10" s="1531"/>
      <c r="AI10" s="1531"/>
      <c r="AJ10" s="1531"/>
      <c r="AK10" s="1531"/>
      <c r="AL10" s="1531"/>
      <c r="AM10" s="1611"/>
      <c r="AN10" s="1531"/>
      <c r="AO10" s="1531"/>
      <c r="AP10" s="1531"/>
    </row>
    <row r="11" spans="1:42" ht="13.5" customHeight="1">
      <c r="A11" s="457"/>
      <c r="B11" s="222"/>
      <c r="C11" s="222"/>
      <c r="D11" s="1519">
        <v>2015</v>
      </c>
      <c r="E11" s="221"/>
      <c r="F11" s="221"/>
      <c r="G11" s="221"/>
      <c r="H11" s="221"/>
      <c r="I11" s="221"/>
      <c r="J11" s="221"/>
      <c r="K11" s="221"/>
      <c r="L11" s="221"/>
      <c r="M11" s="221"/>
      <c r="N11" s="221"/>
      <c r="O11" s="221"/>
      <c r="P11" s="221"/>
      <c r="Q11" s="221"/>
      <c r="R11" s="221"/>
      <c r="S11" s="221"/>
      <c r="T11" s="221"/>
      <c r="U11" s="221"/>
      <c r="V11" s="1519">
        <v>2016</v>
      </c>
      <c r="W11" s="221"/>
      <c r="X11" s="221"/>
      <c r="Y11" s="221"/>
      <c r="Z11" s="221"/>
      <c r="AA11" s="221"/>
      <c r="AB11" s="1526" t="s">
        <v>1469</v>
      </c>
      <c r="AC11" s="221"/>
      <c r="AD11" s="221"/>
      <c r="AE11" s="414"/>
      <c r="AF11" s="414"/>
      <c r="AG11" s="414"/>
      <c r="AH11" s="414"/>
      <c r="AI11" s="414"/>
      <c r="AJ11" s="413"/>
      <c r="AK11" s="1526" t="s">
        <v>8</v>
      </c>
      <c r="AL11" s="1526"/>
      <c r="AM11" s="1612" t="s">
        <v>9</v>
      </c>
      <c r="AN11" s="1531"/>
      <c r="AO11" s="1531"/>
      <c r="AP11" s="1531"/>
    </row>
    <row r="12" spans="1:42" ht="15.75">
      <c r="A12" s="457"/>
      <c r="B12" s="222"/>
      <c r="C12" s="222"/>
      <c r="D12" s="1505" t="s">
        <v>129</v>
      </c>
      <c r="E12" s="221"/>
      <c r="F12" s="1505" t="s">
        <v>130</v>
      </c>
      <c r="G12" s="221"/>
      <c r="H12" s="1505" t="s">
        <v>131</v>
      </c>
      <c r="I12" s="221"/>
      <c r="J12" s="1505" t="s">
        <v>132</v>
      </c>
      <c r="K12" s="221"/>
      <c r="L12" s="1505" t="s">
        <v>133</v>
      </c>
      <c r="M12" s="221"/>
      <c r="N12" s="1505" t="s">
        <v>134</v>
      </c>
      <c r="O12" s="221"/>
      <c r="P12" s="1505" t="s">
        <v>135</v>
      </c>
      <c r="Q12" s="221"/>
      <c r="R12" s="1505" t="s">
        <v>136</v>
      </c>
      <c r="S12" s="221"/>
      <c r="T12" s="1505" t="s">
        <v>137</v>
      </c>
      <c r="U12" s="221"/>
      <c r="V12" s="1505" t="s">
        <v>154</v>
      </c>
      <c r="W12" s="221"/>
      <c r="X12" s="1505" t="s">
        <v>139</v>
      </c>
      <c r="Y12" s="221"/>
      <c r="Z12" s="1505" t="s">
        <v>140</v>
      </c>
      <c r="AA12" s="1505"/>
      <c r="AB12" s="2106" t="s">
        <v>1470</v>
      </c>
      <c r="AC12" s="221"/>
      <c r="AD12" s="221"/>
      <c r="AE12" s="1519">
        <v>2015</v>
      </c>
      <c r="AF12" s="1519"/>
      <c r="AG12" s="221" t="s">
        <v>16</v>
      </c>
      <c r="AH12" s="1519">
        <v>2014</v>
      </c>
      <c r="AI12" s="1504"/>
      <c r="AJ12" s="413"/>
      <c r="AK12" s="1534" t="s">
        <v>13</v>
      </c>
      <c r="AL12" s="1524"/>
      <c r="AM12" s="1613" t="s">
        <v>14</v>
      </c>
      <c r="AN12" s="1531"/>
      <c r="AO12" s="1531"/>
      <c r="AP12" s="1531"/>
    </row>
    <row r="13" spans="1:42" ht="15">
      <c r="A13" s="457"/>
      <c r="B13" s="222"/>
      <c r="C13" s="222"/>
      <c r="D13" s="235"/>
      <c r="E13" s="222"/>
      <c r="F13" s="235"/>
      <c r="G13" s="222"/>
      <c r="H13" s="235"/>
      <c r="I13" s="222"/>
      <c r="J13" s="235"/>
      <c r="K13" s="222"/>
      <c r="L13" s="235"/>
      <c r="M13" s="222"/>
      <c r="N13" s="510"/>
      <c r="O13" s="222"/>
      <c r="P13" s="235"/>
      <c r="Q13" s="222"/>
      <c r="R13" s="235"/>
      <c r="S13" s="222"/>
      <c r="T13" s="235"/>
      <c r="U13" s="222"/>
      <c r="V13" s="235"/>
      <c r="W13" s="222"/>
      <c r="X13" s="235"/>
      <c r="Y13" s="222"/>
      <c r="Z13" s="235"/>
      <c r="AA13" s="229"/>
      <c r="AB13" s="229"/>
      <c r="AC13" s="222"/>
      <c r="AD13" s="2101"/>
      <c r="AE13" s="235"/>
      <c r="AF13" s="235"/>
      <c r="AG13" s="2101"/>
      <c r="AH13" s="235"/>
      <c r="AI13" s="229"/>
      <c r="AJ13" s="511"/>
      <c r="AK13" s="222"/>
      <c r="AL13" s="222"/>
      <c r="AM13" s="500"/>
    </row>
    <row r="14" spans="1:42" ht="15">
      <c r="A14" s="457"/>
      <c r="B14" s="222"/>
      <c r="C14" s="222"/>
      <c r="D14" s="229"/>
      <c r="E14" s="222"/>
      <c r="F14" s="229"/>
      <c r="G14" s="222"/>
      <c r="H14" s="229"/>
      <c r="I14" s="222"/>
      <c r="J14" s="229"/>
      <c r="K14" s="222"/>
      <c r="L14" s="229"/>
      <c r="M14" s="222"/>
      <c r="N14" s="2100"/>
      <c r="O14" s="222"/>
      <c r="P14" s="229"/>
      <c r="Q14" s="222"/>
      <c r="R14" s="229"/>
      <c r="S14" s="222"/>
      <c r="T14" s="229"/>
      <c r="U14" s="222"/>
      <c r="V14" s="229"/>
      <c r="W14" s="222"/>
      <c r="X14" s="229"/>
      <c r="Y14" s="222"/>
      <c r="Z14" s="229"/>
      <c r="AA14" s="229"/>
      <c r="AB14" s="229"/>
      <c r="AC14" s="222"/>
      <c r="AD14" s="2101"/>
      <c r="AE14" s="229"/>
      <c r="AF14" s="229"/>
      <c r="AG14" s="2101"/>
      <c r="AH14" s="229"/>
      <c r="AI14" s="229"/>
      <c r="AJ14" s="511"/>
      <c r="AK14" s="222"/>
      <c r="AL14" s="222"/>
      <c r="AM14" s="500"/>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40"/>
      <c r="AH15" s="222"/>
      <c r="AI15" s="515"/>
      <c r="AJ15" s="229"/>
      <c r="AK15" s="541"/>
      <c r="AL15" s="541"/>
      <c r="AM15" s="554"/>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4"/>
      <c r="AE16" s="261"/>
      <c r="AF16" s="484"/>
      <c r="AG16" s="542"/>
      <c r="AH16" s="373"/>
      <c r="AI16" s="544"/>
      <c r="AJ16" s="229"/>
      <c r="AK16" s="1921"/>
      <c r="AL16" s="1177"/>
      <c r="AM16" s="1871"/>
    </row>
    <row r="17" spans="1:40" ht="15" customHeight="1">
      <c r="A17" s="353"/>
      <c r="B17" s="491" t="s">
        <v>1308</v>
      </c>
      <c r="C17" s="223"/>
      <c r="D17" s="274"/>
      <c r="E17" s="368"/>
      <c r="F17" s="373"/>
      <c r="G17" s="368"/>
      <c r="H17" s="342"/>
      <c r="I17" s="368"/>
      <c r="J17" s="342"/>
      <c r="K17" s="368"/>
      <c r="L17" s="342"/>
      <c r="M17" s="368"/>
      <c r="N17" s="342"/>
      <c r="O17" s="368"/>
      <c r="P17" s="553"/>
      <c r="Q17" s="368"/>
      <c r="R17" s="372"/>
      <c r="S17" s="368"/>
      <c r="T17" s="373"/>
      <c r="U17" s="368"/>
      <c r="V17" s="274"/>
      <c r="W17" s="261"/>
      <c r="X17" s="274"/>
      <c r="Y17" s="261"/>
      <c r="Z17" s="274"/>
      <c r="AA17" s="274"/>
      <c r="AB17" s="274"/>
      <c r="AC17" s="368"/>
      <c r="AD17" s="474"/>
      <c r="AE17" s="261"/>
      <c r="AF17" s="261"/>
      <c r="AG17" s="252"/>
      <c r="AH17" s="261"/>
      <c r="AI17" s="516"/>
      <c r="AJ17" s="249"/>
      <c r="AK17" s="1921"/>
      <c r="AL17" s="1921"/>
      <c r="AM17" s="1274"/>
    </row>
    <row r="18" spans="1:40" ht="15" customHeight="1">
      <c r="A18" s="353"/>
      <c r="B18" s="1837" t="s">
        <v>1436</v>
      </c>
      <c r="C18" s="223"/>
      <c r="D18" s="274"/>
      <c r="E18" s="368"/>
      <c r="F18" s="373"/>
      <c r="G18" s="368"/>
      <c r="H18" s="342"/>
      <c r="I18" s="368"/>
      <c r="J18" s="342"/>
      <c r="K18" s="368"/>
      <c r="L18" s="342"/>
      <c r="M18" s="368"/>
      <c r="N18" s="342"/>
      <c r="O18" s="368"/>
      <c r="P18" s="553"/>
      <c r="Q18" s="368"/>
      <c r="R18" s="372"/>
      <c r="S18" s="368"/>
      <c r="T18" s="373"/>
      <c r="U18" s="368"/>
      <c r="V18" s="274"/>
      <c r="W18" s="261"/>
      <c r="X18" s="274"/>
      <c r="Y18" s="261"/>
      <c r="Z18" s="274"/>
      <c r="AA18" s="274"/>
      <c r="AB18" s="274"/>
      <c r="AC18" s="368"/>
      <c r="AD18" s="474"/>
      <c r="AE18" s="261"/>
      <c r="AF18" s="261"/>
      <c r="AG18" s="252"/>
      <c r="AH18" s="261"/>
      <c r="AI18" s="516"/>
      <c r="AJ18" s="249"/>
      <c r="AK18" s="1921"/>
      <c r="AL18" s="1921"/>
      <c r="AM18" s="1274"/>
    </row>
    <row r="19" spans="1:40" ht="15" customHeight="1">
      <c r="A19" s="353"/>
      <c r="B19" s="1837" t="s">
        <v>1341</v>
      </c>
      <c r="C19" s="223"/>
      <c r="D19" s="1838">
        <v>0</v>
      </c>
      <c r="E19" s="1839"/>
      <c r="F19" s="2813">
        <v>0</v>
      </c>
      <c r="G19" s="1839"/>
      <c r="H19" s="1839"/>
      <c r="I19" s="1839"/>
      <c r="J19" s="1839"/>
      <c r="K19" s="1258"/>
      <c r="L19" s="1839"/>
      <c r="M19" s="1258"/>
      <c r="N19" s="1839"/>
      <c r="O19" s="1721"/>
      <c r="P19" s="1839"/>
      <c r="Q19" s="1721"/>
      <c r="R19" s="1839"/>
      <c r="S19" s="1721"/>
      <c r="T19" s="1933"/>
      <c r="U19" s="1721"/>
      <c r="V19" s="1260"/>
      <c r="W19" s="1177"/>
      <c r="X19" s="1260"/>
      <c r="Y19" s="1177"/>
      <c r="Z19" s="1260"/>
      <c r="AA19" s="1333"/>
      <c r="AB19" s="261">
        <v>0</v>
      </c>
      <c r="AC19" s="1721"/>
      <c r="AD19" s="2719"/>
      <c r="AE19" s="1839">
        <f>ROUND(SUM(D19:AB19),1)</f>
        <v>0</v>
      </c>
      <c r="AF19" s="1177"/>
      <c r="AG19" s="2754"/>
      <c r="AH19" s="1839">
        <v>0</v>
      </c>
      <c r="AI19" s="2720"/>
      <c r="AJ19" s="1921"/>
      <c r="AK19" s="1839">
        <f>ROUND(SUM(+AE19-AH19),1)</f>
        <v>0</v>
      </c>
      <c r="AL19" s="1921"/>
      <c r="AM19" s="2843">
        <f>ROUND(IF(AH19=0,0,AK19/(AH19)),3)</f>
        <v>0</v>
      </c>
    </row>
    <row r="20" spans="1:40" ht="15" customHeight="1">
      <c r="A20" s="353"/>
      <c r="B20" s="1837" t="s">
        <v>1437</v>
      </c>
      <c r="C20" s="223"/>
      <c r="D20" s="274"/>
      <c r="E20" s="368"/>
      <c r="F20" s="373"/>
      <c r="G20" s="368"/>
      <c r="H20" s="342"/>
      <c r="I20" s="368"/>
      <c r="J20" s="342"/>
      <c r="K20" s="368"/>
      <c r="L20" s="342"/>
      <c r="M20" s="368"/>
      <c r="N20" s="274"/>
      <c r="O20" s="368"/>
      <c r="P20" s="553"/>
      <c r="Q20" s="368"/>
      <c r="R20" s="372"/>
      <c r="S20" s="368"/>
      <c r="T20" s="373"/>
      <c r="U20" s="368"/>
      <c r="V20" s="274"/>
      <c r="W20" s="261"/>
      <c r="X20" s="274"/>
      <c r="Y20" s="261"/>
      <c r="Z20" s="274"/>
      <c r="AA20" s="274"/>
      <c r="AB20" s="261"/>
      <c r="AC20" s="368"/>
      <c r="AD20" s="474"/>
      <c r="AE20" s="261"/>
      <c r="AF20" s="261"/>
      <c r="AG20" s="252"/>
      <c r="AH20" s="261"/>
      <c r="AI20" s="516"/>
      <c r="AJ20" s="249"/>
      <c r="AK20" s="1921"/>
      <c r="AL20" s="1921"/>
      <c r="AM20" s="2854"/>
    </row>
    <row r="21" spans="1:40" ht="15" customHeight="1">
      <c r="A21" s="353"/>
      <c r="B21" s="1837" t="s">
        <v>1343</v>
      </c>
      <c r="C21" s="223"/>
      <c r="D21" s="274">
        <v>3.6</v>
      </c>
      <c r="E21" s="368"/>
      <c r="F21" s="373">
        <v>41.2</v>
      </c>
      <c r="G21" s="368"/>
      <c r="H21" s="319"/>
      <c r="I21" s="368"/>
      <c r="J21" s="319"/>
      <c r="K21" s="368"/>
      <c r="L21" s="319"/>
      <c r="M21" s="368"/>
      <c r="N21" s="1208"/>
      <c r="O21" s="368"/>
      <c r="P21" s="1208"/>
      <c r="Q21" s="368"/>
      <c r="R21" s="1208"/>
      <c r="S21" s="368"/>
      <c r="T21" s="373"/>
      <c r="U21" s="368"/>
      <c r="V21" s="274"/>
      <c r="W21" s="261"/>
      <c r="X21" s="274"/>
      <c r="Y21" s="261"/>
      <c r="Z21" s="274"/>
      <c r="AA21" s="274"/>
      <c r="AB21" s="261">
        <v>0</v>
      </c>
      <c r="AC21" s="368"/>
      <c r="AD21" s="474"/>
      <c r="AE21" s="261">
        <f>ROUND(SUM(D21:AB21),1)</f>
        <v>44.8</v>
      </c>
      <c r="AF21" s="261"/>
      <c r="AG21" s="252"/>
      <c r="AH21" s="261">
        <v>33.9</v>
      </c>
      <c r="AI21" s="516"/>
      <c r="AJ21" s="249"/>
      <c r="AK21" s="1921">
        <f t="shared" ref="AK21:AK51" si="0">ROUND(SUM(+AE21-AH21),1)</f>
        <v>10.9</v>
      </c>
      <c r="AL21" s="1921"/>
      <c r="AM21" s="2843">
        <f>ROUND(IF(AH21=0,0,AK21/(AH21)),3)</f>
        <v>0.32200000000000001</v>
      </c>
      <c r="AN21" s="2699"/>
    </row>
    <row r="22" spans="1:40" ht="15" customHeight="1">
      <c r="A22" s="353"/>
      <c r="B22" s="1837" t="s">
        <v>1344</v>
      </c>
      <c r="C22" s="223"/>
      <c r="D22" s="274">
        <v>0</v>
      </c>
      <c r="E22" s="368"/>
      <c r="F22" s="373">
        <v>0</v>
      </c>
      <c r="G22" s="368"/>
      <c r="H22" s="319"/>
      <c r="I22" s="368"/>
      <c r="J22" s="319"/>
      <c r="K22" s="368"/>
      <c r="L22" s="319"/>
      <c r="M22" s="368"/>
      <c r="N22" s="1208"/>
      <c r="O22" s="368"/>
      <c r="P22" s="1208"/>
      <c r="Q22" s="368"/>
      <c r="R22" s="1208"/>
      <c r="S22" s="368"/>
      <c r="T22" s="373"/>
      <c r="U22" s="368"/>
      <c r="V22" s="274"/>
      <c r="W22" s="261"/>
      <c r="X22" s="274"/>
      <c r="Y22" s="261"/>
      <c r="Z22" s="274"/>
      <c r="AA22" s="274"/>
      <c r="AB22" s="261">
        <v>0</v>
      </c>
      <c r="AC22" s="368"/>
      <c r="AD22" s="474"/>
      <c r="AE22" s="261">
        <f>ROUND(SUM(D22:AB22),1)</f>
        <v>0</v>
      </c>
      <c r="AF22" s="261"/>
      <c r="AG22" s="252"/>
      <c r="AH22" s="261">
        <v>0</v>
      </c>
      <c r="AI22" s="516"/>
      <c r="AJ22" s="249"/>
      <c r="AK22" s="1921">
        <f t="shared" si="0"/>
        <v>0</v>
      </c>
      <c r="AL22" s="1921"/>
      <c r="AM22" s="2843">
        <f>ROUND(IF(AH22=0,0,AK22/(AH22)),3)</f>
        <v>0</v>
      </c>
    </row>
    <row r="23" spans="1:40" ht="15" customHeight="1">
      <c r="A23" s="353"/>
      <c r="B23" s="1837" t="s">
        <v>1345</v>
      </c>
      <c r="C23" s="223"/>
      <c r="D23" s="274">
        <v>0</v>
      </c>
      <c r="E23" s="368"/>
      <c r="F23" s="373">
        <v>0</v>
      </c>
      <c r="G23" s="368"/>
      <c r="H23" s="319"/>
      <c r="I23" s="368"/>
      <c r="J23" s="319"/>
      <c r="K23" s="368"/>
      <c r="L23" s="319"/>
      <c r="M23" s="368"/>
      <c r="N23" s="1208"/>
      <c r="O23" s="368"/>
      <c r="P23" s="1208"/>
      <c r="Q23" s="368"/>
      <c r="R23" s="1208"/>
      <c r="S23" s="368"/>
      <c r="T23" s="373"/>
      <c r="U23" s="368"/>
      <c r="V23" s="274"/>
      <c r="W23" s="261"/>
      <c r="X23" s="274"/>
      <c r="Y23" s="261"/>
      <c r="Z23" s="274"/>
      <c r="AA23" s="274"/>
      <c r="AB23" s="261">
        <v>0</v>
      </c>
      <c r="AC23" s="368"/>
      <c r="AD23" s="474"/>
      <c r="AE23" s="261">
        <f>ROUND(SUM(D23:AB23),1)</f>
        <v>0</v>
      </c>
      <c r="AF23" s="261"/>
      <c r="AG23" s="252"/>
      <c r="AH23" s="261">
        <v>0</v>
      </c>
      <c r="AI23" s="516"/>
      <c r="AJ23" s="249"/>
      <c r="AK23" s="1921">
        <f t="shared" si="0"/>
        <v>0</v>
      </c>
      <c r="AL23" s="1921"/>
      <c r="AM23" s="2843">
        <f t="shared" ref="AM23:AM31" si="1">ROUND(IF(AH23=0,0,AK23/(AH23)),3)</f>
        <v>0</v>
      </c>
    </row>
    <row r="24" spans="1:40" ht="15" customHeight="1">
      <c r="A24" s="353"/>
      <c r="B24" s="1837" t="s">
        <v>1346</v>
      </c>
      <c r="C24" s="223"/>
      <c r="D24" s="274">
        <v>0</v>
      </c>
      <c r="E24" s="368"/>
      <c r="F24" s="373">
        <v>0</v>
      </c>
      <c r="G24" s="368"/>
      <c r="H24" s="319"/>
      <c r="I24" s="368"/>
      <c r="J24" s="319"/>
      <c r="K24" s="368"/>
      <c r="L24" s="319"/>
      <c r="M24" s="368"/>
      <c r="N24" s="1208"/>
      <c r="O24" s="368"/>
      <c r="P24" s="1208"/>
      <c r="Q24" s="368"/>
      <c r="R24" s="1208"/>
      <c r="S24" s="368"/>
      <c r="T24" s="373"/>
      <c r="U24" s="368"/>
      <c r="V24" s="274"/>
      <c r="W24" s="261"/>
      <c r="X24" s="274"/>
      <c r="Y24" s="261"/>
      <c r="Z24" s="274"/>
      <c r="AA24" s="274"/>
      <c r="AB24" s="261">
        <v>0</v>
      </c>
      <c r="AC24" s="368"/>
      <c r="AD24" s="474"/>
      <c r="AE24" s="261">
        <f>ROUND(SUM(D24:AB24),1)</f>
        <v>0</v>
      </c>
      <c r="AF24" s="261"/>
      <c r="AG24" s="252"/>
      <c r="AH24" s="261">
        <v>0</v>
      </c>
      <c r="AI24" s="516"/>
      <c r="AJ24" s="249"/>
      <c r="AK24" s="1921">
        <f t="shared" si="0"/>
        <v>0</v>
      </c>
      <c r="AL24" s="1921"/>
      <c r="AM24" s="2843">
        <f t="shared" si="1"/>
        <v>0</v>
      </c>
    </row>
    <row r="25" spans="1:40" ht="15" customHeight="1">
      <c r="A25" s="353"/>
      <c r="B25" s="1837" t="s">
        <v>1442</v>
      </c>
      <c r="C25" s="223"/>
      <c r="D25" s="274"/>
      <c r="E25" s="368"/>
      <c r="F25" s="373"/>
      <c r="G25" s="368"/>
      <c r="H25" s="342"/>
      <c r="I25" s="368"/>
      <c r="J25" s="342"/>
      <c r="K25" s="368"/>
      <c r="L25" s="342"/>
      <c r="M25" s="368"/>
      <c r="N25" s="274"/>
      <c r="O25" s="368"/>
      <c r="P25" s="553"/>
      <c r="Q25" s="368"/>
      <c r="R25" s="372"/>
      <c r="S25" s="368"/>
      <c r="T25" s="373"/>
      <c r="U25" s="368"/>
      <c r="V25" s="274"/>
      <c r="W25" s="261"/>
      <c r="X25" s="274"/>
      <c r="Y25" s="261"/>
      <c r="Z25" s="274"/>
      <c r="AA25" s="274"/>
      <c r="AB25" s="261"/>
      <c r="AC25" s="368"/>
      <c r="AD25" s="474"/>
      <c r="AE25" s="261"/>
      <c r="AF25" s="261"/>
      <c r="AG25" s="252"/>
      <c r="AH25" s="261"/>
      <c r="AI25" s="516"/>
      <c r="AJ25" s="249"/>
      <c r="AK25" s="1921"/>
      <c r="AL25" s="1921"/>
      <c r="AM25" s="2843"/>
    </row>
    <row r="26" spans="1:40" ht="15" customHeight="1">
      <c r="A26" s="353"/>
      <c r="B26" s="1837" t="s">
        <v>1347</v>
      </c>
      <c r="C26" s="223"/>
      <c r="D26" s="274">
        <v>0</v>
      </c>
      <c r="E26" s="368"/>
      <c r="F26" s="373">
        <v>0</v>
      </c>
      <c r="G26" s="368"/>
      <c r="H26" s="319"/>
      <c r="I26" s="368"/>
      <c r="J26" s="319"/>
      <c r="K26" s="368"/>
      <c r="L26" s="319"/>
      <c r="M26" s="368"/>
      <c r="N26" s="1208"/>
      <c r="O26" s="368"/>
      <c r="P26" s="1208"/>
      <c r="Q26" s="368"/>
      <c r="R26" s="1208"/>
      <c r="S26" s="368"/>
      <c r="T26" s="373"/>
      <c r="U26" s="368"/>
      <c r="V26" s="274"/>
      <c r="W26" s="261"/>
      <c r="X26" s="274"/>
      <c r="Y26" s="261"/>
      <c r="Z26" s="274"/>
      <c r="AA26" s="274"/>
      <c r="AB26" s="261">
        <v>0</v>
      </c>
      <c r="AC26" s="368"/>
      <c r="AD26" s="474"/>
      <c r="AE26" s="261">
        <f t="shared" ref="AE26:AE31" si="2">ROUND(SUM(D26:AB26),1)</f>
        <v>0</v>
      </c>
      <c r="AF26" s="261"/>
      <c r="AG26" s="252"/>
      <c r="AH26" s="261">
        <v>0</v>
      </c>
      <c r="AI26" s="516"/>
      <c r="AJ26" s="249"/>
      <c r="AK26" s="1921">
        <f t="shared" si="0"/>
        <v>0</v>
      </c>
      <c r="AL26" s="1921"/>
      <c r="AM26" s="2843">
        <f t="shared" si="1"/>
        <v>0</v>
      </c>
    </row>
    <row r="27" spans="1:40" ht="15" customHeight="1">
      <c r="A27" s="353"/>
      <c r="B27" s="1837" t="s">
        <v>1348</v>
      </c>
      <c r="C27" s="223"/>
      <c r="D27" s="274">
        <v>0</v>
      </c>
      <c r="E27" s="368"/>
      <c r="F27" s="373">
        <v>0</v>
      </c>
      <c r="G27" s="368"/>
      <c r="H27" s="319"/>
      <c r="I27" s="368"/>
      <c r="J27" s="319"/>
      <c r="K27" s="368"/>
      <c r="L27" s="319"/>
      <c r="M27" s="368"/>
      <c r="N27" s="1208"/>
      <c r="O27" s="368"/>
      <c r="P27" s="1208"/>
      <c r="Q27" s="368"/>
      <c r="R27" s="1208"/>
      <c r="S27" s="368"/>
      <c r="T27" s="373"/>
      <c r="U27" s="368"/>
      <c r="V27" s="274"/>
      <c r="W27" s="261"/>
      <c r="X27" s="274"/>
      <c r="Y27" s="261"/>
      <c r="Z27" s="274"/>
      <c r="AA27" s="274"/>
      <c r="AB27" s="261">
        <v>0</v>
      </c>
      <c r="AC27" s="368"/>
      <c r="AD27" s="474"/>
      <c r="AE27" s="261">
        <f t="shared" si="2"/>
        <v>0</v>
      </c>
      <c r="AF27" s="261"/>
      <c r="AG27" s="252"/>
      <c r="AH27" s="261">
        <v>0</v>
      </c>
      <c r="AI27" s="516"/>
      <c r="AJ27" s="249"/>
      <c r="AK27" s="1921">
        <f t="shared" si="0"/>
        <v>0</v>
      </c>
      <c r="AL27" s="1921"/>
      <c r="AM27" s="2843">
        <f t="shared" si="1"/>
        <v>0</v>
      </c>
    </row>
    <row r="28" spans="1:40" ht="15" customHeight="1">
      <c r="A28" s="353"/>
      <c r="B28" s="1837" t="s">
        <v>1349</v>
      </c>
      <c r="C28" s="223"/>
      <c r="D28" s="274">
        <v>0</v>
      </c>
      <c r="E28" s="368"/>
      <c r="F28" s="373">
        <v>0</v>
      </c>
      <c r="G28" s="368"/>
      <c r="H28" s="319"/>
      <c r="I28" s="368"/>
      <c r="J28" s="319"/>
      <c r="K28" s="368"/>
      <c r="L28" s="319"/>
      <c r="M28" s="368"/>
      <c r="N28" s="1208"/>
      <c r="O28" s="368"/>
      <c r="P28" s="1208"/>
      <c r="Q28" s="368"/>
      <c r="R28" s="1208"/>
      <c r="S28" s="368"/>
      <c r="T28" s="373"/>
      <c r="U28" s="368"/>
      <c r="V28" s="274"/>
      <c r="W28" s="261"/>
      <c r="X28" s="274"/>
      <c r="Y28" s="261"/>
      <c r="Z28" s="274"/>
      <c r="AA28" s="274"/>
      <c r="AB28" s="261">
        <v>0</v>
      </c>
      <c r="AC28" s="368"/>
      <c r="AD28" s="474"/>
      <c r="AE28" s="261">
        <f t="shared" si="2"/>
        <v>0</v>
      </c>
      <c r="AF28" s="261"/>
      <c r="AG28" s="252"/>
      <c r="AH28" s="261">
        <v>0</v>
      </c>
      <c r="AI28" s="516"/>
      <c r="AJ28" s="249"/>
      <c r="AK28" s="1921">
        <f t="shared" si="0"/>
        <v>0</v>
      </c>
      <c r="AL28" s="1921"/>
      <c r="AM28" s="2843">
        <f t="shared" si="1"/>
        <v>0</v>
      </c>
    </row>
    <row r="29" spans="1:40" ht="15" customHeight="1">
      <c r="A29" s="353"/>
      <c r="B29" s="1837" t="s">
        <v>1350</v>
      </c>
      <c r="C29" s="223"/>
      <c r="D29" s="274">
        <v>0</v>
      </c>
      <c r="E29" s="368"/>
      <c r="F29" s="373">
        <v>0</v>
      </c>
      <c r="G29" s="368"/>
      <c r="H29" s="319"/>
      <c r="I29" s="368"/>
      <c r="J29" s="319"/>
      <c r="K29" s="368"/>
      <c r="L29" s="319"/>
      <c r="M29" s="368"/>
      <c r="N29" s="1208"/>
      <c r="O29" s="368"/>
      <c r="P29" s="1208"/>
      <c r="Q29" s="368"/>
      <c r="R29" s="1208"/>
      <c r="S29" s="368"/>
      <c r="T29" s="373"/>
      <c r="U29" s="368"/>
      <c r="V29" s="274"/>
      <c r="W29" s="261"/>
      <c r="X29" s="274"/>
      <c r="Y29" s="261"/>
      <c r="Z29" s="274"/>
      <c r="AA29" s="274"/>
      <c r="AB29" s="261">
        <v>0</v>
      </c>
      <c r="AC29" s="368"/>
      <c r="AD29" s="474"/>
      <c r="AE29" s="261">
        <f t="shared" si="2"/>
        <v>0</v>
      </c>
      <c r="AF29" s="261"/>
      <c r="AG29" s="252"/>
      <c r="AH29" s="261">
        <v>0</v>
      </c>
      <c r="AI29" s="516"/>
      <c r="AJ29" s="249"/>
      <c r="AK29" s="1921">
        <f t="shared" si="0"/>
        <v>0</v>
      </c>
      <c r="AL29" s="1921"/>
      <c r="AM29" s="2843">
        <f t="shared" si="1"/>
        <v>0</v>
      </c>
    </row>
    <row r="30" spans="1:40" ht="15" customHeight="1">
      <c r="A30" s="353"/>
      <c r="B30" s="1837" t="s">
        <v>1351</v>
      </c>
      <c r="C30" s="223"/>
      <c r="D30" s="274">
        <v>0</v>
      </c>
      <c r="E30" s="368"/>
      <c r="F30" s="373">
        <v>0</v>
      </c>
      <c r="G30" s="368"/>
      <c r="H30" s="319"/>
      <c r="I30" s="368"/>
      <c r="J30" s="319"/>
      <c r="K30" s="368"/>
      <c r="L30" s="319"/>
      <c r="M30" s="368"/>
      <c r="N30" s="1208"/>
      <c r="O30" s="368"/>
      <c r="P30" s="1208"/>
      <c r="Q30" s="368"/>
      <c r="R30" s="1208"/>
      <c r="S30" s="368"/>
      <c r="T30" s="373"/>
      <c r="U30" s="368"/>
      <c r="V30" s="274"/>
      <c r="W30" s="261"/>
      <c r="X30" s="274"/>
      <c r="Y30" s="261"/>
      <c r="Z30" s="274"/>
      <c r="AA30" s="274"/>
      <c r="AB30" s="261">
        <v>0</v>
      </c>
      <c r="AC30" s="368"/>
      <c r="AD30" s="474"/>
      <c r="AE30" s="261">
        <f t="shared" si="2"/>
        <v>0</v>
      </c>
      <c r="AF30" s="261"/>
      <c r="AG30" s="252"/>
      <c r="AH30" s="261">
        <v>0</v>
      </c>
      <c r="AI30" s="516"/>
      <c r="AJ30" s="249"/>
      <c r="AK30" s="1921">
        <f t="shared" si="0"/>
        <v>0</v>
      </c>
      <c r="AL30" s="1921"/>
      <c r="AM30" s="2843">
        <f t="shared" si="1"/>
        <v>0</v>
      </c>
    </row>
    <row r="31" spans="1:40" ht="15" customHeight="1">
      <c r="A31" s="353"/>
      <c r="B31" s="1837" t="s">
        <v>1309</v>
      </c>
      <c r="C31" s="223"/>
      <c r="D31" s="274">
        <v>0.8</v>
      </c>
      <c r="E31" s="368"/>
      <c r="F31" s="373">
        <v>0.3</v>
      </c>
      <c r="G31" s="368"/>
      <c r="H31" s="319"/>
      <c r="I31" s="368"/>
      <c r="J31" s="319"/>
      <c r="K31" s="368"/>
      <c r="L31" s="319"/>
      <c r="M31" s="368"/>
      <c r="N31" s="1208"/>
      <c r="O31" s="368"/>
      <c r="P31" s="1208"/>
      <c r="Q31" s="368"/>
      <c r="R31" s="1208"/>
      <c r="S31" s="368"/>
      <c r="T31" s="373"/>
      <c r="U31" s="368"/>
      <c r="V31" s="274"/>
      <c r="W31" s="261"/>
      <c r="X31" s="274"/>
      <c r="Y31" s="261"/>
      <c r="Z31" s="274"/>
      <c r="AA31" s="274"/>
      <c r="AB31" s="261">
        <v>0</v>
      </c>
      <c r="AC31" s="368"/>
      <c r="AD31" s="474"/>
      <c r="AE31" s="261">
        <f t="shared" si="2"/>
        <v>1.1000000000000001</v>
      </c>
      <c r="AF31" s="261"/>
      <c r="AG31" s="252"/>
      <c r="AH31" s="261">
        <v>1.3</v>
      </c>
      <c r="AI31" s="516"/>
      <c r="AJ31" s="249"/>
      <c r="AK31" s="1921">
        <f>ROUND(SUM(+AE31-AH31),1)</f>
        <v>-0.2</v>
      </c>
      <c r="AL31" s="1921"/>
      <c r="AM31" s="2843">
        <f t="shared" si="1"/>
        <v>-0.154</v>
      </c>
    </row>
    <row r="32" spans="1:40" ht="15" customHeight="1">
      <c r="A32" s="353"/>
      <c r="B32" s="1837" t="s">
        <v>1310</v>
      </c>
      <c r="C32" s="223"/>
      <c r="D32" s="274">
        <v>0</v>
      </c>
      <c r="E32" s="368"/>
      <c r="F32" s="373">
        <v>0</v>
      </c>
      <c r="G32" s="368"/>
      <c r="H32" s="319"/>
      <c r="I32" s="368"/>
      <c r="J32" s="319"/>
      <c r="K32" s="368"/>
      <c r="L32" s="319"/>
      <c r="M32" s="368"/>
      <c r="N32" s="1208"/>
      <c r="O32" s="368"/>
      <c r="P32" s="1208"/>
      <c r="Q32" s="368"/>
      <c r="R32" s="1208"/>
      <c r="S32" s="368"/>
      <c r="T32" s="373"/>
      <c r="U32" s="368"/>
      <c r="V32" s="274"/>
      <c r="W32" s="261"/>
      <c r="X32" s="274"/>
      <c r="Y32" s="261"/>
      <c r="Z32" s="274"/>
      <c r="AA32" s="274"/>
      <c r="AB32" s="261">
        <v>0</v>
      </c>
      <c r="AC32" s="368"/>
      <c r="AD32" s="474"/>
      <c r="AE32" s="261">
        <f>ROUND(SUM(D32:AB32),1)</f>
        <v>0</v>
      </c>
      <c r="AF32" s="261"/>
      <c r="AG32" s="252"/>
      <c r="AH32" s="261">
        <v>0</v>
      </c>
      <c r="AI32" s="516"/>
      <c r="AJ32" s="249"/>
      <c r="AK32" s="1921">
        <f t="shared" si="0"/>
        <v>0</v>
      </c>
      <c r="AL32" s="1921"/>
      <c r="AM32" s="2843">
        <f>ROUND(IF(AH32=0,0,AK32/(AH32)),3)</f>
        <v>0</v>
      </c>
    </row>
    <row r="33" spans="1:39" ht="15" customHeight="1">
      <c r="A33" s="353"/>
      <c r="B33" s="1837" t="s">
        <v>1440</v>
      </c>
      <c r="C33" s="223"/>
      <c r="D33" s="274"/>
      <c r="E33" s="368"/>
      <c r="F33" s="373"/>
      <c r="G33" s="368"/>
      <c r="H33" s="342"/>
      <c r="I33" s="368"/>
      <c r="J33" s="342"/>
      <c r="K33" s="368"/>
      <c r="L33" s="342"/>
      <c r="M33" s="368"/>
      <c r="N33" s="274"/>
      <c r="O33" s="368"/>
      <c r="P33" s="553"/>
      <c r="Q33" s="368"/>
      <c r="R33" s="372"/>
      <c r="S33" s="368"/>
      <c r="T33" s="373"/>
      <c r="U33" s="368"/>
      <c r="V33" s="274"/>
      <c r="W33" s="261"/>
      <c r="X33" s="274"/>
      <c r="Y33" s="261"/>
      <c r="Z33" s="274"/>
      <c r="AA33" s="274"/>
      <c r="AB33" s="261"/>
      <c r="AC33" s="368"/>
      <c r="AD33" s="474"/>
      <c r="AE33" s="261"/>
      <c r="AF33" s="261"/>
      <c r="AG33" s="252"/>
      <c r="AH33" s="261"/>
      <c r="AI33" s="516"/>
      <c r="AJ33" s="249"/>
      <c r="AK33" s="1921"/>
      <c r="AL33" s="1921"/>
      <c r="AM33" s="2854"/>
    </row>
    <row r="34" spans="1:39" ht="15" customHeight="1">
      <c r="A34" s="353"/>
      <c r="B34" s="1837" t="s">
        <v>1355</v>
      </c>
      <c r="C34" s="223"/>
      <c r="D34" s="274">
        <v>0</v>
      </c>
      <c r="E34" s="368"/>
      <c r="F34" s="373">
        <v>0</v>
      </c>
      <c r="G34" s="368"/>
      <c r="H34" s="319"/>
      <c r="I34" s="368"/>
      <c r="J34" s="319"/>
      <c r="K34" s="368"/>
      <c r="L34" s="319"/>
      <c r="M34" s="368"/>
      <c r="N34" s="1208"/>
      <c r="O34" s="368"/>
      <c r="P34" s="1208"/>
      <c r="Q34" s="368"/>
      <c r="R34" s="1208"/>
      <c r="S34" s="368"/>
      <c r="T34" s="373"/>
      <c r="U34" s="368"/>
      <c r="V34" s="274"/>
      <c r="W34" s="261"/>
      <c r="X34" s="274"/>
      <c r="Y34" s="261"/>
      <c r="Z34" s="274"/>
      <c r="AA34" s="274"/>
      <c r="AB34" s="261">
        <v>0</v>
      </c>
      <c r="AC34" s="368"/>
      <c r="AD34" s="474"/>
      <c r="AE34" s="261">
        <f t="shared" ref="AE34:AE39" si="3">ROUND(SUM(D34:AB34),1)</f>
        <v>0</v>
      </c>
      <c r="AF34" s="261"/>
      <c r="AG34" s="252"/>
      <c r="AH34" s="261">
        <v>0</v>
      </c>
      <c r="AI34" s="516"/>
      <c r="AJ34" s="249"/>
      <c r="AK34" s="1921">
        <f t="shared" si="0"/>
        <v>0</v>
      </c>
      <c r="AL34" s="1921"/>
      <c r="AM34" s="2843">
        <f t="shared" ref="AM34:AM39" si="4">ROUND(IF(AH34=0,0,AK34/(AH34)),3)</f>
        <v>0</v>
      </c>
    </row>
    <row r="35" spans="1:39" ht="15" customHeight="1">
      <c r="A35" s="353"/>
      <c r="B35" s="1837" t="s">
        <v>1356</v>
      </c>
      <c r="C35" s="223"/>
      <c r="D35" s="274">
        <v>0</v>
      </c>
      <c r="E35" s="368"/>
      <c r="F35" s="373">
        <v>0</v>
      </c>
      <c r="G35" s="368"/>
      <c r="H35" s="319"/>
      <c r="I35" s="368"/>
      <c r="J35" s="319"/>
      <c r="K35" s="368"/>
      <c r="L35" s="319"/>
      <c r="M35" s="368"/>
      <c r="N35" s="1208"/>
      <c r="O35" s="368"/>
      <c r="P35" s="1208"/>
      <c r="Q35" s="368"/>
      <c r="R35" s="1208"/>
      <c r="S35" s="368"/>
      <c r="T35" s="373"/>
      <c r="U35" s="368"/>
      <c r="V35" s="274"/>
      <c r="W35" s="261"/>
      <c r="X35" s="274"/>
      <c r="Y35" s="261"/>
      <c r="Z35" s="274"/>
      <c r="AA35" s="274"/>
      <c r="AB35" s="261">
        <v>0</v>
      </c>
      <c r="AC35" s="368"/>
      <c r="AD35" s="474"/>
      <c r="AE35" s="261">
        <f t="shared" si="3"/>
        <v>0</v>
      </c>
      <c r="AF35" s="261"/>
      <c r="AG35" s="252"/>
      <c r="AH35" s="261">
        <v>0</v>
      </c>
      <c r="AI35" s="516"/>
      <c r="AJ35" s="249"/>
      <c r="AK35" s="1921">
        <f t="shared" si="0"/>
        <v>0</v>
      </c>
      <c r="AL35" s="1921"/>
      <c r="AM35" s="2843">
        <f t="shared" si="4"/>
        <v>0</v>
      </c>
    </row>
    <row r="36" spans="1:39" ht="15" customHeight="1">
      <c r="A36" s="353"/>
      <c r="B36" s="1837" t="s">
        <v>1357</v>
      </c>
      <c r="C36" s="223"/>
      <c r="D36" s="274">
        <v>0</v>
      </c>
      <c r="E36" s="368"/>
      <c r="F36" s="373">
        <v>0</v>
      </c>
      <c r="G36" s="368"/>
      <c r="H36" s="319"/>
      <c r="I36" s="368"/>
      <c r="J36" s="319"/>
      <c r="K36" s="368"/>
      <c r="L36" s="319"/>
      <c r="M36" s="368"/>
      <c r="N36" s="1208"/>
      <c r="O36" s="368"/>
      <c r="P36" s="1208"/>
      <c r="Q36" s="368"/>
      <c r="R36" s="1208"/>
      <c r="S36" s="368"/>
      <c r="T36" s="373"/>
      <c r="U36" s="368"/>
      <c r="V36" s="274"/>
      <c r="W36" s="261"/>
      <c r="X36" s="274"/>
      <c r="Y36" s="261"/>
      <c r="Z36" s="274"/>
      <c r="AA36" s="274"/>
      <c r="AB36" s="261">
        <v>0</v>
      </c>
      <c r="AC36" s="368"/>
      <c r="AD36" s="474"/>
      <c r="AE36" s="261">
        <f t="shared" si="3"/>
        <v>0</v>
      </c>
      <c r="AF36" s="261"/>
      <c r="AG36" s="252"/>
      <c r="AH36" s="261">
        <v>0</v>
      </c>
      <c r="AI36" s="516"/>
      <c r="AJ36" s="249"/>
      <c r="AK36" s="1921">
        <f t="shared" si="0"/>
        <v>0</v>
      </c>
      <c r="AL36" s="1921"/>
      <c r="AM36" s="2843">
        <f t="shared" si="4"/>
        <v>0</v>
      </c>
    </row>
    <row r="37" spans="1:39" ht="15" customHeight="1">
      <c r="A37" s="353"/>
      <c r="B37" s="1837" t="s">
        <v>1358</v>
      </c>
      <c r="C37" s="223"/>
      <c r="D37" s="274">
        <v>0</v>
      </c>
      <c r="E37" s="368"/>
      <c r="F37" s="373">
        <v>0</v>
      </c>
      <c r="G37" s="368"/>
      <c r="H37" s="319"/>
      <c r="I37" s="368"/>
      <c r="J37" s="319"/>
      <c r="K37" s="368"/>
      <c r="L37" s="319"/>
      <c r="M37" s="368"/>
      <c r="N37" s="1208"/>
      <c r="O37" s="368"/>
      <c r="P37" s="1208"/>
      <c r="Q37" s="368"/>
      <c r="R37" s="1208"/>
      <c r="S37" s="368"/>
      <c r="T37" s="373"/>
      <c r="U37" s="368"/>
      <c r="V37" s="274"/>
      <c r="W37" s="261"/>
      <c r="X37" s="274"/>
      <c r="Y37" s="261"/>
      <c r="Z37" s="274"/>
      <c r="AA37" s="274"/>
      <c r="AB37" s="261">
        <v>0</v>
      </c>
      <c r="AC37" s="368"/>
      <c r="AD37" s="474"/>
      <c r="AE37" s="261">
        <f t="shared" si="3"/>
        <v>0</v>
      </c>
      <c r="AF37" s="261"/>
      <c r="AG37" s="252"/>
      <c r="AH37" s="261">
        <v>0</v>
      </c>
      <c r="AI37" s="516"/>
      <c r="AJ37" s="249"/>
      <c r="AK37" s="1921">
        <f t="shared" si="0"/>
        <v>0</v>
      </c>
      <c r="AL37" s="1921"/>
      <c r="AM37" s="2843">
        <f t="shared" si="4"/>
        <v>0</v>
      </c>
    </row>
    <row r="38" spans="1:39" ht="15" customHeight="1">
      <c r="A38" s="353"/>
      <c r="B38" s="1837" t="s">
        <v>1328</v>
      </c>
      <c r="C38" s="223"/>
      <c r="D38" s="274">
        <v>0</v>
      </c>
      <c r="E38" s="368"/>
      <c r="F38" s="373">
        <v>0</v>
      </c>
      <c r="G38" s="368"/>
      <c r="H38" s="319"/>
      <c r="I38" s="368"/>
      <c r="J38" s="319"/>
      <c r="K38" s="368"/>
      <c r="L38" s="319"/>
      <c r="M38" s="368"/>
      <c r="N38" s="1208"/>
      <c r="O38" s="368"/>
      <c r="P38" s="1208"/>
      <c r="Q38" s="368"/>
      <c r="R38" s="1208"/>
      <c r="S38" s="368"/>
      <c r="T38" s="373"/>
      <c r="U38" s="368"/>
      <c r="V38" s="274"/>
      <c r="W38" s="261"/>
      <c r="X38" s="274"/>
      <c r="Y38" s="261"/>
      <c r="Z38" s="274"/>
      <c r="AA38" s="274"/>
      <c r="AB38" s="261">
        <v>0</v>
      </c>
      <c r="AC38" s="368"/>
      <c r="AD38" s="474"/>
      <c r="AE38" s="261">
        <f t="shared" si="3"/>
        <v>0</v>
      </c>
      <c r="AF38" s="261"/>
      <c r="AG38" s="252"/>
      <c r="AH38" s="261">
        <v>0</v>
      </c>
      <c r="AI38" s="516"/>
      <c r="AJ38" s="249"/>
      <c r="AK38" s="1921">
        <f t="shared" si="0"/>
        <v>0</v>
      </c>
      <c r="AL38" s="1921"/>
      <c r="AM38" s="2843">
        <f t="shared" si="4"/>
        <v>0</v>
      </c>
    </row>
    <row r="39" spans="1:39" ht="15" customHeight="1">
      <c r="A39" s="353"/>
      <c r="B39" s="1837" t="s">
        <v>1329</v>
      </c>
      <c r="C39" s="223"/>
      <c r="D39" s="274">
        <v>0</v>
      </c>
      <c r="E39" s="368"/>
      <c r="F39" s="373">
        <v>0</v>
      </c>
      <c r="G39" s="368"/>
      <c r="H39" s="319"/>
      <c r="I39" s="368"/>
      <c r="J39" s="319"/>
      <c r="K39" s="368"/>
      <c r="L39" s="319"/>
      <c r="M39" s="368"/>
      <c r="N39" s="1208"/>
      <c r="O39" s="368"/>
      <c r="P39" s="1208"/>
      <c r="Q39" s="368"/>
      <c r="R39" s="1208"/>
      <c r="S39" s="368"/>
      <c r="T39" s="373"/>
      <c r="U39" s="368"/>
      <c r="V39" s="274"/>
      <c r="W39" s="261"/>
      <c r="X39" s="274"/>
      <c r="Y39" s="261"/>
      <c r="Z39" s="274"/>
      <c r="AA39" s="274"/>
      <c r="AB39" s="261">
        <v>0</v>
      </c>
      <c r="AC39" s="368"/>
      <c r="AD39" s="474"/>
      <c r="AE39" s="261">
        <f t="shared" si="3"/>
        <v>0</v>
      </c>
      <c r="AF39" s="261"/>
      <c r="AG39" s="252"/>
      <c r="AH39" s="261">
        <v>0</v>
      </c>
      <c r="AI39" s="516"/>
      <c r="AJ39" s="249"/>
      <c r="AK39" s="1921">
        <f t="shared" si="0"/>
        <v>0</v>
      </c>
      <c r="AL39" s="1921"/>
      <c r="AM39" s="2843">
        <f t="shared" si="4"/>
        <v>0</v>
      </c>
    </row>
    <row r="40" spans="1:39" ht="15" customHeight="1">
      <c r="A40" s="353"/>
      <c r="B40" s="1837" t="s">
        <v>1441</v>
      </c>
      <c r="C40" s="223"/>
      <c r="D40" s="274"/>
      <c r="E40" s="368"/>
      <c r="F40" s="373"/>
      <c r="G40" s="368"/>
      <c r="H40" s="342"/>
      <c r="I40" s="368"/>
      <c r="J40" s="342"/>
      <c r="K40" s="368"/>
      <c r="L40" s="342"/>
      <c r="M40" s="368"/>
      <c r="N40" s="274"/>
      <c r="O40" s="368"/>
      <c r="P40" s="553"/>
      <c r="Q40" s="368"/>
      <c r="R40" s="1208"/>
      <c r="S40" s="368"/>
      <c r="T40" s="373"/>
      <c r="U40" s="368"/>
      <c r="V40" s="274"/>
      <c r="W40" s="261"/>
      <c r="X40" s="274"/>
      <c r="Y40" s="261"/>
      <c r="Z40" s="274"/>
      <c r="AA40" s="274"/>
      <c r="AB40" s="261"/>
      <c r="AC40" s="368"/>
      <c r="AD40" s="474"/>
      <c r="AE40" s="261"/>
      <c r="AF40" s="261"/>
      <c r="AG40" s="252"/>
      <c r="AH40" s="261"/>
      <c r="AI40" s="516"/>
      <c r="AJ40" s="249"/>
      <c r="AK40" s="1921"/>
      <c r="AL40" s="1921"/>
      <c r="AM40" s="2854"/>
    </row>
    <row r="41" spans="1:39" ht="15" customHeight="1">
      <c r="A41" s="353"/>
      <c r="B41" s="1837" t="s">
        <v>1359</v>
      </c>
      <c r="C41" s="223"/>
      <c r="D41" s="274">
        <v>0.1</v>
      </c>
      <c r="E41" s="368"/>
      <c r="F41" s="373">
        <v>0</v>
      </c>
      <c r="G41" s="368"/>
      <c r="H41" s="319"/>
      <c r="I41" s="368"/>
      <c r="J41" s="319"/>
      <c r="K41" s="368"/>
      <c r="L41" s="319"/>
      <c r="M41" s="368"/>
      <c r="N41" s="1208"/>
      <c r="O41" s="368"/>
      <c r="P41" s="1208"/>
      <c r="Q41" s="368"/>
      <c r="R41" s="1208"/>
      <c r="S41" s="368"/>
      <c r="T41" s="373"/>
      <c r="U41" s="368"/>
      <c r="V41" s="274"/>
      <c r="W41" s="261"/>
      <c r="X41" s="274"/>
      <c r="Y41" s="261"/>
      <c r="Z41" s="274"/>
      <c r="AA41" s="274"/>
      <c r="AB41" s="261">
        <v>0</v>
      </c>
      <c r="AC41" s="368"/>
      <c r="AD41" s="474"/>
      <c r="AE41" s="261">
        <f t="shared" ref="AE41:AE51" si="5">ROUND(SUM(D41:AB41),1)</f>
        <v>0.1</v>
      </c>
      <c r="AF41" s="261"/>
      <c r="AG41" s="252"/>
      <c r="AH41" s="261">
        <v>0</v>
      </c>
      <c r="AI41" s="516"/>
      <c r="AJ41" s="249"/>
      <c r="AK41" s="1921">
        <f t="shared" si="0"/>
        <v>0.1</v>
      </c>
      <c r="AL41" s="1921"/>
      <c r="AM41" s="2843">
        <f>ROUND(IF(AH41=0,1,AK41/(AH41)),3)</f>
        <v>1</v>
      </c>
    </row>
    <row r="42" spans="1:39" ht="15" customHeight="1">
      <c r="A42" s="353"/>
      <c r="B42" s="1837" t="s">
        <v>1360</v>
      </c>
      <c r="C42" s="223"/>
      <c r="D42" s="274">
        <v>0</v>
      </c>
      <c r="E42" s="368"/>
      <c r="F42" s="373">
        <v>0</v>
      </c>
      <c r="G42" s="368"/>
      <c r="H42" s="319"/>
      <c r="I42" s="368"/>
      <c r="J42" s="319"/>
      <c r="K42" s="368"/>
      <c r="L42" s="319"/>
      <c r="M42" s="368"/>
      <c r="N42" s="1208"/>
      <c r="O42" s="368"/>
      <c r="P42" s="1208"/>
      <c r="Q42" s="368"/>
      <c r="R42" s="1208"/>
      <c r="S42" s="368"/>
      <c r="T42" s="373"/>
      <c r="U42" s="368"/>
      <c r="V42" s="274"/>
      <c r="W42" s="261"/>
      <c r="X42" s="274"/>
      <c r="Y42" s="261"/>
      <c r="Z42" s="274"/>
      <c r="AA42" s="274"/>
      <c r="AB42" s="261">
        <v>0</v>
      </c>
      <c r="AC42" s="368"/>
      <c r="AD42" s="474"/>
      <c r="AE42" s="261">
        <f t="shared" si="5"/>
        <v>0</v>
      </c>
      <c r="AF42" s="261"/>
      <c r="AG42" s="252"/>
      <c r="AH42" s="261">
        <v>0</v>
      </c>
      <c r="AI42" s="516"/>
      <c r="AJ42" s="249"/>
      <c r="AK42" s="1921">
        <f t="shared" si="0"/>
        <v>0</v>
      </c>
      <c r="AL42" s="1921"/>
      <c r="AM42" s="2843">
        <f t="shared" ref="AM42:AM51" si="6">ROUND(IF(AH42=0,0,AK42/(AH42)),3)</f>
        <v>0</v>
      </c>
    </row>
    <row r="43" spans="1:39" ht="15" customHeight="1">
      <c r="A43" s="353"/>
      <c r="B43" s="1837" t="s">
        <v>1361</v>
      </c>
      <c r="C43" s="223"/>
      <c r="D43" s="274">
        <v>0</v>
      </c>
      <c r="E43" s="368"/>
      <c r="F43" s="373">
        <v>0</v>
      </c>
      <c r="G43" s="368"/>
      <c r="H43" s="319"/>
      <c r="I43" s="368"/>
      <c r="J43" s="319"/>
      <c r="K43" s="368"/>
      <c r="L43" s="319"/>
      <c r="M43" s="368"/>
      <c r="N43" s="1208"/>
      <c r="O43" s="368"/>
      <c r="P43" s="1208"/>
      <c r="Q43" s="368"/>
      <c r="R43" s="1208"/>
      <c r="S43" s="368"/>
      <c r="T43" s="373"/>
      <c r="U43" s="368"/>
      <c r="V43" s="274"/>
      <c r="W43" s="261"/>
      <c r="X43" s="274"/>
      <c r="Y43" s="261"/>
      <c r="Z43" s="274"/>
      <c r="AA43" s="274"/>
      <c r="AB43" s="261">
        <v>0</v>
      </c>
      <c r="AC43" s="368"/>
      <c r="AD43" s="474"/>
      <c r="AE43" s="261">
        <f t="shared" si="5"/>
        <v>0</v>
      </c>
      <c r="AF43" s="261"/>
      <c r="AG43" s="252"/>
      <c r="AH43" s="261">
        <v>0</v>
      </c>
      <c r="AI43" s="516"/>
      <c r="AJ43" s="249"/>
      <c r="AK43" s="1921">
        <f t="shared" si="0"/>
        <v>0</v>
      </c>
      <c r="AL43" s="1921"/>
      <c r="AM43" s="2843">
        <f>ROUND(IF(AH43=0,0,AK43/(AH43)),3)</f>
        <v>0</v>
      </c>
    </row>
    <row r="44" spans="1:39" ht="15" customHeight="1">
      <c r="A44" s="353"/>
      <c r="B44" s="1837" t="s">
        <v>1362</v>
      </c>
      <c r="C44" s="223"/>
      <c r="D44" s="274">
        <v>0</v>
      </c>
      <c r="E44" s="368"/>
      <c r="F44" s="373">
        <v>0</v>
      </c>
      <c r="G44" s="368"/>
      <c r="H44" s="319"/>
      <c r="I44" s="368"/>
      <c r="J44" s="319"/>
      <c r="K44" s="368"/>
      <c r="L44" s="319"/>
      <c r="M44" s="368"/>
      <c r="N44" s="1208"/>
      <c r="O44" s="368"/>
      <c r="P44" s="1208"/>
      <c r="Q44" s="368"/>
      <c r="R44" s="1208"/>
      <c r="S44" s="368"/>
      <c r="T44" s="373"/>
      <c r="U44" s="368"/>
      <c r="V44" s="274"/>
      <c r="W44" s="261"/>
      <c r="X44" s="274"/>
      <c r="Y44" s="261"/>
      <c r="Z44" s="274"/>
      <c r="AA44" s="274"/>
      <c r="AB44" s="261">
        <v>0</v>
      </c>
      <c r="AC44" s="368"/>
      <c r="AD44" s="474"/>
      <c r="AE44" s="261">
        <f t="shared" si="5"/>
        <v>0</v>
      </c>
      <c r="AF44" s="261"/>
      <c r="AG44" s="252"/>
      <c r="AH44" s="261">
        <v>0</v>
      </c>
      <c r="AI44" s="516"/>
      <c r="AJ44" s="249"/>
      <c r="AK44" s="1921">
        <f t="shared" si="0"/>
        <v>0</v>
      </c>
      <c r="AL44" s="1921"/>
      <c r="AM44" s="2843">
        <f t="shared" si="6"/>
        <v>0</v>
      </c>
    </row>
    <row r="45" spans="1:39" ht="15" customHeight="1">
      <c r="A45" s="353"/>
      <c r="B45" s="1837" t="s">
        <v>1363</v>
      </c>
      <c r="C45" s="223"/>
      <c r="D45" s="274">
        <v>0</v>
      </c>
      <c r="E45" s="368"/>
      <c r="F45" s="373">
        <v>0</v>
      </c>
      <c r="G45" s="368"/>
      <c r="H45" s="319"/>
      <c r="I45" s="368"/>
      <c r="J45" s="319"/>
      <c r="K45" s="368"/>
      <c r="L45" s="319"/>
      <c r="M45" s="368"/>
      <c r="N45" s="1208"/>
      <c r="O45" s="368"/>
      <c r="P45" s="1208"/>
      <c r="Q45" s="368"/>
      <c r="R45" s="1208"/>
      <c r="S45" s="368"/>
      <c r="T45" s="373"/>
      <c r="U45" s="368"/>
      <c r="V45" s="274"/>
      <c r="W45" s="261"/>
      <c r="X45" s="274"/>
      <c r="Y45" s="261"/>
      <c r="Z45" s="274"/>
      <c r="AA45" s="274"/>
      <c r="AB45" s="261">
        <v>0</v>
      </c>
      <c r="AC45" s="368"/>
      <c r="AD45" s="474"/>
      <c r="AE45" s="261">
        <f t="shared" si="5"/>
        <v>0</v>
      </c>
      <c r="AF45" s="261"/>
      <c r="AG45" s="252"/>
      <c r="AH45" s="261">
        <v>0</v>
      </c>
      <c r="AI45" s="516"/>
      <c r="AJ45" s="249"/>
      <c r="AK45" s="1921">
        <f t="shared" si="0"/>
        <v>0</v>
      </c>
      <c r="AL45" s="1921"/>
      <c r="AM45" s="2843">
        <f t="shared" si="6"/>
        <v>0</v>
      </c>
    </row>
    <row r="46" spans="1:39" ht="15" customHeight="1">
      <c r="A46" s="353"/>
      <c r="B46" s="1837" t="s">
        <v>1364</v>
      </c>
      <c r="C46" s="223"/>
      <c r="D46" s="274">
        <v>7.8</v>
      </c>
      <c r="E46" s="368"/>
      <c r="F46" s="373">
        <v>9.3000000000000007</v>
      </c>
      <c r="G46" s="368"/>
      <c r="H46" s="319"/>
      <c r="I46" s="368"/>
      <c r="J46" s="319"/>
      <c r="K46" s="368"/>
      <c r="L46" s="319"/>
      <c r="M46" s="368"/>
      <c r="N46" s="1208"/>
      <c r="O46" s="368"/>
      <c r="P46" s="1208"/>
      <c r="Q46" s="368"/>
      <c r="R46" s="1208"/>
      <c r="S46" s="368"/>
      <c r="T46" s="373"/>
      <c r="U46" s="368"/>
      <c r="V46" s="274"/>
      <c r="W46" s="261"/>
      <c r="X46" s="274"/>
      <c r="Y46" s="261"/>
      <c r="Z46" s="274"/>
      <c r="AA46" s="274"/>
      <c r="AB46" s="261">
        <v>0</v>
      </c>
      <c r="AC46" s="368"/>
      <c r="AD46" s="474"/>
      <c r="AE46" s="261">
        <f t="shared" si="5"/>
        <v>17.100000000000001</v>
      </c>
      <c r="AF46" s="261"/>
      <c r="AG46" s="252"/>
      <c r="AH46" s="261">
        <v>17.3</v>
      </c>
      <c r="AI46" s="516"/>
      <c r="AJ46" s="249"/>
      <c r="AK46" s="1921">
        <f t="shared" si="0"/>
        <v>-0.2</v>
      </c>
      <c r="AL46" s="1921"/>
      <c r="AM46" s="2843">
        <f t="shared" si="6"/>
        <v>-1.2E-2</v>
      </c>
    </row>
    <row r="47" spans="1:39" ht="15" customHeight="1">
      <c r="A47" s="353"/>
      <c r="B47" s="1837" t="s">
        <v>1365</v>
      </c>
      <c r="C47" s="223"/>
      <c r="D47" s="274">
        <v>0.1</v>
      </c>
      <c r="E47" s="368"/>
      <c r="F47" s="373">
        <v>0</v>
      </c>
      <c r="G47" s="368"/>
      <c r="H47" s="1840"/>
      <c r="I47" s="368"/>
      <c r="J47" s="319"/>
      <c r="K47" s="368"/>
      <c r="L47" s="319"/>
      <c r="M47" s="368"/>
      <c r="N47" s="1208"/>
      <c r="O47" s="368"/>
      <c r="P47" s="1208"/>
      <c r="Q47" s="368"/>
      <c r="R47" s="1208"/>
      <c r="S47" s="368"/>
      <c r="T47" s="373"/>
      <c r="U47" s="368"/>
      <c r="V47" s="274"/>
      <c r="W47" s="261"/>
      <c r="X47" s="274"/>
      <c r="Y47" s="261"/>
      <c r="Z47" s="274"/>
      <c r="AA47" s="274"/>
      <c r="AB47" s="261">
        <v>0</v>
      </c>
      <c r="AC47" s="368"/>
      <c r="AD47" s="474"/>
      <c r="AE47" s="261">
        <f t="shared" si="5"/>
        <v>0.1</v>
      </c>
      <c r="AF47" s="261"/>
      <c r="AG47" s="252"/>
      <c r="AH47" s="261">
        <v>0</v>
      </c>
      <c r="AI47" s="516"/>
      <c r="AJ47" s="249"/>
      <c r="AK47" s="1921">
        <f t="shared" si="0"/>
        <v>0.1</v>
      </c>
      <c r="AL47" s="1921"/>
      <c r="AM47" s="2843">
        <f>ROUND(IF(AH47=0,1,AK47/(AH47)),3)</f>
        <v>1</v>
      </c>
    </row>
    <row r="48" spans="1:39" ht="15" customHeight="1">
      <c r="A48" s="353"/>
      <c r="B48" s="1837" t="s">
        <v>1366</v>
      </c>
      <c r="C48" s="223"/>
      <c r="D48" s="274">
        <v>0</v>
      </c>
      <c r="E48" s="368"/>
      <c r="F48" s="373">
        <v>0</v>
      </c>
      <c r="G48" s="368"/>
      <c r="H48" s="319"/>
      <c r="I48" s="368"/>
      <c r="J48" s="319"/>
      <c r="K48" s="368"/>
      <c r="L48" s="319"/>
      <c r="M48" s="368"/>
      <c r="N48" s="1208"/>
      <c r="O48" s="368"/>
      <c r="P48" s="1208"/>
      <c r="Q48" s="368"/>
      <c r="R48" s="1208"/>
      <c r="S48" s="368"/>
      <c r="T48" s="373"/>
      <c r="U48" s="368"/>
      <c r="V48" s="274"/>
      <c r="W48" s="261"/>
      <c r="X48" s="274"/>
      <c r="Y48" s="261"/>
      <c r="Z48" s="274"/>
      <c r="AA48" s="274"/>
      <c r="AB48" s="261">
        <v>0</v>
      </c>
      <c r="AC48" s="368"/>
      <c r="AD48" s="474"/>
      <c r="AE48" s="261">
        <f t="shared" si="5"/>
        <v>0</v>
      </c>
      <c r="AF48" s="261"/>
      <c r="AG48" s="252"/>
      <c r="AH48" s="261">
        <v>0</v>
      </c>
      <c r="AI48" s="516"/>
      <c r="AJ48" s="249"/>
      <c r="AK48" s="1921">
        <f t="shared" si="0"/>
        <v>0</v>
      </c>
      <c r="AL48" s="1921"/>
      <c r="AM48" s="2843">
        <f t="shared" si="6"/>
        <v>0</v>
      </c>
    </row>
    <row r="49" spans="1:39" ht="15" customHeight="1">
      <c r="A49" s="353"/>
      <c r="B49" s="1837" t="s">
        <v>1367</v>
      </c>
      <c r="C49" s="223"/>
      <c r="D49" s="274">
        <v>0</v>
      </c>
      <c r="E49" s="368"/>
      <c r="F49" s="373">
        <v>0.3</v>
      </c>
      <c r="G49" s="368"/>
      <c r="H49" s="319"/>
      <c r="I49" s="368"/>
      <c r="J49" s="319"/>
      <c r="K49" s="368"/>
      <c r="L49" s="319"/>
      <c r="M49" s="368"/>
      <c r="N49" s="1208"/>
      <c r="O49" s="368"/>
      <c r="P49" s="1208"/>
      <c r="Q49" s="368"/>
      <c r="R49" s="1208"/>
      <c r="S49" s="368"/>
      <c r="T49" s="373"/>
      <c r="U49" s="368"/>
      <c r="V49" s="274"/>
      <c r="W49" s="261"/>
      <c r="X49" s="274"/>
      <c r="Y49" s="261"/>
      <c r="Z49" s="274"/>
      <c r="AA49" s="274"/>
      <c r="AB49" s="261">
        <v>0</v>
      </c>
      <c r="AC49" s="368"/>
      <c r="AD49" s="474"/>
      <c r="AE49" s="261">
        <f t="shared" si="5"/>
        <v>0.3</v>
      </c>
      <c r="AF49" s="261"/>
      <c r="AG49" s="252"/>
      <c r="AH49" s="261">
        <v>0</v>
      </c>
      <c r="AI49" s="516"/>
      <c r="AJ49" s="249"/>
      <c r="AK49" s="1921">
        <f t="shared" si="0"/>
        <v>0.3</v>
      </c>
      <c r="AL49" s="1921"/>
      <c r="AM49" s="2843">
        <f>ROUND(IF(AH49=0,1,AK49/(AH49)),3)</f>
        <v>1</v>
      </c>
    </row>
    <row r="50" spans="1:39" ht="15" customHeight="1">
      <c r="A50" s="353"/>
      <c r="B50" s="1837" t="s">
        <v>1339</v>
      </c>
      <c r="C50" s="223"/>
      <c r="D50" s="274">
        <v>0</v>
      </c>
      <c r="E50" s="368"/>
      <c r="F50" s="373">
        <v>0</v>
      </c>
      <c r="G50" s="368"/>
      <c r="H50" s="319"/>
      <c r="I50" s="368"/>
      <c r="J50" s="319"/>
      <c r="K50" s="368"/>
      <c r="L50" s="319"/>
      <c r="M50" s="368"/>
      <c r="N50" s="1208"/>
      <c r="O50" s="368"/>
      <c r="P50" s="1208"/>
      <c r="Q50" s="368"/>
      <c r="R50" s="1208"/>
      <c r="S50" s="368"/>
      <c r="T50" s="373"/>
      <c r="U50" s="368"/>
      <c r="V50" s="274"/>
      <c r="W50" s="261"/>
      <c r="X50" s="274"/>
      <c r="Y50" s="261"/>
      <c r="Z50" s="274"/>
      <c r="AA50" s="274"/>
      <c r="AB50" s="261">
        <v>0</v>
      </c>
      <c r="AC50" s="368"/>
      <c r="AD50" s="474"/>
      <c r="AE50" s="261">
        <f t="shared" si="5"/>
        <v>0</v>
      </c>
      <c r="AF50" s="261"/>
      <c r="AG50" s="252"/>
      <c r="AH50" s="261">
        <v>0</v>
      </c>
      <c r="AI50" s="516"/>
      <c r="AJ50" s="249"/>
      <c r="AK50" s="1921">
        <f t="shared" si="0"/>
        <v>0</v>
      </c>
      <c r="AL50" s="1921"/>
      <c r="AM50" s="2843">
        <f t="shared" si="6"/>
        <v>0</v>
      </c>
    </row>
    <row r="51" spans="1:39" ht="15" customHeight="1">
      <c r="A51" s="353"/>
      <c r="B51" s="1837" t="s">
        <v>1340</v>
      </c>
      <c r="C51" s="223"/>
      <c r="D51" s="274">
        <v>0</v>
      </c>
      <c r="E51" s="368"/>
      <c r="F51" s="373">
        <v>0</v>
      </c>
      <c r="G51" s="368"/>
      <c r="H51" s="319"/>
      <c r="I51" s="368"/>
      <c r="J51" s="319"/>
      <c r="K51" s="368"/>
      <c r="L51" s="319"/>
      <c r="M51" s="368"/>
      <c r="N51" s="1208"/>
      <c r="O51" s="368"/>
      <c r="P51" s="1208"/>
      <c r="Q51" s="368"/>
      <c r="R51" s="1208"/>
      <c r="S51" s="368"/>
      <c r="T51" s="373"/>
      <c r="U51" s="368"/>
      <c r="V51" s="274"/>
      <c r="W51" s="261"/>
      <c r="X51" s="274"/>
      <c r="Y51" s="261"/>
      <c r="Z51" s="274"/>
      <c r="AA51" s="274"/>
      <c r="AB51" s="261">
        <v>0</v>
      </c>
      <c r="AC51" s="368"/>
      <c r="AD51" s="474"/>
      <c r="AE51" s="261">
        <f t="shared" si="5"/>
        <v>0</v>
      </c>
      <c r="AF51" s="261"/>
      <c r="AG51" s="252"/>
      <c r="AH51" s="261">
        <v>0</v>
      </c>
      <c r="AI51" s="516"/>
      <c r="AJ51" s="249"/>
      <c r="AK51" s="1921">
        <f t="shared" si="0"/>
        <v>0</v>
      </c>
      <c r="AL51" s="1921"/>
      <c r="AM51" s="2843">
        <f t="shared" si="6"/>
        <v>0</v>
      </c>
    </row>
    <row r="52" spans="1:39" s="1832" customFormat="1" ht="15" customHeight="1">
      <c r="A52" s="2116"/>
      <c r="B52" s="590" t="s">
        <v>1497</v>
      </c>
      <c r="C52" s="308"/>
      <c r="D52" s="2121">
        <f>ROUND(SUM(D19:D51),1)</f>
        <v>12.4</v>
      </c>
      <c r="E52" s="342"/>
      <c r="F52" s="2121">
        <f>ROUND(SUM(F19:F51),1)</f>
        <v>51.1</v>
      </c>
      <c r="G52" s="342"/>
      <c r="H52" s="2121">
        <f>ROUND(SUM(H19:H51),1)</f>
        <v>0</v>
      </c>
      <c r="I52" s="342"/>
      <c r="J52" s="2121">
        <f>ROUND(SUM(J19:J51),1)</f>
        <v>0</v>
      </c>
      <c r="K52" s="342"/>
      <c r="L52" s="2121">
        <f>ROUND(SUM(L19:L51),1)</f>
        <v>0</v>
      </c>
      <c r="M52" s="342"/>
      <c r="N52" s="2121">
        <f>ROUND(SUM(N19:N51),1)</f>
        <v>0</v>
      </c>
      <c r="O52" s="342"/>
      <c r="P52" s="2121">
        <f>ROUND(SUM(P19:P51),1)</f>
        <v>0</v>
      </c>
      <c r="Q52" s="342"/>
      <c r="R52" s="2121">
        <f>ROUND(SUM(R19:R51),1)</f>
        <v>0</v>
      </c>
      <c r="S52" s="342"/>
      <c r="T52" s="2121">
        <f>ROUND(SUM(T19:T51),1)</f>
        <v>0</v>
      </c>
      <c r="U52" s="342"/>
      <c r="V52" s="2121">
        <f>ROUND(SUM(V19:V51),1)</f>
        <v>0</v>
      </c>
      <c r="W52" s="319"/>
      <c r="X52" s="2121">
        <f>ROUND(SUM(X19:X51),1)</f>
        <v>0</v>
      </c>
      <c r="Y52" s="319"/>
      <c r="Z52" s="2121">
        <f>ROUND(SUM(Z19:Z51),1)</f>
        <v>0</v>
      </c>
      <c r="AA52" s="2702"/>
      <c r="AB52" s="2121">
        <f>ROUND(SUM(AB19:AB51),1)</f>
        <v>0</v>
      </c>
      <c r="AC52" s="342"/>
      <c r="AD52" s="2118"/>
      <c r="AE52" s="2121">
        <f>ROUND(SUM(AE19:AE51),1)</f>
        <v>63.5</v>
      </c>
      <c r="AF52" s="319"/>
      <c r="AG52" s="2119"/>
      <c r="AH52" s="2121">
        <f>ROUND(SUM(AH19:AH51),1)</f>
        <v>52.5</v>
      </c>
      <c r="AI52" s="2120"/>
      <c r="AJ52" s="262"/>
      <c r="AK52" s="2121">
        <f>ROUND(SUM(AK19:AK51),1)</f>
        <v>11</v>
      </c>
      <c r="AL52" s="2058"/>
      <c r="AM52" s="2859">
        <f>ROUND(SUM((AE52-AH52)/AH52),3)</f>
        <v>0.21</v>
      </c>
    </row>
    <row r="53" spans="1:39" s="1832" customFormat="1" ht="15" customHeight="1">
      <c r="A53" s="2116"/>
      <c r="B53" s="1837"/>
      <c r="C53" s="308"/>
      <c r="D53" s="320"/>
      <c r="E53" s="342"/>
      <c r="F53" s="689"/>
      <c r="G53" s="342"/>
      <c r="H53" s="319"/>
      <c r="I53" s="342"/>
      <c r="J53" s="319"/>
      <c r="K53" s="342"/>
      <c r="L53" s="319"/>
      <c r="M53" s="342"/>
      <c r="N53" s="342"/>
      <c r="O53" s="342"/>
      <c r="P53" s="553"/>
      <c r="Q53" s="342"/>
      <c r="R53" s="2117"/>
      <c r="S53" s="342"/>
      <c r="T53" s="689"/>
      <c r="U53" s="342"/>
      <c r="V53" s="320"/>
      <c r="W53" s="319"/>
      <c r="X53" s="320"/>
      <c r="Y53" s="319"/>
      <c r="Z53" s="320"/>
      <c r="AA53" s="320"/>
      <c r="AB53" s="320"/>
      <c r="AC53" s="342"/>
      <c r="AD53" s="2118"/>
      <c r="AE53" s="319"/>
      <c r="AF53" s="319"/>
      <c r="AG53" s="2119"/>
      <c r="AH53" s="319"/>
      <c r="AI53" s="2120"/>
      <c r="AJ53" s="262"/>
      <c r="AK53" s="2058"/>
      <c r="AL53" s="2058"/>
      <c r="AM53" s="2857"/>
    </row>
    <row r="54" spans="1:39" ht="15" customHeight="1">
      <c r="A54" s="353"/>
      <c r="B54" s="521" t="s">
        <v>155</v>
      </c>
      <c r="C54" s="223"/>
      <c r="D54" s="274">
        <v>1629</v>
      </c>
      <c r="E54" s="368"/>
      <c r="F54" s="373">
        <v>4578.6000000000004</v>
      </c>
      <c r="G54" s="368"/>
      <c r="H54" s="342"/>
      <c r="I54" s="368"/>
      <c r="J54" s="342"/>
      <c r="K54" s="368"/>
      <c r="L54" s="342"/>
      <c r="M54" s="368"/>
      <c r="N54" s="319"/>
      <c r="O54" s="368"/>
      <c r="P54" s="553"/>
      <c r="Q54" s="368"/>
      <c r="R54" s="1208"/>
      <c r="S54" s="368"/>
      <c r="T54" s="373"/>
      <c r="U54" s="368"/>
      <c r="V54" s="274"/>
      <c r="W54" s="261"/>
      <c r="X54" s="274"/>
      <c r="Y54" s="261"/>
      <c r="Z54" s="274"/>
      <c r="AA54" s="274"/>
      <c r="AB54" s="274">
        <v>0</v>
      </c>
      <c r="AC54" s="368"/>
      <c r="AD54" s="474"/>
      <c r="AE54" s="261">
        <f>ROUND(SUM(D54:AB54),1)</f>
        <v>6207.6</v>
      </c>
      <c r="AF54" s="249"/>
      <c r="AG54" s="252"/>
      <c r="AH54" s="261">
        <v>6705.9</v>
      </c>
      <c r="AI54" s="516"/>
      <c r="AJ54" s="249"/>
      <c r="AK54" s="1921">
        <f>ROUND(SUM(+AE54-AH54),1)</f>
        <v>-498.3</v>
      </c>
      <c r="AL54" s="1921"/>
      <c r="AM54" s="2860">
        <f>ROUND(SUM((AE54-AH54)/AH54),3)</f>
        <v>-7.3999999999999996E-2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4"/>
      <c r="AE55" s="289"/>
      <c r="AF55" s="249"/>
      <c r="AG55" s="252"/>
      <c r="AH55" s="289"/>
      <c r="AI55" s="516"/>
      <c r="AJ55" s="249"/>
      <c r="AK55" s="2782"/>
      <c r="AL55" s="2783"/>
      <c r="AM55" s="2861"/>
    </row>
    <row r="56" spans="1:39" ht="15" customHeight="1">
      <c r="A56" s="353"/>
      <c r="B56" s="221" t="s">
        <v>156</v>
      </c>
      <c r="C56" s="223"/>
      <c r="D56" s="257">
        <f>ROUND(SUM(+D52+D54),2)</f>
        <v>1641.4</v>
      </c>
      <c r="E56" s="410"/>
      <c r="F56" s="1899">
        <f>ROUND(SUM(+F52+F54),2)</f>
        <v>4629.7</v>
      </c>
      <c r="G56" s="410"/>
      <c r="H56" s="1899">
        <f>ROUND(SUM(+H52+H54),2)</f>
        <v>0</v>
      </c>
      <c r="I56" s="410"/>
      <c r="J56" s="1899">
        <f>ROUND(SUM(+J52+J54),2)</f>
        <v>0</v>
      </c>
      <c r="K56" s="410"/>
      <c r="L56" s="1899">
        <f>ROUND(SUM(+L52+L54),2)</f>
        <v>0</v>
      </c>
      <c r="M56" s="410"/>
      <c r="N56" s="1899">
        <f>ROUND(SUM(+N52+N54),2)</f>
        <v>0</v>
      </c>
      <c r="O56" s="410"/>
      <c r="P56" s="1899">
        <f>ROUND(SUM(+P52+P54),2)</f>
        <v>0</v>
      </c>
      <c r="Q56" s="410"/>
      <c r="R56" s="1899">
        <f>ROUND(SUM(+R52+R54),2)</f>
        <v>0</v>
      </c>
      <c r="S56" s="410"/>
      <c r="T56" s="1899">
        <f>ROUND(SUM(+T52+T54),2)</f>
        <v>0</v>
      </c>
      <c r="U56" s="410"/>
      <c r="V56" s="1899">
        <f>ROUND(SUM(+V52+V54),2)</f>
        <v>0</v>
      </c>
      <c r="W56" s="257"/>
      <c r="X56" s="1899">
        <f>ROUND(SUM(+X52+X54),2)</f>
        <v>0</v>
      </c>
      <c r="Y56" s="257"/>
      <c r="Z56" s="1899">
        <f>ROUND(SUM(+Z52+Z54),2)</f>
        <v>0</v>
      </c>
      <c r="AA56" s="1899"/>
      <c r="AB56" s="1899">
        <f>ROUND(SUM(+AB52+AB54),2)</f>
        <v>0</v>
      </c>
      <c r="AC56" s="410"/>
      <c r="AD56" s="481"/>
      <c r="AE56" s="1899">
        <f>ROUND(SUM(+AE52+AE54),1)</f>
        <v>6271.1</v>
      </c>
      <c r="AF56" s="273"/>
      <c r="AG56" s="746"/>
      <c r="AH56" s="1899">
        <f>ROUND(SUM(+AH52+AH54),1)</f>
        <v>6758.4</v>
      </c>
      <c r="AI56" s="523"/>
      <c r="AJ56" s="273"/>
      <c r="AK56" s="1745">
        <f>ROUND(SUM(+AK52+AK54),1)</f>
        <v>-487.3</v>
      </c>
      <c r="AL56" s="525"/>
      <c r="AM56" s="2862">
        <f>ROUND(SUM((AE56-AH56)/AH56),3)</f>
        <v>-7.1999999999999995E-2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4"/>
      <c r="AE57" s="371"/>
      <c r="AF57" s="253"/>
      <c r="AG57" s="542"/>
      <c r="AH57" s="371"/>
      <c r="AI57" s="543"/>
      <c r="AJ57" s="229"/>
      <c r="AK57" s="2783"/>
      <c r="AL57" s="2783"/>
      <c r="AM57" s="2863"/>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4"/>
      <c r="AE58" s="368"/>
      <c r="AF58" s="253"/>
      <c r="AG58" s="542"/>
      <c r="AH58" s="368"/>
      <c r="AI58" s="543"/>
      <c r="AJ58" s="229"/>
      <c r="AK58" s="2783"/>
      <c r="AL58" s="2783"/>
      <c r="AM58" s="2863"/>
    </row>
    <row r="59" spans="1:39" ht="15" customHeight="1">
      <c r="A59" s="353"/>
      <c r="B59" s="1365"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4"/>
      <c r="AE59" s="368"/>
      <c r="AF59" s="253"/>
      <c r="AG59" s="542"/>
      <c r="AH59" s="368"/>
      <c r="AI59" s="543"/>
      <c r="AJ59" s="229"/>
      <c r="AK59" s="2654"/>
      <c r="AL59" s="2783"/>
      <c r="AM59" s="2861"/>
    </row>
    <row r="60" spans="1:39" ht="15" customHeight="1">
      <c r="A60" s="353"/>
      <c r="B60" s="382" t="s">
        <v>26</v>
      </c>
      <c r="C60" s="223"/>
      <c r="D60" s="274">
        <v>324.10000000000002</v>
      </c>
      <c r="E60" s="368"/>
      <c r="F60" s="373">
        <v>443.8</v>
      </c>
      <c r="G60" s="368"/>
      <c r="H60" s="329"/>
      <c r="I60" s="368"/>
      <c r="J60" s="329"/>
      <c r="K60" s="368"/>
      <c r="L60" s="329"/>
      <c r="M60" s="368"/>
      <c r="N60" s="329"/>
      <c r="O60" s="368"/>
      <c r="P60" s="1208"/>
      <c r="Q60" s="368"/>
      <c r="R60" s="1208"/>
      <c r="S60" s="368"/>
      <c r="T60" s="373"/>
      <c r="U60" s="368"/>
      <c r="V60" s="274"/>
      <c r="W60" s="261"/>
      <c r="X60" s="274"/>
      <c r="Y60" s="261"/>
      <c r="Z60" s="261"/>
      <c r="AA60" s="261"/>
      <c r="AB60" s="261">
        <v>0</v>
      </c>
      <c r="AC60" s="368"/>
      <c r="AD60" s="474"/>
      <c r="AE60" s="261">
        <f>ROUND(SUM(D60:AB60),1)</f>
        <v>767.9</v>
      </c>
      <c r="AF60" s="249"/>
      <c r="AG60" s="252"/>
      <c r="AH60" s="319">
        <v>898.3</v>
      </c>
      <c r="AI60" s="516"/>
      <c r="AJ60" s="249"/>
      <c r="AK60" s="1177">
        <f>ROUND(SUM(+AE60-AH60),1)</f>
        <v>-130.4</v>
      </c>
      <c r="AL60" s="1177"/>
      <c r="AM60" s="2843">
        <f>ROUND(IF(AH60=0,0,AK60/(AH60)),3)</f>
        <v>-0.14499999999999999</v>
      </c>
    </row>
    <row r="61" spans="1:39" ht="15" customHeight="1">
      <c r="A61" s="353"/>
      <c r="B61" s="382" t="s">
        <v>27</v>
      </c>
      <c r="C61" s="223"/>
      <c r="D61" s="517">
        <v>0.3</v>
      </c>
      <c r="E61" s="368"/>
      <c r="F61" s="373">
        <v>0.6</v>
      </c>
      <c r="G61" s="368"/>
      <c r="H61" s="329"/>
      <c r="I61" s="368"/>
      <c r="J61" s="329"/>
      <c r="K61" s="368"/>
      <c r="L61" s="329"/>
      <c r="M61" s="368"/>
      <c r="N61" s="373"/>
      <c r="O61" s="368"/>
      <c r="P61" s="1208"/>
      <c r="Q61" s="368"/>
      <c r="R61" s="1208"/>
      <c r="S61" s="368"/>
      <c r="T61" s="373"/>
      <c r="U61" s="368"/>
      <c r="V61" s="373"/>
      <c r="W61" s="261"/>
      <c r="X61" s="274"/>
      <c r="Y61" s="261"/>
      <c r="Z61" s="261"/>
      <c r="AA61" s="261"/>
      <c r="AB61" s="261">
        <v>0</v>
      </c>
      <c r="AC61" s="368"/>
      <c r="AD61" s="474"/>
      <c r="AE61" s="261">
        <f>ROUND(SUM(D61:AB61),1)</f>
        <v>0.9</v>
      </c>
      <c r="AF61" s="249"/>
      <c r="AG61" s="252"/>
      <c r="AH61" s="1283">
        <v>0.1</v>
      </c>
      <c r="AI61" s="516"/>
      <c r="AJ61" s="249"/>
      <c r="AK61" s="1177">
        <f>ROUND(SUM(+AE61-AH61),1)</f>
        <v>0.8</v>
      </c>
      <c r="AL61" s="1177"/>
      <c r="AM61" s="2843">
        <f>ROUND(IF(AH61=0,1,AK61/(AH61)),3)</f>
        <v>8</v>
      </c>
    </row>
    <row r="62" spans="1:39" ht="15" customHeight="1">
      <c r="A62" s="353"/>
      <c r="B62" s="382" t="s">
        <v>28</v>
      </c>
      <c r="C62" s="223"/>
      <c r="D62" s="517">
        <v>0.8</v>
      </c>
      <c r="E62" s="368"/>
      <c r="F62" s="373">
        <v>11</v>
      </c>
      <c r="G62" s="368"/>
      <c r="H62" s="329"/>
      <c r="I62" s="368"/>
      <c r="J62" s="329"/>
      <c r="K62" s="368"/>
      <c r="L62" s="329"/>
      <c r="M62" s="368"/>
      <c r="N62" s="329"/>
      <c r="O62" s="368"/>
      <c r="P62" s="1208"/>
      <c r="Q62" s="368"/>
      <c r="R62" s="1208"/>
      <c r="S62" s="368"/>
      <c r="T62" s="373"/>
      <c r="U62" s="368"/>
      <c r="V62" s="274"/>
      <c r="W62" s="261"/>
      <c r="X62" s="274"/>
      <c r="Y62" s="261"/>
      <c r="Z62" s="261"/>
      <c r="AA62" s="261"/>
      <c r="AB62" s="261">
        <v>0</v>
      </c>
      <c r="AC62" s="368"/>
      <c r="AD62" s="474"/>
      <c r="AE62" s="261">
        <f>ROUND(SUM(D62:AB62),1)</f>
        <v>11.8</v>
      </c>
      <c r="AF62" s="249"/>
      <c r="AG62" s="252"/>
      <c r="AH62" s="1283">
        <v>5.0999999999999996</v>
      </c>
      <c r="AI62" s="516"/>
      <c r="AJ62" s="249"/>
      <c r="AK62" s="1177">
        <f>ROUND(SUM(+AE62-AH62),1)</f>
        <v>6.7</v>
      </c>
      <c r="AL62" s="1177"/>
      <c r="AM62" s="2843">
        <f>ROUND(IF(AH62=0,0,AK62/(AH62)),3)</f>
        <v>1.3140000000000001</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4"/>
      <c r="AE63" s="261"/>
      <c r="AF63" s="249"/>
      <c r="AG63" s="252"/>
      <c r="AH63" s="319"/>
      <c r="AI63" s="516"/>
      <c r="AJ63" s="249"/>
      <c r="AK63" s="1333"/>
      <c r="AL63" s="2654"/>
      <c r="AM63" s="2861"/>
    </row>
    <row r="64" spans="1:39" ht="15" customHeight="1">
      <c r="A64" s="353"/>
      <c r="B64" s="1728" t="s">
        <v>30</v>
      </c>
      <c r="C64" s="223"/>
      <c r="D64" s="274">
        <v>1558.6</v>
      </c>
      <c r="E64" s="368"/>
      <c r="F64" s="373">
        <v>2561.3000000000002</v>
      </c>
      <c r="G64" s="368"/>
      <c r="H64" s="329"/>
      <c r="I64" s="368"/>
      <c r="J64" s="329"/>
      <c r="K64" s="368"/>
      <c r="L64" s="329"/>
      <c r="M64" s="368"/>
      <c r="N64" s="329"/>
      <c r="O64" s="368"/>
      <c r="P64" s="1208"/>
      <c r="Q64" s="368"/>
      <c r="R64" s="1208"/>
      <c r="S64" s="368"/>
      <c r="T64" s="373"/>
      <c r="U64" s="368"/>
      <c r="V64" s="274"/>
      <c r="W64" s="261"/>
      <c r="X64" s="274"/>
      <c r="Y64" s="261"/>
      <c r="Z64" s="261"/>
      <c r="AA64" s="261"/>
      <c r="AB64" s="261">
        <v>0</v>
      </c>
      <c r="AC64" s="368"/>
      <c r="AD64" s="474"/>
      <c r="AE64" s="261">
        <f t="shared" ref="AE64:AE69" si="7">ROUND(SUM(D64:AB64),1)</f>
        <v>4119.8999999999996</v>
      </c>
      <c r="AF64" s="249"/>
      <c r="AG64" s="252"/>
      <c r="AH64" s="319">
        <v>4338.2</v>
      </c>
      <c r="AI64" s="516"/>
      <c r="AJ64" s="249"/>
      <c r="AK64" s="1177">
        <f t="shared" ref="AK64:AK69" si="8">ROUND(SUM(+AE64-AH64),1)</f>
        <v>-218.3</v>
      </c>
      <c r="AL64" s="1177"/>
      <c r="AM64" s="2843">
        <f t="shared" ref="AM64:AM69" si="9">ROUND(IF(AH64=0,0,AK64/(AH64)),3)</f>
        <v>-0.05</v>
      </c>
    </row>
    <row r="65" spans="1:39" ht="15" customHeight="1">
      <c r="A65" s="353"/>
      <c r="B65" s="382" t="s">
        <v>31</v>
      </c>
      <c r="C65" s="223"/>
      <c r="D65" s="274">
        <v>118.6</v>
      </c>
      <c r="E65" s="368"/>
      <c r="F65" s="373">
        <v>117.3</v>
      </c>
      <c r="G65" s="368"/>
      <c r="H65" s="329"/>
      <c r="I65" s="368"/>
      <c r="J65" s="329"/>
      <c r="K65" s="368"/>
      <c r="L65" s="329"/>
      <c r="M65" s="368"/>
      <c r="N65" s="329"/>
      <c r="O65" s="368"/>
      <c r="P65" s="1208"/>
      <c r="Q65" s="368"/>
      <c r="R65" s="1208"/>
      <c r="S65" s="368"/>
      <c r="T65" s="373"/>
      <c r="U65" s="368"/>
      <c r="V65" s="274"/>
      <c r="W65" s="261"/>
      <c r="X65" s="274"/>
      <c r="Y65" s="261"/>
      <c r="Z65" s="261"/>
      <c r="AA65" s="261"/>
      <c r="AB65" s="261">
        <v>0</v>
      </c>
      <c r="AC65" s="368"/>
      <c r="AD65" s="474"/>
      <c r="AE65" s="261">
        <f t="shared" si="7"/>
        <v>235.9</v>
      </c>
      <c r="AF65" s="249"/>
      <c r="AG65" s="252"/>
      <c r="AH65" s="319">
        <v>258</v>
      </c>
      <c r="AI65" s="516"/>
      <c r="AJ65" s="249"/>
      <c r="AK65" s="1177">
        <f t="shared" si="8"/>
        <v>-22.1</v>
      </c>
      <c r="AL65" s="1177"/>
      <c r="AM65" s="2843">
        <f t="shared" si="9"/>
        <v>-8.5999999999999993E-2</v>
      </c>
    </row>
    <row r="66" spans="1:39" ht="15" customHeight="1">
      <c r="A66" s="353"/>
      <c r="B66" s="382" t="s">
        <v>32</v>
      </c>
      <c r="C66" s="223"/>
      <c r="D66" s="274">
        <v>157.80000000000001</v>
      </c>
      <c r="E66" s="368"/>
      <c r="F66" s="373">
        <v>96.6</v>
      </c>
      <c r="G66" s="368"/>
      <c r="H66" s="329"/>
      <c r="I66" s="368"/>
      <c r="J66" s="329"/>
      <c r="K66" s="368"/>
      <c r="L66" s="329"/>
      <c r="M66" s="368"/>
      <c r="N66" s="329"/>
      <c r="O66" s="368"/>
      <c r="P66" s="1208"/>
      <c r="Q66" s="368"/>
      <c r="R66" s="1208"/>
      <c r="S66" s="368"/>
      <c r="T66" s="373"/>
      <c r="U66" s="368"/>
      <c r="V66" s="274"/>
      <c r="W66" s="261"/>
      <c r="X66" s="274"/>
      <c r="Y66" s="261"/>
      <c r="Z66" s="261"/>
      <c r="AA66" s="261"/>
      <c r="AB66" s="261">
        <v>0</v>
      </c>
      <c r="AC66" s="368"/>
      <c r="AD66" s="474"/>
      <c r="AE66" s="261">
        <f t="shared" si="7"/>
        <v>254.4</v>
      </c>
      <c r="AF66" s="249"/>
      <c r="AG66" s="252"/>
      <c r="AH66" s="319">
        <v>206.9</v>
      </c>
      <c r="AI66" s="516"/>
      <c r="AJ66" s="249"/>
      <c r="AK66" s="1177">
        <f t="shared" si="8"/>
        <v>47.5</v>
      </c>
      <c r="AL66" s="1177"/>
      <c r="AM66" s="2843">
        <f t="shared" si="9"/>
        <v>0.23</v>
      </c>
    </row>
    <row r="67" spans="1:39" ht="15" customHeight="1">
      <c r="A67" s="353"/>
      <c r="B67" s="382" t="s">
        <v>33</v>
      </c>
      <c r="C67" s="223"/>
      <c r="D67" s="274">
        <v>234.6</v>
      </c>
      <c r="E67" s="368"/>
      <c r="F67" s="373">
        <v>326.5</v>
      </c>
      <c r="G67" s="368"/>
      <c r="H67" s="329"/>
      <c r="I67" s="368"/>
      <c r="J67" s="329"/>
      <c r="K67" s="368"/>
      <c r="L67" s="329"/>
      <c r="M67" s="368"/>
      <c r="N67" s="329"/>
      <c r="O67" s="368"/>
      <c r="P67" s="1208"/>
      <c r="Q67" s="368"/>
      <c r="R67" s="1208"/>
      <c r="S67" s="368"/>
      <c r="T67" s="373"/>
      <c r="U67" s="368"/>
      <c r="V67" s="274"/>
      <c r="W67" s="261"/>
      <c r="X67" s="274"/>
      <c r="Y67" s="261"/>
      <c r="Z67" s="261"/>
      <c r="AA67" s="261"/>
      <c r="AB67" s="261">
        <v>0</v>
      </c>
      <c r="AC67" s="368"/>
      <c r="AD67" s="474"/>
      <c r="AE67" s="261">
        <f t="shared" si="7"/>
        <v>561.1</v>
      </c>
      <c r="AF67" s="249"/>
      <c r="AG67" s="252"/>
      <c r="AH67" s="319">
        <v>624.29999999999995</v>
      </c>
      <c r="AI67" s="516"/>
      <c r="AJ67" s="249"/>
      <c r="AK67" s="1177">
        <f t="shared" si="8"/>
        <v>-63.2</v>
      </c>
      <c r="AL67" s="1177"/>
      <c r="AM67" s="2843">
        <f t="shared" si="9"/>
        <v>-0.10100000000000001</v>
      </c>
    </row>
    <row r="68" spans="1:39" ht="15" customHeight="1">
      <c r="A68" s="353"/>
      <c r="B68" s="382" t="s">
        <v>34</v>
      </c>
      <c r="C68" s="223"/>
      <c r="D68" s="517">
        <v>0</v>
      </c>
      <c r="E68" s="368"/>
      <c r="F68" s="373">
        <v>0.7</v>
      </c>
      <c r="G68" s="368"/>
      <c r="H68" s="329"/>
      <c r="I68" s="368"/>
      <c r="J68" s="329"/>
      <c r="K68" s="368"/>
      <c r="L68" s="329"/>
      <c r="M68" s="368"/>
      <c r="N68" s="329"/>
      <c r="O68" s="368"/>
      <c r="P68" s="1208"/>
      <c r="Q68" s="368"/>
      <c r="R68" s="1208"/>
      <c r="S68" s="368"/>
      <c r="T68" s="373"/>
      <c r="U68" s="368"/>
      <c r="V68" s="373"/>
      <c r="W68" s="261"/>
      <c r="X68" s="274"/>
      <c r="Y68" s="261"/>
      <c r="Z68" s="261"/>
      <c r="AA68" s="261"/>
      <c r="AB68" s="261">
        <v>0</v>
      </c>
      <c r="AC68" s="368"/>
      <c r="AD68" s="474"/>
      <c r="AE68" s="261">
        <f>ROUND(SUM(D68:AB68),1)</f>
        <v>0.7</v>
      </c>
      <c r="AF68" s="249"/>
      <c r="AG68" s="252"/>
      <c r="AH68" s="1283">
        <v>0</v>
      </c>
      <c r="AI68" s="516"/>
      <c r="AJ68" s="249"/>
      <c r="AK68" s="1177">
        <f t="shared" si="8"/>
        <v>0.7</v>
      </c>
      <c r="AL68" s="1177"/>
      <c r="AM68" s="2843">
        <f>ROUND(IF(AH68=0,1,AK68/(AH68)),3)</f>
        <v>1</v>
      </c>
    </row>
    <row r="69" spans="1:39" ht="15" customHeight="1">
      <c r="A69" s="353"/>
      <c r="B69" s="382" t="s">
        <v>35</v>
      </c>
      <c r="C69" s="223"/>
      <c r="D69" s="274">
        <v>2.2000000000000002</v>
      </c>
      <c r="E69" s="368"/>
      <c r="F69" s="373">
        <v>3.4</v>
      </c>
      <c r="G69" s="368"/>
      <c r="H69" s="329"/>
      <c r="I69" s="368"/>
      <c r="J69" s="329"/>
      <c r="K69" s="368"/>
      <c r="L69" s="329"/>
      <c r="M69" s="368"/>
      <c r="N69" s="329"/>
      <c r="O69" s="368"/>
      <c r="P69" s="1208"/>
      <c r="Q69" s="368"/>
      <c r="R69" s="1208"/>
      <c r="S69" s="368"/>
      <c r="T69" s="373"/>
      <c r="U69" s="368"/>
      <c r="V69" s="274"/>
      <c r="W69" s="261"/>
      <c r="X69" s="274"/>
      <c r="Y69" s="261"/>
      <c r="Z69" s="490"/>
      <c r="AA69" s="249"/>
      <c r="AB69" s="490">
        <v>0</v>
      </c>
      <c r="AC69" s="368"/>
      <c r="AD69" s="474"/>
      <c r="AE69" s="261">
        <f t="shared" si="7"/>
        <v>5.6</v>
      </c>
      <c r="AF69" s="249"/>
      <c r="AG69" s="252"/>
      <c r="AH69" s="527">
        <v>6.6</v>
      </c>
      <c r="AI69" s="516"/>
      <c r="AJ69" s="249"/>
      <c r="AK69" s="1177">
        <f t="shared" si="8"/>
        <v>-1</v>
      </c>
      <c r="AL69" s="1921"/>
      <c r="AM69" s="2843">
        <f t="shared" si="9"/>
        <v>-0.152</v>
      </c>
    </row>
    <row r="70" spans="1:39" ht="15" customHeight="1">
      <c r="A70" s="353"/>
      <c r="B70" s="221" t="s">
        <v>1500</v>
      </c>
      <c r="C70" s="223"/>
      <c r="D70" s="546">
        <f>ROUND(SUM(D60:D69),2)</f>
        <v>2397</v>
      </c>
      <c r="E70" s="410"/>
      <c r="F70" s="546">
        <f>ROUND(SUM(F60:F69),2)</f>
        <v>3561.2</v>
      </c>
      <c r="G70" s="369"/>
      <c r="H70" s="546">
        <f>ROUND(SUM(H60:H69),2)</f>
        <v>0</v>
      </c>
      <c r="I70" s="410"/>
      <c r="J70" s="546">
        <f>ROUND(SUM(J60:J69),2)</f>
        <v>0</v>
      </c>
      <c r="K70" s="410"/>
      <c r="L70" s="546">
        <f>ROUND(SUM(L60:L69),2)</f>
        <v>0</v>
      </c>
      <c r="M70" s="410"/>
      <c r="N70" s="546">
        <f>ROUND(SUM(N60:N69),2)</f>
        <v>0</v>
      </c>
      <c r="O70" s="410"/>
      <c r="P70" s="546">
        <f>ROUND(SUM(P60:P69),2)</f>
        <v>0</v>
      </c>
      <c r="Q70" s="410"/>
      <c r="R70" s="546">
        <f>ROUND(SUM(R60:R69),2)</f>
        <v>0</v>
      </c>
      <c r="S70" s="410"/>
      <c r="T70" s="546">
        <f>ROUND(SUM(T60:T69),2)</f>
        <v>0</v>
      </c>
      <c r="U70" s="410"/>
      <c r="V70" s="546">
        <f>ROUND(SUM(V60:V69),2)</f>
        <v>0</v>
      </c>
      <c r="W70" s="257"/>
      <c r="X70" s="546">
        <f>ROUND(SUM(X60:X69),2)</f>
        <v>0</v>
      </c>
      <c r="Y70" s="257"/>
      <c r="Z70" s="546">
        <f>ROUND(SUM(Z60:Z69),2)</f>
        <v>0</v>
      </c>
      <c r="AA70" s="273"/>
      <c r="AB70" s="546">
        <f>ROUND(SUM(AB60:AB69),2)</f>
        <v>0</v>
      </c>
      <c r="AC70" s="410"/>
      <c r="AD70" s="481"/>
      <c r="AE70" s="546">
        <f>ROUND(SUM(AE60:AE69),2)</f>
        <v>5958.2</v>
      </c>
      <c r="AF70" s="273"/>
      <c r="AG70" s="746"/>
      <c r="AH70" s="528">
        <f>ROUND(SUM(AH60:AH69),1)</f>
        <v>6337.5</v>
      </c>
      <c r="AI70" s="523"/>
      <c r="AJ70" s="273"/>
      <c r="AK70" s="1366">
        <f>ROUND(SUM(AE70-AH70),1)</f>
        <v>-379.3</v>
      </c>
      <c r="AL70" s="525"/>
      <c r="AM70" s="2859">
        <f>ROUND(SUM((AE70-AH70)/AH70),3)</f>
        <v>-0.06</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4"/>
      <c r="AE71" s="368"/>
      <c r="AF71" s="253"/>
      <c r="AG71" s="542"/>
      <c r="AH71" s="368"/>
      <c r="AI71" s="543"/>
      <c r="AJ71" s="229"/>
      <c r="AK71" s="2783"/>
      <c r="AL71" s="2783"/>
      <c r="AM71" s="2863"/>
    </row>
    <row r="72" spans="1:39" ht="15" customHeight="1">
      <c r="A72" s="353"/>
      <c r="B72" s="223" t="s">
        <v>159</v>
      </c>
      <c r="C72" s="223"/>
      <c r="D72" s="274">
        <v>50.8</v>
      </c>
      <c r="E72" s="368"/>
      <c r="F72" s="373">
        <v>46</v>
      </c>
      <c r="G72" s="368"/>
      <c r="H72" s="329"/>
      <c r="I72" s="368"/>
      <c r="J72" s="329"/>
      <c r="K72" s="368"/>
      <c r="L72" s="329"/>
      <c r="M72" s="368"/>
      <c r="N72" s="329"/>
      <c r="O72" s="368"/>
      <c r="P72" s="1208"/>
      <c r="Q72" s="368"/>
      <c r="R72" s="1208"/>
      <c r="S72" s="368"/>
      <c r="T72" s="373"/>
      <c r="U72" s="368"/>
      <c r="V72" s="274"/>
      <c r="W72" s="261"/>
      <c r="X72" s="274"/>
      <c r="Y72" s="261"/>
      <c r="Z72" s="261"/>
      <c r="AA72" s="261"/>
      <c r="AB72" s="261">
        <v>0</v>
      </c>
      <c r="AC72" s="368"/>
      <c r="AD72" s="474"/>
      <c r="AE72" s="261">
        <f>ROUND(SUM(D72:AB72),1)</f>
        <v>96.8</v>
      </c>
      <c r="AF72" s="1367"/>
      <c r="AG72" s="252"/>
      <c r="AH72" s="261">
        <v>93.5</v>
      </c>
      <c r="AI72" s="516"/>
      <c r="AJ72" s="249"/>
      <c r="AK72" s="1177">
        <f>ROUND(SUM(+AE72-AH72),1)</f>
        <v>3.3</v>
      </c>
      <c r="AL72" s="1177"/>
      <c r="AM72" s="2843">
        <f>ROUND(IF(AH72=0,0,AK72/(AH72)),3)</f>
        <v>3.5000000000000003E-2</v>
      </c>
    </row>
    <row r="73" spans="1:39" ht="15" customHeight="1">
      <c r="A73" s="353"/>
      <c r="B73" s="223" t="s">
        <v>186</v>
      </c>
      <c r="C73" s="223"/>
      <c r="D73" s="274">
        <v>57.3</v>
      </c>
      <c r="E73" s="368"/>
      <c r="F73" s="373">
        <v>77.3</v>
      </c>
      <c r="G73" s="368"/>
      <c r="H73" s="329"/>
      <c r="I73" s="368"/>
      <c r="J73" s="329"/>
      <c r="K73" s="368"/>
      <c r="L73" s="329"/>
      <c r="M73" s="368"/>
      <c r="N73" s="329"/>
      <c r="O73" s="368"/>
      <c r="P73" s="1208"/>
      <c r="Q73" s="368"/>
      <c r="R73" s="1208"/>
      <c r="S73" s="368"/>
      <c r="T73" s="373"/>
      <c r="U73" s="368"/>
      <c r="V73" s="274"/>
      <c r="W73" s="261"/>
      <c r="X73" s="274"/>
      <c r="Y73" s="261"/>
      <c r="Z73" s="261"/>
      <c r="AA73" s="261"/>
      <c r="AB73" s="261">
        <v>0</v>
      </c>
      <c r="AC73" s="368"/>
      <c r="AD73" s="474"/>
      <c r="AE73" s="261">
        <f>ROUND(SUM(D73:AB73),1)</f>
        <v>134.6</v>
      </c>
      <c r="AF73" s="1367"/>
      <c r="AG73" s="252"/>
      <c r="AH73" s="261">
        <v>153.6</v>
      </c>
      <c r="AI73" s="516"/>
      <c r="AJ73" s="249"/>
      <c r="AK73" s="1177">
        <f>ROUND(SUM(+AE73-AH73),1)</f>
        <v>-19</v>
      </c>
      <c r="AL73" s="1177"/>
      <c r="AM73" s="2843">
        <f>ROUND(IF(AH73=0,0,AK73/(AH73)),3)</f>
        <v>-0.124</v>
      </c>
    </row>
    <row r="74" spans="1:39" ht="15" customHeight="1">
      <c r="A74" s="353"/>
      <c r="B74" s="223" t="s">
        <v>161</v>
      </c>
      <c r="C74" s="223"/>
      <c r="D74" s="517">
        <v>13.3</v>
      </c>
      <c r="E74" s="368"/>
      <c r="F74" s="373">
        <v>44.2</v>
      </c>
      <c r="G74" s="368"/>
      <c r="H74" s="329"/>
      <c r="I74" s="368"/>
      <c r="J74" s="329"/>
      <c r="K74" s="368"/>
      <c r="L74" s="329"/>
      <c r="M74" s="368"/>
      <c r="N74" s="329"/>
      <c r="O74" s="368"/>
      <c r="P74" s="1208"/>
      <c r="Q74" s="368"/>
      <c r="R74" s="1208"/>
      <c r="S74" s="368"/>
      <c r="T74" s="373"/>
      <c r="U74" s="368"/>
      <c r="V74" s="274"/>
      <c r="W74" s="261"/>
      <c r="X74" s="274"/>
      <c r="Y74" s="261"/>
      <c r="Z74" s="261"/>
      <c r="AA74" s="261"/>
      <c r="AB74" s="261">
        <v>0</v>
      </c>
      <c r="AC74" s="368"/>
      <c r="AD74" s="474"/>
      <c r="AE74" s="261">
        <f>ROUND(SUM(D74:AB74),1)</f>
        <v>57.5</v>
      </c>
      <c r="AF74" s="1367"/>
      <c r="AG74" s="252"/>
      <c r="AH74" s="264">
        <v>15.9</v>
      </c>
      <c r="AI74" s="516"/>
      <c r="AJ74" s="249"/>
      <c r="AK74" s="1177">
        <f>ROUND(SUM(+AE74-AH74),1)</f>
        <v>41.6</v>
      </c>
      <c r="AL74" s="1177"/>
      <c r="AM74" s="2843">
        <f>ROUND(IF(AH74=0,0,AK74/(AH74)),3)</f>
        <v>2.6160000000000001</v>
      </c>
    </row>
    <row r="75" spans="1:39" ht="15" customHeight="1">
      <c r="A75" s="353"/>
      <c r="B75" s="223" t="s">
        <v>187</v>
      </c>
      <c r="C75" s="223"/>
      <c r="D75" s="373">
        <v>0</v>
      </c>
      <c r="E75" s="368"/>
      <c r="F75" s="373">
        <v>0</v>
      </c>
      <c r="G75" s="368"/>
      <c r="H75" s="265"/>
      <c r="I75" s="368"/>
      <c r="J75" s="373"/>
      <c r="K75" s="368"/>
      <c r="L75" s="373"/>
      <c r="M75" s="368"/>
      <c r="N75" s="373"/>
      <c r="O75" s="368"/>
      <c r="P75" s="1208"/>
      <c r="Q75" s="368"/>
      <c r="R75" s="1208"/>
      <c r="S75" s="368"/>
      <c r="T75" s="373"/>
      <c r="U75" s="368"/>
      <c r="V75" s="373"/>
      <c r="W75" s="261"/>
      <c r="X75" s="274"/>
      <c r="Y75" s="261"/>
      <c r="Z75" s="279"/>
      <c r="AA75" s="265"/>
      <c r="AB75" s="279">
        <v>0</v>
      </c>
      <c r="AC75" s="368"/>
      <c r="AD75" s="474"/>
      <c r="AE75" s="261">
        <f>ROUND(SUM(D75:AB75),1)</f>
        <v>0</v>
      </c>
      <c r="AF75" s="255"/>
      <c r="AG75" s="1368"/>
      <c r="AH75" s="373">
        <v>0</v>
      </c>
      <c r="AI75" s="516"/>
      <c r="AJ75" s="249"/>
      <c r="AK75" s="1177">
        <f>ROUND(SUM(+AE75-AH75),1)</f>
        <v>0</v>
      </c>
      <c r="AL75" s="1921"/>
      <c r="AM75" s="2846">
        <f>ROUND(IF(AH75=0,0,AK75/(AH75)),3)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4"/>
      <c r="AE76" s="289"/>
      <c r="AF76" s="249"/>
      <c r="AG76" s="252"/>
      <c r="AH76" s="289"/>
      <c r="AI76" s="516"/>
      <c r="AJ76" s="249"/>
      <c r="AK76" s="1363"/>
      <c r="AL76" s="2783"/>
      <c r="AM76" s="2854"/>
    </row>
    <row r="77" spans="1:39" ht="15" customHeight="1">
      <c r="A77" s="353"/>
      <c r="B77" s="221" t="s">
        <v>162</v>
      </c>
      <c r="C77" s="223"/>
      <c r="D77" s="257">
        <f>ROUND(SUM(D70:D75),1)</f>
        <v>2518.4</v>
      </c>
      <c r="E77" s="410"/>
      <c r="F77" s="257">
        <f>ROUND(SUM(F70:F75),1)</f>
        <v>3728.7</v>
      </c>
      <c r="G77" s="410"/>
      <c r="H77" s="257">
        <f>ROUND(SUM(H70:H75),1)</f>
        <v>0</v>
      </c>
      <c r="I77" s="410"/>
      <c r="J77" s="257">
        <f>ROUND(SUM(J70:J75),1)</f>
        <v>0</v>
      </c>
      <c r="K77" s="410"/>
      <c r="L77" s="1899">
        <f>ROUND(SUM(L70:L75),1)</f>
        <v>0</v>
      </c>
      <c r="M77" s="410"/>
      <c r="N77" s="257">
        <f>ROUND(SUM(N70:N75),1)</f>
        <v>0</v>
      </c>
      <c r="O77" s="410"/>
      <c r="P77" s="257">
        <f>ROUND(SUM(P70:P75),1)</f>
        <v>0</v>
      </c>
      <c r="Q77" s="410"/>
      <c r="R77" s="257">
        <f>ROUND(SUM(R70:R75),1)</f>
        <v>0</v>
      </c>
      <c r="S77" s="410"/>
      <c r="T77" s="257">
        <f>ROUND(SUM(T70:T75),1)</f>
        <v>0</v>
      </c>
      <c r="U77" s="410"/>
      <c r="V77" s="257">
        <f>ROUND(SUM(V70:V75),1)</f>
        <v>0</v>
      </c>
      <c r="W77" s="257"/>
      <c r="X77" s="257">
        <f>ROUND(SUM(X70:X75),1)</f>
        <v>0</v>
      </c>
      <c r="Y77" s="257"/>
      <c r="Z77" s="257">
        <f>ROUND(SUM(Z70:Z75),1)</f>
        <v>0</v>
      </c>
      <c r="AA77" s="1899"/>
      <c r="AB77" s="1899">
        <f>ROUND(SUM(AB70:AB75),1)</f>
        <v>0</v>
      </c>
      <c r="AC77" s="410"/>
      <c r="AD77" s="481"/>
      <c r="AE77" s="257">
        <f>ROUND(SUM(AE70:AE75),1)</f>
        <v>6247.1</v>
      </c>
      <c r="AF77" s="273"/>
      <c r="AG77" s="746"/>
      <c r="AH77" s="257">
        <f>ROUND(SUM(AH70:AH75),1)</f>
        <v>6600.5</v>
      </c>
      <c r="AI77" s="523"/>
      <c r="AJ77" s="273"/>
      <c r="AK77" s="524">
        <f>ROUND(SUM(AE77-AH77),1)</f>
        <v>-353.4</v>
      </c>
      <c r="AL77" s="555"/>
      <c r="AM77" s="2864">
        <f>ROUND(SUM((AE77-AH77)/AH77),3)</f>
        <v>-5.3999999999999999E-2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4"/>
      <c r="AE78" s="289"/>
      <c r="AF78" s="249"/>
      <c r="AG78" s="252"/>
      <c r="AH78" s="289"/>
      <c r="AI78" s="516"/>
      <c r="AJ78" s="1369"/>
      <c r="AK78" s="1333"/>
      <c r="AL78" s="2783"/>
      <c r="AM78" s="2863"/>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4"/>
      <c r="AE79" s="261" t="s">
        <v>164</v>
      </c>
      <c r="AF79" s="1619"/>
      <c r="AG79" s="1620"/>
      <c r="AH79" s="249"/>
      <c r="AI79" s="516"/>
      <c r="AJ79" s="1615"/>
      <c r="AK79" s="1333"/>
      <c r="AL79" s="2783"/>
      <c r="AM79" s="2863"/>
    </row>
    <row r="80" spans="1:39" ht="15" customHeight="1">
      <c r="A80" s="353"/>
      <c r="B80" s="221" t="s">
        <v>46</v>
      </c>
      <c r="C80" s="223"/>
      <c r="D80" s="257">
        <f>ROUND(SUM(D56-D77),1)</f>
        <v>-877</v>
      </c>
      <c r="E80" s="410"/>
      <c r="F80" s="1899">
        <f>ROUND(SUM(F56-F77),1)</f>
        <v>901</v>
      </c>
      <c r="G80" s="410"/>
      <c r="H80" s="1899">
        <f>ROUND(SUM(H56-H77),1)</f>
        <v>0</v>
      </c>
      <c r="I80" s="410"/>
      <c r="J80" s="1899">
        <f>ROUND(SUM(J56-J77),1)</f>
        <v>0</v>
      </c>
      <c r="K80" s="410"/>
      <c r="L80" s="1899">
        <f>ROUND(SUM(L56-L77),1)</f>
        <v>0</v>
      </c>
      <c r="M80" s="410"/>
      <c r="N80" s="1899">
        <f>ROUND(SUM(N56-N77),1)</f>
        <v>0</v>
      </c>
      <c r="O80" s="410"/>
      <c r="P80" s="1899">
        <f>ROUND(SUM(P56-P77),1)</f>
        <v>0</v>
      </c>
      <c r="Q80" s="410"/>
      <c r="R80" s="1899">
        <f>ROUND(SUM(R56-R77),1)</f>
        <v>0</v>
      </c>
      <c r="S80" s="410"/>
      <c r="T80" s="1899">
        <f>ROUND(SUM(T56-T77),1)</f>
        <v>0</v>
      </c>
      <c r="U80" s="410"/>
      <c r="V80" s="1899">
        <f>ROUND(SUM(V56-V77),1)</f>
        <v>0</v>
      </c>
      <c r="W80" s="257"/>
      <c r="X80" s="1899">
        <f>ROUND(SUM(X56-X77),1)</f>
        <v>0</v>
      </c>
      <c r="Y80" s="257"/>
      <c r="Z80" s="1899">
        <f>ROUND(SUM(Z56-Z77),1)</f>
        <v>0</v>
      </c>
      <c r="AA80" s="1899"/>
      <c r="AB80" s="1899">
        <f>ROUND(SUM(AB56-AB77),1)</f>
        <v>0</v>
      </c>
      <c r="AC80" s="410"/>
      <c r="AD80" s="481"/>
      <c r="AE80" s="257">
        <f>ROUND(SUM(AE56-AE77),1)</f>
        <v>24</v>
      </c>
      <c r="AF80" s="273"/>
      <c r="AG80" s="746"/>
      <c r="AH80" s="257">
        <f>ROUND(SUM(AH56-AH77),1)</f>
        <v>157.9</v>
      </c>
      <c r="AI80" s="523"/>
      <c r="AJ80" s="273"/>
      <c r="AK80" s="524">
        <f>ROUND(SUM(AE80-AH80),1)</f>
        <v>-133.9</v>
      </c>
      <c r="AL80" s="412"/>
      <c r="AM80" s="2864">
        <f>ROUND(SUM((-AE80-AH80)/AH80),3)</f>
        <v>-1.1519999999999999</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4"/>
      <c r="AE81" s="289"/>
      <c r="AF81" s="249"/>
      <c r="AG81" s="252"/>
      <c r="AH81" s="289"/>
      <c r="AI81" s="516"/>
      <c r="AJ81" s="249"/>
      <c r="AK81" s="1333"/>
      <c r="AL81" s="2783"/>
      <c r="AM81" s="2863"/>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4"/>
      <c r="AE82" s="261"/>
      <c r="AF82" s="249"/>
      <c r="AG82" s="252"/>
      <c r="AH82" s="261"/>
      <c r="AI82" s="516"/>
      <c r="AJ82" s="249"/>
      <c r="AK82" s="1333"/>
      <c r="AL82" s="2783"/>
      <c r="AM82" s="2863"/>
    </row>
    <row r="83" spans="1:52" ht="15" customHeight="1">
      <c r="A83" s="353"/>
      <c r="B83" s="223" t="s">
        <v>188</v>
      </c>
      <c r="C83" s="223"/>
      <c r="D83" s="373">
        <v>0</v>
      </c>
      <c r="E83" s="368"/>
      <c r="F83" s="373">
        <v>0</v>
      </c>
      <c r="G83" s="368"/>
      <c r="H83" s="373"/>
      <c r="I83" s="368"/>
      <c r="J83" s="373"/>
      <c r="K83" s="368"/>
      <c r="L83" s="373"/>
      <c r="M83" s="368"/>
      <c r="N83" s="373"/>
      <c r="O83" s="368"/>
      <c r="P83" s="1208"/>
      <c r="Q83" s="374"/>
      <c r="R83" s="1208"/>
      <c r="S83" s="368"/>
      <c r="T83" s="373"/>
      <c r="U83" s="368"/>
      <c r="V83" s="373"/>
      <c r="W83" s="261"/>
      <c r="X83" s="274"/>
      <c r="Y83" s="261"/>
      <c r="Z83" s="373"/>
      <c r="AA83" s="373"/>
      <c r="AB83" s="373">
        <v>0</v>
      </c>
      <c r="AC83" s="368"/>
      <c r="AD83" s="474"/>
      <c r="AE83" s="261">
        <f>ROUND(SUM(D83:AB83),1)</f>
        <v>0</v>
      </c>
      <c r="AF83" s="255"/>
      <c r="AG83" s="252"/>
      <c r="AH83" s="373">
        <v>0</v>
      </c>
      <c r="AI83" s="516"/>
      <c r="AJ83" s="249"/>
      <c r="AK83" s="1362">
        <f>ROUND(SUM(+AE83-AH83),1)</f>
        <v>0</v>
      </c>
      <c r="AL83" s="1921"/>
      <c r="AM83" s="2843">
        <f>ROUND(IF(AH83=0,0,AK83/(AH83)),3)</f>
        <v>0</v>
      </c>
    </row>
    <row r="84" spans="1:52" ht="15" customHeight="1">
      <c r="A84" s="353"/>
      <c r="B84" s="223" t="s">
        <v>189</v>
      </c>
      <c r="C84" s="223"/>
      <c r="D84" s="274">
        <v>-160</v>
      </c>
      <c r="E84" s="368"/>
      <c r="F84" s="373">
        <v>-23.8</v>
      </c>
      <c r="G84" s="368"/>
      <c r="H84" s="329"/>
      <c r="I84" s="368"/>
      <c r="J84" s="329"/>
      <c r="K84" s="368"/>
      <c r="L84" s="329"/>
      <c r="M84" s="368"/>
      <c r="N84" s="329"/>
      <c r="O84" s="368"/>
      <c r="P84" s="1208"/>
      <c r="Q84" s="368"/>
      <c r="R84" s="1208"/>
      <c r="S84" s="368"/>
      <c r="T84" s="373"/>
      <c r="U84" s="368"/>
      <c r="V84" s="274"/>
      <c r="W84" s="261"/>
      <c r="X84" s="274"/>
      <c r="Y84" s="261"/>
      <c r="Z84" s="274"/>
      <c r="AA84" s="274"/>
      <c r="AB84" s="274">
        <v>25.2</v>
      </c>
      <c r="AC84" s="368"/>
      <c r="AD84" s="474"/>
      <c r="AE84" s="261">
        <f>ROUND(SUM(D84:AB84),1)</f>
        <v>-158.6</v>
      </c>
      <c r="AF84" s="249"/>
      <c r="AG84" s="252"/>
      <c r="AH84" s="261">
        <v>-297</v>
      </c>
      <c r="AI84" s="516"/>
      <c r="AJ84" s="249"/>
      <c r="AK84" s="1921">
        <f>ROUND(SUM(+AE84-AH84)*-1,1)</f>
        <v>-138.4</v>
      </c>
      <c r="AL84" s="1921"/>
      <c r="AM84" s="2843">
        <f>-ROUND(IF(AH84=0,0,AK84/(AH84)),3)</f>
        <v>-0.46600000000000003</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4"/>
      <c r="AE85" s="289"/>
      <c r="AF85" s="249"/>
      <c r="AG85" s="252"/>
      <c r="AH85" s="289"/>
      <c r="AI85" s="516"/>
      <c r="AJ85" s="249"/>
      <c r="AK85" s="2782"/>
      <c r="AL85" s="2783"/>
      <c r="AM85" s="2865"/>
    </row>
    <row r="86" spans="1:52" ht="15" customHeight="1">
      <c r="A86" s="353"/>
      <c r="B86" s="221" t="s">
        <v>1494</v>
      </c>
      <c r="C86" s="223"/>
      <c r="D86" s="257">
        <f>ROUND(SUM(D83:D85),1)</f>
        <v>-160</v>
      </c>
      <c r="E86" s="410"/>
      <c r="F86" s="257">
        <f>ROUND(SUM(F83:F85),1)</f>
        <v>-23.8</v>
      </c>
      <c r="G86" s="410"/>
      <c r="H86" s="257">
        <f>ROUND(SUM(H83:H85),1)</f>
        <v>0</v>
      </c>
      <c r="I86" s="410"/>
      <c r="J86" s="257">
        <f>ROUND(SUM(J83:J85),1)</f>
        <v>0</v>
      </c>
      <c r="K86" s="410"/>
      <c r="L86" s="1899">
        <f>ROUND(SUM(L83:L85),1)</f>
        <v>0</v>
      </c>
      <c r="M86" s="410"/>
      <c r="N86" s="257">
        <f>ROUND(SUM(N83:N85),1)</f>
        <v>0</v>
      </c>
      <c r="O86" s="410"/>
      <c r="P86" s="257">
        <f>ROUND(SUM(P83:P85),1)</f>
        <v>0</v>
      </c>
      <c r="Q86" s="410"/>
      <c r="R86" s="257">
        <f>ROUND(SUM(R83:R85),1)</f>
        <v>0</v>
      </c>
      <c r="S86" s="410"/>
      <c r="T86" s="257">
        <f>ROUND(SUM(T83:T85),1)</f>
        <v>0</v>
      </c>
      <c r="U86" s="410"/>
      <c r="V86" s="257">
        <f>ROUND(SUM(V83:V85),1)</f>
        <v>0</v>
      </c>
      <c r="W86" s="257"/>
      <c r="X86" s="257">
        <f>ROUND(SUM(X83:X85),1)</f>
        <v>0</v>
      </c>
      <c r="Y86" s="257"/>
      <c r="Z86" s="257">
        <f>ROUND(SUM(Z83:Z85),1)</f>
        <v>0</v>
      </c>
      <c r="AA86" s="1899"/>
      <c r="AB86" s="1899">
        <f>ROUND(SUM(AB83:AB85),1)</f>
        <v>25.2</v>
      </c>
      <c r="AC86" s="410"/>
      <c r="AD86" s="481"/>
      <c r="AE86" s="257">
        <f>ROUND(SUM(AE83:AE85),1)</f>
        <v>-158.6</v>
      </c>
      <c r="AF86" s="273"/>
      <c r="AG86" s="746"/>
      <c r="AH86" s="257">
        <f>ROUND(SUM(AH83:AH84),1)</f>
        <v>-297</v>
      </c>
      <c r="AI86" s="523"/>
      <c r="AJ86" s="273"/>
      <c r="AK86" s="524">
        <f>-ROUND(SUM(AE86-AH86),1)</f>
        <v>-138.4</v>
      </c>
      <c r="AL86" s="525"/>
      <c r="AM86" s="2866">
        <f>-ROUND(SUM((AE86-AH86)/AH86*-1),3)</f>
        <v>-0.46600000000000003</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4"/>
      <c r="AE87" s="289"/>
      <c r="AF87" s="249"/>
      <c r="AG87" s="252"/>
      <c r="AH87" s="289"/>
      <c r="AI87" s="516"/>
      <c r="AJ87" s="249"/>
      <c r="AK87" s="1333"/>
      <c r="AL87" s="2783"/>
      <c r="AM87" s="2863"/>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4"/>
      <c r="AE88" s="368"/>
      <c r="AF88" s="253"/>
      <c r="AG88" s="542"/>
      <c r="AH88" s="368"/>
      <c r="AI88" s="543"/>
      <c r="AJ88" s="229"/>
      <c r="AK88" s="2783"/>
      <c r="AL88" s="2783"/>
      <c r="AM88" s="2863"/>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4"/>
      <c r="AE89" s="368"/>
      <c r="AF89" s="253"/>
      <c r="AG89" s="542"/>
      <c r="AH89" s="425"/>
      <c r="AI89" s="543"/>
      <c r="AJ89" s="229"/>
      <c r="AK89" s="2783"/>
      <c r="AL89" s="2783"/>
      <c r="AM89" s="2863"/>
    </row>
    <row r="90" spans="1:52" ht="15" customHeight="1" thickBot="1">
      <c r="A90" s="353"/>
      <c r="B90" s="221" t="s">
        <v>1495</v>
      </c>
      <c r="C90" s="223"/>
      <c r="D90" s="504">
        <f>ROUND(SUM(D80+D86),1)</f>
        <v>-1037</v>
      </c>
      <c r="E90" s="368"/>
      <c r="F90" s="504">
        <f>ROUND(SUM(F80+F86),1)</f>
        <v>877.2</v>
      </c>
      <c r="G90" s="368"/>
      <c r="H90" s="504">
        <f>ROUND(SUM(H80+H86),1)</f>
        <v>0</v>
      </c>
      <c r="I90" s="368"/>
      <c r="J90" s="504">
        <f>ROUND(SUM(J80+J86),1)</f>
        <v>0</v>
      </c>
      <c r="K90" s="368"/>
      <c r="L90" s="504">
        <f>ROUND(SUM(L80+L86),1)</f>
        <v>0</v>
      </c>
      <c r="M90" s="261"/>
      <c r="N90" s="504">
        <f>ROUND(SUM(N80+N86),1)</f>
        <v>0</v>
      </c>
      <c r="O90" s="261"/>
      <c r="P90" s="504">
        <f>ROUND(SUM(P80+P86),1)</f>
        <v>0</v>
      </c>
      <c r="Q90" s="261"/>
      <c r="R90" s="504">
        <f>ROUND(SUM(R80+R86),1)</f>
        <v>0</v>
      </c>
      <c r="S90" s="261"/>
      <c r="T90" s="504">
        <f>ROUND(SUM(T80+T86),1)</f>
        <v>0</v>
      </c>
      <c r="U90" s="261"/>
      <c r="V90" s="504">
        <f>ROUND(SUM(V80+V86),1)</f>
        <v>0</v>
      </c>
      <c r="W90" s="261"/>
      <c r="X90" s="504">
        <f>ROUND(SUM(X80+X86),1)</f>
        <v>0</v>
      </c>
      <c r="Y90" s="261"/>
      <c r="Z90" s="504">
        <f>ROUND(SUM(Z80+Z86),1)</f>
        <v>0</v>
      </c>
      <c r="AA90" s="425"/>
      <c r="AB90" s="504">
        <f>ROUND(SUM(AB80+AB86),1)</f>
        <v>25.2</v>
      </c>
      <c r="AC90" s="368"/>
      <c r="AD90" s="474"/>
      <c r="AE90" s="504">
        <f>ROUND(SUM(AE80+AE86),1)</f>
        <v>-134.6</v>
      </c>
      <c r="AF90" s="253"/>
      <c r="AG90" s="542"/>
      <c r="AH90" s="504">
        <f>ROUND(SUM(AH80+AH86),1)</f>
        <v>-139.1</v>
      </c>
      <c r="AI90" s="543"/>
      <c r="AJ90" s="229"/>
      <c r="AK90" s="504">
        <f>ROUND(SUM(AK80-AK86),1)</f>
        <v>4.5</v>
      </c>
      <c r="AL90" s="2783"/>
      <c r="AM90" s="2914">
        <f>ROUND(SUM((AE90-AH90)/AH90*-1),3)</f>
        <v>3.2000000000000001E-2</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95"/>
      <c r="U91" s="222"/>
      <c r="V91" s="229"/>
      <c r="W91" s="222"/>
      <c r="X91" s="229"/>
      <c r="Y91" s="222"/>
      <c r="Z91" s="229"/>
      <c r="AA91" s="229"/>
      <c r="AB91" s="229"/>
      <c r="AC91" s="222"/>
      <c r="AD91" s="229"/>
      <c r="AE91" s="229"/>
      <c r="AF91" s="229"/>
      <c r="AG91" s="229"/>
      <c r="AH91" s="229"/>
      <c r="AI91" s="229"/>
      <c r="AJ91" s="229"/>
      <c r="AK91" s="2784"/>
      <c r="AL91" s="2783"/>
      <c r="AM91" s="2863" t="s">
        <v>16</v>
      </c>
    </row>
    <row r="92" spans="1:52" ht="15" customHeight="1">
      <c r="B92" s="222"/>
      <c r="C92" s="222"/>
      <c r="D92" s="507"/>
      <c r="E92" s="507"/>
      <c r="F92" s="507"/>
      <c r="G92" s="507"/>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2768"/>
      <c r="AL92" s="2768"/>
      <c r="AM92" s="2834"/>
      <c r="AN92" s="549"/>
      <c r="AO92" s="549"/>
      <c r="AP92" s="549"/>
      <c r="AQ92" s="549"/>
      <c r="AR92" s="549"/>
      <c r="AS92" s="549"/>
      <c r="AT92" s="549"/>
      <c r="AU92" s="549"/>
      <c r="AV92" s="549"/>
      <c r="AW92" s="549"/>
      <c r="AX92" s="549"/>
      <c r="AY92" s="549"/>
      <c r="AZ92" s="549"/>
    </row>
    <row r="93" spans="1:52" ht="15" customHeight="1">
      <c r="B93" s="1895" t="s">
        <v>1519</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95"/>
      <c r="AL93" s="1895"/>
      <c r="AM93" s="2834"/>
    </row>
    <row r="94" spans="1:52" ht="15" customHeight="1">
      <c r="B94" s="222"/>
      <c r="AM94" s="2858"/>
    </row>
    <row r="95" spans="1:52" ht="15" customHeight="1">
      <c r="B95" s="222"/>
      <c r="AM95" s="2858"/>
    </row>
    <row r="96" spans="1:52" ht="15" customHeight="1">
      <c r="AM96" s="2858"/>
    </row>
    <row r="97" spans="39:39" ht="15" customHeight="1">
      <c r="AM97" s="2858"/>
    </row>
    <row r="98" spans="39:39" ht="15" customHeight="1">
      <c r="AM98" s="2858"/>
    </row>
    <row r="99" spans="39:39" ht="15" customHeight="1">
      <c r="AM99" s="2858"/>
    </row>
    <row r="100" spans="39:39" ht="15" customHeight="1">
      <c r="AM100" s="2858"/>
    </row>
    <row r="101" spans="39:39" ht="15" customHeight="1">
      <c r="AM101" s="2858"/>
    </row>
    <row r="102" spans="39:39" ht="15" customHeight="1">
      <c r="AM102" s="2858"/>
    </row>
    <row r="103" spans="39:39" ht="15" customHeight="1">
      <c r="AM103" s="2858"/>
    </row>
    <row r="104" spans="39:39" ht="15" customHeight="1">
      <c r="AM104" s="2858"/>
    </row>
    <row r="105" spans="39:39" ht="15" customHeight="1">
      <c r="AM105" s="2858"/>
    </row>
    <row r="106" spans="39:39" ht="15" customHeight="1">
      <c r="AM106" s="2858"/>
    </row>
    <row r="107" spans="39:39" ht="15" customHeight="1">
      <c r="AM107" s="2858"/>
    </row>
    <row r="108" spans="39:39" ht="15" customHeight="1">
      <c r="AM108" s="2858"/>
    </row>
    <row r="109" spans="39:39" ht="15" customHeight="1">
      <c r="AM109" s="2858"/>
    </row>
    <row r="110" spans="39:39" ht="15" customHeight="1">
      <c r="AM110" s="2858"/>
    </row>
    <row r="111" spans="39:39" ht="15" customHeight="1">
      <c r="AM111" s="2858"/>
    </row>
    <row r="112" spans="39:39" ht="15" customHeight="1">
      <c r="AM112" s="2858"/>
    </row>
    <row r="113" spans="39:39" ht="15" customHeight="1">
      <c r="AM113" s="2858"/>
    </row>
    <row r="114" spans="39:39" ht="15" customHeight="1">
      <c r="AM114" s="2858"/>
    </row>
    <row r="115" spans="39:39" ht="15" customHeight="1">
      <c r="AM115" s="2858"/>
    </row>
    <row r="116" spans="39:39" ht="15" customHeight="1">
      <c r="AM116" s="2858"/>
    </row>
    <row r="117" spans="39:39" ht="15" customHeight="1">
      <c r="AM117" s="2858"/>
    </row>
    <row r="118" spans="39:39" ht="15" customHeight="1">
      <c r="AM118" s="2858"/>
    </row>
    <row r="119" spans="39:39" ht="15" customHeight="1">
      <c r="AM119" s="2858"/>
    </row>
    <row r="120" spans="39:39" ht="15" customHeight="1">
      <c r="AM120" s="2858"/>
    </row>
    <row r="121" spans="39:39" ht="15" customHeight="1">
      <c r="AM121" s="2858"/>
    </row>
    <row r="122" spans="39:39" ht="15" customHeight="1">
      <c r="AM122" s="2858"/>
    </row>
    <row r="123" spans="39:39" ht="15" customHeight="1">
      <c r="AM123" s="2858"/>
    </row>
    <row r="124" spans="39:39" ht="15" customHeight="1">
      <c r="AM124" s="2858"/>
    </row>
    <row r="125" spans="39:39" ht="15" customHeight="1">
      <c r="AM125" s="2858"/>
    </row>
    <row r="126" spans="39:39" ht="15" customHeight="1">
      <c r="AM126" s="2858"/>
    </row>
    <row r="127" spans="39:39" ht="15" customHeight="1">
      <c r="AM127" s="2858"/>
    </row>
    <row r="128" spans="39:39" ht="15" customHeight="1">
      <c r="AM128" s="2858"/>
    </row>
    <row r="129" spans="39:39" ht="15" customHeight="1">
      <c r="AM129" s="2858"/>
    </row>
    <row r="130" spans="39:39" ht="15" customHeight="1">
      <c r="AM130" s="2858"/>
    </row>
    <row r="131" spans="39:39" ht="15" customHeight="1">
      <c r="AM131" s="2858"/>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61" min="1" max="38" man="1"/>
  </rowBreaks>
  <ignoredErrors>
    <ignoredError sqref="AM83 AM16:AM18 AM20 AM33 AM40 AM53 AM57 AM55" unlockedFormula="1"/>
    <ignoredError sqref="AM47 AM42 AM61 AM68 AM49" formula="1"/>
  </ignoredErrors>
</worksheet>
</file>

<file path=xl/worksheets/sheet22.xml><?xml version="1.0" encoding="utf-8"?>
<worksheet xmlns="http://schemas.openxmlformats.org/spreadsheetml/2006/main" xmlns:r="http://schemas.openxmlformats.org/officeDocument/2006/relationships">
  <sheetPr codeName="Sheet20"/>
  <dimension ref="A1:AL257"/>
  <sheetViews>
    <sheetView showGridLines="0" zoomScale="70" zoomScaleNormal="70" workbookViewId="0"/>
  </sheetViews>
  <sheetFormatPr defaultRowHeight="12.75"/>
  <cols>
    <col min="1" max="1" width="40.44140625" style="559" customWidth="1"/>
    <col min="2" max="2" width="10.44140625" style="559" customWidth="1"/>
    <col min="3" max="3" width="1.33203125" style="559" customWidth="1"/>
    <col min="4" max="4" width="10" style="559" customWidth="1"/>
    <col min="5" max="5" width="1.33203125" style="559" customWidth="1"/>
    <col min="6" max="6" width="9.33203125" style="558" customWidth="1"/>
    <col min="7" max="7" width="1.33203125" style="559" customWidth="1"/>
    <col min="8" max="8" width="10" style="559" customWidth="1"/>
    <col min="9" max="9" width="1.33203125" style="559" customWidth="1"/>
    <col min="10" max="10" width="9.109375" style="559" customWidth="1"/>
    <col min="11" max="11" width="1.33203125" style="559" customWidth="1"/>
    <col min="12" max="12" width="11.33203125" style="559" customWidth="1"/>
    <col min="13" max="13" width="1.33203125" style="559" customWidth="1"/>
    <col min="14" max="14" width="9.109375" style="559" customWidth="1"/>
    <col min="15" max="15" width="1.6640625" style="559" customWidth="1"/>
    <col min="16" max="16" width="11" style="559" customWidth="1"/>
    <col min="17" max="17" width="1.33203125" style="559" customWidth="1"/>
    <col min="18" max="18" width="10.77734375" style="559" customWidth="1"/>
    <col min="19" max="19" width="1.33203125" style="559" customWidth="1"/>
    <col min="20" max="20" width="10" style="559" customWidth="1"/>
    <col min="21" max="21" width="1.33203125" style="559" customWidth="1"/>
    <col min="22" max="22" width="9.33203125" style="559" customWidth="1"/>
    <col min="23" max="23" width="1.33203125" style="559" customWidth="1"/>
    <col min="24" max="24" width="9.109375" style="559" bestFit="1" customWidth="1"/>
    <col min="25" max="25" width="1.33203125" style="559" customWidth="1"/>
    <col min="26" max="26" width="0.77734375" style="559" customWidth="1"/>
    <col min="27" max="27" width="10.5546875" style="559" customWidth="1"/>
    <col min="28" max="28" width="2.21875" style="559" customWidth="1"/>
    <col min="29" max="29" width="0.88671875" style="559" customWidth="1"/>
    <col min="30" max="30" width="11" style="559" bestFit="1" customWidth="1"/>
    <col min="31" max="32" width="0.6640625" style="559" customWidth="1"/>
    <col min="33" max="33" width="9.6640625" style="559" customWidth="1"/>
    <col min="34" max="34" width="1.109375" style="559" customWidth="1"/>
    <col min="35" max="35" width="11" style="559" customWidth="1"/>
    <col min="36" max="36" width="14.5546875" style="1030" customWidth="1"/>
    <col min="37" max="252" width="8.88671875" style="559"/>
    <col min="253" max="253" width="38.44140625" style="559" customWidth="1"/>
    <col min="254" max="254" width="8.5546875" style="559" customWidth="1"/>
    <col min="255" max="255" width="1.33203125" style="559" customWidth="1"/>
    <col min="256" max="256" width="8.88671875" style="559" customWidth="1"/>
    <col min="257" max="257" width="1.33203125" style="559" customWidth="1"/>
    <col min="258" max="258" width="9.33203125" style="559" customWidth="1"/>
    <col min="259" max="259" width="1.33203125" style="559" customWidth="1"/>
    <col min="260" max="260" width="10" style="559" customWidth="1"/>
    <col min="261" max="261" width="1.33203125" style="559" customWidth="1"/>
    <col min="262" max="262" width="9.109375" style="559" customWidth="1"/>
    <col min="263" max="263" width="1.33203125" style="559" customWidth="1"/>
    <col min="264" max="264" width="11.33203125" style="559" customWidth="1"/>
    <col min="265" max="265" width="1.33203125" style="559" customWidth="1"/>
    <col min="266" max="266" width="9.109375" style="559" customWidth="1"/>
    <col min="267" max="267" width="1.6640625" style="559" customWidth="1"/>
    <col min="268" max="268" width="11" style="559" customWidth="1"/>
    <col min="269" max="269" width="1.33203125" style="559" customWidth="1"/>
    <col min="270" max="270" width="10.77734375" style="559" customWidth="1"/>
    <col min="271" max="271" width="1.33203125" style="559" customWidth="1"/>
    <col min="272" max="272" width="10" style="559" customWidth="1"/>
    <col min="273" max="273" width="1.33203125" style="559" customWidth="1"/>
    <col min="274" max="274" width="9.33203125" style="559" customWidth="1"/>
    <col min="275" max="275" width="1.33203125" style="559" customWidth="1"/>
    <col min="276" max="276" width="7.77734375" style="559" customWidth="1"/>
    <col min="277" max="277" width="1.33203125" style="559" customWidth="1"/>
    <col min="278" max="278" width="0.77734375" style="559" customWidth="1"/>
    <col min="279" max="279" width="9.33203125" style="559" customWidth="1"/>
    <col min="280" max="280" width="1.33203125" style="559" customWidth="1"/>
    <col min="281" max="281" width="0.88671875" style="559" customWidth="1"/>
    <col min="282" max="282" width="9.5546875" style="559" bestFit="1" customWidth="1"/>
    <col min="283" max="284" width="0.6640625" style="559" customWidth="1"/>
    <col min="285" max="285" width="9.6640625" style="559" customWidth="1"/>
    <col min="286" max="286" width="1.109375" style="559" customWidth="1"/>
    <col min="287" max="287" width="8.5546875" style="559" customWidth="1"/>
    <col min="288" max="288" width="14.5546875" style="559" customWidth="1"/>
    <col min="289" max="289" width="10" style="559" customWidth="1"/>
    <col min="290" max="290" width="7.77734375" style="559" bestFit="1" customWidth="1"/>
    <col min="291" max="291" width="9.88671875" style="559" customWidth="1"/>
    <col min="292" max="508" width="8.88671875" style="559"/>
    <col min="509" max="509" width="38.44140625" style="559" customWidth="1"/>
    <col min="510" max="510" width="8.5546875" style="559" customWidth="1"/>
    <col min="511" max="511" width="1.33203125" style="559" customWidth="1"/>
    <col min="512" max="512" width="8.88671875" style="559" customWidth="1"/>
    <col min="513" max="513" width="1.33203125" style="559" customWidth="1"/>
    <col min="514" max="514" width="9.33203125" style="559" customWidth="1"/>
    <col min="515" max="515" width="1.33203125" style="559" customWidth="1"/>
    <col min="516" max="516" width="10" style="559" customWidth="1"/>
    <col min="517" max="517" width="1.33203125" style="559" customWidth="1"/>
    <col min="518" max="518" width="9.109375" style="559" customWidth="1"/>
    <col min="519" max="519" width="1.33203125" style="559" customWidth="1"/>
    <col min="520" max="520" width="11.33203125" style="559" customWidth="1"/>
    <col min="521" max="521" width="1.33203125" style="559" customWidth="1"/>
    <col min="522" max="522" width="9.109375" style="559" customWidth="1"/>
    <col min="523" max="523" width="1.6640625" style="559" customWidth="1"/>
    <col min="524" max="524" width="11" style="559" customWidth="1"/>
    <col min="525" max="525" width="1.33203125" style="559" customWidth="1"/>
    <col min="526" max="526" width="10.77734375" style="559" customWidth="1"/>
    <col min="527" max="527" width="1.33203125" style="559" customWidth="1"/>
    <col min="528" max="528" width="10" style="559" customWidth="1"/>
    <col min="529" max="529" width="1.33203125" style="559" customWidth="1"/>
    <col min="530" max="530" width="9.33203125" style="559" customWidth="1"/>
    <col min="531" max="531" width="1.33203125" style="559" customWidth="1"/>
    <col min="532" max="532" width="7.77734375" style="559" customWidth="1"/>
    <col min="533" max="533" width="1.33203125" style="559" customWidth="1"/>
    <col min="534" max="534" width="0.77734375" style="559" customWidth="1"/>
    <col min="535" max="535" width="9.33203125" style="559" customWidth="1"/>
    <col min="536" max="536" width="1.33203125" style="559" customWidth="1"/>
    <col min="537" max="537" width="0.88671875" style="559" customWidth="1"/>
    <col min="538" max="538" width="9.5546875" style="559" bestFit="1" customWidth="1"/>
    <col min="539" max="540" width="0.6640625" style="559" customWidth="1"/>
    <col min="541" max="541" width="9.6640625" style="559" customWidth="1"/>
    <col min="542" max="542" width="1.109375" style="559" customWidth="1"/>
    <col min="543" max="543" width="8.5546875" style="559" customWidth="1"/>
    <col min="544" max="544" width="14.5546875" style="559" customWidth="1"/>
    <col min="545" max="545" width="10" style="559" customWidth="1"/>
    <col min="546" max="546" width="7.77734375" style="559" bestFit="1" customWidth="1"/>
    <col min="547" max="547" width="9.88671875" style="559" customWidth="1"/>
    <col min="548" max="764" width="8.88671875" style="559"/>
    <col min="765" max="765" width="38.44140625" style="559" customWidth="1"/>
    <col min="766" max="766" width="8.5546875" style="559" customWidth="1"/>
    <col min="767" max="767" width="1.33203125" style="559" customWidth="1"/>
    <col min="768" max="768" width="8.88671875" style="559" customWidth="1"/>
    <col min="769" max="769" width="1.33203125" style="559" customWidth="1"/>
    <col min="770" max="770" width="9.33203125" style="559" customWidth="1"/>
    <col min="771" max="771" width="1.33203125" style="559" customWidth="1"/>
    <col min="772" max="772" width="10" style="559" customWidth="1"/>
    <col min="773" max="773" width="1.33203125" style="559" customWidth="1"/>
    <col min="774" max="774" width="9.109375" style="559" customWidth="1"/>
    <col min="775" max="775" width="1.33203125" style="559" customWidth="1"/>
    <col min="776" max="776" width="11.33203125" style="559" customWidth="1"/>
    <col min="777" max="777" width="1.33203125" style="559" customWidth="1"/>
    <col min="778" max="778" width="9.109375" style="559" customWidth="1"/>
    <col min="779" max="779" width="1.6640625" style="559" customWidth="1"/>
    <col min="780" max="780" width="11" style="559" customWidth="1"/>
    <col min="781" max="781" width="1.33203125" style="559" customWidth="1"/>
    <col min="782" max="782" width="10.77734375" style="559" customWidth="1"/>
    <col min="783" max="783" width="1.33203125" style="559" customWidth="1"/>
    <col min="784" max="784" width="10" style="559" customWidth="1"/>
    <col min="785" max="785" width="1.33203125" style="559" customWidth="1"/>
    <col min="786" max="786" width="9.33203125" style="559" customWidth="1"/>
    <col min="787" max="787" width="1.33203125" style="559" customWidth="1"/>
    <col min="788" max="788" width="7.77734375" style="559" customWidth="1"/>
    <col min="789" max="789" width="1.33203125" style="559" customWidth="1"/>
    <col min="790" max="790" width="0.77734375" style="559" customWidth="1"/>
    <col min="791" max="791" width="9.33203125" style="559" customWidth="1"/>
    <col min="792" max="792" width="1.33203125" style="559" customWidth="1"/>
    <col min="793" max="793" width="0.88671875" style="559" customWidth="1"/>
    <col min="794" max="794" width="9.5546875" style="559" bestFit="1" customWidth="1"/>
    <col min="795" max="796" width="0.6640625" style="559" customWidth="1"/>
    <col min="797" max="797" width="9.6640625" style="559" customWidth="1"/>
    <col min="798" max="798" width="1.109375" style="559" customWidth="1"/>
    <col min="799" max="799" width="8.5546875" style="559" customWidth="1"/>
    <col min="800" max="800" width="14.5546875" style="559" customWidth="1"/>
    <col min="801" max="801" width="10" style="559" customWidth="1"/>
    <col min="802" max="802" width="7.77734375" style="559" bestFit="1" customWidth="1"/>
    <col min="803" max="803" width="9.88671875" style="559" customWidth="1"/>
    <col min="804" max="1020" width="8.88671875" style="559"/>
    <col min="1021" max="1021" width="38.44140625" style="559" customWidth="1"/>
    <col min="1022" max="1022" width="8.5546875" style="559" customWidth="1"/>
    <col min="1023" max="1023" width="1.33203125" style="559" customWidth="1"/>
    <col min="1024" max="1024" width="8.88671875" style="559" customWidth="1"/>
    <col min="1025" max="1025" width="1.33203125" style="559" customWidth="1"/>
    <col min="1026" max="1026" width="9.33203125" style="559" customWidth="1"/>
    <col min="1027" max="1027" width="1.33203125" style="559" customWidth="1"/>
    <col min="1028" max="1028" width="10" style="559" customWidth="1"/>
    <col min="1029" max="1029" width="1.33203125" style="559" customWidth="1"/>
    <col min="1030" max="1030" width="9.109375" style="559" customWidth="1"/>
    <col min="1031" max="1031" width="1.33203125" style="559" customWidth="1"/>
    <col min="1032" max="1032" width="11.33203125" style="559" customWidth="1"/>
    <col min="1033" max="1033" width="1.33203125" style="559" customWidth="1"/>
    <col min="1034" max="1034" width="9.109375" style="559" customWidth="1"/>
    <col min="1035" max="1035" width="1.6640625" style="559" customWidth="1"/>
    <col min="1036" max="1036" width="11" style="559" customWidth="1"/>
    <col min="1037" max="1037" width="1.33203125" style="559" customWidth="1"/>
    <col min="1038" max="1038" width="10.77734375" style="559" customWidth="1"/>
    <col min="1039" max="1039" width="1.33203125" style="559" customWidth="1"/>
    <col min="1040" max="1040" width="10" style="559" customWidth="1"/>
    <col min="1041" max="1041" width="1.33203125" style="559" customWidth="1"/>
    <col min="1042" max="1042" width="9.33203125" style="559" customWidth="1"/>
    <col min="1043" max="1043" width="1.33203125" style="559" customWidth="1"/>
    <col min="1044" max="1044" width="7.77734375" style="559" customWidth="1"/>
    <col min="1045" max="1045" width="1.33203125" style="559" customWidth="1"/>
    <col min="1046" max="1046" width="0.77734375" style="559" customWidth="1"/>
    <col min="1047" max="1047" width="9.33203125" style="559" customWidth="1"/>
    <col min="1048" max="1048" width="1.33203125" style="559" customWidth="1"/>
    <col min="1049" max="1049" width="0.88671875" style="559" customWidth="1"/>
    <col min="1050" max="1050" width="9.5546875" style="559" bestFit="1" customWidth="1"/>
    <col min="1051" max="1052" width="0.6640625" style="559" customWidth="1"/>
    <col min="1053" max="1053" width="9.6640625" style="559" customWidth="1"/>
    <col min="1054" max="1054" width="1.109375" style="559" customWidth="1"/>
    <col min="1055" max="1055" width="8.5546875" style="559" customWidth="1"/>
    <col min="1056" max="1056" width="14.5546875" style="559" customWidth="1"/>
    <col min="1057" max="1057" width="10" style="559" customWidth="1"/>
    <col min="1058" max="1058" width="7.77734375" style="559" bestFit="1" customWidth="1"/>
    <col min="1059" max="1059" width="9.88671875" style="559" customWidth="1"/>
    <col min="1060" max="1276" width="8.88671875" style="559"/>
    <col min="1277" max="1277" width="38.44140625" style="559" customWidth="1"/>
    <col min="1278" max="1278" width="8.5546875" style="559" customWidth="1"/>
    <col min="1279" max="1279" width="1.33203125" style="559" customWidth="1"/>
    <col min="1280" max="1280" width="8.88671875" style="559" customWidth="1"/>
    <col min="1281" max="1281" width="1.33203125" style="559" customWidth="1"/>
    <col min="1282" max="1282" width="9.33203125" style="559" customWidth="1"/>
    <col min="1283" max="1283" width="1.33203125" style="559" customWidth="1"/>
    <col min="1284" max="1284" width="10" style="559" customWidth="1"/>
    <col min="1285" max="1285" width="1.33203125" style="559" customWidth="1"/>
    <col min="1286" max="1286" width="9.109375" style="559" customWidth="1"/>
    <col min="1287" max="1287" width="1.33203125" style="559" customWidth="1"/>
    <col min="1288" max="1288" width="11.33203125" style="559" customWidth="1"/>
    <col min="1289" max="1289" width="1.33203125" style="559" customWidth="1"/>
    <col min="1290" max="1290" width="9.109375" style="559" customWidth="1"/>
    <col min="1291" max="1291" width="1.6640625" style="559" customWidth="1"/>
    <col min="1292" max="1292" width="11" style="559" customWidth="1"/>
    <col min="1293" max="1293" width="1.33203125" style="559" customWidth="1"/>
    <col min="1294" max="1294" width="10.77734375" style="559" customWidth="1"/>
    <col min="1295" max="1295" width="1.33203125" style="559" customWidth="1"/>
    <col min="1296" max="1296" width="10" style="559" customWidth="1"/>
    <col min="1297" max="1297" width="1.33203125" style="559" customWidth="1"/>
    <col min="1298" max="1298" width="9.33203125" style="559" customWidth="1"/>
    <col min="1299" max="1299" width="1.33203125" style="559" customWidth="1"/>
    <col min="1300" max="1300" width="7.77734375" style="559" customWidth="1"/>
    <col min="1301" max="1301" width="1.33203125" style="559" customWidth="1"/>
    <col min="1302" max="1302" width="0.77734375" style="559" customWidth="1"/>
    <col min="1303" max="1303" width="9.33203125" style="559" customWidth="1"/>
    <col min="1304" max="1304" width="1.33203125" style="559" customWidth="1"/>
    <col min="1305" max="1305" width="0.88671875" style="559" customWidth="1"/>
    <col min="1306" max="1306" width="9.5546875" style="559" bestFit="1" customWidth="1"/>
    <col min="1307" max="1308" width="0.6640625" style="559" customWidth="1"/>
    <col min="1309" max="1309" width="9.6640625" style="559" customWidth="1"/>
    <col min="1310" max="1310" width="1.109375" style="559" customWidth="1"/>
    <col min="1311" max="1311" width="8.5546875" style="559" customWidth="1"/>
    <col min="1312" max="1312" width="14.5546875" style="559" customWidth="1"/>
    <col min="1313" max="1313" width="10" style="559" customWidth="1"/>
    <col min="1314" max="1314" width="7.77734375" style="559" bestFit="1" customWidth="1"/>
    <col min="1315" max="1315" width="9.88671875" style="559" customWidth="1"/>
    <col min="1316" max="1532" width="8.88671875" style="559"/>
    <col min="1533" max="1533" width="38.44140625" style="559" customWidth="1"/>
    <col min="1534" max="1534" width="8.5546875" style="559" customWidth="1"/>
    <col min="1535" max="1535" width="1.33203125" style="559" customWidth="1"/>
    <col min="1536" max="1536" width="8.88671875" style="559" customWidth="1"/>
    <col min="1537" max="1537" width="1.33203125" style="559" customWidth="1"/>
    <col min="1538" max="1538" width="9.33203125" style="559" customWidth="1"/>
    <col min="1539" max="1539" width="1.33203125" style="559" customWidth="1"/>
    <col min="1540" max="1540" width="10" style="559" customWidth="1"/>
    <col min="1541" max="1541" width="1.33203125" style="559" customWidth="1"/>
    <col min="1542" max="1542" width="9.109375" style="559" customWidth="1"/>
    <col min="1543" max="1543" width="1.33203125" style="559" customWidth="1"/>
    <col min="1544" max="1544" width="11.33203125" style="559" customWidth="1"/>
    <col min="1545" max="1545" width="1.33203125" style="559" customWidth="1"/>
    <col min="1546" max="1546" width="9.109375" style="559" customWidth="1"/>
    <col min="1547" max="1547" width="1.6640625" style="559" customWidth="1"/>
    <col min="1548" max="1548" width="11" style="559" customWidth="1"/>
    <col min="1549" max="1549" width="1.33203125" style="559" customWidth="1"/>
    <col min="1550" max="1550" width="10.77734375" style="559" customWidth="1"/>
    <col min="1551" max="1551" width="1.33203125" style="559" customWidth="1"/>
    <col min="1552" max="1552" width="10" style="559" customWidth="1"/>
    <col min="1553" max="1553" width="1.33203125" style="559" customWidth="1"/>
    <col min="1554" max="1554" width="9.33203125" style="559" customWidth="1"/>
    <col min="1555" max="1555" width="1.33203125" style="559" customWidth="1"/>
    <col min="1556" max="1556" width="7.77734375" style="559" customWidth="1"/>
    <col min="1557" max="1557" width="1.33203125" style="559" customWidth="1"/>
    <col min="1558" max="1558" width="0.77734375" style="559" customWidth="1"/>
    <col min="1559" max="1559" width="9.33203125" style="559" customWidth="1"/>
    <col min="1560" max="1560" width="1.33203125" style="559" customWidth="1"/>
    <col min="1561" max="1561" width="0.88671875" style="559" customWidth="1"/>
    <col min="1562" max="1562" width="9.5546875" style="559" bestFit="1" customWidth="1"/>
    <col min="1563" max="1564" width="0.6640625" style="559" customWidth="1"/>
    <col min="1565" max="1565" width="9.6640625" style="559" customWidth="1"/>
    <col min="1566" max="1566" width="1.109375" style="559" customWidth="1"/>
    <col min="1567" max="1567" width="8.5546875" style="559" customWidth="1"/>
    <col min="1568" max="1568" width="14.5546875" style="559" customWidth="1"/>
    <col min="1569" max="1569" width="10" style="559" customWidth="1"/>
    <col min="1570" max="1570" width="7.77734375" style="559" bestFit="1" customWidth="1"/>
    <col min="1571" max="1571" width="9.88671875" style="559" customWidth="1"/>
    <col min="1572" max="1788" width="8.88671875" style="559"/>
    <col min="1789" max="1789" width="38.44140625" style="559" customWidth="1"/>
    <col min="1790" max="1790" width="8.5546875" style="559" customWidth="1"/>
    <col min="1791" max="1791" width="1.33203125" style="559" customWidth="1"/>
    <col min="1792" max="1792" width="8.88671875" style="559" customWidth="1"/>
    <col min="1793" max="1793" width="1.33203125" style="559" customWidth="1"/>
    <col min="1794" max="1794" width="9.33203125" style="559" customWidth="1"/>
    <col min="1795" max="1795" width="1.33203125" style="559" customWidth="1"/>
    <col min="1796" max="1796" width="10" style="559" customWidth="1"/>
    <col min="1797" max="1797" width="1.33203125" style="559" customWidth="1"/>
    <col min="1798" max="1798" width="9.109375" style="559" customWidth="1"/>
    <col min="1799" max="1799" width="1.33203125" style="559" customWidth="1"/>
    <col min="1800" max="1800" width="11.33203125" style="559" customWidth="1"/>
    <col min="1801" max="1801" width="1.33203125" style="559" customWidth="1"/>
    <col min="1802" max="1802" width="9.109375" style="559" customWidth="1"/>
    <col min="1803" max="1803" width="1.6640625" style="559" customWidth="1"/>
    <col min="1804" max="1804" width="11" style="559" customWidth="1"/>
    <col min="1805" max="1805" width="1.33203125" style="559" customWidth="1"/>
    <col min="1806" max="1806" width="10.77734375" style="559" customWidth="1"/>
    <col min="1807" max="1807" width="1.33203125" style="559" customWidth="1"/>
    <col min="1808" max="1808" width="10" style="559" customWidth="1"/>
    <col min="1809" max="1809" width="1.33203125" style="559" customWidth="1"/>
    <col min="1810" max="1810" width="9.33203125" style="559" customWidth="1"/>
    <col min="1811" max="1811" width="1.33203125" style="559" customWidth="1"/>
    <col min="1812" max="1812" width="7.77734375" style="559" customWidth="1"/>
    <col min="1813" max="1813" width="1.33203125" style="559" customWidth="1"/>
    <col min="1814" max="1814" width="0.77734375" style="559" customWidth="1"/>
    <col min="1815" max="1815" width="9.33203125" style="559" customWidth="1"/>
    <col min="1816" max="1816" width="1.33203125" style="559" customWidth="1"/>
    <col min="1817" max="1817" width="0.88671875" style="559" customWidth="1"/>
    <col min="1818" max="1818" width="9.5546875" style="559" bestFit="1" customWidth="1"/>
    <col min="1819" max="1820" width="0.6640625" style="559" customWidth="1"/>
    <col min="1821" max="1821" width="9.6640625" style="559" customWidth="1"/>
    <col min="1822" max="1822" width="1.109375" style="559" customWidth="1"/>
    <col min="1823" max="1823" width="8.5546875" style="559" customWidth="1"/>
    <col min="1824" max="1824" width="14.5546875" style="559" customWidth="1"/>
    <col min="1825" max="1825" width="10" style="559" customWidth="1"/>
    <col min="1826" max="1826" width="7.77734375" style="559" bestFit="1" customWidth="1"/>
    <col min="1827" max="1827" width="9.88671875" style="559" customWidth="1"/>
    <col min="1828" max="2044" width="8.88671875" style="559"/>
    <col min="2045" max="2045" width="38.44140625" style="559" customWidth="1"/>
    <col min="2046" max="2046" width="8.5546875" style="559" customWidth="1"/>
    <col min="2047" max="2047" width="1.33203125" style="559" customWidth="1"/>
    <col min="2048" max="2048" width="8.88671875" style="559" customWidth="1"/>
    <col min="2049" max="2049" width="1.33203125" style="559" customWidth="1"/>
    <col min="2050" max="2050" width="9.33203125" style="559" customWidth="1"/>
    <col min="2051" max="2051" width="1.33203125" style="559" customWidth="1"/>
    <col min="2052" max="2052" width="10" style="559" customWidth="1"/>
    <col min="2053" max="2053" width="1.33203125" style="559" customWidth="1"/>
    <col min="2054" max="2054" width="9.109375" style="559" customWidth="1"/>
    <col min="2055" max="2055" width="1.33203125" style="559" customWidth="1"/>
    <col min="2056" max="2056" width="11.33203125" style="559" customWidth="1"/>
    <col min="2057" max="2057" width="1.33203125" style="559" customWidth="1"/>
    <col min="2058" max="2058" width="9.109375" style="559" customWidth="1"/>
    <col min="2059" max="2059" width="1.6640625" style="559" customWidth="1"/>
    <col min="2060" max="2060" width="11" style="559" customWidth="1"/>
    <col min="2061" max="2061" width="1.33203125" style="559" customWidth="1"/>
    <col min="2062" max="2062" width="10.77734375" style="559" customWidth="1"/>
    <col min="2063" max="2063" width="1.33203125" style="559" customWidth="1"/>
    <col min="2064" max="2064" width="10" style="559" customWidth="1"/>
    <col min="2065" max="2065" width="1.33203125" style="559" customWidth="1"/>
    <col min="2066" max="2066" width="9.33203125" style="559" customWidth="1"/>
    <col min="2067" max="2067" width="1.33203125" style="559" customWidth="1"/>
    <col min="2068" max="2068" width="7.77734375" style="559" customWidth="1"/>
    <col min="2069" max="2069" width="1.33203125" style="559" customWidth="1"/>
    <col min="2070" max="2070" width="0.77734375" style="559" customWidth="1"/>
    <col min="2071" max="2071" width="9.33203125" style="559" customWidth="1"/>
    <col min="2072" max="2072" width="1.33203125" style="559" customWidth="1"/>
    <col min="2073" max="2073" width="0.88671875" style="559" customWidth="1"/>
    <col min="2074" max="2074" width="9.5546875" style="559" bestFit="1" customWidth="1"/>
    <col min="2075" max="2076" width="0.6640625" style="559" customWidth="1"/>
    <col min="2077" max="2077" width="9.6640625" style="559" customWidth="1"/>
    <col min="2078" max="2078" width="1.109375" style="559" customWidth="1"/>
    <col min="2079" max="2079" width="8.5546875" style="559" customWidth="1"/>
    <col min="2080" max="2080" width="14.5546875" style="559" customWidth="1"/>
    <col min="2081" max="2081" width="10" style="559" customWidth="1"/>
    <col min="2082" max="2082" width="7.77734375" style="559" bestFit="1" customWidth="1"/>
    <col min="2083" max="2083" width="9.88671875" style="559" customWidth="1"/>
    <col min="2084" max="2300" width="8.88671875" style="559"/>
    <col min="2301" max="2301" width="38.44140625" style="559" customWidth="1"/>
    <col min="2302" max="2302" width="8.5546875" style="559" customWidth="1"/>
    <col min="2303" max="2303" width="1.33203125" style="559" customWidth="1"/>
    <col min="2304" max="2304" width="8.88671875" style="559" customWidth="1"/>
    <col min="2305" max="2305" width="1.33203125" style="559" customWidth="1"/>
    <col min="2306" max="2306" width="9.33203125" style="559" customWidth="1"/>
    <col min="2307" max="2307" width="1.33203125" style="559" customWidth="1"/>
    <col min="2308" max="2308" width="10" style="559" customWidth="1"/>
    <col min="2309" max="2309" width="1.33203125" style="559" customWidth="1"/>
    <col min="2310" max="2310" width="9.109375" style="559" customWidth="1"/>
    <col min="2311" max="2311" width="1.33203125" style="559" customWidth="1"/>
    <col min="2312" max="2312" width="11.33203125" style="559" customWidth="1"/>
    <col min="2313" max="2313" width="1.33203125" style="559" customWidth="1"/>
    <col min="2314" max="2314" width="9.109375" style="559" customWidth="1"/>
    <col min="2315" max="2315" width="1.6640625" style="559" customWidth="1"/>
    <col min="2316" max="2316" width="11" style="559" customWidth="1"/>
    <col min="2317" max="2317" width="1.33203125" style="559" customWidth="1"/>
    <col min="2318" max="2318" width="10.77734375" style="559" customWidth="1"/>
    <col min="2319" max="2319" width="1.33203125" style="559" customWidth="1"/>
    <col min="2320" max="2320" width="10" style="559" customWidth="1"/>
    <col min="2321" max="2321" width="1.33203125" style="559" customWidth="1"/>
    <col min="2322" max="2322" width="9.33203125" style="559" customWidth="1"/>
    <col min="2323" max="2323" width="1.33203125" style="559" customWidth="1"/>
    <col min="2324" max="2324" width="7.77734375" style="559" customWidth="1"/>
    <col min="2325" max="2325" width="1.33203125" style="559" customWidth="1"/>
    <col min="2326" max="2326" width="0.77734375" style="559" customWidth="1"/>
    <col min="2327" max="2327" width="9.33203125" style="559" customWidth="1"/>
    <col min="2328" max="2328" width="1.33203125" style="559" customWidth="1"/>
    <col min="2329" max="2329" width="0.88671875" style="559" customWidth="1"/>
    <col min="2330" max="2330" width="9.5546875" style="559" bestFit="1" customWidth="1"/>
    <col min="2331" max="2332" width="0.6640625" style="559" customWidth="1"/>
    <col min="2333" max="2333" width="9.6640625" style="559" customWidth="1"/>
    <col min="2334" max="2334" width="1.109375" style="559" customWidth="1"/>
    <col min="2335" max="2335" width="8.5546875" style="559" customWidth="1"/>
    <col min="2336" max="2336" width="14.5546875" style="559" customWidth="1"/>
    <col min="2337" max="2337" width="10" style="559" customWidth="1"/>
    <col min="2338" max="2338" width="7.77734375" style="559" bestFit="1" customWidth="1"/>
    <col min="2339" max="2339" width="9.88671875" style="559" customWidth="1"/>
    <col min="2340" max="2556" width="8.88671875" style="559"/>
    <col min="2557" max="2557" width="38.44140625" style="559" customWidth="1"/>
    <col min="2558" max="2558" width="8.5546875" style="559" customWidth="1"/>
    <col min="2559" max="2559" width="1.33203125" style="559" customWidth="1"/>
    <col min="2560" max="2560" width="8.88671875" style="559" customWidth="1"/>
    <col min="2561" max="2561" width="1.33203125" style="559" customWidth="1"/>
    <col min="2562" max="2562" width="9.33203125" style="559" customWidth="1"/>
    <col min="2563" max="2563" width="1.33203125" style="559" customWidth="1"/>
    <col min="2564" max="2564" width="10" style="559" customWidth="1"/>
    <col min="2565" max="2565" width="1.33203125" style="559" customWidth="1"/>
    <col min="2566" max="2566" width="9.109375" style="559" customWidth="1"/>
    <col min="2567" max="2567" width="1.33203125" style="559" customWidth="1"/>
    <col min="2568" max="2568" width="11.33203125" style="559" customWidth="1"/>
    <col min="2569" max="2569" width="1.33203125" style="559" customWidth="1"/>
    <col min="2570" max="2570" width="9.109375" style="559" customWidth="1"/>
    <col min="2571" max="2571" width="1.6640625" style="559" customWidth="1"/>
    <col min="2572" max="2572" width="11" style="559" customWidth="1"/>
    <col min="2573" max="2573" width="1.33203125" style="559" customWidth="1"/>
    <col min="2574" max="2574" width="10.77734375" style="559" customWidth="1"/>
    <col min="2575" max="2575" width="1.33203125" style="559" customWidth="1"/>
    <col min="2576" max="2576" width="10" style="559" customWidth="1"/>
    <col min="2577" max="2577" width="1.33203125" style="559" customWidth="1"/>
    <col min="2578" max="2578" width="9.33203125" style="559" customWidth="1"/>
    <col min="2579" max="2579" width="1.33203125" style="559" customWidth="1"/>
    <col min="2580" max="2580" width="7.77734375" style="559" customWidth="1"/>
    <col min="2581" max="2581" width="1.33203125" style="559" customWidth="1"/>
    <col min="2582" max="2582" width="0.77734375" style="559" customWidth="1"/>
    <col min="2583" max="2583" width="9.33203125" style="559" customWidth="1"/>
    <col min="2584" max="2584" width="1.33203125" style="559" customWidth="1"/>
    <col min="2585" max="2585" width="0.88671875" style="559" customWidth="1"/>
    <col min="2586" max="2586" width="9.5546875" style="559" bestFit="1" customWidth="1"/>
    <col min="2587" max="2588" width="0.6640625" style="559" customWidth="1"/>
    <col min="2589" max="2589" width="9.6640625" style="559" customWidth="1"/>
    <col min="2590" max="2590" width="1.109375" style="559" customWidth="1"/>
    <col min="2591" max="2591" width="8.5546875" style="559" customWidth="1"/>
    <col min="2592" max="2592" width="14.5546875" style="559" customWidth="1"/>
    <col min="2593" max="2593" width="10" style="559" customWidth="1"/>
    <col min="2594" max="2594" width="7.77734375" style="559" bestFit="1" customWidth="1"/>
    <col min="2595" max="2595" width="9.88671875" style="559" customWidth="1"/>
    <col min="2596" max="2812" width="8.88671875" style="559"/>
    <col min="2813" max="2813" width="38.44140625" style="559" customWidth="1"/>
    <col min="2814" max="2814" width="8.5546875" style="559" customWidth="1"/>
    <col min="2815" max="2815" width="1.33203125" style="559" customWidth="1"/>
    <col min="2816" max="2816" width="8.88671875" style="559" customWidth="1"/>
    <col min="2817" max="2817" width="1.33203125" style="559" customWidth="1"/>
    <col min="2818" max="2818" width="9.33203125" style="559" customWidth="1"/>
    <col min="2819" max="2819" width="1.33203125" style="559" customWidth="1"/>
    <col min="2820" max="2820" width="10" style="559" customWidth="1"/>
    <col min="2821" max="2821" width="1.33203125" style="559" customWidth="1"/>
    <col min="2822" max="2822" width="9.109375" style="559" customWidth="1"/>
    <col min="2823" max="2823" width="1.33203125" style="559" customWidth="1"/>
    <col min="2824" max="2824" width="11.33203125" style="559" customWidth="1"/>
    <col min="2825" max="2825" width="1.33203125" style="559" customWidth="1"/>
    <col min="2826" max="2826" width="9.109375" style="559" customWidth="1"/>
    <col min="2827" max="2827" width="1.6640625" style="559" customWidth="1"/>
    <col min="2828" max="2828" width="11" style="559" customWidth="1"/>
    <col min="2829" max="2829" width="1.33203125" style="559" customWidth="1"/>
    <col min="2830" max="2830" width="10.77734375" style="559" customWidth="1"/>
    <col min="2831" max="2831" width="1.33203125" style="559" customWidth="1"/>
    <col min="2832" max="2832" width="10" style="559" customWidth="1"/>
    <col min="2833" max="2833" width="1.33203125" style="559" customWidth="1"/>
    <col min="2834" max="2834" width="9.33203125" style="559" customWidth="1"/>
    <col min="2835" max="2835" width="1.33203125" style="559" customWidth="1"/>
    <col min="2836" max="2836" width="7.77734375" style="559" customWidth="1"/>
    <col min="2837" max="2837" width="1.33203125" style="559" customWidth="1"/>
    <col min="2838" max="2838" width="0.77734375" style="559" customWidth="1"/>
    <col min="2839" max="2839" width="9.33203125" style="559" customWidth="1"/>
    <col min="2840" max="2840" width="1.33203125" style="559" customWidth="1"/>
    <col min="2841" max="2841" width="0.88671875" style="559" customWidth="1"/>
    <col min="2842" max="2842" width="9.5546875" style="559" bestFit="1" customWidth="1"/>
    <col min="2843" max="2844" width="0.6640625" style="559" customWidth="1"/>
    <col min="2845" max="2845" width="9.6640625" style="559" customWidth="1"/>
    <col min="2846" max="2846" width="1.109375" style="559" customWidth="1"/>
    <col min="2847" max="2847" width="8.5546875" style="559" customWidth="1"/>
    <col min="2848" max="2848" width="14.5546875" style="559" customWidth="1"/>
    <col min="2849" max="2849" width="10" style="559" customWidth="1"/>
    <col min="2850" max="2850" width="7.77734375" style="559" bestFit="1" customWidth="1"/>
    <col min="2851" max="2851" width="9.88671875" style="559" customWidth="1"/>
    <col min="2852" max="3068" width="8.88671875" style="559"/>
    <col min="3069" max="3069" width="38.44140625" style="559" customWidth="1"/>
    <col min="3070" max="3070" width="8.5546875" style="559" customWidth="1"/>
    <col min="3071" max="3071" width="1.33203125" style="559" customWidth="1"/>
    <col min="3072" max="3072" width="8.88671875" style="559" customWidth="1"/>
    <col min="3073" max="3073" width="1.33203125" style="559" customWidth="1"/>
    <col min="3074" max="3074" width="9.33203125" style="559" customWidth="1"/>
    <col min="3075" max="3075" width="1.33203125" style="559" customWidth="1"/>
    <col min="3076" max="3076" width="10" style="559" customWidth="1"/>
    <col min="3077" max="3077" width="1.33203125" style="559" customWidth="1"/>
    <col min="3078" max="3078" width="9.109375" style="559" customWidth="1"/>
    <col min="3079" max="3079" width="1.33203125" style="559" customWidth="1"/>
    <col min="3080" max="3080" width="11.33203125" style="559" customWidth="1"/>
    <col min="3081" max="3081" width="1.33203125" style="559" customWidth="1"/>
    <col min="3082" max="3082" width="9.109375" style="559" customWidth="1"/>
    <col min="3083" max="3083" width="1.6640625" style="559" customWidth="1"/>
    <col min="3084" max="3084" width="11" style="559" customWidth="1"/>
    <col min="3085" max="3085" width="1.33203125" style="559" customWidth="1"/>
    <col min="3086" max="3086" width="10.77734375" style="559" customWidth="1"/>
    <col min="3087" max="3087" width="1.33203125" style="559" customWidth="1"/>
    <col min="3088" max="3088" width="10" style="559" customWidth="1"/>
    <col min="3089" max="3089" width="1.33203125" style="559" customWidth="1"/>
    <col min="3090" max="3090" width="9.33203125" style="559" customWidth="1"/>
    <col min="3091" max="3091" width="1.33203125" style="559" customWidth="1"/>
    <col min="3092" max="3092" width="7.77734375" style="559" customWidth="1"/>
    <col min="3093" max="3093" width="1.33203125" style="559" customWidth="1"/>
    <col min="3094" max="3094" width="0.77734375" style="559" customWidth="1"/>
    <col min="3095" max="3095" width="9.33203125" style="559" customWidth="1"/>
    <col min="3096" max="3096" width="1.33203125" style="559" customWidth="1"/>
    <col min="3097" max="3097" width="0.88671875" style="559" customWidth="1"/>
    <col min="3098" max="3098" width="9.5546875" style="559" bestFit="1" customWidth="1"/>
    <col min="3099" max="3100" width="0.6640625" style="559" customWidth="1"/>
    <col min="3101" max="3101" width="9.6640625" style="559" customWidth="1"/>
    <col min="3102" max="3102" width="1.109375" style="559" customWidth="1"/>
    <col min="3103" max="3103" width="8.5546875" style="559" customWidth="1"/>
    <col min="3104" max="3104" width="14.5546875" style="559" customWidth="1"/>
    <col min="3105" max="3105" width="10" style="559" customWidth="1"/>
    <col min="3106" max="3106" width="7.77734375" style="559" bestFit="1" customWidth="1"/>
    <col min="3107" max="3107" width="9.88671875" style="559" customWidth="1"/>
    <col min="3108" max="3324" width="8.88671875" style="559"/>
    <col min="3325" max="3325" width="38.44140625" style="559" customWidth="1"/>
    <col min="3326" max="3326" width="8.5546875" style="559" customWidth="1"/>
    <col min="3327" max="3327" width="1.33203125" style="559" customWidth="1"/>
    <col min="3328" max="3328" width="8.88671875" style="559" customWidth="1"/>
    <col min="3329" max="3329" width="1.33203125" style="559" customWidth="1"/>
    <col min="3330" max="3330" width="9.33203125" style="559" customWidth="1"/>
    <col min="3331" max="3331" width="1.33203125" style="559" customWidth="1"/>
    <col min="3332" max="3332" width="10" style="559" customWidth="1"/>
    <col min="3333" max="3333" width="1.33203125" style="559" customWidth="1"/>
    <col min="3334" max="3334" width="9.109375" style="559" customWidth="1"/>
    <col min="3335" max="3335" width="1.33203125" style="559" customWidth="1"/>
    <col min="3336" max="3336" width="11.33203125" style="559" customWidth="1"/>
    <col min="3337" max="3337" width="1.33203125" style="559" customWidth="1"/>
    <col min="3338" max="3338" width="9.109375" style="559" customWidth="1"/>
    <col min="3339" max="3339" width="1.6640625" style="559" customWidth="1"/>
    <col min="3340" max="3340" width="11" style="559" customWidth="1"/>
    <col min="3341" max="3341" width="1.33203125" style="559" customWidth="1"/>
    <col min="3342" max="3342" width="10.77734375" style="559" customWidth="1"/>
    <col min="3343" max="3343" width="1.33203125" style="559" customWidth="1"/>
    <col min="3344" max="3344" width="10" style="559" customWidth="1"/>
    <col min="3345" max="3345" width="1.33203125" style="559" customWidth="1"/>
    <col min="3346" max="3346" width="9.33203125" style="559" customWidth="1"/>
    <col min="3347" max="3347" width="1.33203125" style="559" customWidth="1"/>
    <col min="3348" max="3348" width="7.77734375" style="559" customWidth="1"/>
    <col min="3349" max="3349" width="1.33203125" style="559" customWidth="1"/>
    <col min="3350" max="3350" width="0.77734375" style="559" customWidth="1"/>
    <col min="3351" max="3351" width="9.33203125" style="559" customWidth="1"/>
    <col min="3352" max="3352" width="1.33203125" style="559" customWidth="1"/>
    <col min="3353" max="3353" width="0.88671875" style="559" customWidth="1"/>
    <col min="3354" max="3354" width="9.5546875" style="559" bestFit="1" customWidth="1"/>
    <col min="3355" max="3356" width="0.6640625" style="559" customWidth="1"/>
    <col min="3357" max="3357" width="9.6640625" style="559" customWidth="1"/>
    <col min="3358" max="3358" width="1.109375" style="559" customWidth="1"/>
    <col min="3359" max="3359" width="8.5546875" style="559" customWidth="1"/>
    <col min="3360" max="3360" width="14.5546875" style="559" customWidth="1"/>
    <col min="3361" max="3361" width="10" style="559" customWidth="1"/>
    <col min="3362" max="3362" width="7.77734375" style="559" bestFit="1" customWidth="1"/>
    <col min="3363" max="3363" width="9.88671875" style="559" customWidth="1"/>
    <col min="3364" max="3580" width="8.88671875" style="559"/>
    <col min="3581" max="3581" width="38.44140625" style="559" customWidth="1"/>
    <col min="3582" max="3582" width="8.5546875" style="559" customWidth="1"/>
    <col min="3583" max="3583" width="1.33203125" style="559" customWidth="1"/>
    <col min="3584" max="3584" width="8.88671875" style="559" customWidth="1"/>
    <col min="3585" max="3585" width="1.33203125" style="559" customWidth="1"/>
    <col min="3586" max="3586" width="9.33203125" style="559" customWidth="1"/>
    <col min="3587" max="3587" width="1.33203125" style="559" customWidth="1"/>
    <col min="3588" max="3588" width="10" style="559" customWidth="1"/>
    <col min="3589" max="3589" width="1.33203125" style="559" customWidth="1"/>
    <col min="3590" max="3590" width="9.109375" style="559" customWidth="1"/>
    <col min="3591" max="3591" width="1.33203125" style="559" customWidth="1"/>
    <col min="3592" max="3592" width="11.33203125" style="559" customWidth="1"/>
    <col min="3593" max="3593" width="1.33203125" style="559" customWidth="1"/>
    <col min="3594" max="3594" width="9.109375" style="559" customWidth="1"/>
    <col min="3595" max="3595" width="1.6640625" style="559" customWidth="1"/>
    <col min="3596" max="3596" width="11" style="559" customWidth="1"/>
    <col min="3597" max="3597" width="1.33203125" style="559" customWidth="1"/>
    <col min="3598" max="3598" width="10.77734375" style="559" customWidth="1"/>
    <col min="3599" max="3599" width="1.33203125" style="559" customWidth="1"/>
    <col min="3600" max="3600" width="10" style="559" customWidth="1"/>
    <col min="3601" max="3601" width="1.33203125" style="559" customWidth="1"/>
    <col min="3602" max="3602" width="9.33203125" style="559" customWidth="1"/>
    <col min="3603" max="3603" width="1.33203125" style="559" customWidth="1"/>
    <col min="3604" max="3604" width="7.77734375" style="559" customWidth="1"/>
    <col min="3605" max="3605" width="1.33203125" style="559" customWidth="1"/>
    <col min="3606" max="3606" width="0.77734375" style="559" customWidth="1"/>
    <col min="3607" max="3607" width="9.33203125" style="559" customWidth="1"/>
    <col min="3608" max="3608" width="1.33203125" style="559" customWidth="1"/>
    <col min="3609" max="3609" width="0.88671875" style="559" customWidth="1"/>
    <col min="3610" max="3610" width="9.5546875" style="559" bestFit="1" customWidth="1"/>
    <col min="3611" max="3612" width="0.6640625" style="559" customWidth="1"/>
    <col min="3613" max="3613" width="9.6640625" style="559" customWidth="1"/>
    <col min="3614" max="3614" width="1.109375" style="559" customWidth="1"/>
    <col min="3615" max="3615" width="8.5546875" style="559" customWidth="1"/>
    <col min="3616" max="3616" width="14.5546875" style="559" customWidth="1"/>
    <col min="3617" max="3617" width="10" style="559" customWidth="1"/>
    <col min="3618" max="3618" width="7.77734375" style="559" bestFit="1" customWidth="1"/>
    <col min="3619" max="3619" width="9.88671875" style="559" customWidth="1"/>
    <col min="3620" max="3836" width="8.88671875" style="559"/>
    <col min="3837" max="3837" width="38.44140625" style="559" customWidth="1"/>
    <col min="3838" max="3838" width="8.5546875" style="559" customWidth="1"/>
    <col min="3839" max="3839" width="1.33203125" style="559" customWidth="1"/>
    <col min="3840" max="3840" width="8.88671875" style="559" customWidth="1"/>
    <col min="3841" max="3841" width="1.33203125" style="559" customWidth="1"/>
    <col min="3842" max="3842" width="9.33203125" style="559" customWidth="1"/>
    <col min="3843" max="3843" width="1.33203125" style="559" customWidth="1"/>
    <col min="3844" max="3844" width="10" style="559" customWidth="1"/>
    <col min="3845" max="3845" width="1.33203125" style="559" customWidth="1"/>
    <col min="3846" max="3846" width="9.109375" style="559" customWidth="1"/>
    <col min="3847" max="3847" width="1.33203125" style="559" customWidth="1"/>
    <col min="3848" max="3848" width="11.33203125" style="559" customWidth="1"/>
    <col min="3849" max="3849" width="1.33203125" style="559" customWidth="1"/>
    <col min="3850" max="3850" width="9.109375" style="559" customWidth="1"/>
    <col min="3851" max="3851" width="1.6640625" style="559" customWidth="1"/>
    <col min="3852" max="3852" width="11" style="559" customWidth="1"/>
    <col min="3853" max="3853" width="1.33203125" style="559" customWidth="1"/>
    <col min="3854" max="3854" width="10.77734375" style="559" customWidth="1"/>
    <col min="3855" max="3855" width="1.33203125" style="559" customWidth="1"/>
    <col min="3856" max="3856" width="10" style="559" customWidth="1"/>
    <col min="3857" max="3857" width="1.33203125" style="559" customWidth="1"/>
    <col min="3858" max="3858" width="9.33203125" style="559" customWidth="1"/>
    <col min="3859" max="3859" width="1.33203125" style="559" customWidth="1"/>
    <col min="3860" max="3860" width="7.77734375" style="559" customWidth="1"/>
    <col min="3861" max="3861" width="1.33203125" style="559" customWidth="1"/>
    <col min="3862" max="3862" width="0.77734375" style="559" customWidth="1"/>
    <col min="3863" max="3863" width="9.33203125" style="559" customWidth="1"/>
    <col min="3864" max="3864" width="1.33203125" style="559" customWidth="1"/>
    <col min="3865" max="3865" width="0.88671875" style="559" customWidth="1"/>
    <col min="3866" max="3866" width="9.5546875" style="559" bestFit="1" customWidth="1"/>
    <col min="3867" max="3868" width="0.6640625" style="559" customWidth="1"/>
    <col min="3869" max="3869" width="9.6640625" style="559" customWidth="1"/>
    <col min="3870" max="3870" width="1.109375" style="559" customWidth="1"/>
    <col min="3871" max="3871" width="8.5546875" style="559" customWidth="1"/>
    <col min="3872" max="3872" width="14.5546875" style="559" customWidth="1"/>
    <col min="3873" max="3873" width="10" style="559" customWidth="1"/>
    <col min="3874" max="3874" width="7.77734375" style="559" bestFit="1" customWidth="1"/>
    <col min="3875" max="3875" width="9.88671875" style="559" customWidth="1"/>
    <col min="3876" max="4092" width="8.88671875" style="559"/>
    <col min="4093" max="4093" width="38.44140625" style="559" customWidth="1"/>
    <col min="4094" max="4094" width="8.5546875" style="559" customWidth="1"/>
    <col min="4095" max="4095" width="1.33203125" style="559" customWidth="1"/>
    <col min="4096" max="4096" width="8.88671875" style="559" customWidth="1"/>
    <col min="4097" max="4097" width="1.33203125" style="559" customWidth="1"/>
    <col min="4098" max="4098" width="9.33203125" style="559" customWidth="1"/>
    <col min="4099" max="4099" width="1.33203125" style="559" customWidth="1"/>
    <col min="4100" max="4100" width="10" style="559" customWidth="1"/>
    <col min="4101" max="4101" width="1.33203125" style="559" customWidth="1"/>
    <col min="4102" max="4102" width="9.109375" style="559" customWidth="1"/>
    <col min="4103" max="4103" width="1.33203125" style="559" customWidth="1"/>
    <col min="4104" max="4104" width="11.33203125" style="559" customWidth="1"/>
    <col min="4105" max="4105" width="1.33203125" style="559" customWidth="1"/>
    <col min="4106" max="4106" width="9.109375" style="559" customWidth="1"/>
    <col min="4107" max="4107" width="1.6640625" style="559" customWidth="1"/>
    <col min="4108" max="4108" width="11" style="559" customWidth="1"/>
    <col min="4109" max="4109" width="1.33203125" style="559" customWidth="1"/>
    <col min="4110" max="4110" width="10.77734375" style="559" customWidth="1"/>
    <col min="4111" max="4111" width="1.33203125" style="559" customWidth="1"/>
    <col min="4112" max="4112" width="10" style="559" customWidth="1"/>
    <col min="4113" max="4113" width="1.33203125" style="559" customWidth="1"/>
    <col min="4114" max="4114" width="9.33203125" style="559" customWidth="1"/>
    <col min="4115" max="4115" width="1.33203125" style="559" customWidth="1"/>
    <col min="4116" max="4116" width="7.77734375" style="559" customWidth="1"/>
    <col min="4117" max="4117" width="1.33203125" style="559" customWidth="1"/>
    <col min="4118" max="4118" width="0.77734375" style="559" customWidth="1"/>
    <col min="4119" max="4119" width="9.33203125" style="559" customWidth="1"/>
    <col min="4120" max="4120" width="1.33203125" style="559" customWidth="1"/>
    <col min="4121" max="4121" width="0.88671875" style="559" customWidth="1"/>
    <col min="4122" max="4122" width="9.5546875" style="559" bestFit="1" customWidth="1"/>
    <col min="4123" max="4124" width="0.6640625" style="559" customWidth="1"/>
    <col min="4125" max="4125" width="9.6640625" style="559" customWidth="1"/>
    <col min="4126" max="4126" width="1.109375" style="559" customWidth="1"/>
    <col min="4127" max="4127" width="8.5546875" style="559" customWidth="1"/>
    <col min="4128" max="4128" width="14.5546875" style="559" customWidth="1"/>
    <col min="4129" max="4129" width="10" style="559" customWidth="1"/>
    <col min="4130" max="4130" width="7.77734375" style="559" bestFit="1" customWidth="1"/>
    <col min="4131" max="4131" width="9.88671875" style="559" customWidth="1"/>
    <col min="4132" max="4348" width="8.88671875" style="559"/>
    <col min="4349" max="4349" width="38.44140625" style="559" customWidth="1"/>
    <col min="4350" max="4350" width="8.5546875" style="559" customWidth="1"/>
    <col min="4351" max="4351" width="1.33203125" style="559" customWidth="1"/>
    <col min="4352" max="4352" width="8.88671875" style="559" customWidth="1"/>
    <col min="4353" max="4353" width="1.33203125" style="559" customWidth="1"/>
    <col min="4354" max="4354" width="9.33203125" style="559" customWidth="1"/>
    <col min="4355" max="4355" width="1.33203125" style="559" customWidth="1"/>
    <col min="4356" max="4356" width="10" style="559" customWidth="1"/>
    <col min="4357" max="4357" width="1.33203125" style="559" customWidth="1"/>
    <col min="4358" max="4358" width="9.109375" style="559" customWidth="1"/>
    <col min="4359" max="4359" width="1.33203125" style="559" customWidth="1"/>
    <col min="4360" max="4360" width="11.33203125" style="559" customWidth="1"/>
    <col min="4361" max="4361" width="1.33203125" style="559" customWidth="1"/>
    <col min="4362" max="4362" width="9.109375" style="559" customWidth="1"/>
    <col min="4363" max="4363" width="1.6640625" style="559" customWidth="1"/>
    <col min="4364" max="4364" width="11" style="559" customWidth="1"/>
    <col min="4365" max="4365" width="1.33203125" style="559" customWidth="1"/>
    <col min="4366" max="4366" width="10.77734375" style="559" customWidth="1"/>
    <col min="4367" max="4367" width="1.33203125" style="559" customWidth="1"/>
    <col min="4368" max="4368" width="10" style="559" customWidth="1"/>
    <col min="4369" max="4369" width="1.33203125" style="559" customWidth="1"/>
    <col min="4370" max="4370" width="9.33203125" style="559" customWidth="1"/>
    <col min="4371" max="4371" width="1.33203125" style="559" customWidth="1"/>
    <col min="4372" max="4372" width="7.77734375" style="559" customWidth="1"/>
    <col min="4373" max="4373" width="1.33203125" style="559" customWidth="1"/>
    <col min="4374" max="4374" width="0.77734375" style="559" customWidth="1"/>
    <col min="4375" max="4375" width="9.33203125" style="559" customWidth="1"/>
    <col min="4376" max="4376" width="1.33203125" style="559" customWidth="1"/>
    <col min="4377" max="4377" width="0.88671875" style="559" customWidth="1"/>
    <col min="4378" max="4378" width="9.5546875" style="559" bestFit="1" customWidth="1"/>
    <col min="4379" max="4380" width="0.6640625" style="559" customWidth="1"/>
    <col min="4381" max="4381" width="9.6640625" style="559" customWidth="1"/>
    <col min="4382" max="4382" width="1.109375" style="559" customWidth="1"/>
    <col min="4383" max="4383" width="8.5546875" style="559" customWidth="1"/>
    <col min="4384" max="4384" width="14.5546875" style="559" customWidth="1"/>
    <col min="4385" max="4385" width="10" style="559" customWidth="1"/>
    <col min="4386" max="4386" width="7.77734375" style="559" bestFit="1" customWidth="1"/>
    <col min="4387" max="4387" width="9.88671875" style="559" customWidth="1"/>
    <col min="4388" max="4604" width="8.88671875" style="559"/>
    <col min="4605" max="4605" width="38.44140625" style="559" customWidth="1"/>
    <col min="4606" max="4606" width="8.5546875" style="559" customWidth="1"/>
    <col min="4607" max="4607" width="1.33203125" style="559" customWidth="1"/>
    <col min="4608" max="4608" width="8.88671875" style="559" customWidth="1"/>
    <col min="4609" max="4609" width="1.33203125" style="559" customWidth="1"/>
    <col min="4610" max="4610" width="9.33203125" style="559" customWidth="1"/>
    <col min="4611" max="4611" width="1.33203125" style="559" customWidth="1"/>
    <col min="4612" max="4612" width="10" style="559" customWidth="1"/>
    <col min="4613" max="4613" width="1.33203125" style="559" customWidth="1"/>
    <col min="4614" max="4614" width="9.109375" style="559" customWidth="1"/>
    <col min="4615" max="4615" width="1.33203125" style="559" customWidth="1"/>
    <col min="4616" max="4616" width="11.33203125" style="559" customWidth="1"/>
    <col min="4617" max="4617" width="1.33203125" style="559" customWidth="1"/>
    <col min="4618" max="4618" width="9.109375" style="559" customWidth="1"/>
    <col min="4619" max="4619" width="1.6640625" style="559" customWidth="1"/>
    <col min="4620" max="4620" width="11" style="559" customWidth="1"/>
    <col min="4621" max="4621" width="1.33203125" style="559" customWidth="1"/>
    <col min="4622" max="4622" width="10.77734375" style="559" customWidth="1"/>
    <col min="4623" max="4623" width="1.33203125" style="559" customWidth="1"/>
    <col min="4624" max="4624" width="10" style="559" customWidth="1"/>
    <col min="4625" max="4625" width="1.33203125" style="559" customWidth="1"/>
    <col min="4626" max="4626" width="9.33203125" style="559" customWidth="1"/>
    <col min="4627" max="4627" width="1.33203125" style="559" customWidth="1"/>
    <col min="4628" max="4628" width="7.77734375" style="559" customWidth="1"/>
    <col min="4629" max="4629" width="1.33203125" style="559" customWidth="1"/>
    <col min="4630" max="4630" width="0.77734375" style="559" customWidth="1"/>
    <col min="4631" max="4631" width="9.33203125" style="559" customWidth="1"/>
    <col min="4632" max="4632" width="1.33203125" style="559" customWidth="1"/>
    <col min="4633" max="4633" width="0.88671875" style="559" customWidth="1"/>
    <col min="4634" max="4634" width="9.5546875" style="559" bestFit="1" customWidth="1"/>
    <col min="4635" max="4636" width="0.6640625" style="559" customWidth="1"/>
    <col min="4637" max="4637" width="9.6640625" style="559" customWidth="1"/>
    <col min="4638" max="4638" width="1.109375" style="559" customWidth="1"/>
    <col min="4639" max="4639" width="8.5546875" style="559" customWidth="1"/>
    <col min="4640" max="4640" width="14.5546875" style="559" customWidth="1"/>
    <col min="4641" max="4641" width="10" style="559" customWidth="1"/>
    <col min="4642" max="4642" width="7.77734375" style="559" bestFit="1" customWidth="1"/>
    <col min="4643" max="4643" width="9.88671875" style="559" customWidth="1"/>
    <col min="4644" max="4860" width="8.88671875" style="559"/>
    <col min="4861" max="4861" width="38.44140625" style="559" customWidth="1"/>
    <col min="4862" max="4862" width="8.5546875" style="559" customWidth="1"/>
    <col min="4863" max="4863" width="1.33203125" style="559" customWidth="1"/>
    <col min="4864" max="4864" width="8.88671875" style="559" customWidth="1"/>
    <col min="4865" max="4865" width="1.33203125" style="559" customWidth="1"/>
    <col min="4866" max="4866" width="9.33203125" style="559" customWidth="1"/>
    <col min="4867" max="4867" width="1.33203125" style="559" customWidth="1"/>
    <col min="4868" max="4868" width="10" style="559" customWidth="1"/>
    <col min="4869" max="4869" width="1.33203125" style="559" customWidth="1"/>
    <col min="4870" max="4870" width="9.109375" style="559" customWidth="1"/>
    <col min="4871" max="4871" width="1.33203125" style="559" customWidth="1"/>
    <col min="4872" max="4872" width="11.33203125" style="559" customWidth="1"/>
    <col min="4873" max="4873" width="1.33203125" style="559" customWidth="1"/>
    <col min="4874" max="4874" width="9.109375" style="559" customWidth="1"/>
    <col min="4875" max="4875" width="1.6640625" style="559" customWidth="1"/>
    <col min="4876" max="4876" width="11" style="559" customWidth="1"/>
    <col min="4877" max="4877" width="1.33203125" style="559" customWidth="1"/>
    <col min="4878" max="4878" width="10.77734375" style="559" customWidth="1"/>
    <col min="4879" max="4879" width="1.33203125" style="559" customWidth="1"/>
    <col min="4880" max="4880" width="10" style="559" customWidth="1"/>
    <col min="4881" max="4881" width="1.33203125" style="559" customWidth="1"/>
    <col min="4882" max="4882" width="9.33203125" style="559" customWidth="1"/>
    <col min="4883" max="4883" width="1.33203125" style="559" customWidth="1"/>
    <col min="4884" max="4884" width="7.77734375" style="559" customWidth="1"/>
    <col min="4885" max="4885" width="1.33203125" style="559" customWidth="1"/>
    <col min="4886" max="4886" width="0.77734375" style="559" customWidth="1"/>
    <col min="4887" max="4887" width="9.33203125" style="559" customWidth="1"/>
    <col min="4888" max="4888" width="1.33203125" style="559" customWidth="1"/>
    <col min="4889" max="4889" width="0.88671875" style="559" customWidth="1"/>
    <col min="4890" max="4890" width="9.5546875" style="559" bestFit="1" customWidth="1"/>
    <col min="4891" max="4892" width="0.6640625" style="559" customWidth="1"/>
    <col min="4893" max="4893" width="9.6640625" style="559" customWidth="1"/>
    <col min="4894" max="4894" width="1.109375" style="559" customWidth="1"/>
    <col min="4895" max="4895" width="8.5546875" style="559" customWidth="1"/>
    <col min="4896" max="4896" width="14.5546875" style="559" customWidth="1"/>
    <col min="4897" max="4897" width="10" style="559" customWidth="1"/>
    <col min="4898" max="4898" width="7.77734375" style="559" bestFit="1" customWidth="1"/>
    <col min="4899" max="4899" width="9.88671875" style="559" customWidth="1"/>
    <col min="4900" max="5116" width="8.88671875" style="559"/>
    <col min="5117" max="5117" width="38.44140625" style="559" customWidth="1"/>
    <col min="5118" max="5118" width="8.5546875" style="559" customWidth="1"/>
    <col min="5119" max="5119" width="1.33203125" style="559" customWidth="1"/>
    <col min="5120" max="5120" width="8.88671875" style="559" customWidth="1"/>
    <col min="5121" max="5121" width="1.33203125" style="559" customWidth="1"/>
    <col min="5122" max="5122" width="9.33203125" style="559" customWidth="1"/>
    <col min="5123" max="5123" width="1.33203125" style="559" customWidth="1"/>
    <col min="5124" max="5124" width="10" style="559" customWidth="1"/>
    <col min="5125" max="5125" width="1.33203125" style="559" customWidth="1"/>
    <col min="5126" max="5126" width="9.109375" style="559" customWidth="1"/>
    <col min="5127" max="5127" width="1.33203125" style="559" customWidth="1"/>
    <col min="5128" max="5128" width="11.33203125" style="559" customWidth="1"/>
    <col min="5129" max="5129" width="1.33203125" style="559" customWidth="1"/>
    <col min="5130" max="5130" width="9.109375" style="559" customWidth="1"/>
    <col min="5131" max="5131" width="1.6640625" style="559" customWidth="1"/>
    <col min="5132" max="5132" width="11" style="559" customWidth="1"/>
    <col min="5133" max="5133" width="1.33203125" style="559" customWidth="1"/>
    <col min="5134" max="5134" width="10.77734375" style="559" customWidth="1"/>
    <col min="5135" max="5135" width="1.33203125" style="559" customWidth="1"/>
    <col min="5136" max="5136" width="10" style="559" customWidth="1"/>
    <col min="5137" max="5137" width="1.33203125" style="559" customWidth="1"/>
    <col min="5138" max="5138" width="9.33203125" style="559" customWidth="1"/>
    <col min="5139" max="5139" width="1.33203125" style="559" customWidth="1"/>
    <col min="5140" max="5140" width="7.77734375" style="559" customWidth="1"/>
    <col min="5141" max="5141" width="1.33203125" style="559" customWidth="1"/>
    <col min="5142" max="5142" width="0.77734375" style="559" customWidth="1"/>
    <col min="5143" max="5143" width="9.33203125" style="559" customWidth="1"/>
    <col min="5144" max="5144" width="1.33203125" style="559" customWidth="1"/>
    <col min="5145" max="5145" width="0.88671875" style="559" customWidth="1"/>
    <col min="5146" max="5146" width="9.5546875" style="559" bestFit="1" customWidth="1"/>
    <col min="5147" max="5148" width="0.6640625" style="559" customWidth="1"/>
    <col min="5149" max="5149" width="9.6640625" style="559" customWidth="1"/>
    <col min="5150" max="5150" width="1.109375" style="559" customWidth="1"/>
    <col min="5151" max="5151" width="8.5546875" style="559" customWidth="1"/>
    <col min="5152" max="5152" width="14.5546875" style="559" customWidth="1"/>
    <col min="5153" max="5153" width="10" style="559" customWidth="1"/>
    <col min="5154" max="5154" width="7.77734375" style="559" bestFit="1" customWidth="1"/>
    <col min="5155" max="5155" width="9.88671875" style="559" customWidth="1"/>
    <col min="5156" max="5372" width="8.88671875" style="559"/>
    <col min="5373" max="5373" width="38.44140625" style="559" customWidth="1"/>
    <col min="5374" max="5374" width="8.5546875" style="559" customWidth="1"/>
    <col min="5375" max="5375" width="1.33203125" style="559" customWidth="1"/>
    <col min="5376" max="5376" width="8.88671875" style="559" customWidth="1"/>
    <col min="5377" max="5377" width="1.33203125" style="559" customWidth="1"/>
    <col min="5378" max="5378" width="9.33203125" style="559" customWidth="1"/>
    <col min="5379" max="5379" width="1.33203125" style="559" customWidth="1"/>
    <col min="5380" max="5380" width="10" style="559" customWidth="1"/>
    <col min="5381" max="5381" width="1.33203125" style="559" customWidth="1"/>
    <col min="5382" max="5382" width="9.109375" style="559" customWidth="1"/>
    <col min="5383" max="5383" width="1.33203125" style="559" customWidth="1"/>
    <col min="5384" max="5384" width="11.33203125" style="559" customWidth="1"/>
    <col min="5385" max="5385" width="1.33203125" style="559" customWidth="1"/>
    <col min="5386" max="5386" width="9.109375" style="559" customWidth="1"/>
    <col min="5387" max="5387" width="1.6640625" style="559" customWidth="1"/>
    <col min="5388" max="5388" width="11" style="559" customWidth="1"/>
    <col min="5389" max="5389" width="1.33203125" style="559" customWidth="1"/>
    <col min="5390" max="5390" width="10.77734375" style="559" customWidth="1"/>
    <col min="5391" max="5391" width="1.33203125" style="559" customWidth="1"/>
    <col min="5392" max="5392" width="10" style="559" customWidth="1"/>
    <col min="5393" max="5393" width="1.33203125" style="559" customWidth="1"/>
    <col min="5394" max="5394" width="9.33203125" style="559" customWidth="1"/>
    <col min="5395" max="5395" width="1.33203125" style="559" customWidth="1"/>
    <col min="5396" max="5396" width="7.77734375" style="559" customWidth="1"/>
    <col min="5397" max="5397" width="1.33203125" style="559" customWidth="1"/>
    <col min="5398" max="5398" width="0.77734375" style="559" customWidth="1"/>
    <col min="5399" max="5399" width="9.33203125" style="559" customWidth="1"/>
    <col min="5400" max="5400" width="1.33203125" style="559" customWidth="1"/>
    <col min="5401" max="5401" width="0.88671875" style="559" customWidth="1"/>
    <col min="5402" max="5402" width="9.5546875" style="559" bestFit="1" customWidth="1"/>
    <col min="5403" max="5404" width="0.6640625" style="559" customWidth="1"/>
    <col min="5405" max="5405" width="9.6640625" style="559" customWidth="1"/>
    <col min="5406" max="5406" width="1.109375" style="559" customWidth="1"/>
    <col min="5407" max="5407" width="8.5546875" style="559" customWidth="1"/>
    <col min="5408" max="5408" width="14.5546875" style="559" customWidth="1"/>
    <col min="5409" max="5409" width="10" style="559" customWidth="1"/>
    <col min="5410" max="5410" width="7.77734375" style="559" bestFit="1" customWidth="1"/>
    <col min="5411" max="5411" width="9.88671875" style="559" customWidth="1"/>
    <col min="5412" max="5628" width="8.88671875" style="559"/>
    <col min="5629" max="5629" width="38.44140625" style="559" customWidth="1"/>
    <col min="5630" max="5630" width="8.5546875" style="559" customWidth="1"/>
    <col min="5631" max="5631" width="1.33203125" style="559" customWidth="1"/>
    <col min="5632" max="5632" width="8.88671875" style="559" customWidth="1"/>
    <col min="5633" max="5633" width="1.33203125" style="559" customWidth="1"/>
    <col min="5634" max="5634" width="9.33203125" style="559" customWidth="1"/>
    <col min="5635" max="5635" width="1.33203125" style="559" customWidth="1"/>
    <col min="5636" max="5636" width="10" style="559" customWidth="1"/>
    <col min="5637" max="5637" width="1.33203125" style="559" customWidth="1"/>
    <col min="5638" max="5638" width="9.109375" style="559" customWidth="1"/>
    <col min="5639" max="5639" width="1.33203125" style="559" customWidth="1"/>
    <col min="5640" max="5640" width="11.33203125" style="559" customWidth="1"/>
    <col min="5641" max="5641" width="1.33203125" style="559" customWidth="1"/>
    <col min="5642" max="5642" width="9.109375" style="559" customWidth="1"/>
    <col min="5643" max="5643" width="1.6640625" style="559" customWidth="1"/>
    <col min="5644" max="5644" width="11" style="559" customWidth="1"/>
    <col min="5645" max="5645" width="1.33203125" style="559" customWidth="1"/>
    <col min="5646" max="5646" width="10.77734375" style="559" customWidth="1"/>
    <col min="5647" max="5647" width="1.33203125" style="559" customWidth="1"/>
    <col min="5648" max="5648" width="10" style="559" customWidth="1"/>
    <col min="5649" max="5649" width="1.33203125" style="559" customWidth="1"/>
    <col min="5650" max="5650" width="9.33203125" style="559" customWidth="1"/>
    <col min="5651" max="5651" width="1.33203125" style="559" customWidth="1"/>
    <col min="5652" max="5652" width="7.77734375" style="559" customWidth="1"/>
    <col min="5653" max="5653" width="1.33203125" style="559" customWidth="1"/>
    <col min="5654" max="5654" width="0.77734375" style="559" customWidth="1"/>
    <col min="5655" max="5655" width="9.33203125" style="559" customWidth="1"/>
    <col min="5656" max="5656" width="1.33203125" style="559" customWidth="1"/>
    <col min="5657" max="5657" width="0.88671875" style="559" customWidth="1"/>
    <col min="5658" max="5658" width="9.5546875" style="559" bestFit="1" customWidth="1"/>
    <col min="5659" max="5660" width="0.6640625" style="559" customWidth="1"/>
    <col min="5661" max="5661" width="9.6640625" style="559" customWidth="1"/>
    <col min="5662" max="5662" width="1.109375" style="559" customWidth="1"/>
    <col min="5663" max="5663" width="8.5546875" style="559" customWidth="1"/>
    <col min="5664" max="5664" width="14.5546875" style="559" customWidth="1"/>
    <col min="5665" max="5665" width="10" style="559" customWidth="1"/>
    <col min="5666" max="5666" width="7.77734375" style="559" bestFit="1" customWidth="1"/>
    <col min="5667" max="5667" width="9.88671875" style="559" customWidth="1"/>
    <col min="5668" max="5884" width="8.88671875" style="559"/>
    <col min="5885" max="5885" width="38.44140625" style="559" customWidth="1"/>
    <col min="5886" max="5886" width="8.5546875" style="559" customWidth="1"/>
    <col min="5887" max="5887" width="1.33203125" style="559" customWidth="1"/>
    <col min="5888" max="5888" width="8.88671875" style="559" customWidth="1"/>
    <col min="5889" max="5889" width="1.33203125" style="559" customWidth="1"/>
    <col min="5890" max="5890" width="9.33203125" style="559" customWidth="1"/>
    <col min="5891" max="5891" width="1.33203125" style="559" customWidth="1"/>
    <col min="5892" max="5892" width="10" style="559" customWidth="1"/>
    <col min="5893" max="5893" width="1.33203125" style="559" customWidth="1"/>
    <col min="5894" max="5894" width="9.109375" style="559" customWidth="1"/>
    <col min="5895" max="5895" width="1.33203125" style="559" customWidth="1"/>
    <col min="5896" max="5896" width="11.33203125" style="559" customWidth="1"/>
    <col min="5897" max="5897" width="1.33203125" style="559" customWidth="1"/>
    <col min="5898" max="5898" width="9.109375" style="559" customWidth="1"/>
    <col min="5899" max="5899" width="1.6640625" style="559" customWidth="1"/>
    <col min="5900" max="5900" width="11" style="559" customWidth="1"/>
    <col min="5901" max="5901" width="1.33203125" style="559" customWidth="1"/>
    <col min="5902" max="5902" width="10.77734375" style="559" customWidth="1"/>
    <col min="5903" max="5903" width="1.33203125" style="559" customWidth="1"/>
    <col min="5904" max="5904" width="10" style="559" customWidth="1"/>
    <col min="5905" max="5905" width="1.33203125" style="559" customWidth="1"/>
    <col min="5906" max="5906" width="9.33203125" style="559" customWidth="1"/>
    <col min="5907" max="5907" width="1.33203125" style="559" customWidth="1"/>
    <col min="5908" max="5908" width="7.77734375" style="559" customWidth="1"/>
    <col min="5909" max="5909" width="1.33203125" style="559" customWidth="1"/>
    <col min="5910" max="5910" width="0.77734375" style="559" customWidth="1"/>
    <col min="5911" max="5911" width="9.33203125" style="559" customWidth="1"/>
    <col min="5912" max="5912" width="1.33203125" style="559" customWidth="1"/>
    <col min="5913" max="5913" width="0.88671875" style="559" customWidth="1"/>
    <col min="5914" max="5914" width="9.5546875" style="559" bestFit="1" customWidth="1"/>
    <col min="5915" max="5916" width="0.6640625" style="559" customWidth="1"/>
    <col min="5917" max="5917" width="9.6640625" style="559" customWidth="1"/>
    <col min="5918" max="5918" width="1.109375" style="559" customWidth="1"/>
    <col min="5919" max="5919" width="8.5546875" style="559" customWidth="1"/>
    <col min="5920" max="5920" width="14.5546875" style="559" customWidth="1"/>
    <col min="5921" max="5921" width="10" style="559" customWidth="1"/>
    <col min="5922" max="5922" width="7.77734375" style="559" bestFit="1" customWidth="1"/>
    <col min="5923" max="5923" width="9.88671875" style="559" customWidth="1"/>
    <col min="5924" max="6140" width="8.88671875" style="559"/>
    <col min="6141" max="6141" width="38.44140625" style="559" customWidth="1"/>
    <col min="6142" max="6142" width="8.5546875" style="559" customWidth="1"/>
    <col min="6143" max="6143" width="1.33203125" style="559" customWidth="1"/>
    <col min="6144" max="6144" width="8.88671875" style="559" customWidth="1"/>
    <col min="6145" max="6145" width="1.33203125" style="559" customWidth="1"/>
    <col min="6146" max="6146" width="9.33203125" style="559" customWidth="1"/>
    <col min="6147" max="6147" width="1.33203125" style="559" customWidth="1"/>
    <col min="6148" max="6148" width="10" style="559" customWidth="1"/>
    <col min="6149" max="6149" width="1.33203125" style="559" customWidth="1"/>
    <col min="6150" max="6150" width="9.109375" style="559" customWidth="1"/>
    <col min="6151" max="6151" width="1.33203125" style="559" customWidth="1"/>
    <col min="6152" max="6152" width="11.33203125" style="559" customWidth="1"/>
    <col min="6153" max="6153" width="1.33203125" style="559" customWidth="1"/>
    <col min="6154" max="6154" width="9.109375" style="559" customWidth="1"/>
    <col min="6155" max="6155" width="1.6640625" style="559" customWidth="1"/>
    <col min="6156" max="6156" width="11" style="559" customWidth="1"/>
    <col min="6157" max="6157" width="1.33203125" style="559" customWidth="1"/>
    <col min="6158" max="6158" width="10.77734375" style="559" customWidth="1"/>
    <col min="6159" max="6159" width="1.33203125" style="559" customWidth="1"/>
    <col min="6160" max="6160" width="10" style="559" customWidth="1"/>
    <col min="6161" max="6161" width="1.33203125" style="559" customWidth="1"/>
    <col min="6162" max="6162" width="9.33203125" style="559" customWidth="1"/>
    <col min="6163" max="6163" width="1.33203125" style="559" customWidth="1"/>
    <col min="6164" max="6164" width="7.77734375" style="559" customWidth="1"/>
    <col min="6165" max="6165" width="1.33203125" style="559" customWidth="1"/>
    <col min="6166" max="6166" width="0.77734375" style="559" customWidth="1"/>
    <col min="6167" max="6167" width="9.33203125" style="559" customWidth="1"/>
    <col min="6168" max="6168" width="1.33203125" style="559" customWidth="1"/>
    <col min="6169" max="6169" width="0.88671875" style="559" customWidth="1"/>
    <col min="6170" max="6170" width="9.5546875" style="559" bestFit="1" customWidth="1"/>
    <col min="6171" max="6172" width="0.6640625" style="559" customWidth="1"/>
    <col min="6173" max="6173" width="9.6640625" style="559" customWidth="1"/>
    <col min="6174" max="6174" width="1.109375" style="559" customWidth="1"/>
    <col min="6175" max="6175" width="8.5546875" style="559" customWidth="1"/>
    <col min="6176" max="6176" width="14.5546875" style="559" customWidth="1"/>
    <col min="6177" max="6177" width="10" style="559" customWidth="1"/>
    <col min="6178" max="6178" width="7.77734375" style="559" bestFit="1" customWidth="1"/>
    <col min="6179" max="6179" width="9.88671875" style="559" customWidth="1"/>
    <col min="6180" max="6396" width="8.88671875" style="559"/>
    <col min="6397" max="6397" width="38.44140625" style="559" customWidth="1"/>
    <col min="6398" max="6398" width="8.5546875" style="559" customWidth="1"/>
    <col min="6399" max="6399" width="1.33203125" style="559" customWidth="1"/>
    <col min="6400" max="6400" width="8.88671875" style="559" customWidth="1"/>
    <col min="6401" max="6401" width="1.33203125" style="559" customWidth="1"/>
    <col min="6402" max="6402" width="9.33203125" style="559" customWidth="1"/>
    <col min="6403" max="6403" width="1.33203125" style="559" customWidth="1"/>
    <col min="6404" max="6404" width="10" style="559" customWidth="1"/>
    <col min="6405" max="6405" width="1.33203125" style="559" customWidth="1"/>
    <col min="6406" max="6406" width="9.109375" style="559" customWidth="1"/>
    <col min="6407" max="6407" width="1.33203125" style="559" customWidth="1"/>
    <col min="6408" max="6408" width="11.33203125" style="559" customWidth="1"/>
    <col min="6409" max="6409" width="1.33203125" style="559" customWidth="1"/>
    <col min="6410" max="6410" width="9.109375" style="559" customWidth="1"/>
    <col min="6411" max="6411" width="1.6640625" style="559" customWidth="1"/>
    <col min="6412" max="6412" width="11" style="559" customWidth="1"/>
    <col min="6413" max="6413" width="1.33203125" style="559" customWidth="1"/>
    <col min="6414" max="6414" width="10.77734375" style="559" customWidth="1"/>
    <col min="6415" max="6415" width="1.33203125" style="559" customWidth="1"/>
    <col min="6416" max="6416" width="10" style="559" customWidth="1"/>
    <col min="6417" max="6417" width="1.33203125" style="559" customWidth="1"/>
    <col min="6418" max="6418" width="9.33203125" style="559" customWidth="1"/>
    <col min="6419" max="6419" width="1.33203125" style="559" customWidth="1"/>
    <col min="6420" max="6420" width="7.77734375" style="559" customWidth="1"/>
    <col min="6421" max="6421" width="1.33203125" style="559" customWidth="1"/>
    <col min="6422" max="6422" width="0.77734375" style="559" customWidth="1"/>
    <col min="6423" max="6423" width="9.33203125" style="559" customWidth="1"/>
    <col min="6424" max="6424" width="1.33203125" style="559" customWidth="1"/>
    <col min="6425" max="6425" width="0.88671875" style="559" customWidth="1"/>
    <col min="6426" max="6426" width="9.5546875" style="559" bestFit="1" customWidth="1"/>
    <col min="6427" max="6428" width="0.6640625" style="559" customWidth="1"/>
    <col min="6429" max="6429" width="9.6640625" style="559" customWidth="1"/>
    <col min="6430" max="6430" width="1.109375" style="559" customWidth="1"/>
    <col min="6431" max="6431" width="8.5546875" style="559" customWidth="1"/>
    <col min="6432" max="6432" width="14.5546875" style="559" customWidth="1"/>
    <col min="6433" max="6433" width="10" style="559" customWidth="1"/>
    <col min="6434" max="6434" width="7.77734375" style="559" bestFit="1" customWidth="1"/>
    <col min="6435" max="6435" width="9.88671875" style="559" customWidth="1"/>
    <col min="6436" max="6652" width="8.88671875" style="559"/>
    <col min="6653" max="6653" width="38.44140625" style="559" customWidth="1"/>
    <col min="6654" max="6654" width="8.5546875" style="559" customWidth="1"/>
    <col min="6655" max="6655" width="1.33203125" style="559" customWidth="1"/>
    <col min="6656" max="6656" width="8.88671875" style="559" customWidth="1"/>
    <col min="6657" max="6657" width="1.33203125" style="559" customWidth="1"/>
    <col min="6658" max="6658" width="9.33203125" style="559" customWidth="1"/>
    <col min="6659" max="6659" width="1.33203125" style="559" customWidth="1"/>
    <col min="6660" max="6660" width="10" style="559" customWidth="1"/>
    <col min="6661" max="6661" width="1.33203125" style="559" customWidth="1"/>
    <col min="6662" max="6662" width="9.109375" style="559" customWidth="1"/>
    <col min="6663" max="6663" width="1.33203125" style="559" customWidth="1"/>
    <col min="6664" max="6664" width="11.33203125" style="559" customWidth="1"/>
    <col min="6665" max="6665" width="1.33203125" style="559" customWidth="1"/>
    <col min="6666" max="6666" width="9.109375" style="559" customWidth="1"/>
    <col min="6667" max="6667" width="1.6640625" style="559" customWidth="1"/>
    <col min="6668" max="6668" width="11" style="559" customWidth="1"/>
    <col min="6669" max="6669" width="1.33203125" style="559" customWidth="1"/>
    <col min="6670" max="6670" width="10.77734375" style="559" customWidth="1"/>
    <col min="6671" max="6671" width="1.33203125" style="559" customWidth="1"/>
    <col min="6672" max="6672" width="10" style="559" customWidth="1"/>
    <col min="6673" max="6673" width="1.33203125" style="559" customWidth="1"/>
    <col min="6674" max="6674" width="9.33203125" style="559" customWidth="1"/>
    <col min="6675" max="6675" width="1.33203125" style="559" customWidth="1"/>
    <col min="6676" max="6676" width="7.77734375" style="559" customWidth="1"/>
    <col min="6677" max="6677" width="1.33203125" style="559" customWidth="1"/>
    <col min="6678" max="6678" width="0.77734375" style="559" customWidth="1"/>
    <col min="6679" max="6679" width="9.33203125" style="559" customWidth="1"/>
    <col min="6680" max="6680" width="1.33203125" style="559" customWidth="1"/>
    <col min="6681" max="6681" width="0.88671875" style="559" customWidth="1"/>
    <col min="6682" max="6682" width="9.5546875" style="559" bestFit="1" customWidth="1"/>
    <col min="6683" max="6684" width="0.6640625" style="559" customWidth="1"/>
    <col min="6685" max="6685" width="9.6640625" style="559" customWidth="1"/>
    <col min="6686" max="6686" width="1.109375" style="559" customWidth="1"/>
    <col min="6687" max="6687" width="8.5546875" style="559" customWidth="1"/>
    <col min="6688" max="6688" width="14.5546875" style="559" customWidth="1"/>
    <col min="6689" max="6689" width="10" style="559" customWidth="1"/>
    <col min="6690" max="6690" width="7.77734375" style="559" bestFit="1" customWidth="1"/>
    <col min="6691" max="6691" width="9.88671875" style="559" customWidth="1"/>
    <col min="6692" max="6908" width="8.88671875" style="559"/>
    <col min="6909" max="6909" width="38.44140625" style="559" customWidth="1"/>
    <col min="6910" max="6910" width="8.5546875" style="559" customWidth="1"/>
    <col min="6911" max="6911" width="1.33203125" style="559" customWidth="1"/>
    <col min="6912" max="6912" width="8.88671875" style="559" customWidth="1"/>
    <col min="6913" max="6913" width="1.33203125" style="559" customWidth="1"/>
    <col min="6914" max="6914" width="9.33203125" style="559" customWidth="1"/>
    <col min="6915" max="6915" width="1.33203125" style="559" customWidth="1"/>
    <col min="6916" max="6916" width="10" style="559" customWidth="1"/>
    <col min="6917" max="6917" width="1.33203125" style="559" customWidth="1"/>
    <col min="6918" max="6918" width="9.109375" style="559" customWidth="1"/>
    <col min="6919" max="6919" width="1.33203125" style="559" customWidth="1"/>
    <col min="6920" max="6920" width="11.33203125" style="559" customWidth="1"/>
    <col min="6921" max="6921" width="1.33203125" style="559" customWidth="1"/>
    <col min="6922" max="6922" width="9.109375" style="559" customWidth="1"/>
    <col min="6923" max="6923" width="1.6640625" style="559" customWidth="1"/>
    <col min="6924" max="6924" width="11" style="559" customWidth="1"/>
    <col min="6925" max="6925" width="1.33203125" style="559" customWidth="1"/>
    <col min="6926" max="6926" width="10.77734375" style="559" customWidth="1"/>
    <col min="6927" max="6927" width="1.33203125" style="559" customWidth="1"/>
    <col min="6928" max="6928" width="10" style="559" customWidth="1"/>
    <col min="6929" max="6929" width="1.33203125" style="559" customWidth="1"/>
    <col min="6930" max="6930" width="9.33203125" style="559" customWidth="1"/>
    <col min="6931" max="6931" width="1.33203125" style="559" customWidth="1"/>
    <col min="6932" max="6932" width="7.77734375" style="559" customWidth="1"/>
    <col min="6933" max="6933" width="1.33203125" style="559" customWidth="1"/>
    <col min="6934" max="6934" width="0.77734375" style="559" customWidth="1"/>
    <col min="6935" max="6935" width="9.33203125" style="559" customWidth="1"/>
    <col min="6936" max="6936" width="1.33203125" style="559" customWidth="1"/>
    <col min="6937" max="6937" width="0.88671875" style="559" customWidth="1"/>
    <col min="6938" max="6938" width="9.5546875" style="559" bestFit="1" customWidth="1"/>
    <col min="6939" max="6940" width="0.6640625" style="559" customWidth="1"/>
    <col min="6941" max="6941" width="9.6640625" style="559" customWidth="1"/>
    <col min="6942" max="6942" width="1.109375" style="559" customWidth="1"/>
    <col min="6943" max="6943" width="8.5546875" style="559" customWidth="1"/>
    <col min="6944" max="6944" width="14.5546875" style="559" customWidth="1"/>
    <col min="6945" max="6945" width="10" style="559" customWidth="1"/>
    <col min="6946" max="6946" width="7.77734375" style="559" bestFit="1" customWidth="1"/>
    <col min="6947" max="6947" width="9.88671875" style="559" customWidth="1"/>
    <col min="6948" max="7164" width="8.88671875" style="559"/>
    <col min="7165" max="7165" width="38.44140625" style="559" customWidth="1"/>
    <col min="7166" max="7166" width="8.5546875" style="559" customWidth="1"/>
    <col min="7167" max="7167" width="1.33203125" style="559" customWidth="1"/>
    <col min="7168" max="7168" width="8.88671875" style="559" customWidth="1"/>
    <col min="7169" max="7169" width="1.33203125" style="559" customWidth="1"/>
    <col min="7170" max="7170" width="9.33203125" style="559" customWidth="1"/>
    <col min="7171" max="7171" width="1.33203125" style="559" customWidth="1"/>
    <col min="7172" max="7172" width="10" style="559" customWidth="1"/>
    <col min="7173" max="7173" width="1.33203125" style="559" customWidth="1"/>
    <col min="7174" max="7174" width="9.109375" style="559" customWidth="1"/>
    <col min="7175" max="7175" width="1.33203125" style="559" customWidth="1"/>
    <col min="7176" max="7176" width="11.33203125" style="559" customWidth="1"/>
    <col min="7177" max="7177" width="1.33203125" style="559" customWidth="1"/>
    <col min="7178" max="7178" width="9.109375" style="559" customWidth="1"/>
    <col min="7179" max="7179" width="1.6640625" style="559" customWidth="1"/>
    <col min="7180" max="7180" width="11" style="559" customWidth="1"/>
    <col min="7181" max="7181" width="1.33203125" style="559" customWidth="1"/>
    <col min="7182" max="7182" width="10.77734375" style="559" customWidth="1"/>
    <col min="7183" max="7183" width="1.33203125" style="559" customWidth="1"/>
    <col min="7184" max="7184" width="10" style="559" customWidth="1"/>
    <col min="7185" max="7185" width="1.33203125" style="559" customWidth="1"/>
    <col min="7186" max="7186" width="9.33203125" style="559" customWidth="1"/>
    <col min="7187" max="7187" width="1.33203125" style="559" customWidth="1"/>
    <col min="7188" max="7188" width="7.77734375" style="559" customWidth="1"/>
    <col min="7189" max="7189" width="1.33203125" style="559" customWidth="1"/>
    <col min="7190" max="7190" width="0.77734375" style="559" customWidth="1"/>
    <col min="7191" max="7191" width="9.33203125" style="559" customWidth="1"/>
    <col min="7192" max="7192" width="1.33203125" style="559" customWidth="1"/>
    <col min="7193" max="7193" width="0.88671875" style="559" customWidth="1"/>
    <col min="7194" max="7194" width="9.5546875" style="559" bestFit="1" customWidth="1"/>
    <col min="7195" max="7196" width="0.6640625" style="559" customWidth="1"/>
    <col min="7197" max="7197" width="9.6640625" style="559" customWidth="1"/>
    <col min="7198" max="7198" width="1.109375" style="559" customWidth="1"/>
    <col min="7199" max="7199" width="8.5546875" style="559" customWidth="1"/>
    <col min="7200" max="7200" width="14.5546875" style="559" customWidth="1"/>
    <col min="7201" max="7201" width="10" style="559" customWidth="1"/>
    <col min="7202" max="7202" width="7.77734375" style="559" bestFit="1" customWidth="1"/>
    <col min="7203" max="7203" width="9.88671875" style="559" customWidth="1"/>
    <col min="7204" max="7420" width="8.88671875" style="559"/>
    <col min="7421" max="7421" width="38.44140625" style="559" customWidth="1"/>
    <col min="7422" max="7422" width="8.5546875" style="559" customWidth="1"/>
    <col min="7423" max="7423" width="1.33203125" style="559" customWidth="1"/>
    <col min="7424" max="7424" width="8.88671875" style="559" customWidth="1"/>
    <col min="7425" max="7425" width="1.33203125" style="559" customWidth="1"/>
    <col min="7426" max="7426" width="9.33203125" style="559" customWidth="1"/>
    <col min="7427" max="7427" width="1.33203125" style="559" customWidth="1"/>
    <col min="7428" max="7428" width="10" style="559" customWidth="1"/>
    <col min="7429" max="7429" width="1.33203125" style="559" customWidth="1"/>
    <col min="7430" max="7430" width="9.109375" style="559" customWidth="1"/>
    <col min="7431" max="7431" width="1.33203125" style="559" customWidth="1"/>
    <col min="7432" max="7432" width="11.33203125" style="559" customWidth="1"/>
    <col min="7433" max="7433" width="1.33203125" style="559" customWidth="1"/>
    <col min="7434" max="7434" width="9.109375" style="559" customWidth="1"/>
    <col min="7435" max="7435" width="1.6640625" style="559" customWidth="1"/>
    <col min="7436" max="7436" width="11" style="559" customWidth="1"/>
    <col min="7437" max="7437" width="1.33203125" style="559" customWidth="1"/>
    <col min="7438" max="7438" width="10.77734375" style="559" customWidth="1"/>
    <col min="7439" max="7439" width="1.33203125" style="559" customWidth="1"/>
    <col min="7440" max="7440" width="10" style="559" customWidth="1"/>
    <col min="7441" max="7441" width="1.33203125" style="559" customWidth="1"/>
    <col min="7442" max="7442" width="9.33203125" style="559" customWidth="1"/>
    <col min="7443" max="7443" width="1.33203125" style="559" customWidth="1"/>
    <col min="7444" max="7444" width="7.77734375" style="559" customWidth="1"/>
    <col min="7445" max="7445" width="1.33203125" style="559" customWidth="1"/>
    <col min="7446" max="7446" width="0.77734375" style="559" customWidth="1"/>
    <col min="7447" max="7447" width="9.33203125" style="559" customWidth="1"/>
    <col min="7448" max="7448" width="1.33203125" style="559" customWidth="1"/>
    <col min="7449" max="7449" width="0.88671875" style="559" customWidth="1"/>
    <col min="7450" max="7450" width="9.5546875" style="559" bestFit="1" customWidth="1"/>
    <col min="7451" max="7452" width="0.6640625" style="559" customWidth="1"/>
    <col min="7453" max="7453" width="9.6640625" style="559" customWidth="1"/>
    <col min="7454" max="7454" width="1.109375" style="559" customWidth="1"/>
    <col min="7455" max="7455" width="8.5546875" style="559" customWidth="1"/>
    <col min="7456" max="7456" width="14.5546875" style="559" customWidth="1"/>
    <col min="7457" max="7457" width="10" style="559" customWidth="1"/>
    <col min="7458" max="7458" width="7.77734375" style="559" bestFit="1" customWidth="1"/>
    <col min="7459" max="7459" width="9.88671875" style="559" customWidth="1"/>
    <col min="7460" max="7676" width="8.88671875" style="559"/>
    <col min="7677" max="7677" width="38.44140625" style="559" customWidth="1"/>
    <col min="7678" max="7678" width="8.5546875" style="559" customWidth="1"/>
    <col min="7679" max="7679" width="1.33203125" style="559" customWidth="1"/>
    <col min="7680" max="7680" width="8.88671875" style="559" customWidth="1"/>
    <col min="7681" max="7681" width="1.33203125" style="559" customWidth="1"/>
    <col min="7682" max="7682" width="9.33203125" style="559" customWidth="1"/>
    <col min="7683" max="7683" width="1.33203125" style="559" customWidth="1"/>
    <col min="7684" max="7684" width="10" style="559" customWidth="1"/>
    <col min="7685" max="7685" width="1.33203125" style="559" customWidth="1"/>
    <col min="7686" max="7686" width="9.109375" style="559" customWidth="1"/>
    <col min="7687" max="7687" width="1.33203125" style="559" customWidth="1"/>
    <col min="7688" max="7688" width="11.33203125" style="559" customWidth="1"/>
    <col min="7689" max="7689" width="1.33203125" style="559" customWidth="1"/>
    <col min="7690" max="7690" width="9.109375" style="559" customWidth="1"/>
    <col min="7691" max="7691" width="1.6640625" style="559" customWidth="1"/>
    <col min="7692" max="7692" width="11" style="559" customWidth="1"/>
    <col min="7693" max="7693" width="1.33203125" style="559" customWidth="1"/>
    <col min="7694" max="7694" width="10.77734375" style="559" customWidth="1"/>
    <col min="7695" max="7695" width="1.33203125" style="559" customWidth="1"/>
    <col min="7696" max="7696" width="10" style="559" customWidth="1"/>
    <col min="7697" max="7697" width="1.33203125" style="559" customWidth="1"/>
    <col min="7698" max="7698" width="9.33203125" style="559" customWidth="1"/>
    <col min="7699" max="7699" width="1.33203125" style="559" customWidth="1"/>
    <col min="7700" max="7700" width="7.77734375" style="559" customWidth="1"/>
    <col min="7701" max="7701" width="1.33203125" style="559" customWidth="1"/>
    <col min="7702" max="7702" width="0.77734375" style="559" customWidth="1"/>
    <col min="7703" max="7703" width="9.33203125" style="559" customWidth="1"/>
    <col min="7704" max="7704" width="1.33203125" style="559" customWidth="1"/>
    <col min="7705" max="7705" width="0.88671875" style="559" customWidth="1"/>
    <col min="7706" max="7706" width="9.5546875" style="559" bestFit="1" customWidth="1"/>
    <col min="7707" max="7708" width="0.6640625" style="559" customWidth="1"/>
    <col min="7709" max="7709" width="9.6640625" style="559" customWidth="1"/>
    <col min="7710" max="7710" width="1.109375" style="559" customWidth="1"/>
    <col min="7711" max="7711" width="8.5546875" style="559" customWidth="1"/>
    <col min="7712" max="7712" width="14.5546875" style="559" customWidth="1"/>
    <col min="7713" max="7713" width="10" style="559" customWidth="1"/>
    <col min="7714" max="7714" width="7.77734375" style="559" bestFit="1" customWidth="1"/>
    <col min="7715" max="7715" width="9.88671875" style="559" customWidth="1"/>
    <col min="7716" max="7932" width="8.88671875" style="559"/>
    <col min="7933" max="7933" width="38.44140625" style="559" customWidth="1"/>
    <col min="7934" max="7934" width="8.5546875" style="559" customWidth="1"/>
    <col min="7935" max="7935" width="1.33203125" style="559" customWidth="1"/>
    <col min="7936" max="7936" width="8.88671875" style="559" customWidth="1"/>
    <col min="7937" max="7937" width="1.33203125" style="559" customWidth="1"/>
    <col min="7938" max="7938" width="9.33203125" style="559" customWidth="1"/>
    <col min="7939" max="7939" width="1.33203125" style="559" customWidth="1"/>
    <col min="7940" max="7940" width="10" style="559" customWidth="1"/>
    <col min="7941" max="7941" width="1.33203125" style="559" customWidth="1"/>
    <col min="7942" max="7942" width="9.109375" style="559" customWidth="1"/>
    <col min="7943" max="7943" width="1.33203125" style="559" customWidth="1"/>
    <col min="7944" max="7944" width="11.33203125" style="559" customWidth="1"/>
    <col min="7945" max="7945" width="1.33203125" style="559" customWidth="1"/>
    <col min="7946" max="7946" width="9.109375" style="559" customWidth="1"/>
    <col min="7947" max="7947" width="1.6640625" style="559" customWidth="1"/>
    <col min="7948" max="7948" width="11" style="559" customWidth="1"/>
    <col min="7949" max="7949" width="1.33203125" style="559" customWidth="1"/>
    <col min="7950" max="7950" width="10.77734375" style="559" customWidth="1"/>
    <col min="7951" max="7951" width="1.33203125" style="559" customWidth="1"/>
    <col min="7952" max="7952" width="10" style="559" customWidth="1"/>
    <col min="7953" max="7953" width="1.33203125" style="559" customWidth="1"/>
    <col min="7954" max="7954" width="9.33203125" style="559" customWidth="1"/>
    <col min="7955" max="7955" width="1.33203125" style="559" customWidth="1"/>
    <col min="7956" max="7956" width="7.77734375" style="559" customWidth="1"/>
    <col min="7957" max="7957" width="1.33203125" style="559" customWidth="1"/>
    <col min="7958" max="7958" width="0.77734375" style="559" customWidth="1"/>
    <col min="7959" max="7959" width="9.33203125" style="559" customWidth="1"/>
    <col min="7960" max="7960" width="1.33203125" style="559" customWidth="1"/>
    <col min="7961" max="7961" width="0.88671875" style="559" customWidth="1"/>
    <col min="7962" max="7962" width="9.5546875" style="559" bestFit="1" customWidth="1"/>
    <col min="7963" max="7964" width="0.6640625" style="559" customWidth="1"/>
    <col min="7965" max="7965" width="9.6640625" style="559" customWidth="1"/>
    <col min="7966" max="7966" width="1.109375" style="559" customWidth="1"/>
    <col min="7967" max="7967" width="8.5546875" style="559" customWidth="1"/>
    <col min="7968" max="7968" width="14.5546875" style="559" customWidth="1"/>
    <col min="7969" max="7969" width="10" style="559" customWidth="1"/>
    <col min="7970" max="7970" width="7.77734375" style="559" bestFit="1" customWidth="1"/>
    <col min="7971" max="7971" width="9.88671875" style="559" customWidth="1"/>
    <col min="7972" max="8188" width="8.88671875" style="559"/>
    <col min="8189" max="8189" width="38.44140625" style="559" customWidth="1"/>
    <col min="8190" max="8190" width="8.5546875" style="559" customWidth="1"/>
    <col min="8191" max="8191" width="1.33203125" style="559" customWidth="1"/>
    <col min="8192" max="8192" width="8.88671875" style="559" customWidth="1"/>
    <col min="8193" max="8193" width="1.33203125" style="559" customWidth="1"/>
    <col min="8194" max="8194" width="9.33203125" style="559" customWidth="1"/>
    <col min="8195" max="8195" width="1.33203125" style="559" customWidth="1"/>
    <col min="8196" max="8196" width="10" style="559" customWidth="1"/>
    <col min="8197" max="8197" width="1.33203125" style="559" customWidth="1"/>
    <col min="8198" max="8198" width="9.109375" style="559" customWidth="1"/>
    <col min="8199" max="8199" width="1.33203125" style="559" customWidth="1"/>
    <col min="8200" max="8200" width="11.33203125" style="559" customWidth="1"/>
    <col min="8201" max="8201" width="1.33203125" style="559" customWidth="1"/>
    <col min="8202" max="8202" width="9.109375" style="559" customWidth="1"/>
    <col min="8203" max="8203" width="1.6640625" style="559" customWidth="1"/>
    <col min="8204" max="8204" width="11" style="559" customWidth="1"/>
    <col min="8205" max="8205" width="1.33203125" style="559" customWidth="1"/>
    <col min="8206" max="8206" width="10.77734375" style="559" customWidth="1"/>
    <col min="8207" max="8207" width="1.33203125" style="559" customWidth="1"/>
    <col min="8208" max="8208" width="10" style="559" customWidth="1"/>
    <col min="8209" max="8209" width="1.33203125" style="559" customWidth="1"/>
    <col min="8210" max="8210" width="9.33203125" style="559" customWidth="1"/>
    <col min="8211" max="8211" width="1.33203125" style="559" customWidth="1"/>
    <col min="8212" max="8212" width="7.77734375" style="559" customWidth="1"/>
    <col min="8213" max="8213" width="1.33203125" style="559" customWidth="1"/>
    <col min="8214" max="8214" width="0.77734375" style="559" customWidth="1"/>
    <col min="8215" max="8215" width="9.33203125" style="559" customWidth="1"/>
    <col min="8216" max="8216" width="1.33203125" style="559" customWidth="1"/>
    <col min="8217" max="8217" width="0.88671875" style="559" customWidth="1"/>
    <col min="8218" max="8218" width="9.5546875" style="559" bestFit="1" customWidth="1"/>
    <col min="8219" max="8220" width="0.6640625" style="559" customWidth="1"/>
    <col min="8221" max="8221" width="9.6640625" style="559" customWidth="1"/>
    <col min="8222" max="8222" width="1.109375" style="559" customWidth="1"/>
    <col min="8223" max="8223" width="8.5546875" style="559" customWidth="1"/>
    <col min="8224" max="8224" width="14.5546875" style="559" customWidth="1"/>
    <col min="8225" max="8225" width="10" style="559" customWidth="1"/>
    <col min="8226" max="8226" width="7.77734375" style="559" bestFit="1" customWidth="1"/>
    <col min="8227" max="8227" width="9.88671875" style="559" customWidth="1"/>
    <col min="8228" max="8444" width="8.88671875" style="559"/>
    <col min="8445" max="8445" width="38.44140625" style="559" customWidth="1"/>
    <col min="8446" max="8446" width="8.5546875" style="559" customWidth="1"/>
    <col min="8447" max="8447" width="1.33203125" style="559" customWidth="1"/>
    <col min="8448" max="8448" width="8.88671875" style="559" customWidth="1"/>
    <col min="8449" max="8449" width="1.33203125" style="559" customWidth="1"/>
    <col min="8450" max="8450" width="9.33203125" style="559" customWidth="1"/>
    <col min="8451" max="8451" width="1.33203125" style="559" customWidth="1"/>
    <col min="8452" max="8452" width="10" style="559" customWidth="1"/>
    <col min="8453" max="8453" width="1.33203125" style="559" customWidth="1"/>
    <col min="8454" max="8454" width="9.109375" style="559" customWidth="1"/>
    <col min="8455" max="8455" width="1.33203125" style="559" customWidth="1"/>
    <col min="8456" max="8456" width="11.33203125" style="559" customWidth="1"/>
    <col min="8457" max="8457" width="1.33203125" style="559" customWidth="1"/>
    <col min="8458" max="8458" width="9.109375" style="559" customWidth="1"/>
    <col min="8459" max="8459" width="1.6640625" style="559" customWidth="1"/>
    <col min="8460" max="8460" width="11" style="559" customWidth="1"/>
    <col min="8461" max="8461" width="1.33203125" style="559" customWidth="1"/>
    <col min="8462" max="8462" width="10.77734375" style="559" customWidth="1"/>
    <col min="8463" max="8463" width="1.33203125" style="559" customWidth="1"/>
    <col min="8464" max="8464" width="10" style="559" customWidth="1"/>
    <col min="8465" max="8465" width="1.33203125" style="559" customWidth="1"/>
    <col min="8466" max="8466" width="9.33203125" style="559" customWidth="1"/>
    <col min="8467" max="8467" width="1.33203125" style="559" customWidth="1"/>
    <col min="8468" max="8468" width="7.77734375" style="559" customWidth="1"/>
    <col min="8469" max="8469" width="1.33203125" style="559" customWidth="1"/>
    <col min="8470" max="8470" width="0.77734375" style="559" customWidth="1"/>
    <col min="8471" max="8471" width="9.33203125" style="559" customWidth="1"/>
    <col min="8472" max="8472" width="1.33203125" style="559" customWidth="1"/>
    <col min="8473" max="8473" width="0.88671875" style="559" customWidth="1"/>
    <col min="8474" max="8474" width="9.5546875" style="559" bestFit="1" customWidth="1"/>
    <col min="8475" max="8476" width="0.6640625" style="559" customWidth="1"/>
    <col min="8477" max="8477" width="9.6640625" style="559" customWidth="1"/>
    <col min="8478" max="8478" width="1.109375" style="559" customWidth="1"/>
    <col min="8479" max="8479" width="8.5546875" style="559" customWidth="1"/>
    <col min="8480" max="8480" width="14.5546875" style="559" customWidth="1"/>
    <col min="8481" max="8481" width="10" style="559" customWidth="1"/>
    <col min="8482" max="8482" width="7.77734375" style="559" bestFit="1" customWidth="1"/>
    <col min="8483" max="8483" width="9.88671875" style="559" customWidth="1"/>
    <col min="8484" max="8700" width="8.88671875" style="559"/>
    <col min="8701" max="8701" width="38.44140625" style="559" customWidth="1"/>
    <col min="8702" max="8702" width="8.5546875" style="559" customWidth="1"/>
    <col min="8703" max="8703" width="1.33203125" style="559" customWidth="1"/>
    <col min="8704" max="8704" width="8.88671875" style="559" customWidth="1"/>
    <col min="8705" max="8705" width="1.33203125" style="559" customWidth="1"/>
    <col min="8706" max="8706" width="9.33203125" style="559" customWidth="1"/>
    <col min="8707" max="8707" width="1.33203125" style="559" customWidth="1"/>
    <col min="8708" max="8708" width="10" style="559" customWidth="1"/>
    <col min="8709" max="8709" width="1.33203125" style="559" customWidth="1"/>
    <col min="8710" max="8710" width="9.109375" style="559" customWidth="1"/>
    <col min="8711" max="8711" width="1.33203125" style="559" customWidth="1"/>
    <col min="8712" max="8712" width="11.33203125" style="559" customWidth="1"/>
    <col min="8713" max="8713" width="1.33203125" style="559" customWidth="1"/>
    <col min="8714" max="8714" width="9.109375" style="559" customWidth="1"/>
    <col min="8715" max="8715" width="1.6640625" style="559" customWidth="1"/>
    <col min="8716" max="8716" width="11" style="559" customWidth="1"/>
    <col min="8717" max="8717" width="1.33203125" style="559" customWidth="1"/>
    <col min="8718" max="8718" width="10.77734375" style="559" customWidth="1"/>
    <col min="8719" max="8719" width="1.33203125" style="559" customWidth="1"/>
    <col min="8720" max="8720" width="10" style="559" customWidth="1"/>
    <col min="8721" max="8721" width="1.33203125" style="559" customWidth="1"/>
    <col min="8722" max="8722" width="9.33203125" style="559" customWidth="1"/>
    <col min="8723" max="8723" width="1.33203125" style="559" customWidth="1"/>
    <col min="8724" max="8724" width="7.77734375" style="559" customWidth="1"/>
    <col min="8725" max="8725" width="1.33203125" style="559" customWidth="1"/>
    <col min="8726" max="8726" width="0.77734375" style="559" customWidth="1"/>
    <col min="8727" max="8727" width="9.33203125" style="559" customWidth="1"/>
    <col min="8728" max="8728" width="1.33203125" style="559" customWidth="1"/>
    <col min="8729" max="8729" width="0.88671875" style="559" customWidth="1"/>
    <col min="8730" max="8730" width="9.5546875" style="559" bestFit="1" customWidth="1"/>
    <col min="8731" max="8732" width="0.6640625" style="559" customWidth="1"/>
    <col min="8733" max="8733" width="9.6640625" style="559" customWidth="1"/>
    <col min="8734" max="8734" width="1.109375" style="559" customWidth="1"/>
    <col min="8735" max="8735" width="8.5546875" style="559" customWidth="1"/>
    <col min="8736" max="8736" width="14.5546875" style="559" customWidth="1"/>
    <col min="8737" max="8737" width="10" style="559" customWidth="1"/>
    <col min="8738" max="8738" width="7.77734375" style="559" bestFit="1" customWidth="1"/>
    <col min="8739" max="8739" width="9.88671875" style="559" customWidth="1"/>
    <col min="8740" max="8956" width="8.88671875" style="559"/>
    <col min="8957" max="8957" width="38.44140625" style="559" customWidth="1"/>
    <col min="8958" max="8958" width="8.5546875" style="559" customWidth="1"/>
    <col min="8959" max="8959" width="1.33203125" style="559" customWidth="1"/>
    <col min="8960" max="8960" width="8.88671875" style="559" customWidth="1"/>
    <col min="8961" max="8961" width="1.33203125" style="559" customWidth="1"/>
    <col min="8962" max="8962" width="9.33203125" style="559" customWidth="1"/>
    <col min="8963" max="8963" width="1.33203125" style="559" customWidth="1"/>
    <col min="8964" max="8964" width="10" style="559" customWidth="1"/>
    <col min="8965" max="8965" width="1.33203125" style="559" customWidth="1"/>
    <col min="8966" max="8966" width="9.109375" style="559" customWidth="1"/>
    <col min="8967" max="8967" width="1.33203125" style="559" customWidth="1"/>
    <col min="8968" max="8968" width="11.33203125" style="559" customWidth="1"/>
    <col min="8969" max="8969" width="1.33203125" style="559" customWidth="1"/>
    <col min="8970" max="8970" width="9.109375" style="559" customWidth="1"/>
    <col min="8971" max="8971" width="1.6640625" style="559" customWidth="1"/>
    <col min="8972" max="8972" width="11" style="559" customWidth="1"/>
    <col min="8973" max="8973" width="1.33203125" style="559" customWidth="1"/>
    <col min="8974" max="8974" width="10.77734375" style="559" customWidth="1"/>
    <col min="8975" max="8975" width="1.33203125" style="559" customWidth="1"/>
    <col min="8976" max="8976" width="10" style="559" customWidth="1"/>
    <col min="8977" max="8977" width="1.33203125" style="559" customWidth="1"/>
    <col min="8978" max="8978" width="9.33203125" style="559" customWidth="1"/>
    <col min="8979" max="8979" width="1.33203125" style="559" customWidth="1"/>
    <col min="8980" max="8980" width="7.77734375" style="559" customWidth="1"/>
    <col min="8981" max="8981" width="1.33203125" style="559" customWidth="1"/>
    <col min="8982" max="8982" width="0.77734375" style="559" customWidth="1"/>
    <col min="8983" max="8983" width="9.33203125" style="559" customWidth="1"/>
    <col min="8984" max="8984" width="1.33203125" style="559" customWidth="1"/>
    <col min="8985" max="8985" width="0.88671875" style="559" customWidth="1"/>
    <col min="8986" max="8986" width="9.5546875" style="559" bestFit="1" customWidth="1"/>
    <col min="8987" max="8988" width="0.6640625" style="559" customWidth="1"/>
    <col min="8989" max="8989" width="9.6640625" style="559" customWidth="1"/>
    <col min="8990" max="8990" width="1.109375" style="559" customWidth="1"/>
    <col min="8991" max="8991" width="8.5546875" style="559" customWidth="1"/>
    <col min="8992" max="8992" width="14.5546875" style="559" customWidth="1"/>
    <col min="8993" max="8993" width="10" style="559" customWidth="1"/>
    <col min="8994" max="8994" width="7.77734375" style="559" bestFit="1" customWidth="1"/>
    <col min="8995" max="8995" width="9.88671875" style="559" customWidth="1"/>
    <col min="8996" max="9212" width="8.88671875" style="559"/>
    <col min="9213" max="9213" width="38.44140625" style="559" customWidth="1"/>
    <col min="9214" max="9214" width="8.5546875" style="559" customWidth="1"/>
    <col min="9215" max="9215" width="1.33203125" style="559" customWidth="1"/>
    <col min="9216" max="9216" width="8.88671875" style="559" customWidth="1"/>
    <col min="9217" max="9217" width="1.33203125" style="559" customWidth="1"/>
    <col min="9218" max="9218" width="9.33203125" style="559" customWidth="1"/>
    <col min="9219" max="9219" width="1.33203125" style="559" customWidth="1"/>
    <col min="9220" max="9220" width="10" style="559" customWidth="1"/>
    <col min="9221" max="9221" width="1.33203125" style="559" customWidth="1"/>
    <col min="9222" max="9222" width="9.109375" style="559" customWidth="1"/>
    <col min="9223" max="9223" width="1.33203125" style="559" customWidth="1"/>
    <col min="9224" max="9224" width="11.33203125" style="559" customWidth="1"/>
    <col min="9225" max="9225" width="1.33203125" style="559" customWidth="1"/>
    <col min="9226" max="9226" width="9.109375" style="559" customWidth="1"/>
    <col min="9227" max="9227" width="1.6640625" style="559" customWidth="1"/>
    <col min="9228" max="9228" width="11" style="559" customWidth="1"/>
    <col min="9229" max="9229" width="1.33203125" style="559" customWidth="1"/>
    <col min="9230" max="9230" width="10.77734375" style="559" customWidth="1"/>
    <col min="9231" max="9231" width="1.33203125" style="559" customWidth="1"/>
    <col min="9232" max="9232" width="10" style="559" customWidth="1"/>
    <col min="9233" max="9233" width="1.33203125" style="559" customWidth="1"/>
    <col min="9234" max="9234" width="9.33203125" style="559" customWidth="1"/>
    <col min="9235" max="9235" width="1.33203125" style="559" customWidth="1"/>
    <col min="9236" max="9236" width="7.77734375" style="559" customWidth="1"/>
    <col min="9237" max="9237" width="1.33203125" style="559" customWidth="1"/>
    <col min="9238" max="9238" width="0.77734375" style="559" customWidth="1"/>
    <col min="9239" max="9239" width="9.33203125" style="559" customWidth="1"/>
    <col min="9240" max="9240" width="1.33203125" style="559" customWidth="1"/>
    <col min="9241" max="9241" width="0.88671875" style="559" customWidth="1"/>
    <col min="9242" max="9242" width="9.5546875" style="559" bestFit="1" customWidth="1"/>
    <col min="9243" max="9244" width="0.6640625" style="559" customWidth="1"/>
    <col min="9245" max="9245" width="9.6640625" style="559" customWidth="1"/>
    <col min="9246" max="9246" width="1.109375" style="559" customWidth="1"/>
    <col min="9247" max="9247" width="8.5546875" style="559" customWidth="1"/>
    <col min="9248" max="9248" width="14.5546875" style="559" customWidth="1"/>
    <col min="9249" max="9249" width="10" style="559" customWidth="1"/>
    <col min="9250" max="9250" width="7.77734375" style="559" bestFit="1" customWidth="1"/>
    <col min="9251" max="9251" width="9.88671875" style="559" customWidth="1"/>
    <col min="9252" max="9468" width="8.88671875" style="559"/>
    <col min="9469" max="9469" width="38.44140625" style="559" customWidth="1"/>
    <col min="9470" max="9470" width="8.5546875" style="559" customWidth="1"/>
    <col min="9471" max="9471" width="1.33203125" style="559" customWidth="1"/>
    <col min="9472" max="9472" width="8.88671875" style="559" customWidth="1"/>
    <col min="9473" max="9473" width="1.33203125" style="559" customWidth="1"/>
    <col min="9474" max="9474" width="9.33203125" style="559" customWidth="1"/>
    <col min="9475" max="9475" width="1.33203125" style="559" customWidth="1"/>
    <col min="9476" max="9476" width="10" style="559" customWidth="1"/>
    <col min="9477" max="9477" width="1.33203125" style="559" customWidth="1"/>
    <col min="9478" max="9478" width="9.109375" style="559" customWidth="1"/>
    <col min="9479" max="9479" width="1.33203125" style="559" customWidth="1"/>
    <col min="9480" max="9480" width="11.33203125" style="559" customWidth="1"/>
    <col min="9481" max="9481" width="1.33203125" style="559" customWidth="1"/>
    <col min="9482" max="9482" width="9.109375" style="559" customWidth="1"/>
    <col min="9483" max="9483" width="1.6640625" style="559" customWidth="1"/>
    <col min="9484" max="9484" width="11" style="559" customWidth="1"/>
    <col min="9485" max="9485" width="1.33203125" style="559" customWidth="1"/>
    <col min="9486" max="9486" width="10.77734375" style="559" customWidth="1"/>
    <col min="9487" max="9487" width="1.33203125" style="559" customWidth="1"/>
    <col min="9488" max="9488" width="10" style="559" customWidth="1"/>
    <col min="9489" max="9489" width="1.33203125" style="559" customWidth="1"/>
    <col min="9490" max="9490" width="9.33203125" style="559" customWidth="1"/>
    <col min="9491" max="9491" width="1.33203125" style="559" customWidth="1"/>
    <col min="9492" max="9492" width="7.77734375" style="559" customWidth="1"/>
    <col min="9493" max="9493" width="1.33203125" style="559" customWidth="1"/>
    <col min="9494" max="9494" width="0.77734375" style="559" customWidth="1"/>
    <col min="9495" max="9495" width="9.33203125" style="559" customWidth="1"/>
    <col min="9496" max="9496" width="1.33203125" style="559" customWidth="1"/>
    <col min="9497" max="9497" width="0.88671875" style="559" customWidth="1"/>
    <col min="9498" max="9498" width="9.5546875" style="559" bestFit="1" customWidth="1"/>
    <col min="9499" max="9500" width="0.6640625" style="559" customWidth="1"/>
    <col min="9501" max="9501" width="9.6640625" style="559" customWidth="1"/>
    <col min="9502" max="9502" width="1.109375" style="559" customWidth="1"/>
    <col min="9503" max="9503" width="8.5546875" style="559" customWidth="1"/>
    <col min="9504" max="9504" width="14.5546875" style="559" customWidth="1"/>
    <col min="9505" max="9505" width="10" style="559" customWidth="1"/>
    <col min="9506" max="9506" width="7.77734375" style="559" bestFit="1" customWidth="1"/>
    <col min="9507" max="9507" width="9.88671875" style="559" customWidth="1"/>
    <col min="9508" max="9724" width="8.88671875" style="559"/>
    <col min="9725" max="9725" width="38.44140625" style="559" customWidth="1"/>
    <col min="9726" max="9726" width="8.5546875" style="559" customWidth="1"/>
    <col min="9727" max="9727" width="1.33203125" style="559" customWidth="1"/>
    <col min="9728" max="9728" width="8.88671875" style="559" customWidth="1"/>
    <col min="9729" max="9729" width="1.33203125" style="559" customWidth="1"/>
    <col min="9730" max="9730" width="9.33203125" style="559" customWidth="1"/>
    <col min="9731" max="9731" width="1.33203125" style="559" customWidth="1"/>
    <col min="9732" max="9732" width="10" style="559" customWidth="1"/>
    <col min="9733" max="9733" width="1.33203125" style="559" customWidth="1"/>
    <col min="9734" max="9734" width="9.109375" style="559" customWidth="1"/>
    <col min="9735" max="9735" width="1.33203125" style="559" customWidth="1"/>
    <col min="9736" max="9736" width="11.33203125" style="559" customWidth="1"/>
    <col min="9737" max="9737" width="1.33203125" style="559" customWidth="1"/>
    <col min="9738" max="9738" width="9.109375" style="559" customWidth="1"/>
    <col min="9739" max="9739" width="1.6640625" style="559" customWidth="1"/>
    <col min="9740" max="9740" width="11" style="559" customWidth="1"/>
    <col min="9741" max="9741" width="1.33203125" style="559" customWidth="1"/>
    <col min="9742" max="9742" width="10.77734375" style="559" customWidth="1"/>
    <col min="9743" max="9743" width="1.33203125" style="559" customWidth="1"/>
    <col min="9744" max="9744" width="10" style="559" customWidth="1"/>
    <col min="9745" max="9745" width="1.33203125" style="559" customWidth="1"/>
    <col min="9746" max="9746" width="9.33203125" style="559" customWidth="1"/>
    <col min="9747" max="9747" width="1.33203125" style="559" customWidth="1"/>
    <col min="9748" max="9748" width="7.77734375" style="559" customWidth="1"/>
    <col min="9749" max="9749" width="1.33203125" style="559" customWidth="1"/>
    <col min="9750" max="9750" width="0.77734375" style="559" customWidth="1"/>
    <col min="9751" max="9751" width="9.33203125" style="559" customWidth="1"/>
    <col min="9752" max="9752" width="1.33203125" style="559" customWidth="1"/>
    <col min="9753" max="9753" width="0.88671875" style="559" customWidth="1"/>
    <col min="9754" max="9754" width="9.5546875" style="559" bestFit="1" customWidth="1"/>
    <col min="9755" max="9756" width="0.6640625" style="559" customWidth="1"/>
    <col min="9757" max="9757" width="9.6640625" style="559" customWidth="1"/>
    <col min="9758" max="9758" width="1.109375" style="559" customWidth="1"/>
    <col min="9759" max="9759" width="8.5546875" style="559" customWidth="1"/>
    <col min="9760" max="9760" width="14.5546875" style="559" customWidth="1"/>
    <col min="9761" max="9761" width="10" style="559" customWidth="1"/>
    <col min="9762" max="9762" width="7.77734375" style="559" bestFit="1" customWidth="1"/>
    <col min="9763" max="9763" width="9.88671875" style="559" customWidth="1"/>
    <col min="9764" max="9980" width="8.88671875" style="559"/>
    <col min="9981" max="9981" width="38.44140625" style="559" customWidth="1"/>
    <col min="9982" max="9982" width="8.5546875" style="559" customWidth="1"/>
    <col min="9983" max="9983" width="1.33203125" style="559" customWidth="1"/>
    <col min="9984" max="9984" width="8.88671875" style="559" customWidth="1"/>
    <col min="9985" max="9985" width="1.33203125" style="559" customWidth="1"/>
    <col min="9986" max="9986" width="9.33203125" style="559" customWidth="1"/>
    <col min="9987" max="9987" width="1.33203125" style="559" customWidth="1"/>
    <col min="9988" max="9988" width="10" style="559" customWidth="1"/>
    <col min="9989" max="9989" width="1.33203125" style="559" customWidth="1"/>
    <col min="9990" max="9990" width="9.109375" style="559" customWidth="1"/>
    <col min="9991" max="9991" width="1.33203125" style="559" customWidth="1"/>
    <col min="9992" max="9992" width="11.33203125" style="559" customWidth="1"/>
    <col min="9993" max="9993" width="1.33203125" style="559" customWidth="1"/>
    <col min="9994" max="9994" width="9.109375" style="559" customWidth="1"/>
    <col min="9995" max="9995" width="1.6640625" style="559" customWidth="1"/>
    <col min="9996" max="9996" width="11" style="559" customWidth="1"/>
    <col min="9997" max="9997" width="1.33203125" style="559" customWidth="1"/>
    <col min="9998" max="9998" width="10.77734375" style="559" customWidth="1"/>
    <col min="9999" max="9999" width="1.33203125" style="559" customWidth="1"/>
    <col min="10000" max="10000" width="10" style="559" customWidth="1"/>
    <col min="10001" max="10001" width="1.33203125" style="559" customWidth="1"/>
    <col min="10002" max="10002" width="9.33203125" style="559" customWidth="1"/>
    <col min="10003" max="10003" width="1.33203125" style="559" customWidth="1"/>
    <col min="10004" max="10004" width="7.77734375" style="559" customWidth="1"/>
    <col min="10005" max="10005" width="1.33203125" style="559" customWidth="1"/>
    <col min="10006" max="10006" width="0.77734375" style="559" customWidth="1"/>
    <col min="10007" max="10007" width="9.33203125" style="559" customWidth="1"/>
    <col min="10008" max="10008" width="1.33203125" style="559" customWidth="1"/>
    <col min="10009" max="10009" width="0.88671875" style="559" customWidth="1"/>
    <col min="10010" max="10010" width="9.5546875" style="559" bestFit="1" customWidth="1"/>
    <col min="10011" max="10012" width="0.6640625" style="559" customWidth="1"/>
    <col min="10013" max="10013" width="9.6640625" style="559" customWidth="1"/>
    <col min="10014" max="10014" width="1.109375" style="559" customWidth="1"/>
    <col min="10015" max="10015" width="8.5546875" style="559" customWidth="1"/>
    <col min="10016" max="10016" width="14.5546875" style="559" customWidth="1"/>
    <col min="10017" max="10017" width="10" style="559" customWidth="1"/>
    <col min="10018" max="10018" width="7.77734375" style="559" bestFit="1" customWidth="1"/>
    <col min="10019" max="10019" width="9.88671875" style="559" customWidth="1"/>
    <col min="10020" max="10236" width="8.88671875" style="559"/>
    <col min="10237" max="10237" width="38.44140625" style="559" customWidth="1"/>
    <col min="10238" max="10238" width="8.5546875" style="559" customWidth="1"/>
    <col min="10239" max="10239" width="1.33203125" style="559" customWidth="1"/>
    <col min="10240" max="10240" width="8.88671875" style="559" customWidth="1"/>
    <col min="10241" max="10241" width="1.33203125" style="559" customWidth="1"/>
    <col min="10242" max="10242" width="9.33203125" style="559" customWidth="1"/>
    <col min="10243" max="10243" width="1.33203125" style="559" customWidth="1"/>
    <col min="10244" max="10244" width="10" style="559" customWidth="1"/>
    <col min="10245" max="10245" width="1.33203125" style="559" customWidth="1"/>
    <col min="10246" max="10246" width="9.109375" style="559" customWidth="1"/>
    <col min="10247" max="10247" width="1.33203125" style="559" customWidth="1"/>
    <col min="10248" max="10248" width="11.33203125" style="559" customWidth="1"/>
    <col min="10249" max="10249" width="1.33203125" style="559" customWidth="1"/>
    <col min="10250" max="10250" width="9.109375" style="559" customWidth="1"/>
    <col min="10251" max="10251" width="1.6640625" style="559" customWidth="1"/>
    <col min="10252" max="10252" width="11" style="559" customWidth="1"/>
    <col min="10253" max="10253" width="1.33203125" style="559" customWidth="1"/>
    <col min="10254" max="10254" width="10.77734375" style="559" customWidth="1"/>
    <col min="10255" max="10255" width="1.33203125" style="559" customWidth="1"/>
    <col min="10256" max="10256" width="10" style="559" customWidth="1"/>
    <col min="10257" max="10257" width="1.33203125" style="559" customWidth="1"/>
    <col min="10258" max="10258" width="9.33203125" style="559" customWidth="1"/>
    <col min="10259" max="10259" width="1.33203125" style="559" customWidth="1"/>
    <col min="10260" max="10260" width="7.77734375" style="559" customWidth="1"/>
    <col min="10261" max="10261" width="1.33203125" style="559" customWidth="1"/>
    <col min="10262" max="10262" width="0.77734375" style="559" customWidth="1"/>
    <col min="10263" max="10263" width="9.33203125" style="559" customWidth="1"/>
    <col min="10264" max="10264" width="1.33203125" style="559" customWidth="1"/>
    <col min="10265" max="10265" width="0.88671875" style="559" customWidth="1"/>
    <col min="10266" max="10266" width="9.5546875" style="559" bestFit="1" customWidth="1"/>
    <col min="10267" max="10268" width="0.6640625" style="559" customWidth="1"/>
    <col min="10269" max="10269" width="9.6640625" style="559" customWidth="1"/>
    <col min="10270" max="10270" width="1.109375" style="559" customWidth="1"/>
    <col min="10271" max="10271" width="8.5546875" style="559" customWidth="1"/>
    <col min="10272" max="10272" width="14.5546875" style="559" customWidth="1"/>
    <col min="10273" max="10273" width="10" style="559" customWidth="1"/>
    <col min="10274" max="10274" width="7.77734375" style="559" bestFit="1" customWidth="1"/>
    <col min="10275" max="10275" width="9.88671875" style="559" customWidth="1"/>
    <col min="10276" max="10492" width="8.88671875" style="559"/>
    <col min="10493" max="10493" width="38.44140625" style="559" customWidth="1"/>
    <col min="10494" max="10494" width="8.5546875" style="559" customWidth="1"/>
    <col min="10495" max="10495" width="1.33203125" style="559" customWidth="1"/>
    <col min="10496" max="10496" width="8.88671875" style="559" customWidth="1"/>
    <col min="10497" max="10497" width="1.33203125" style="559" customWidth="1"/>
    <col min="10498" max="10498" width="9.33203125" style="559" customWidth="1"/>
    <col min="10499" max="10499" width="1.33203125" style="559" customWidth="1"/>
    <col min="10500" max="10500" width="10" style="559" customWidth="1"/>
    <col min="10501" max="10501" width="1.33203125" style="559" customWidth="1"/>
    <col min="10502" max="10502" width="9.109375" style="559" customWidth="1"/>
    <col min="10503" max="10503" width="1.33203125" style="559" customWidth="1"/>
    <col min="10504" max="10504" width="11.33203125" style="559" customWidth="1"/>
    <col min="10505" max="10505" width="1.33203125" style="559" customWidth="1"/>
    <col min="10506" max="10506" width="9.109375" style="559" customWidth="1"/>
    <col min="10507" max="10507" width="1.6640625" style="559" customWidth="1"/>
    <col min="10508" max="10508" width="11" style="559" customWidth="1"/>
    <col min="10509" max="10509" width="1.33203125" style="559" customWidth="1"/>
    <col min="10510" max="10510" width="10.77734375" style="559" customWidth="1"/>
    <col min="10511" max="10511" width="1.33203125" style="559" customWidth="1"/>
    <col min="10512" max="10512" width="10" style="559" customWidth="1"/>
    <col min="10513" max="10513" width="1.33203125" style="559" customWidth="1"/>
    <col min="10514" max="10514" width="9.33203125" style="559" customWidth="1"/>
    <col min="10515" max="10515" width="1.33203125" style="559" customWidth="1"/>
    <col min="10516" max="10516" width="7.77734375" style="559" customWidth="1"/>
    <col min="10517" max="10517" width="1.33203125" style="559" customWidth="1"/>
    <col min="10518" max="10518" width="0.77734375" style="559" customWidth="1"/>
    <col min="10519" max="10519" width="9.33203125" style="559" customWidth="1"/>
    <col min="10520" max="10520" width="1.33203125" style="559" customWidth="1"/>
    <col min="10521" max="10521" width="0.88671875" style="559" customWidth="1"/>
    <col min="10522" max="10522" width="9.5546875" style="559" bestFit="1" customWidth="1"/>
    <col min="10523" max="10524" width="0.6640625" style="559" customWidth="1"/>
    <col min="10525" max="10525" width="9.6640625" style="559" customWidth="1"/>
    <col min="10526" max="10526" width="1.109375" style="559" customWidth="1"/>
    <col min="10527" max="10527" width="8.5546875" style="559" customWidth="1"/>
    <col min="10528" max="10528" width="14.5546875" style="559" customWidth="1"/>
    <col min="10529" max="10529" width="10" style="559" customWidth="1"/>
    <col min="10530" max="10530" width="7.77734375" style="559" bestFit="1" customWidth="1"/>
    <col min="10531" max="10531" width="9.88671875" style="559" customWidth="1"/>
    <col min="10532" max="10748" width="8.88671875" style="559"/>
    <col min="10749" max="10749" width="38.44140625" style="559" customWidth="1"/>
    <col min="10750" max="10750" width="8.5546875" style="559" customWidth="1"/>
    <col min="10751" max="10751" width="1.33203125" style="559" customWidth="1"/>
    <col min="10752" max="10752" width="8.88671875" style="559" customWidth="1"/>
    <col min="10753" max="10753" width="1.33203125" style="559" customWidth="1"/>
    <col min="10754" max="10754" width="9.33203125" style="559" customWidth="1"/>
    <col min="10755" max="10755" width="1.33203125" style="559" customWidth="1"/>
    <col min="10756" max="10756" width="10" style="559" customWidth="1"/>
    <col min="10757" max="10757" width="1.33203125" style="559" customWidth="1"/>
    <col min="10758" max="10758" width="9.109375" style="559" customWidth="1"/>
    <col min="10759" max="10759" width="1.33203125" style="559" customWidth="1"/>
    <col min="10760" max="10760" width="11.33203125" style="559" customWidth="1"/>
    <col min="10761" max="10761" width="1.33203125" style="559" customWidth="1"/>
    <col min="10762" max="10762" width="9.109375" style="559" customWidth="1"/>
    <col min="10763" max="10763" width="1.6640625" style="559" customWidth="1"/>
    <col min="10764" max="10764" width="11" style="559" customWidth="1"/>
    <col min="10765" max="10765" width="1.33203125" style="559" customWidth="1"/>
    <col min="10766" max="10766" width="10.77734375" style="559" customWidth="1"/>
    <col min="10767" max="10767" width="1.33203125" style="559" customWidth="1"/>
    <col min="10768" max="10768" width="10" style="559" customWidth="1"/>
    <col min="10769" max="10769" width="1.33203125" style="559" customWidth="1"/>
    <col min="10770" max="10770" width="9.33203125" style="559" customWidth="1"/>
    <col min="10771" max="10771" width="1.33203125" style="559" customWidth="1"/>
    <col min="10772" max="10772" width="7.77734375" style="559" customWidth="1"/>
    <col min="10773" max="10773" width="1.33203125" style="559" customWidth="1"/>
    <col min="10774" max="10774" width="0.77734375" style="559" customWidth="1"/>
    <col min="10775" max="10775" width="9.33203125" style="559" customWidth="1"/>
    <col min="10776" max="10776" width="1.33203125" style="559" customWidth="1"/>
    <col min="10777" max="10777" width="0.88671875" style="559" customWidth="1"/>
    <col min="10778" max="10778" width="9.5546875" style="559" bestFit="1" customWidth="1"/>
    <col min="10779" max="10780" width="0.6640625" style="559" customWidth="1"/>
    <col min="10781" max="10781" width="9.6640625" style="559" customWidth="1"/>
    <col min="10782" max="10782" width="1.109375" style="559" customWidth="1"/>
    <col min="10783" max="10783" width="8.5546875" style="559" customWidth="1"/>
    <col min="10784" max="10784" width="14.5546875" style="559" customWidth="1"/>
    <col min="10785" max="10785" width="10" style="559" customWidth="1"/>
    <col min="10786" max="10786" width="7.77734375" style="559" bestFit="1" customWidth="1"/>
    <col min="10787" max="10787" width="9.88671875" style="559" customWidth="1"/>
    <col min="10788" max="11004" width="8.88671875" style="559"/>
    <col min="11005" max="11005" width="38.44140625" style="559" customWidth="1"/>
    <col min="11006" max="11006" width="8.5546875" style="559" customWidth="1"/>
    <col min="11007" max="11007" width="1.33203125" style="559" customWidth="1"/>
    <col min="11008" max="11008" width="8.88671875" style="559" customWidth="1"/>
    <col min="11009" max="11009" width="1.33203125" style="559" customWidth="1"/>
    <col min="11010" max="11010" width="9.33203125" style="559" customWidth="1"/>
    <col min="11011" max="11011" width="1.33203125" style="559" customWidth="1"/>
    <col min="11012" max="11012" width="10" style="559" customWidth="1"/>
    <col min="11013" max="11013" width="1.33203125" style="559" customWidth="1"/>
    <col min="11014" max="11014" width="9.109375" style="559" customWidth="1"/>
    <col min="11015" max="11015" width="1.33203125" style="559" customWidth="1"/>
    <col min="11016" max="11016" width="11.33203125" style="559" customWidth="1"/>
    <col min="11017" max="11017" width="1.33203125" style="559" customWidth="1"/>
    <col min="11018" max="11018" width="9.109375" style="559" customWidth="1"/>
    <col min="11019" max="11019" width="1.6640625" style="559" customWidth="1"/>
    <col min="11020" max="11020" width="11" style="559" customWidth="1"/>
    <col min="11021" max="11021" width="1.33203125" style="559" customWidth="1"/>
    <col min="11022" max="11022" width="10.77734375" style="559" customWidth="1"/>
    <col min="11023" max="11023" width="1.33203125" style="559" customWidth="1"/>
    <col min="11024" max="11024" width="10" style="559" customWidth="1"/>
    <col min="11025" max="11025" width="1.33203125" style="559" customWidth="1"/>
    <col min="11026" max="11026" width="9.33203125" style="559" customWidth="1"/>
    <col min="11027" max="11027" width="1.33203125" style="559" customWidth="1"/>
    <col min="11028" max="11028" width="7.77734375" style="559" customWidth="1"/>
    <col min="11029" max="11029" width="1.33203125" style="559" customWidth="1"/>
    <col min="11030" max="11030" width="0.77734375" style="559" customWidth="1"/>
    <col min="11031" max="11031" width="9.33203125" style="559" customWidth="1"/>
    <col min="11032" max="11032" width="1.33203125" style="559" customWidth="1"/>
    <col min="11033" max="11033" width="0.88671875" style="559" customWidth="1"/>
    <col min="11034" max="11034" width="9.5546875" style="559" bestFit="1" customWidth="1"/>
    <col min="11035" max="11036" width="0.6640625" style="559" customWidth="1"/>
    <col min="11037" max="11037" width="9.6640625" style="559" customWidth="1"/>
    <col min="11038" max="11038" width="1.109375" style="559" customWidth="1"/>
    <col min="11039" max="11039" width="8.5546875" style="559" customWidth="1"/>
    <col min="11040" max="11040" width="14.5546875" style="559" customWidth="1"/>
    <col min="11041" max="11041" width="10" style="559" customWidth="1"/>
    <col min="11042" max="11042" width="7.77734375" style="559" bestFit="1" customWidth="1"/>
    <col min="11043" max="11043" width="9.88671875" style="559" customWidth="1"/>
    <col min="11044" max="11260" width="8.88671875" style="559"/>
    <col min="11261" max="11261" width="38.44140625" style="559" customWidth="1"/>
    <col min="11262" max="11262" width="8.5546875" style="559" customWidth="1"/>
    <col min="11263" max="11263" width="1.33203125" style="559" customWidth="1"/>
    <col min="11264" max="11264" width="8.88671875" style="559" customWidth="1"/>
    <col min="11265" max="11265" width="1.33203125" style="559" customWidth="1"/>
    <col min="11266" max="11266" width="9.33203125" style="559" customWidth="1"/>
    <col min="11267" max="11267" width="1.33203125" style="559" customWidth="1"/>
    <col min="11268" max="11268" width="10" style="559" customWidth="1"/>
    <col min="11269" max="11269" width="1.33203125" style="559" customWidth="1"/>
    <col min="11270" max="11270" width="9.109375" style="559" customWidth="1"/>
    <col min="11271" max="11271" width="1.33203125" style="559" customWidth="1"/>
    <col min="11272" max="11272" width="11.33203125" style="559" customWidth="1"/>
    <col min="11273" max="11273" width="1.33203125" style="559" customWidth="1"/>
    <col min="11274" max="11274" width="9.109375" style="559" customWidth="1"/>
    <col min="11275" max="11275" width="1.6640625" style="559" customWidth="1"/>
    <col min="11276" max="11276" width="11" style="559" customWidth="1"/>
    <col min="11277" max="11277" width="1.33203125" style="559" customWidth="1"/>
    <col min="11278" max="11278" width="10.77734375" style="559" customWidth="1"/>
    <col min="11279" max="11279" width="1.33203125" style="559" customWidth="1"/>
    <col min="11280" max="11280" width="10" style="559" customWidth="1"/>
    <col min="11281" max="11281" width="1.33203125" style="559" customWidth="1"/>
    <col min="11282" max="11282" width="9.33203125" style="559" customWidth="1"/>
    <col min="11283" max="11283" width="1.33203125" style="559" customWidth="1"/>
    <col min="11284" max="11284" width="7.77734375" style="559" customWidth="1"/>
    <col min="11285" max="11285" width="1.33203125" style="559" customWidth="1"/>
    <col min="11286" max="11286" width="0.77734375" style="559" customWidth="1"/>
    <col min="11287" max="11287" width="9.33203125" style="559" customWidth="1"/>
    <col min="11288" max="11288" width="1.33203125" style="559" customWidth="1"/>
    <col min="11289" max="11289" width="0.88671875" style="559" customWidth="1"/>
    <col min="11290" max="11290" width="9.5546875" style="559" bestFit="1" customWidth="1"/>
    <col min="11291" max="11292" width="0.6640625" style="559" customWidth="1"/>
    <col min="11293" max="11293" width="9.6640625" style="559" customWidth="1"/>
    <col min="11294" max="11294" width="1.109375" style="559" customWidth="1"/>
    <col min="11295" max="11295" width="8.5546875" style="559" customWidth="1"/>
    <col min="11296" max="11296" width="14.5546875" style="559" customWidth="1"/>
    <col min="11297" max="11297" width="10" style="559" customWidth="1"/>
    <col min="11298" max="11298" width="7.77734375" style="559" bestFit="1" customWidth="1"/>
    <col min="11299" max="11299" width="9.88671875" style="559" customWidth="1"/>
    <col min="11300" max="11516" width="8.88671875" style="559"/>
    <col min="11517" max="11517" width="38.44140625" style="559" customWidth="1"/>
    <col min="11518" max="11518" width="8.5546875" style="559" customWidth="1"/>
    <col min="11519" max="11519" width="1.33203125" style="559" customWidth="1"/>
    <col min="11520" max="11520" width="8.88671875" style="559" customWidth="1"/>
    <col min="11521" max="11521" width="1.33203125" style="559" customWidth="1"/>
    <col min="11522" max="11522" width="9.33203125" style="559" customWidth="1"/>
    <col min="11523" max="11523" width="1.33203125" style="559" customWidth="1"/>
    <col min="11524" max="11524" width="10" style="559" customWidth="1"/>
    <col min="11525" max="11525" width="1.33203125" style="559" customWidth="1"/>
    <col min="11526" max="11526" width="9.109375" style="559" customWidth="1"/>
    <col min="11527" max="11527" width="1.33203125" style="559" customWidth="1"/>
    <col min="11528" max="11528" width="11.33203125" style="559" customWidth="1"/>
    <col min="11529" max="11529" width="1.33203125" style="559" customWidth="1"/>
    <col min="11530" max="11530" width="9.109375" style="559" customWidth="1"/>
    <col min="11531" max="11531" width="1.6640625" style="559" customWidth="1"/>
    <col min="11532" max="11532" width="11" style="559" customWidth="1"/>
    <col min="11533" max="11533" width="1.33203125" style="559" customWidth="1"/>
    <col min="11534" max="11534" width="10.77734375" style="559" customWidth="1"/>
    <col min="11535" max="11535" width="1.33203125" style="559" customWidth="1"/>
    <col min="11536" max="11536" width="10" style="559" customWidth="1"/>
    <col min="11537" max="11537" width="1.33203125" style="559" customWidth="1"/>
    <col min="11538" max="11538" width="9.33203125" style="559" customWidth="1"/>
    <col min="11539" max="11539" width="1.33203125" style="559" customWidth="1"/>
    <col min="11540" max="11540" width="7.77734375" style="559" customWidth="1"/>
    <col min="11541" max="11541" width="1.33203125" style="559" customWidth="1"/>
    <col min="11542" max="11542" width="0.77734375" style="559" customWidth="1"/>
    <col min="11543" max="11543" width="9.33203125" style="559" customWidth="1"/>
    <col min="11544" max="11544" width="1.33203125" style="559" customWidth="1"/>
    <col min="11545" max="11545" width="0.88671875" style="559" customWidth="1"/>
    <col min="11546" max="11546" width="9.5546875" style="559" bestFit="1" customWidth="1"/>
    <col min="11547" max="11548" width="0.6640625" style="559" customWidth="1"/>
    <col min="11549" max="11549" width="9.6640625" style="559" customWidth="1"/>
    <col min="11550" max="11550" width="1.109375" style="559" customWidth="1"/>
    <col min="11551" max="11551" width="8.5546875" style="559" customWidth="1"/>
    <col min="11552" max="11552" width="14.5546875" style="559" customWidth="1"/>
    <col min="11553" max="11553" width="10" style="559" customWidth="1"/>
    <col min="11554" max="11554" width="7.77734375" style="559" bestFit="1" customWidth="1"/>
    <col min="11555" max="11555" width="9.88671875" style="559" customWidth="1"/>
    <col min="11556" max="11772" width="8.88671875" style="559"/>
    <col min="11773" max="11773" width="38.44140625" style="559" customWidth="1"/>
    <col min="11774" max="11774" width="8.5546875" style="559" customWidth="1"/>
    <col min="11775" max="11775" width="1.33203125" style="559" customWidth="1"/>
    <col min="11776" max="11776" width="8.88671875" style="559" customWidth="1"/>
    <col min="11777" max="11777" width="1.33203125" style="559" customWidth="1"/>
    <col min="11778" max="11778" width="9.33203125" style="559" customWidth="1"/>
    <col min="11779" max="11779" width="1.33203125" style="559" customWidth="1"/>
    <col min="11780" max="11780" width="10" style="559" customWidth="1"/>
    <col min="11781" max="11781" width="1.33203125" style="559" customWidth="1"/>
    <col min="11782" max="11782" width="9.109375" style="559" customWidth="1"/>
    <col min="11783" max="11783" width="1.33203125" style="559" customWidth="1"/>
    <col min="11784" max="11784" width="11.33203125" style="559" customWidth="1"/>
    <col min="11785" max="11785" width="1.33203125" style="559" customWidth="1"/>
    <col min="11786" max="11786" width="9.109375" style="559" customWidth="1"/>
    <col min="11787" max="11787" width="1.6640625" style="559" customWidth="1"/>
    <col min="11788" max="11788" width="11" style="559" customWidth="1"/>
    <col min="11789" max="11789" width="1.33203125" style="559" customWidth="1"/>
    <col min="11790" max="11790" width="10.77734375" style="559" customWidth="1"/>
    <col min="11791" max="11791" width="1.33203125" style="559" customWidth="1"/>
    <col min="11792" max="11792" width="10" style="559" customWidth="1"/>
    <col min="11793" max="11793" width="1.33203125" style="559" customWidth="1"/>
    <col min="11794" max="11794" width="9.33203125" style="559" customWidth="1"/>
    <col min="11795" max="11795" width="1.33203125" style="559" customWidth="1"/>
    <col min="11796" max="11796" width="7.77734375" style="559" customWidth="1"/>
    <col min="11797" max="11797" width="1.33203125" style="559" customWidth="1"/>
    <col min="11798" max="11798" width="0.77734375" style="559" customWidth="1"/>
    <col min="11799" max="11799" width="9.33203125" style="559" customWidth="1"/>
    <col min="11800" max="11800" width="1.33203125" style="559" customWidth="1"/>
    <col min="11801" max="11801" width="0.88671875" style="559" customWidth="1"/>
    <col min="11802" max="11802" width="9.5546875" style="559" bestFit="1" customWidth="1"/>
    <col min="11803" max="11804" width="0.6640625" style="559" customWidth="1"/>
    <col min="11805" max="11805" width="9.6640625" style="559" customWidth="1"/>
    <col min="11806" max="11806" width="1.109375" style="559" customWidth="1"/>
    <col min="11807" max="11807" width="8.5546875" style="559" customWidth="1"/>
    <col min="11808" max="11808" width="14.5546875" style="559" customWidth="1"/>
    <col min="11809" max="11809" width="10" style="559" customWidth="1"/>
    <col min="11810" max="11810" width="7.77734375" style="559" bestFit="1" customWidth="1"/>
    <col min="11811" max="11811" width="9.88671875" style="559" customWidth="1"/>
    <col min="11812" max="12028" width="8.88671875" style="559"/>
    <col min="12029" max="12029" width="38.44140625" style="559" customWidth="1"/>
    <col min="12030" max="12030" width="8.5546875" style="559" customWidth="1"/>
    <col min="12031" max="12031" width="1.33203125" style="559" customWidth="1"/>
    <col min="12032" max="12032" width="8.88671875" style="559" customWidth="1"/>
    <col min="12033" max="12033" width="1.33203125" style="559" customWidth="1"/>
    <col min="12034" max="12034" width="9.33203125" style="559" customWidth="1"/>
    <col min="12035" max="12035" width="1.33203125" style="559" customWidth="1"/>
    <col min="12036" max="12036" width="10" style="559" customWidth="1"/>
    <col min="12037" max="12037" width="1.33203125" style="559" customWidth="1"/>
    <col min="12038" max="12038" width="9.109375" style="559" customWidth="1"/>
    <col min="12039" max="12039" width="1.33203125" style="559" customWidth="1"/>
    <col min="12040" max="12040" width="11.33203125" style="559" customWidth="1"/>
    <col min="12041" max="12041" width="1.33203125" style="559" customWidth="1"/>
    <col min="12042" max="12042" width="9.109375" style="559" customWidth="1"/>
    <col min="12043" max="12043" width="1.6640625" style="559" customWidth="1"/>
    <col min="12044" max="12044" width="11" style="559" customWidth="1"/>
    <col min="12045" max="12045" width="1.33203125" style="559" customWidth="1"/>
    <col min="12046" max="12046" width="10.77734375" style="559" customWidth="1"/>
    <col min="12047" max="12047" width="1.33203125" style="559" customWidth="1"/>
    <col min="12048" max="12048" width="10" style="559" customWidth="1"/>
    <col min="12049" max="12049" width="1.33203125" style="559" customWidth="1"/>
    <col min="12050" max="12050" width="9.33203125" style="559" customWidth="1"/>
    <col min="12051" max="12051" width="1.33203125" style="559" customWidth="1"/>
    <col min="12052" max="12052" width="7.77734375" style="559" customWidth="1"/>
    <col min="12053" max="12053" width="1.33203125" style="559" customWidth="1"/>
    <col min="12054" max="12054" width="0.77734375" style="559" customWidth="1"/>
    <col min="12055" max="12055" width="9.33203125" style="559" customWidth="1"/>
    <col min="12056" max="12056" width="1.33203125" style="559" customWidth="1"/>
    <col min="12057" max="12057" width="0.88671875" style="559" customWidth="1"/>
    <col min="12058" max="12058" width="9.5546875" style="559" bestFit="1" customWidth="1"/>
    <col min="12059" max="12060" width="0.6640625" style="559" customWidth="1"/>
    <col min="12061" max="12061" width="9.6640625" style="559" customWidth="1"/>
    <col min="12062" max="12062" width="1.109375" style="559" customWidth="1"/>
    <col min="12063" max="12063" width="8.5546875" style="559" customWidth="1"/>
    <col min="12064" max="12064" width="14.5546875" style="559" customWidth="1"/>
    <col min="12065" max="12065" width="10" style="559" customWidth="1"/>
    <col min="12066" max="12066" width="7.77734375" style="559" bestFit="1" customWidth="1"/>
    <col min="12067" max="12067" width="9.88671875" style="559" customWidth="1"/>
    <col min="12068" max="12284" width="8.88671875" style="559"/>
    <col min="12285" max="12285" width="38.44140625" style="559" customWidth="1"/>
    <col min="12286" max="12286" width="8.5546875" style="559" customWidth="1"/>
    <col min="12287" max="12287" width="1.33203125" style="559" customWidth="1"/>
    <col min="12288" max="12288" width="8.88671875" style="559" customWidth="1"/>
    <col min="12289" max="12289" width="1.33203125" style="559" customWidth="1"/>
    <col min="12290" max="12290" width="9.33203125" style="559" customWidth="1"/>
    <col min="12291" max="12291" width="1.33203125" style="559" customWidth="1"/>
    <col min="12292" max="12292" width="10" style="559" customWidth="1"/>
    <col min="12293" max="12293" width="1.33203125" style="559" customWidth="1"/>
    <col min="12294" max="12294" width="9.109375" style="559" customWidth="1"/>
    <col min="12295" max="12295" width="1.33203125" style="559" customWidth="1"/>
    <col min="12296" max="12296" width="11.33203125" style="559" customWidth="1"/>
    <col min="12297" max="12297" width="1.33203125" style="559" customWidth="1"/>
    <col min="12298" max="12298" width="9.109375" style="559" customWidth="1"/>
    <col min="12299" max="12299" width="1.6640625" style="559" customWidth="1"/>
    <col min="12300" max="12300" width="11" style="559" customWidth="1"/>
    <col min="12301" max="12301" width="1.33203125" style="559" customWidth="1"/>
    <col min="12302" max="12302" width="10.77734375" style="559" customWidth="1"/>
    <col min="12303" max="12303" width="1.33203125" style="559" customWidth="1"/>
    <col min="12304" max="12304" width="10" style="559" customWidth="1"/>
    <col min="12305" max="12305" width="1.33203125" style="559" customWidth="1"/>
    <col min="12306" max="12306" width="9.33203125" style="559" customWidth="1"/>
    <col min="12307" max="12307" width="1.33203125" style="559" customWidth="1"/>
    <col min="12308" max="12308" width="7.77734375" style="559" customWidth="1"/>
    <col min="12309" max="12309" width="1.33203125" style="559" customWidth="1"/>
    <col min="12310" max="12310" width="0.77734375" style="559" customWidth="1"/>
    <col min="12311" max="12311" width="9.33203125" style="559" customWidth="1"/>
    <col min="12312" max="12312" width="1.33203125" style="559" customWidth="1"/>
    <col min="12313" max="12313" width="0.88671875" style="559" customWidth="1"/>
    <col min="12314" max="12314" width="9.5546875" style="559" bestFit="1" customWidth="1"/>
    <col min="12315" max="12316" width="0.6640625" style="559" customWidth="1"/>
    <col min="12317" max="12317" width="9.6640625" style="559" customWidth="1"/>
    <col min="12318" max="12318" width="1.109375" style="559" customWidth="1"/>
    <col min="12319" max="12319" width="8.5546875" style="559" customWidth="1"/>
    <col min="12320" max="12320" width="14.5546875" style="559" customWidth="1"/>
    <col min="12321" max="12321" width="10" style="559" customWidth="1"/>
    <col min="12322" max="12322" width="7.77734375" style="559" bestFit="1" customWidth="1"/>
    <col min="12323" max="12323" width="9.88671875" style="559" customWidth="1"/>
    <col min="12324" max="12540" width="8.88671875" style="559"/>
    <col min="12541" max="12541" width="38.44140625" style="559" customWidth="1"/>
    <col min="12542" max="12542" width="8.5546875" style="559" customWidth="1"/>
    <col min="12543" max="12543" width="1.33203125" style="559" customWidth="1"/>
    <col min="12544" max="12544" width="8.88671875" style="559" customWidth="1"/>
    <col min="12545" max="12545" width="1.33203125" style="559" customWidth="1"/>
    <col min="12546" max="12546" width="9.33203125" style="559" customWidth="1"/>
    <col min="12547" max="12547" width="1.33203125" style="559" customWidth="1"/>
    <col min="12548" max="12548" width="10" style="559" customWidth="1"/>
    <col min="12549" max="12549" width="1.33203125" style="559" customWidth="1"/>
    <col min="12550" max="12550" width="9.109375" style="559" customWidth="1"/>
    <col min="12551" max="12551" width="1.33203125" style="559" customWidth="1"/>
    <col min="12552" max="12552" width="11.33203125" style="559" customWidth="1"/>
    <col min="12553" max="12553" width="1.33203125" style="559" customWidth="1"/>
    <col min="12554" max="12554" width="9.109375" style="559" customWidth="1"/>
    <col min="12555" max="12555" width="1.6640625" style="559" customWidth="1"/>
    <col min="12556" max="12556" width="11" style="559" customWidth="1"/>
    <col min="12557" max="12557" width="1.33203125" style="559" customWidth="1"/>
    <col min="12558" max="12558" width="10.77734375" style="559" customWidth="1"/>
    <col min="12559" max="12559" width="1.33203125" style="559" customWidth="1"/>
    <col min="12560" max="12560" width="10" style="559" customWidth="1"/>
    <col min="12561" max="12561" width="1.33203125" style="559" customWidth="1"/>
    <col min="12562" max="12562" width="9.33203125" style="559" customWidth="1"/>
    <col min="12563" max="12563" width="1.33203125" style="559" customWidth="1"/>
    <col min="12564" max="12564" width="7.77734375" style="559" customWidth="1"/>
    <col min="12565" max="12565" width="1.33203125" style="559" customWidth="1"/>
    <col min="12566" max="12566" width="0.77734375" style="559" customWidth="1"/>
    <col min="12567" max="12567" width="9.33203125" style="559" customWidth="1"/>
    <col min="12568" max="12568" width="1.33203125" style="559" customWidth="1"/>
    <col min="12569" max="12569" width="0.88671875" style="559" customWidth="1"/>
    <col min="12570" max="12570" width="9.5546875" style="559" bestFit="1" customWidth="1"/>
    <col min="12571" max="12572" width="0.6640625" style="559" customWidth="1"/>
    <col min="12573" max="12573" width="9.6640625" style="559" customWidth="1"/>
    <col min="12574" max="12574" width="1.109375" style="559" customWidth="1"/>
    <col min="12575" max="12575" width="8.5546875" style="559" customWidth="1"/>
    <col min="12576" max="12576" width="14.5546875" style="559" customWidth="1"/>
    <col min="12577" max="12577" width="10" style="559" customWidth="1"/>
    <col min="12578" max="12578" width="7.77734375" style="559" bestFit="1" customWidth="1"/>
    <col min="12579" max="12579" width="9.88671875" style="559" customWidth="1"/>
    <col min="12580" max="12796" width="8.88671875" style="559"/>
    <col min="12797" max="12797" width="38.44140625" style="559" customWidth="1"/>
    <col min="12798" max="12798" width="8.5546875" style="559" customWidth="1"/>
    <col min="12799" max="12799" width="1.33203125" style="559" customWidth="1"/>
    <col min="12800" max="12800" width="8.88671875" style="559" customWidth="1"/>
    <col min="12801" max="12801" width="1.33203125" style="559" customWidth="1"/>
    <col min="12802" max="12802" width="9.33203125" style="559" customWidth="1"/>
    <col min="12803" max="12803" width="1.33203125" style="559" customWidth="1"/>
    <col min="12804" max="12804" width="10" style="559" customWidth="1"/>
    <col min="12805" max="12805" width="1.33203125" style="559" customWidth="1"/>
    <col min="12806" max="12806" width="9.109375" style="559" customWidth="1"/>
    <col min="12807" max="12807" width="1.33203125" style="559" customWidth="1"/>
    <col min="12808" max="12808" width="11.33203125" style="559" customWidth="1"/>
    <col min="12809" max="12809" width="1.33203125" style="559" customWidth="1"/>
    <col min="12810" max="12810" width="9.109375" style="559" customWidth="1"/>
    <col min="12811" max="12811" width="1.6640625" style="559" customWidth="1"/>
    <col min="12812" max="12812" width="11" style="559" customWidth="1"/>
    <col min="12813" max="12813" width="1.33203125" style="559" customWidth="1"/>
    <col min="12814" max="12814" width="10.77734375" style="559" customWidth="1"/>
    <col min="12815" max="12815" width="1.33203125" style="559" customWidth="1"/>
    <col min="12816" max="12816" width="10" style="559" customWidth="1"/>
    <col min="12817" max="12817" width="1.33203125" style="559" customWidth="1"/>
    <col min="12818" max="12818" width="9.33203125" style="559" customWidth="1"/>
    <col min="12819" max="12819" width="1.33203125" style="559" customWidth="1"/>
    <col min="12820" max="12820" width="7.77734375" style="559" customWidth="1"/>
    <col min="12821" max="12821" width="1.33203125" style="559" customWidth="1"/>
    <col min="12822" max="12822" width="0.77734375" style="559" customWidth="1"/>
    <col min="12823" max="12823" width="9.33203125" style="559" customWidth="1"/>
    <col min="12824" max="12824" width="1.33203125" style="559" customWidth="1"/>
    <col min="12825" max="12825" width="0.88671875" style="559" customWidth="1"/>
    <col min="12826" max="12826" width="9.5546875" style="559" bestFit="1" customWidth="1"/>
    <col min="12827" max="12828" width="0.6640625" style="559" customWidth="1"/>
    <col min="12829" max="12829" width="9.6640625" style="559" customWidth="1"/>
    <col min="12830" max="12830" width="1.109375" style="559" customWidth="1"/>
    <col min="12831" max="12831" width="8.5546875" style="559" customWidth="1"/>
    <col min="12832" max="12832" width="14.5546875" style="559" customWidth="1"/>
    <col min="12833" max="12833" width="10" style="559" customWidth="1"/>
    <col min="12834" max="12834" width="7.77734375" style="559" bestFit="1" customWidth="1"/>
    <col min="12835" max="12835" width="9.88671875" style="559" customWidth="1"/>
    <col min="12836" max="13052" width="8.88671875" style="559"/>
    <col min="13053" max="13053" width="38.44140625" style="559" customWidth="1"/>
    <col min="13054" max="13054" width="8.5546875" style="559" customWidth="1"/>
    <col min="13055" max="13055" width="1.33203125" style="559" customWidth="1"/>
    <col min="13056" max="13056" width="8.88671875" style="559" customWidth="1"/>
    <col min="13057" max="13057" width="1.33203125" style="559" customWidth="1"/>
    <col min="13058" max="13058" width="9.33203125" style="559" customWidth="1"/>
    <col min="13059" max="13059" width="1.33203125" style="559" customWidth="1"/>
    <col min="13060" max="13060" width="10" style="559" customWidth="1"/>
    <col min="13061" max="13061" width="1.33203125" style="559" customWidth="1"/>
    <col min="13062" max="13062" width="9.109375" style="559" customWidth="1"/>
    <col min="13063" max="13063" width="1.33203125" style="559" customWidth="1"/>
    <col min="13064" max="13064" width="11.33203125" style="559" customWidth="1"/>
    <col min="13065" max="13065" width="1.33203125" style="559" customWidth="1"/>
    <col min="13066" max="13066" width="9.109375" style="559" customWidth="1"/>
    <col min="13067" max="13067" width="1.6640625" style="559" customWidth="1"/>
    <col min="13068" max="13068" width="11" style="559" customWidth="1"/>
    <col min="13069" max="13069" width="1.33203125" style="559" customWidth="1"/>
    <col min="13070" max="13070" width="10.77734375" style="559" customWidth="1"/>
    <col min="13071" max="13071" width="1.33203125" style="559" customWidth="1"/>
    <col min="13072" max="13072" width="10" style="559" customWidth="1"/>
    <col min="13073" max="13073" width="1.33203125" style="559" customWidth="1"/>
    <col min="13074" max="13074" width="9.33203125" style="559" customWidth="1"/>
    <col min="13075" max="13075" width="1.33203125" style="559" customWidth="1"/>
    <col min="13076" max="13076" width="7.77734375" style="559" customWidth="1"/>
    <col min="13077" max="13077" width="1.33203125" style="559" customWidth="1"/>
    <col min="13078" max="13078" width="0.77734375" style="559" customWidth="1"/>
    <col min="13079" max="13079" width="9.33203125" style="559" customWidth="1"/>
    <col min="13080" max="13080" width="1.33203125" style="559" customWidth="1"/>
    <col min="13081" max="13081" width="0.88671875" style="559" customWidth="1"/>
    <col min="13082" max="13082" width="9.5546875" style="559" bestFit="1" customWidth="1"/>
    <col min="13083" max="13084" width="0.6640625" style="559" customWidth="1"/>
    <col min="13085" max="13085" width="9.6640625" style="559" customWidth="1"/>
    <col min="13086" max="13086" width="1.109375" style="559" customWidth="1"/>
    <col min="13087" max="13087" width="8.5546875" style="559" customWidth="1"/>
    <col min="13088" max="13088" width="14.5546875" style="559" customWidth="1"/>
    <col min="13089" max="13089" width="10" style="559" customWidth="1"/>
    <col min="13090" max="13090" width="7.77734375" style="559" bestFit="1" customWidth="1"/>
    <col min="13091" max="13091" width="9.88671875" style="559" customWidth="1"/>
    <col min="13092" max="13308" width="8.88671875" style="559"/>
    <col min="13309" max="13309" width="38.44140625" style="559" customWidth="1"/>
    <col min="13310" max="13310" width="8.5546875" style="559" customWidth="1"/>
    <col min="13311" max="13311" width="1.33203125" style="559" customWidth="1"/>
    <col min="13312" max="13312" width="8.88671875" style="559" customWidth="1"/>
    <col min="13313" max="13313" width="1.33203125" style="559" customWidth="1"/>
    <col min="13314" max="13314" width="9.33203125" style="559" customWidth="1"/>
    <col min="13315" max="13315" width="1.33203125" style="559" customWidth="1"/>
    <col min="13316" max="13316" width="10" style="559" customWidth="1"/>
    <col min="13317" max="13317" width="1.33203125" style="559" customWidth="1"/>
    <col min="13318" max="13318" width="9.109375" style="559" customWidth="1"/>
    <col min="13319" max="13319" width="1.33203125" style="559" customWidth="1"/>
    <col min="13320" max="13320" width="11.33203125" style="559" customWidth="1"/>
    <col min="13321" max="13321" width="1.33203125" style="559" customWidth="1"/>
    <col min="13322" max="13322" width="9.109375" style="559" customWidth="1"/>
    <col min="13323" max="13323" width="1.6640625" style="559" customWidth="1"/>
    <col min="13324" max="13324" width="11" style="559" customWidth="1"/>
    <col min="13325" max="13325" width="1.33203125" style="559" customWidth="1"/>
    <col min="13326" max="13326" width="10.77734375" style="559" customWidth="1"/>
    <col min="13327" max="13327" width="1.33203125" style="559" customWidth="1"/>
    <col min="13328" max="13328" width="10" style="559" customWidth="1"/>
    <col min="13329" max="13329" width="1.33203125" style="559" customWidth="1"/>
    <col min="13330" max="13330" width="9.33203125" style="559" customWidth="1"/>
    <col min="13331" max="13331" width="1.33203125" style="559" customWidth="1"/>
    <col min="13332" max="13332" width="7.77734375" style="559" customWidth="1"/>
    <col min="13333" max="13333" width="1.33203125" style="559" customWidth="1"/>
    <col min="13334" max="13334" width="0.77734375" style="559" customWidth="1"/>
    <col min="13335" max="13335" width="9.33203125" style="559" customWidth="1"/>
    <col min="13336" max="13336" width="1.33203125" style="559" customWidth="1"/>
    <col min="13337" max="13337" width="0.88671875" style="559" customWidth="1"/>
    <col min="13338" max="13338" width="9.5546875" style="559" bestFit="1" customWidth="1"/>
    <col min="13339" max="13340" width="0.6640625" style="559" customWidth="1"/>
    <col min="13341" max="13341" width="9.6640625" style="559" customWidth="1"/>
    <col min="13342" max="13342" width="1.109375" style="559" customWidth="1"/>
    <col min="13343" max="13343" width="8.5546875" style="559" customWidth="1"/>
    <col min="13344" max="13344" width="14.5546875" style="559" customWidth="1"/>
    <col min="13345" max="13345" width="10" style="559" customWidth="1"/>
    <col min="13346" max="13346" width="7.77734375" style="559" bestFit="1" customWidth="1"/>
    <col min="13347" max="13347" width="9.88671875" style="559" customWidth="1"/>
    <col min="13348" max="13564" width="8.88671875" style="559"/>
    <col min="13565" max="13565" width="38.44140625" style="559" customWidth="1"/>
    <col min="13566" max="13566" width="8.5546875" style="559" customWidth="1"/>
    <col min="13567" max="13567" width="1.33203125" style="559" customWidth="1"/>
    <col min="13568" max="13568" width="8.88671875" style="559" customWidth="1"/>
    <col min="13569" max="13569" width="1.33203125" style="559" customWidth="1"/>
    <col min="13570" max="13570" width="9.33203125" style="559" customWidth="1"/>
    <col min="13571" max="13571" width="1.33203125" style="559" customWidth="1"/>
    <col min="13572" max="13572" width="10" style="559" customWidth="1"/>
    <col min="13573" max="13573" width="1.33203125" style="559" customWidth="1"/>
    <col min="13574" max="13574" width="9.109375" style="559" customWidth="1"/>
    <col min="13575" max="13575" width="1.33203125" style="559" customWidth="1"/>
    <col min="13576" max="13576" width="11.33203125" style="559" customWidth="1"/>
    <col min="13577" max="13577" width="1.33203125" style="559" customWidth="1"/>
    <col min="13578" max="13578" width="9.109375" style="559" customWidth="1"/>
    <col min="13579" max="13579" width="1.6640625" style="559" customWidth="1"/>
    <col min="13580" max="13580" width="11" style="559" customWidth="1"/>
    <col min="13581" max="13581" width="1.33203125" style="559" customWidth="1"/>
    <col min="13582" max="13582" width="10.77734375" style="559" customWidth="1"/>
    <col min="13583" max="13583" width="1.33203125" style="559" customWidth="1"/>
    <col min="13584" max="13584" width="10" style="559" customWidth="1"/>
    <col min="13585" max="13585" width="1.33203125" style="559" customWidth="1"/>
    <col min="13586" max="13586" width="9.33203125" style="559" customWidth="1"/>
    <col min="13587" max="13587" width="1.33203125" style="559" customWidth="1"/>
    <col min="13588" max="13588" width="7.77734375" style="559" customWidth="1"/>
    <col min="13589" max="13589" width="1.33203125" style="559" customWidth="1"/>
    <col min="13590" max="13590" width="0.77734375" style="559" customWidth="1"/>
    <col min="13591" max="13591" width="9.33203125" style="559" customWidth="1"/>
    <col min="13592" max="13592" width="1.33203125" style="559" customWidth="1"/>
    <col min="13593" max="13593" width="0.88671875" style="559" customWidth="1"/>
    <col min="13594" max="13594" width="9.5546875" style="559" bestFit="1" customWidth="1"/>
    <col min="13595" max="13596" width="0.6640625" style="559" customWidth="1"/>
    <col min="13597" max="13597" width="9.6640625" style="559" customWidth="1"/>
    <col min="13598" max="13598" width="1.109375" style="559" customWidth="1"/>
    <col min="13599" max="13599" width="8.5546875" style="559" customWidth="1"/>
    <col min="13600" max="13600" width="14.5546875" style="559" customWidth="1"/>
    <col min="13601" max="13601" width="10" style="559" customWidth="1"/>
    <col min="13602" max="13602" width="7.77734375" style="559" bestFit="1" customWidth="1"/>
    <col min="13603" max="13603" width="9.88671875" style="559" customWidth="1"/>
    <col min="13604" max="13820" width="8.88671875" style="559"/>
    <col min="13821" max="13821" width="38.44140625" style="559" customWidth="1"/>
    <col min="13822" max="13822" width="8.5546875" style="559" customWidth="1"/>
    <col min="13823" max="13823" width="1.33203125" style="559" customWidth="1"/>
    <col min="13824" max="13824" width="8.88671875" style="559" customWidth="1"/>
    <col min="13825" max="13825" width="1.33203125" style="559" customWidth="1"/>
    <col min="13826" max="13826" width="9.33203125" style="559" customWidth="1"/>
    <col min="13827" max="13827" width="1.33203125" style="559" customWidth="1"/>
    <col min="13828" max="13828" width="10" style="559" customWidth="1"/>
    <col min="13829" max="13829" width="1.33203125" style="559" customWidth="1"/>
    <col min="13830" max="13830" width="9.109375" style="559" customWidth="1"/>
    <col min="13831" max="13831" width="1.33203125" style="559" customWidth="1"/>
    <col min="13832" max="13832" width="11.33203125" style="559" customWidth="1"/>
    <col min="13833" max="13833" width="1.33203125" style="559" customWidth="1"/>
    <col min="13834" max="13834" width="9.109375" style="559" customWidth="1"/>
    <col min="13835" max="13835" width="1.6640625" style="559" customWidth="1"/>
    <col min="13836" max="13836" width="11" style="559" customWidth="1"/>
    <col min="13837" max="13837" width="1.33203125" style="559" customWidth="1"/>
    <col min="13838" max="13838" width="10.77734375" style="559" customWidth="1"/>
    <col min="13839" max="13839" width="1.33203125" style="559" customWidth="1"/>
    <col min="13840" max="13840" width="10" style="559" customWidth="1"/>
    <col min="13841" max="13841" width="1.33203125" style="559" customWidth="1"/>
    <col min="13842" max="13842" width="9.33203125" style="559" customWidth="1"/>
    <col min="13843" max="13843" width="1.33203125" style="559" customWidth="1"/>
    <col min="13844" max="13844" width="7.77734375" style="559" customWidth="1"/>
    <col min="13845" max="13845" width="1.33203125" style="559" customWidth="1"/>
    <col min="13846" max="13846" width="0.77734375" style="559" customWidth="1"/>
    <col min="13847" max="13847" width="9.33203125" style="559" customWidth="1"/>
    <col min="13848" max="13848" width="1.33203125" style="559" customWidth="1"/>
    <col min="13849" max="13849" width="0.88671875" style="559" customWidth="1"/>
    <col min="13850" max="13850" width="9.5546875" style="559" bestFit="1" customWidth="1"/>
    <col min="13851" max="13852" width="0.6640625" style="559" customWidth="1"/>
    <col min="13853" max="13853" width="9.6640625" style="559" customWidth="1"/>
    <col min="13854" max="13854" width="1.109375" style="559" customWidth="1"/>
    <col min="13855" max="13855" width="8.5546875" style="559" customWidth="1"/>
    <col min="13856" max="13856" width="14.5546875" style="559" customWidth="1"/>
    <col min="13857" max="13857" width="10" style="559" customWidth="1"/>
    <col min="13858" max="13858" width="7.77734375" style="559" bestFit="1" customWidth="1"/>
    <col min="13859" max="13859" width="9.88671875" style="559" customWidth="1"/>
    <col min="13860" max="14076" width="8.88671875" style="559"/>
    <col min="14077" max="14077" width="38.44140625" style="559" customWidth="1"/>
    <col min="14078" max="14078" width="8.5546875" style="559" customWidth="1"/>
    <col min="14079" max="14079" width="1.33203125" style="559" customWidth="1"/>
    <col min="14080" max="14080" width="8.88671875" style="559" customWidth="1"/>
    <col min="14081" max="14081" width="1.33203125" style="559" customWidth="1"/>
    <col min="14082" max="14082" width="9.33203125" style="559" customWidth="1"/>
    <col min="14083" max="14083" width="1.33203125" style="559" customWidth="1"/>
    <col min="14084" max="14084" width="10" style="559" customWidth="1"/>
    <col min="14085" max="14085" width="1.33203125" style="559" customWidth="1"/>
    <col min="14086" max="14086" width="9.109375" style="559" customWidth="1"/>
    <col min="14087" max="14087" width="1.33203125" style="559" customWidth="1"/>
    <col min="14088" max="14088" width="11.33203125" style="559" customWidth="1"/>
    <col min="14089" max="14089" width="1.33203125" style="559" customWidth="1"/>
    <col min="14090" max="14090" width="9.109375" style="559" customWidth="1"/>
    <col min="14091" max="14091" width="1.6640625" style="559" customWidth="1"/>
    <col min="14092" max="14092" width="11" style="559" customWidth="1"/>
    <col min="14093" max="14093" width="1.33203125" style="559" customWidth="1"/>
    <col min="14094" max="14094" width="10.77734375" style="559" customWidth="1"/>
    <col min="14095" max="14095" width="1.33203125" style="559" customWidth="1"/>
    <col min="14096" max="14096" width="10" style="559" customWidth="1"/>
    <col min="14097" max="14097" width="1.33203125" style="559" customWidth="1"/>
    <col min="14098" max="14098" width="9.33203125" style="559" customWidth="1"/>
    <col min="14099" max="14099" width="1.33203125" style="559" customWidth="1"/>
    <col min="14100" max="14100" width="7.77734375" style="559" customWidth="1"/>
    <col min="14101" max="14101" width="1.33203125" style="559" customWidth="1"/>
    <col min="14102" max="14102" width="0.77734375" style="559" customWidth="1"/>
    <col min="14103" max="14103" width="9.33203125" style="559" customWidth="1"/>
    <col min="14104" max="14104" width="1.33203125" style="559" customWidth="1"/>
    <col min="14105" max="14105" width="0.88671875" style="559" customWidth="1"/>
    <col min="14106" max="14106" width="9.5546875" style="559" bestFit="1" customWidth="1"/>
    <col min="14107" max="14108" width="0.6640625" style="559" customWidth="1"/>
    <col min="14109" max="14109" width="9.6640625" style="559" customWidth="1"/>
    <col min="14110" max="14110" width="1.109375" style="559" customWidth="1"/>
    <col min="14111" max="14111" width="8.5546875" style="559" customWidth="1"/>
    <col min="14112" max="14112" width="14.5546875" style="559" customWidth="1"/>
    <col min="14113" max="14113" width="10" style="559" customWidth="1"/>
    <col min="14114" max="14114" width="7.77734375" style="559" bestFit="1" customWidth="1"/>
    <col min="14115" max="14115" width="9.88671875" style="559" customWidth="1"/>
    <col min="14116" max="14332" width="8.88671875" style="559"/>
    <col min="14333" max="14333" width="38.44140625" style="559" customWidth="1"/>
    <col min="14334" max="14334" width="8.5546875" style="559" customWidth="1"/>
    <col min="14335" max="14335" width="1.33203125" style="559" customWidth="1"/>
    <col min="14336" max="14336" width="8.88671875" style="559" customWidth="1"/>
    <col min="14337" max="14337" width="1.33203125" style="559" customWidth="1"/>
    <col min="14338" max="14338" width="9.33203125" style="559" customWidth="1"/>
    <col min="14339" max="14339" width="1.33203125" style="559" customWidth="1"/>
    <col min="14340" max="14340" width="10" style="559" customWidth="1"/>
    <col min="14341" max="14341" width="1.33203125" style="559" customWidth="1"/>
    <col min="14342" max="14342" width="9.109375" style="559" customWidth="1"/>
    <col min="14343" max="14343" width="1.33203125" style="559" customWidth="1"/>
    <col min="14344" max="14344" width="11.33203125" style="559" customWidth="1"/>
    <col min="14345" max="14345" width="1.33203125" style="559" customWidth="1"/>
    <col min="14346" max="14346" width="9.109375" style="559" customWidth="1"/>
    <col min="14347" max="14347" width="1.6640625" style="559" customWidth="1"/>
    <col min="14348" max="14348" width="11" style="559" customWidth="1"/>
    <col min="14349" max="14349" width="1.33203125" style="559" customWidth="1"/>
    <col min="14350" max="14350" width="10.77734375" style="559" customWidth="1"/>
    <col min="14351" max="14351" width="1.33203125" style="559" customWidth="1"/>
    <col min="14352" max="14352" width="10" style="559" customWidth="1"/>
    <col min="14353" max="14353" width="1.33203125" style="559" customWidth="1"/>
    <col min="14354" max="14354" width="9.33203125" style="559" customWidth="1"/>
    <col min="14355" max="14355" width="1.33203125" style="559" customWidth="1"/>
    <col min="14356" max="14356" width="7.77734375" style="559" customWidth="1"/>
    <col min="14357" max="14357" width="1.33203125" style="559" customWidth="1"/>
    <col min="14358" max="14358" width="0.77734375" style="559" customWidth="1"/>
    <col min="14359" max="14359" width="9.33203125" style="559" customWidth="1"/>
    <col min="14360" max="14360" width="1.33203125" style="559" customWidth="1"/>
    <col min="14361" max="14361" width="0.88671875" style="559" customWidth="1"/>
    <col min="14362" max="14362" width="9.5546875" style="559" bestFit="1" customWidth="1"/>
    <col min="14363" max="14364" width="0.6640625" style="559" customWidth="1"/>
    <col min="14365" max="14365" width="9.6640625" style="559" customWidth="1"/>
    <col min="14366" max="14366" width="1.109375" style="559" customWidth="1"/>
    <col min="14367" max="14367" width="8.5546875" style="559" customWidth="1"/>
    <col min="14368" max="14368" width="14.5546875" style="559" customWidth="1"/>
    <col min="14369" max="14369" width="10" style="559" customWidth="1"/>
    <col min="14370" max="14370" width="7.77734375" style="559" bestFit="1" customWidth="1"/>
    <col min="14371" max="14371" width="9.88671875" style="559" customWidth="1"/>
    <col min="14372" max="14588" width="8.88671875" style="559"/>
    <col min="14589" max="14589" width="38.44140625" style="559" customWidth="1"/>
    <col min="14590" max="14590" width="8.5546875" style="559" customWidth="1"/>
    <col min="14591" max="14591" width="1.33203125" style="559" customWidth="1"/>
    <col min="14592" max="14592" width="8.88671875" style="559" customWidth="1"/>
    <col min="14593" max="14593" width="1.33203125" style="559" customWidth="1"/>
    <col min="14594" max="14594" width="9.33203125" style="559" customWidth="1"/>
    <col min="14595" max="14595" width="1.33203125" style="559" customWidth="1"/>
    <col min="14596" max="14596" width="10" style="559" customWidth="1"/>
    <col min="14597" max="14597" width="1.33203125" style="559" customWidth="1"/>
    <col min="14598" max="14598" width="9.109375" style="559" customWidth="1"/>
    <col min="14599" max="14599" width="1.33203125" style="559" customWidth="1"/>
    <col min="14600" max="14600" width="11.33203125" style="559" customWidth="1"/>
    <col min="14601" max="14601" width="1.33203125" style="559" customWidth="1"/>
    <col min="14602" max="14602" width="9.109375" style="559" customWidth="1"/>
    <col min="14603" max="14603" width="1.6640625" style="559" customWidth="1"/>
    <col min="14604" max="14604" width="11" style="559" customWidth="1"/>
    <col min="14605" max="14605" width="1.33203125" style="559" customWidth="1"/>
    <col min="14606" max="14606" width="10.77734375" style="559" customWidth="1"/>
    <col min="14607" max="14607" width="1.33203125" style="559" customWidth="1"/>
    <col min="14608" max="14608" width="10" style="559" customWidth="1"/>
    <col min="14609" max="14609" width="1.33203125" style="559" customWidth="1"/>
    <col min="14610" max="14610" width="9.33203125" style="559" customWidth="1"/>
    <col min="14611" max="14611" width="1.33203125" style="559" customWidth="1"/>
    <col min="14612" max="14612" width="7.77734375" style="559" customWidth="1"/>
    <col min="14613" max="14613" width="1.33203125" style="559" customWidth="1"/>
    <col min="14614" max="14614" width="0.77734375" style="559" customWidth="1"/>
    <col min="14615" max="14615" width="9.33203125" style="559" customWidth="1"/>
    <col min="14616" max="14616" width="1.33203125" style="559" customWidth="1"/>
    <col min="14617" max="14617" width="0.88671875" style="559" customWidth="1"/>
    <col min="14618" max="14618" width="9.5546875" style="559" bestFit="1" customWidth="1"/>
    <col min="14619" max="14620" width="0.6640625" style="559" customWidth="1"/>
    <col min="14621" max="14621" width="9.6640625" style="559" customWidth="1"/>
    <col min="14622" max="14622" width="1.109375" style="559" customWidth="1"/>
    <col min="14623" max="14623" width="8.5546875" style="559" customWidth="1"/>
    <col min="14624" max="14624" width="14.5546875" style="559" customWidth="1"/>
    <col min="14625" max="14625" width="10" style="559" customWidth="1"/>
    <col min="14626" max="14626" width="7.77734375" style="559" bestFit="1" customWidth="1"/>
    <col min="14627" max="14627" width="9.88671875" style="559" customWidth="1"/>
    <col min="14628" max="14844" width="8.88671875" style="559"/>
    <col min="14845" max="14845" width="38.44140625" style="559" customWidth="1"/>
    <col min="14846" max="14846" width="8.5546875" style="559" customWidth="1"/>
    <col min="14847" max="14847" width="1.33203125" style="559" customWidth="1"/>
    <col min="14848" max="14848" width="8.88671875" style="559" customWidth="1"/>
    <col min="14849" max="14849" width="1.33203125" style="559" customWidth="1"/>
    <col min="14850" max="14850" width="9.33203125" style="559" customWidth="1"/>
    <col min="14851" max="14851" width="1.33203125" style="559" customWidth="1"/>
    <col min="14852" max="14852" width="10" style="559" customWidth="1"/>
    <col min="14853" max="14853" width="1.33203125" style="559" customWidth="1"/>
    <col min="14854" max="14854" width="9.109375" style="559" customWidth="1"/>
    <col min="14855" max="14855" width="1.33203125" style="559" customWidth="1"/>
    <col min="14856" max="14856" width="11.33203125" style="559" customWidth="1"/>
    <col min="14857" max="14857" width="1.33203125" style="559" customWidth="1"/>
    <col min="14858" max="14858" width="9.109375" style="559" customWidth="1"/>
    <col min="14859" max="14859" width="1.6640625" style="559" customWidth="1"/>
    <col min="14860" max="14860" width="11" style="559" customWidth="1"/>
    <col min="14861" max="14861" width="1.33203125" style="559" customWidth="1"/>
    <col min="14862" max="14862" width="10.77734375" style="559" customWidth="1"/>
    <col min="14863" max="14863" width="1.33203125" style="559" customWidth="1"/>
    <col min="14864" max="14864" width="10" style="559" customWidth="1"/>
    <col min="14865" max="14865" width="1.33203125" style="559" customWidth="1"/>
    <col min="14866" max="14866" width="9.33203125" style="559" customWidth="1"/>
    <col min="14867" max="14867" width="1.33203125" style="559" customWidth="1"/>
    <col min="14868" max="14868" width="7.77734375" style="559" customWidth="1"/>
    <col min="14869" max="14869" width="1.33203125" style="559" customWidth="1"/>
    <col min="14870" max="14870" width="0.77734375" style="559" customWidth="1"/>
    <col min="14871" max="14871" width="9.33203125" style="559" customWidth="1"/>
    <col min="14872" max="14872" width="1.33203125" style="559" customWidth="1"/>
    <col min="14873" max="14873" width="0.88671875" style="559" customWidth="1"/>
    <col min="14874" max="14874" width="9.5546875" style="559" bestFit="1" customWidth="1"/>
    <col min="14875" max="14876" width="0.6640625" style="559" customWidth="1"/>
    <col min="14877" max="14877" width="9.6640625" style="559" customWidth="1"/>
    <col min="14878" max="14878" width="1.109375" style="559" customWidth="1"/>
    <col min="14879" max="14879" width="8.5546875" style="559" customWidth="1"/>
    <col min="14880" max="14880" width="14.5546875" style="559" customWidth="1"/>
    <col min="14881" max="14881" width="10" style="559" customWidth="1"/>
    <col min="14882" max="14882" width="7.77734375" style="559" bestFit="1" customWidth="1"/>
    <col min="14883" max="14883" width="9.88671875" style="559" customWidth="1"/>
    <col min="14884" max="15100" width="8.88671875" style="559"/>
    <col min="15101" max="15101" width="38.44140625" style="559" customWidth="1"/>
    <col min="15102" max="15102" width="8.5546875" style="559" customWidth="1"/>
    <col min="15103" max="15103" width="1.33203125" style="559" customWidth="1"/>
    <col min="15104" max="15104" width="8.88671875" style="559" customWidth="1"/>
    <col min="15105" max="15105" width="1.33203125" style="559" customWidth="1"/>
    <col min="15106" max="15106" width="9.33203125" style="559" customWidth="1"/>
    <col min="15107" max="15107" width="1.33203125" style="559" customWidth="1"/>
    <col min="15108" max="15108" width="10" style="559" customWidth="1"/>
    <col min="15109" max="15109" width="1.33203125" style="559" customWidth="1"/>
    <col min="15110" max="15110" width="9.109375" style="559" customWidth="1"/>
    <col min="15111" max="15111" width="1.33203125" style="559" customWidth="1"/>
    <col min="15112" max="15112" width="11.33203125" style="559" customWidth="1"/>
    <col min="15113" max="15113" width="1.33203125" style="559" customWidth="1"/>
    <col min="15114" max="15114" width="9.109375" style="559" customWidth="1"/>
    <col min="15115" max="15115" width="1.6640625" style="559" customWidth="1"/>
    <col min="15116" max="15116" width="11" style="559" customWidth="1"/>
    <col min="15117" max="15117" width="1.33203125" style="559" customWidth="1"/>
    <col min="15118" max="15118" width="10.77734375" style="559" customWidth="1"/>
    <col min="15119" max="15119" width="1.33203125" style="559" customWidth="1"/>
    <col min="15120" max="15120" width="10" style="559" customWidth="1"/>
    <col min="15121" max="15121" width="1.33203125" style="559" customWidth="1"/>
    <col min="15122" max="15122" width="9.33203125" style="559" customWidth="1"/>
    <col min="15123" max="15123" width="1.33203125" style="559" customWidth="1"/>
    <col min="15124" max="15124" width="7.77734375" style="559" customWidth="1"/>
    <col min="15125" max="15125" width="1.33203125" style="559" customWidth="1"/>
    <col min="15126" max="15126" width="0.77734375" style="559" customWidth="1"/>
    <col min="15127" max="15127" width="9.33203125" style="559" customWidth="1"/>
    <col min="15128" max="15128" width="1.33203125" style="559" customWidth="1"/>
    <col min="15129" max="15129" width="0.88671875" style="559" customWidth="1"/>
    <col min="15130" max="15130" width="9.5546875" style="559" bestFit="1" customWidth="1"/>
    <col min="15131" max="15132" width="0.6640625" style="559" customWidth="1"/>
    <col min="15133" max="15133" width="9.6640625" style="559" customWidth="1"/>
    <col min="15134" max="15134" width="1.109375" style="559" customWidth="1"/>
    <col min="15135" max="15135" width="8.5546875" style="559" customWidth="1"/>
    <col min="15136" max="15136" width="14.5546875" style="559" customWidth="1"/>
    <col min="15137" max="15137" width="10" style="559" customWidth="1"/>
    <col min="15138" max="15138" width="7.77734375" style="559" bestFit="1" customWidth="1"/>
    <col min="15139" max="15139" width="9.88671875" style="559" customWidth="1"/>
    <col min="15140" max="15356" width="8.88671875" style="559"/>
    <col min="15357" max="15357" width="38.44140625" style="559" customWidth="1"/>
    <col min="15358" max="15358" width="8.5546875" style="559" customWidth="1"/>
    <col min="15359" max="15359" width="1.33203125" style="559" customWidth="1"/>
    <col min="15360" max="15360" width="8.88671875" style="559" customWidth="1"/>
    <col min="15361" max="15361" width="1.33203125" style="559" customWidth="1"/>
    <col min="15362" max="15362" width="9.33203125" style="559" customWidth="1"/>
    <col min="15363" max="15363" width="1.33203125" style="559" customWidth="1"/>
    <col min="15364" max="15364" width="10" style="559" customWidth="1"/>
    <col min="15365" max="15365" width="1.33203125" style="559" customWidth="1"/>
    <col min="15366" max="15366" width="9.109375" style="559" customWidth="1"/>
    <col min="15367" max="15367" width="1.33203125" style="559" customWidth="1"/>
    <col min="15368" max="15368" width="11.33203125" style="559" customWidth="1"/>
    <col min="15369" max="15369" width="1.33203125" style="559" customWidth="1"/>
    <col min="15370" max="15370" width="9.109375" style="559" customWidth="1"/>
    <col min="15371" max="15371" width="1.6640625" style="559" customWidth="1"/>
    <col min="15372" max="15372" width="11" style="559" customWidth="1"/>
    <col min="15373" max="15373" width="1.33203125" style="559" customWidth="1"/>
    <col min="15374" max="15374" width="10.77734375" style="559" customWidth="1"/>
    <col min="15375" max="15375" width="1.33203125" style="559" customWidth="1"/>
    <col min="15376" max="15376" width="10" style="559" customWidth="1"/>
    <col min="15377" max="15377" width="1.33203125" style="559" customWidth="1"/>
    <col min="15378" max="15378" width="9.33203125" style="559" customWidth="1"/>
    <col min="15379" max="15379" width="1.33203125" style="559" customWidth="1"/>
    <col min="15380" max="15380" width="7.77734375" style="559" customWidth="1"/>
    <col min="15381" max="15381" width="1.33203125" style="559" customWidth="1"/>
    <col min="15382" max="15382" width="0.77734375" style="559" customWidth="1"/>
    <col min="15383" max="15383" width="9.33203125" style="559" customWidth="1"/>
    <col min="15384" max="15384" width="1.33203125" style="559" customWidth="1"/>
    <col min="15385" max="15385" width="0.88671875" style="559" customWidth="1"/>
    <col min="15386" max="15386" width="9.5546875" style="559" bestFit="1" customWidth="1"/>
    <col min="15387" max="15388" width="0.6640625" style="559" customWidth="1"/>
    <col min="15389" max="15389" width="9.6640625" style="559" customWidth="1"/>
    <col min="15390" max="15390" width="1.109375" style="559" customWidth="1"/>
    <col min="15391" max="15391" width="8.5546875" style="559" customWidth="1"/>
    <col min="15392" max="15392" width="14.5546875" style="559" customWidth="1"/>
    <col min="15393" max="15393" width="10" style="559" customWidth="1"/>
    <col min="15394" max="15394" width="7.77734375" style="559" bestFit="1" customWidth="1"/>
    <col min="15395" max="15395" width="9.88671875" style="559" customWidth="1"/>
    <col min="15396" max="15612" width="8.88671875" style="559"/>
    <col min="15613" max="15613" width="38.44140625" style="559" customWidth="1"/>
    <col min="15614" max="15614" width="8.5546875" style="559" customWidth="1"/>
    <col min="15615" max="15615" width="1.33203125" style="559" customWidth="1"/>
    <col min="15616" max="15616" width="8.88671875" style="559" customWidth="1"/>
    <col min="15617" max="15617" width="1.33203125" style="559" customWidth="1"/>
    <col min="15618" max="15618" width="9.33203125" style="559" customWidth="1"/>
    <col min="15619" max="15619" width="1.33203125" style="559" customWidth="1"/>
    <col min="15620" max="15620" width="10" style="559" customWidth="1"/>
    <col min="15621" max="15621" width="1.33203125" style="559" customWidth="1"/>
    <col min="15622" max="15622" width="9.109375" style="559" customWidth="1"/>
    <col min="15623" max="15623" width="1.33203125" style="559" customWidth="1"/>
    <col min="15624" max="15624" width="11.33203125" style="559" customWidth="1"/>
    <col min="15625" max="15625" width="1.33203125" style="559" customWidth="1"/>
    <col min="15626" max="15626" width="9.109375" style="559" customWidth="1"/>
    <col min="15627" max="15627" width="1.6640625" style="559" customWidth="1"/>
    <col min="15628" max="15628" width="11" style="559" customWidth="1"/>
    <col min="15629" max="15629" width="1.33203125" style="559" customWidth="1"/>
    <col min="15630" max="15630" width="10.77734375" style="559" customWidth="1"/>
    <col min="15631" max="15631" width="1.33203125" style="559" customWidth="1"/>
    <col min="15632" max="15632" width="10" style="559" customWidth="1"/>
    <col min="15633" max="15633" width="1.33203125" style="559" customWidth="1"/>
    <col min="15634" max="15634" width="9.33203125" style="559" customWidth="1"/>
    <col min="15635" max="15635" width="1.33203125" style="559" customWidth="1"/>
    <col min="15636" max="15636" width="7.77734375" style="559" customWidth="1"/>
    <col min="15637" max="15637" width="1.33203125" style="559" customWidth="1"/>
    <col min="15638" max="15638" width="0.77734375" style="559" customWidth="1"/>
    <col min="15639" max="15639" width="9.33203125" style="559" customWidth="1"/>
    <col min="15640" max="15640" width="1.33203125" style="559" customWidth="1"/>
    <col min="15641" max="15641" width="0.88671875" style="559" customWidth="1"/>
    <col min="15642" max="15642" width="9.5546875" style="559" bestFit="1" customWidth="1"/>
    <col min="15643" max="15644" width="0.6640625" style="559" customWidth="1"/>
    <col min="15645" max="15645" width="9.6640625" style="559" customWidth="1"/>
    <col min="15646" max="15646" width="1.109375" style="559" customWidth="1"/>
    <col min="15647" max="15647" width="8.5546875" style="559" customWidth="1"/>
    <col min="15648" max="15648" width="14.5546875" style="559" customWidth="1"/>
    <col min="15649" max="15649" width="10" style="559" customWidth="1"/>
    <col min="15650" max="15650" width="7.77734375" style="559" bestFit="1" customWidth="1"/>
    <col min="15651" max="15651" width="9.88671875" style="559" customWidth="1"/>
    <col min="15652" max="15868" width="8.88671875" style="559"/>
    <col min="15869" max="15869" width="38.44140625" style="559" customWidth="1"/>
    <col min="15870" max="15870" width="8.5546875" style="559" customWidth="1"/>
    <col min="15871" max="15871" width="1.33203125" style="559" customWidth="1"/>
    <col min="15872" max="15872" width="8.88671875" style="559" customWidth="1"/>
    <col min="15873" max="15873" width="1.33203125" style="559" customWidth="1"/>
    <col min="15874" max="15874" width="9.33203125" style="559" customWidth="1"/>
    <col min="15875" max="15875" width="1.33203125" style="559" customWidth="1"/>
    <col min="15876" max="15876" width="10" style="559" customWidth="1"/>
    <col min="15877" max="15877" width="1.33203125" style="559" customWidth="1"/>
    <col min="15878" max="15878" width="9.109375" style="559" customWidth="1"/>
    <col min="15879" max="15879" width="1.33203125" style="559" customWidth="1"/>
    <col min="15880" max="15880" width="11.33203125" style="559" customWidth="1"/>
    <col min="15881" max="15881" width="1.33203125" style="559" customWidth="1"/>
    <col min="15882" max="15882" width="9.109375" style="559" customWidth="1"/>
    <col min="15883" max="15883" width="1.6640625" style="559" customWidth="1"/>
    <col min="15884" max="15884" width="11" style="559" customWidth="1"/>
    <col min="15885" max="15885" width="1.33203125" style="559" customWidth="1"/>
    <col min="15886" max="15886" width="10.77734375" style="559" customWidth="1"/>
    <col min="15887" max="15887" width="1.33203125" style="559" customWidth="1"/>
    <col min="15888" max="15888" width="10" style="559" customWidth="1"/>
    <col min="15889" max="15889" width="1.33203125" style="559" customWidth="1"/>
    <col min="15890" max="15890" width="9.33203125" style="559" customWidth="1"/>
    <col min="15891" max="15891" width="1.33203125" style="559" customWidth="1"/>
    <col min="15892" max="15892" width="7.77734375" style="559" customWidth="1"/>
    <col min="15893" max="15893" width="1.33203125" style="559" customWidth="1"/>
    <col min="15894" max="15894" width="0.77734375" style="559" customWidth="1"/>
    <col min="15895" max="15895" width="9.33203125" style="559" customWidth="1"/>
    <col min="15896" max="15896" width="1.33203125" style="559" customWidth="1"/>
    <col min="15897" max="15897" width="0.88671875" style="559" customWidth="1"/>
    <col min="15898" max="15898" width="9.5546875" style="559" bestFit="1" customWidth="1"/>
    <col min="15899" max="15900" width="0.6640625" style="559" customWidth="1"/>
    <col min="15901" max="15901" width="9.6640625" style="559" customWidth="1"/>
    <col min="15902" max="15902" width="1.109375" style="559" customWidth="1"/>
    <col min="15903" max="15903" width="8.5546875" style="559" customWidth="1"/>
    <col min="15904" max="15904" width="14.5546875" style="559" customWidth="1"/>
    <col min="15905" max="15905" width="10" style="559" customWidth="1"/>
    <col min="15906" max="15906" width="7.77734375" style="559" bestFit="1" customWidth="1"/>
    <col min="15907" max="15907" width="9.88671875" style="559" customWidth="1"/>
    <col min="15908" max="16124" width="8.88671875" style="559"/>
    <col min="16125" max="16125" width="38.44140625" style="559" customWidth="1"/>
    <col min="16126" max="16126" width="8.5546875" style="559" customWidth="1"/>
    <col min="16127" max="16127" width="1.33203125" style="559" customWidth="1"/>
    <col min="16128" max="16128" width="8.88671875" style="559" customWidth="1"/>
    <col min="16129" max="16129" width="1.33203125" style="559" customWidth="1"/>
    <col min="16130" max="16130" width="9.33203125" style="559" customWidth="1"/>
    <col min="16131" max="16131" width="1.33203125" style="559" customWidth="1"/>
    <col min="16132" max="16132" width="10" style="559" customWidth="1"/>
    <col min="16133" max="16133" width="1.33203125" style="559" customWidth="1"/>
    <col min="16134" max="16134" width="9.109375" style="559" customWidth="1"/>
    <col min="16135" max="16135" width="1.33203125" style="559" customWidth="1"/>
    <col min="16136" max="16136" width="11.33203125" style="559" customWidth="1"/>
    <col min="16137" max="16137" width="1.33203125" style="559" customWidth="1"/>
    <col min="16138" max="16138" width="9.109375" style="559" customWidth="1"/>
    <col min="16139" max="16139" width="1.6640625" style="559" customWidth="1"/>
    <col min="16140" max="16140" width="11" style="559" customWidth="1"/>
    <col min="16141" max="16141" width="1.33203125" style="559" customWidth="1"/>
    <col min="16142" max="16142" width="10.77734375" style="559" customWidth="1"/>
    <col min="16143" max="16143" width="1.33203125" style="559" customWidth="1"/>
    <col min="16144" max="16144" width="10" style="559" customWidth="1"/>
    <col min="16145" max="16145" width="1.33203125" style="559" customWidth="1"/>
    <col min="16146" max="16146" width="9.33203125" style="559" customWidth="1"/>
    <col min="16147" max="16147" width="1.33203125" style="559" customWidth="1"/>
    <col min="16148" max="16148" width="7.77734375" style="559" customWidth="1"/>
    <col min="16149" max="16149" width="1.33203125" style="559" customWidth="1"/>
    <col min="16150" max="16150" width="0.77734375" style="559" customWidth="1"/>
    <col min="16151" max="16151" width="9.33203125" style="559" customWidth="1"/>
    <col min="16152" max="16152" width="1.33203125" style="559" customWidth="1"/>
    <col min="16153" max="16153" width="0.88671875" style="559" customWidth="1"/>
    <col min="16154" max="16154" width="9.5546875" style="559" bestFit="1" customWidth="1"/>
    <col min="16155" max="16156" width="0.6640625" style="559" customWidth="1"/>
    <col min="16157" max="16157" width="9.6640625" style="559" customWidth="1"/>
    <col min="16158" max="16158" width="1.109375" style="559" customWidth="1"/>
    <col min="16159" max="16159" width="8.5546875" style="559" customWidth="1"/>
    <col min="16160" max="16160" width="14.5546875" style="559" customWidth="1"/>
    <col min="16161" max="16161" width="10" style="559" customWidth="1"/>
    <col min="16162" max="16162" width="7.77734375" style="559" bestFit="1" customWidth="1"/>
    <col min="16163" max="16163" width="9.88671875" style="559" customWidth="1"/>
    <col min="16164" max="16384" width="8.88671875" style="559"/>
  </cols>
  <sheetData>
    <row r="1" spans="1:36" ht="15">
      <c r="A1" s="1190" t="s">
        <v>1231</v>
      </c>
    </row>
    <row r="2" spans="1:36" ht="10.5" customHeight="1">
      <c r="A2" s="557"/>
      <c r="B2" s="557"/>
      <c r="C2" s="557"/>
      <c r="D2" s="557"/>
      <c r="E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row>
    <row r="3" spans="1:36" ht="18">
      <c r="A3" s="560" t="s">
        <v>0</v>
      </c>
      <c r="B3" s="557"/>
      <c r="C3" s="557"/>
      <c r="D3" s="557"/>
      <c r="E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I3" s="2403" t="s">
        <v>1451</v>
      </c>
    </row>
    <row r="4" spans="1:36" ht="18">
      <c r="A4" s="562" t="s">
        <v>191</v>
      </c>
      <c r="B4" s="557"/>
      <c r="C4" s="557"/>
      <c r="D4" s="557"/>
      <c r="E4" s="557"/>
      <c r="G4" s="557"/>
      <c r="H4" s="557"/>
      <c r="I4" s="557"/>
      <c r="J4" s="557"/>
      <c r="K4" s="557"/>
      <c r="L4" s="557"/>
      <c r="M4" s="557"/>
      <c r="N4" s="557"/>
      <c r="O4" s="557"/>
      <c r="P4" s="557"/>
      <c r="Q4" s="557"/>
      <c r="R4" s="557"/>
      <c r="S4" s="557"/>
      <c r="T4" s="557"/>
      <c r="U4" s="557"/>
      <c r="V4" s="557"/>
      <c r="W4" s="557"/>
      <c r="X4" s="557"/>
      <c r="Y4" s="557"/>
      <c r="Z4" s="557"/>
      <c r="AC4" s="557"/>
      <c r="AD4" s="557"/>
      <c r="AE4" s="557"/>
      <c r="AF4" s="557"/>
    </row>
    <row r="5" spans="1:36" ht="18">
      <c r="A5" s="562" t="s">
        <v>153</v>
      </c>
      <c r="B5" s="557"/>
      <c r="C5" s="557"/>
      <c r="D5" s="557"/>
      <c r="E5" s="557"/>
      <c r="G5" s="557"/>
      <c r="H5" s="557"/>
      <c r="I5" s="557"/>
      <c r="J5" s="557"/>
      <c r="K5" s="557"/>
      <c r="L5" s="557"/>
      <c r="M5" s="557"/>
      <c r="N5" s="557"/>
      <c r="O5" s="557"/>
      <c r="P5" s="557"/>
      <c r="Q5" s="557"/>
      <c r="R5" s="557"/>
      <c r="S5" s="557"/>
      <c r="T5" s="557"/>
      <c r="U5" s="557"/>
      <c r="V5" s="557"/>
      <c r="W5" s="557"/>
      <c r="X5" s="557"/>
      <c r="Y5" s="557"/>
      <c r="Z5" s="557"/>
      <c r="AA5" s="557"/>
      <c r="AB5" s="3520"/>
      <c r="AC5" s="3521"/>
      <c r="AD5" s="3521"/>
      <c r="AE5" s="561"/>
      <c r="AF5" s="561"/>
      <c r="AG5" s="561"/>
      <c r="AH5" s="561"/>
      <c r="AI5" s="561"/>
      <c r="AJ5" s="1031"/>
    </row>
    <row r="6" spans="1:36" ht="18">
      <c r="A6" s="560" t="s">
        <v>1547</v>
      </c>
      <c r="B6" s="557"/>
      <c r="C6" s="557"/>
      <c r="D6" s="557"/>
      <c r="E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row>
    <row r="7" spans="1:36" ht="18">
      <c r="A7" s="562" t="s">
        <v>1116</v>
      </c>
      <c r="B7" s="557"/>
      <c r="C7" s="557"/>
      <c r="D7" s="557"/>
      <c r="E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row>
    <row r="8" spans="1:36" ht="15.75">
      <c r="A8" s="557"/>
      <c r="B8" s="557"/>
      <c r="C8" s="557"/>
      <c r="D8" s="557"/>
      <c r="E8" s="557"/>
      <c r="G8" s="557"/>
      <c r="H8" s="557"/>
      <c r="I8" s="557"/>
      <c r="J8" s="557"/>
      <c r="K8" s="557"/>
      <c r="L8" s="557"/>
      <c r="M8" s="557"/>
      <c r="N8" s="557"/>
      <c r="O8" s="557"/>
      <c r="P8" s="557"/>
      <c r="Q8" s="557"/>
      <c r="R8" s="557"/>
      <c r="S8" s="557"/>
      <c r="T8" s="557"/>
      <c r="U8" s="557"/>
      <c r="V8" s="557"/>
      <c r="W8" s="557"/>
      <c r="X8" s="557"/>
      <c r="Y8" s="557"/>
      <c r="Z8" s="557"/>
      <c r="AA8" s="3522" t="s">
        <v>1593</v>
      </c>
      <c r="AB8" s="3523"/>
      <c r="AC8" s="3523"/>
      <c r="AD8" s="3523"/>
      <c r="AE8" s="3523"/>
      <c r="AF8" s="3523"/>
      <c r="AG8" s="3523"/>
      <c r="AH8" s="3523"/>
      <c r="AI8" s="3523"/>
    </row>
    <row r="9" spans="1:36" ht="15.75">
      <c r="A9" s="557"/>
      <c r="B9" s="1536">
        <v>2015</v>
      </c>
      <c r="C9" s="590"/>
      <c r="D9" s="590"/>
      <c r="E9" s="590"/>
      <c r="F9" s="1537"/>
      <c r="G9" s="590"/>
      <c r="H9" s="590"/>
      <c r="I9" s="590"/>
      <c r="J9" s="590"/>
      <c r="K9" s="590"/>
      <c r="L9" s="590"/>
      <c r="M9" s="590"/>
      <c r="N9" s="590"/>
      <c r="O9" s="590"/>
      <c r="P9" s="590"/>
      <c r="Q9" s="590"/>
      <c r="R9" s="590"/>
      <c r="S9" s="590"/>
      <c r="T9" s="1536">
        <v>2016</v>
      </c>
      <c r="U9" s="590"/>
      <c r="V9" s="590"/>
      <c r="W9" s="590"/>
      <c r="X9" s="565"/>
      <c r="Y9" s="590"/>
      <c r="Z9" s="590"/>
      <c r="AA9" s="590"/>
      <c r="AB9" s="590"/>
      <c r="AC9" s="590"/>
      <c r="AD9" s="590"/>
      <c r="AE9" s="1538"/>
      <c r="AF9" s="590"/>
      <c r="AG9" s="1539" t="s">
        <v>8</v>
      </c>
      <c r="AH9" s="1540"/>
      <c r="AI9" s="1541" t="s">
        <v>9</v>
      </c>
      <c r="AJ9" s="1031"/>
    </row>
    <row r="10" spans="1:36" ht="15.75">
      <c r="A10" s="557"/>
      <c r="B10" s="1503" t="s">
        <v>129</v>
      </c>
      <c r="C10" s="590"/>
      <c r="D10" s="1503" t="s">
        <v>130</v>
      </c>
      <c r="E10" s="565"/>
      <c r="F10" s="1542" t="s">
        <v>131</v>
      </c>
      <c r="G10" s="565"/>
      <c r="H10" s="1503" t="s">
        <v>132</v>
      </c>
      <c r="I10" s="565"/>
      <c r="J10" s="1503" t="s">
        <v>133</v>
      </c>
      <c r="K10" s="565"/>
      <c r="L10" s="1502" t="s">
        <v>148</v>
      </c>
      <c r="M10" s="565"/>
      <c r="N10" s="1503" t="s">
        <v>149</v>
      </c>
      <c r="O10" s="565"/>
      <c r="P10" s="1503" t="s">
        <v>136</v>
      </c>
      <c r="Q10" s="565"/>
      <c r="R10" s="1503" t="s">
        <v>137</v>
      </c>
      <c r="S10" s="590"/>
      <c r="T10" s="1503" t="s">
        <v>138</v>
      </c>
      <c r="U10" s="565"/>
      <c r="V10" s="1503" t="s">
        <v>139</v>
      </c>
      <c r="W10" s="565"/>
      <c r="X10" s="1503" t="s">
        <v>192</v>
      </c>
      <c r="Y10" s="565"/>
      <c r="Z10" s="565"/>
      <c r="AA10" s="1543">
        <v>2015</v>
      </c>
      <c r="AB10" s="565"/>
      <c r="AC10" s="565"/>
      <c r="AD10" s="1543">
        <v>2014</v>
      </c>
      <c r="AE10" s="1544"/>
      <c r="AF10" s="1544"/>
      <c r="AG10" s="1545" t="s">
        <v>13</v>
      </c>
      <c r="AH10" s="1546"/>
      <c r="AI10" s="1545" t="s">
        <v>14</v>
      </c>
      <c r="AJ10" s="1031"/>
    </row>
    <row r="11" spans="1:36" ht="3" customHeight="1">
      <c r="A11" s="557"/>
      <c r="B11" s="569"/>
      <c r="C11" s="563"/>
      <c r="D11" s="569"/>
      <c r="E11" s="567"/>
      <c r="F11" s="570"/>
      <c r="G11" s="567"/>
      <c r="H11" s="569"/>
      <c r="I11" s="567"/>
      <c r="J11" s="569"/>
      <c r="K11" s="567"/>
      <c r="L11" s="571"/>
      <c r="M11" s="567"/>
      <c r="N11" s="569"/>
      <c r="O11" s="567"/>
      <c r="P11" s="569"/>
      <c r="Q11" s="567"/>
      <c r="R11" s="569"/>
      <c r="S11" s="563"/>
      <c r="T11" s="572"/>
      <c r="U11" s="567"/>
      <c r="V11" s="569"/>
      <c r="W11" s="567"/>
      <c r="X11" s="569"/>
      <c r="Y11" s="567"/>
      <c r="Z11" s="567"/>
      <c r="AA11" s="568"/>
      <c r="AB11" s="567"/>
      <c r="AC11" s="567"/>
      <c r="AD11" s="568"/>
      <c r="AE11" s="568"/>
      <c r="AF11" s="573"/>
      <c r="AG11" s="568"/>
      <c r="AH11" s="574"/>
      <c r="AI11" s="575"/>
    </row>
    <row r="12" spans="1:36" ht="15.75">
      <c r="A12" s="576" t="s">
        <v>193</v>
      </c>
      <c r="B12" s="577">
        <v>118.7</v>
      </c>
      <c r="C12" s="577"/>
      <c r="D12" s="578">
        <f>B73</f>
        <v>414.6</v>
      </c>
      <c r="E12" s="577"/>
      <c r="F12" s="578"/>
      <c r="G12" s="577"/>
      <c r="H12" s="578"/>
      <c r="I12" s="577"/>
      <c r="J12" s="578"/>
      <c r="K12" s="577"/>
      <c r="L12" s="578"/>
      <c r="M12" s="577"/>
      <c r="N12" s="578"/>
      <c r="O12" s="577"/>
      <c r="P12" s="578"/>
      <c r="Q12" s="577"/>
      <c r="R12" s="578"/>
      <c r="S12" s="577"/>
      <c r="T12" s="578"/>
      <c r="U12" s="577"/>
      <c r="V12" s="578"/>
      <c r="W12" s="577"/>
      <c r="X12" s="579"/>
      <c r="Y12" s="580"/>
      <c r="Z12" s="577"/>
      <c r="AA12" s="577">
        <v>118.7</v>
      </c>
      <c r="AB12" s="580"/>
      <c r="AC12" s="577"/>
      <c r="AD12" s="3201">
        <v>65.099999999999994</v>
      </c>
      <c r="AE12" s="581"/>
      <c r="AF12" s="582"/>
      <c r="AG12" s="583">
        <f>ROUND(SUM(AA12-AD12),1)</f>
        <v>53.6</v>
      </c>
      <c r="AH12" s="584"/>
      <c r="AI12" s="585">
        <f>ROUND(SUM(AG12/AD12),3)</f>
        <v>0.82299999999999995</v>
      </c>
      <c r="AJ12" s="1031"/>
    </row>
    <row r="13" spans="1:36" ht="12.75" customHeight="1">
      <c r="A13" s="563"/>
      <c r="B13" s="563"/>
      <c r="C13" s="563"/>
      <c r="D13" s="563"/>
      <c r="E13" s="563"/>
      <c r="F13" s="564"/>
      <c r="G13" s="563"/>
      <c r="H13" s="563"/>
      <c r="I13" s="563"/>
      <c r="J13" s="563"/>
      <c r="K13" s="563"/>
      <c r="L13" s="563"/>
      <c r="M13" s="563"/>
      <c r="N13" s="563"/>
      <c r="O13" s="563"/>
      <c r="P13" s="563"/>
      <c r="Q13" s="563"/>
      <c r="R13" s="563"/>
      <c r="S13" s="563"/>
      <c r="T13" s="563"/>
      <c r="U13" s="563"/>
      <c r="V13" s="563"/>
      <c r="W13" s="563"/>
      <c r="X13" s="563"/>
      <c r="Y13" s="586"/>
      <c r="Z13" s="563"/>
      <c r="AA13" s="564"/>
      <c r="AB13" s="587"/>
      <c r="AC13" s="564"/>
      <c r="AD13" s="3199"/>
      <c r="AE13" s="568"/>
      <c r="AF13" s="588"/>
      <c r="AG13" s="589"/>
      <c r="AH13" s="574"/>
      <c r="AI13" s="575"/>
    </row>
    <row r="14" spans="1:36" ht="14.25" customHeight="1">
      <c r="A14" s="590" t="s">
        <v>15</v>
      </c>
      <c r="B14" s="563"/>
      <c r="C14" s="563"/>
      <c r="D14" s="563"/>
      <c r="E14" s="563"/>
      <c r="F14" s="564"/>
      <c r="G14" s="563"/>
      <c r="H14" s="563"/>
      <c r="I14" s="563"/>
      <c r="J14" s="563"/>
      <c r="K14" s="563"/>
      <c r="L14" s="563"/>
      <c r="M14" s="563"/>
      <c r="N14" s="563"/>
      <c r="O14" s="563"/>
      <c r="P14" s="563"/>
      <c r="Q14" s="563"/>
      <c r="R14" s="563"/>
      <c r="S14" s="563"/>
      <c r="T14" s="563"/>
      <c r="U14" s="563"/>
      <c r="V14" s="563"/>
      <c r="W14" s="563"/>
      <c r="X14" s="563"/>
      <c r="Y14" s="586"/>
      <c r="Z14" s="563"/>
      <c r="AA14" s="564"/>
      <c r="AB14" s="587"/>
      <c r="AC14" s="564"/>
      <c r="AD14" s="3199"/>
      <c r="AE14" s="568"/>
      <c r="AF14" s="588"/>
      <c r="AG14" s="589"/>
      <c r="AH14" s="574"/>
      <c r="AI14" s="575"/>
    </row>
    <row r="15" spans="1:36" ht="14.25" customHeight="1">
      <c r="A15" s="491" t="s">
        <v>1373</v>
      </c>
      <c r="B15" s="431"/>
      <c r="C15" s="431"/>
      <c r="D15" s="431"/>
      <c r="E15" s="993"/>
      <c r="F15" s="431"/>
      <c r="G15" s="993"/>
      <c r="H15" s="563"/>
      <c r="I15" s="563"/>
      <c r="J15" s="563"/>
      <c r="K15" s="563"/>
      <c r="L15" s="563"/>
      <c r="M15" s="563"/>
      <c r="N15" s="563"/>
      <c r="O15" s="563"/>
      <c r="P15" s="563"/>
      <c r="Q15" s="563"/>
      <c r="R15" s="563"/>
      <c r="S15" s="563"/>
      <c r="T15" s="563"/>
      <c r="U15" s="563"/>
      <c r="V15" s="563"/>
      <c r="W15" s="563"/>
      <c r="X15" s="563"/>
      <c r="Y15" s="2091"/>
      <c r="Z15" s="563"/>
      <c r="AA15" s="564"/>
      <c r="AB15" s="2092"/>
      <c r="AC15" s="564"/>
      <c r="AD15" s="3196"/>
      <c r="AE15" s="568"/>
      <c r="AF15" s="588"/>
      <c r="AG15" s="589"/>
      <c r="AH15" s="574"/>
      <c r="AI15" s="575"/>
    </row>
    <row r="16" spans="1:36" ht="14.25" customHeight="1">
      <c r="A16" s="2400" t="s">
        <v>1378</v>
      </c>
      <c r="B16" s="1208">
        <v>1679.6</v>
      </c>
      <c r="C16" s="1142"/>
      <c r="D16" s="1208">
        <v>580.20000000000005</v>
      </c>
      <c r="E16" s="1142"/>
      <c r="F16" s="1208"/>
      <c r="G16" s="223"/>
      <c r="H16" s="1208"/>
      <c r="I16" s="563"/>
      <c r="J16" s="1208"/>
      <c r="K16" s="563"/>
      <c r="L16" s="1208"/>
      <c r="M16" s="563"/>
      <c r="N16" s="1208"/>
      <c r="O16" s="563"/>
      <c r="P16" s="1208"/>
      <c r="Q16" s="563"/>
      <c r="R16" s="1208"/>
      <c r="S16" s="563"/>
      <c r="T16" s="1208"/>
      <c r="U16" s="563"/>
      <c r="V16" s="1208"/>
      <c r="W16" s="563"/>
      <c r="X16" s="1208"/>
      <c r="Y16" s="2091"/>
      <c r="Z16" s="563"/>
      <c r="AA16" s="319">
        <f>ROUND(SUM(B16:X16),1)</f>
        <v>2259.8000000000002</v>
      </c>
      <c r="AB16" s="2092"/>
      <c r="AC16" s="564"/>
      <c r="AD16" s="3209">
        <v>1863.8</v>
      </c>
      <c r="AE16" s="568"/>
      <c r="AF16" s="588"/>
      <c r="AG16" s="598">
        <f>ROUND(SUM(AA16-AD16),1)</f>
        <v>396</v>
      </c>
      <c r="AH16" s="574"/>
      <c r="AI16" s="2828">
        <f>ROUND(IF(AD16=0,0,AG16/(AD16)),3)</f>
        <v>0.21199999999999999</v>
      </c>
    </row>
    <row r="17" spans="1:35" ht="6" customHeight="1">
      <c r="A17" s="2400"/>
      <c r="B17" s="1208"/>
      <c r="C17" s="1142"/>
      <c r="D17" s="1208"/>
      <c r="E17" s="1142"/>
      <c r="F17" s="1208"/>
      <c r="G17" s="223"/>
      <c r="H17" s="1208"/>
      <c r="I17" s="563"/>
      <c r="J17" s="1208"/>
      <c r="K17" s="563"/>
      <c r="L17" s="1208"/>
      <c r="M17" s="563"/>
      <c r="N17" s="1208"/>
      <c r="O17" s="563"/>
      <c r="P17" s="1208"/>
      <c r="Q17" s="563"/>
      <c r="R17" s="1208"/>
      <c r="S17" s="563"/>
      <c r="T17" s="1208"/>
      <c r="U17" s="563"/>
      <c r="V17" s="1208"/>
      <c r="W17" s="563"/>
      <c r="X17" s="1208"/>
      <c r="Y17" s="2723"/>
      <c r="Z17" s="563"/>
      <c r="AA17" s="319"/>
      <c r="AB17" s="2726"/>
      <c r="AC17" s="564"/>
      <c r="AD17" s="3209"/>
      <c r="AE17" s="568"/>
      <c r="AF17" s="588"/>
      <c r="AG17" s="598"/>
      <c r="AH17" s="574"/>
      <c r="AI17" s="2828"/>
    </row>
    <row r="18" spans="1:35" ht="14.25" customHeight="1">
      <c r="A18" s="2089" t="s">
        <v>1444</v>
      </c>
      <c r="B18" s="273"/>
      <c r="C18" s="261"/>
      <c r="D18" s="273"/>
      <c r="E18" s="261"/>
      <c r="F18" s="273"/>
      <c r="G18" s="261"/>
      <c r="H18" s="273"/>
      <c r="I18" s="563"/>
      <c r="J18" s="273"/>
      <c r="K18" s="563"/>
      <c r="L18" s="273"/>
      <c r="M18" s="563"/>
      <c r="N18" s="273"/>
      <c r="O18" s="563"/>
      <c r="P18" s="273"/>
      <c r="Q18" s="563"/>
      <c r="R18" s="273"/>
      <c r="S18" s="563"/>
      <c r="T18" s="273"/>
      <c r="U18" s="563"/>
      <c r="V18" s="273"/>
      <c r="W18" s="563"/>
      <c r="X18" s="273"/>
      <c r="Y18" s="2091"/>
      <c r="Z18" s="563"/>
      <c r="AA18" s="316"/>
      <c r="AB18" s="2092"/>
      <c r="AC18" s="564"/>
      <c r="AD18" s="3195"/>
      <c r="AE18" s="568"/>
      <c r="AF18" s="588"/>
      <c r="AG18" s="589"/>
      <c r="AH18" s="574"/>
      <c r="AI18" s="2867"/>
    </row>
    <row r="19" spans="1:35" ht="14.25" customHeight="1">
      <c r="A19" s="1276" t="s">
        <v>1393</v>
      </c>
      <c r="B19" s="1142">
        <v>479.9</v>
      </c>
      <c r="C19" s="1142"/>
      <c r="D19" s="1142">
        <v>465.4</v>
      </c>
      <c r="E19" s="1142"/>
      <c r="F19" s="1142"/>
      <c r="G19" s="261"/>
      <c r="H19" s="1142"/>
      <c r="I19" s="563"/>
      <c r="J19" s="1142"/>
      <c r="K19" s="563"/>
      <c r="L19" s="1142"/>
      <c r="M19" s="563"/>
      <c r="N19" s="1142"/>
      <c r="O19" s="563"/>
      <c r="P19" s="1142"/>
      <c r="Q19" s="563"/>
      <c r="R19" s="1142"/>
      <c r="S19" s="563"/>
      <c r="T19" s="1142"/>
      <c r="U19" s="563"/>
      <c r="V19" s="1142"/>
      <c r="W19" s="563"/>
      <c r="X19" s="1142"/>
      <c r="Y19" s="2091"/>
      <c r="Z19" s="563"/>
      <c r="AA19" s="319">
        <f>ROUND(SUM(B19:X19),1)</f>
        <v>945.3</v>
      </c>
      <c r="AB19" s="2092"/>
      <c r="AC19" s="564"/>
      <c r="AD19" s="3193">
        <v>887.9</v>
      </c>
      <c r="AE19" s="568"/>
      <c r="AF19" s="588"/>
      <c r="AG19" s="598">
        <f>ROUND(SUM(AA19-AD19),1)</f>
        <v>57.4</v>
      </c>
      <c r="AH19" s="574"/>
      <c r="AI19" s="2828">
        <f>ROUND(IF(AD19=0,0,AG19/(AD19)),3)</f>
        <v>6.5000000000000002E-2</v>
      </c>
    </row>
    <row r="20" spans="1:35" ht="14.25" customHeight="1">
      <c r="A20" s="590" t="s">
        <v>1392</v>
      </c>
      <c r="B20" s="1289">
        <f>ROUND(SUM(B19:B19),1)</f>
        <v>479.9</v>
      </c>
      <c r="C20" s="1899"/>
      <c r="D20" s="1289">
        <f>ROUND(SUM(D19:D19),1)</f>
        <v>465.4</v>
      </c>
      <c r="E20" s="1899"/>
      <c r="F20" s="1289">
        <f>ROUND(SUM(F19:F19),1)</f>
        <v>0</v>
      </c>
      <c r="G20" s="1899"/>
      <c r="H20" s="1289">
        <f>ROUND(SUM(H19:H19),1)</f>
        <v>0</v>
      </c>
      <c r="I20" s="563"/>
      <c r="J20" s="1289">
        <f>ROUND(SUM(J19:J19),1)</f>
        <v>0</v>
      </c>
      <c r="K20" s="563"/>
      <c r="L20" s="1289">
        <f>ROUND(SUM(L19:L19),1)</f>
        <v>0</v>
      </c>
      <c r="M20" s="563"/>
      <c r="N20" s="1289">
        <f>ROUND(SUM(N19:N19),1)</f>
        <v>0</v>
      </c>
      <c r="O20" s="563"/>
      <c r="P20" s="1289">
        <f>ROUND(SUM(P19:P19),1)</f>
        <v>0</v>
      </c>
      <c r="Q20" s="563"/>
      <c r="R20" s="1289">
        <f>ROUND(SUM(R19:R19),1)</f>
        <v>0</v>
      </c>
      <c r="S20" s="563"/>
      <c r="T20" s="1289">
        <f>ROUND(SUM(T19:T19),1)</f>
        <v>0</v>
      </c>
      <c r="U20" s="563"/>
      <c r="V20" s="1289">
        <f>ROUND(SUM(V19:V19),1)</f>
        <v>0</v>
      </c>
      <c r="W20" s="563"/>
      <c r="X20" s="1289">
        <f>ROUND(SUM(X19:X19),1)</f>
        <v>0</v>
      </c>
      <c r="Y20" s="2091"/>
      <c r="Z20" s="563"/>
      <c r="AA20" s="1289">
        <f>ROUND(SUM(AA19:AA19),1)</f>
        <v>945.3</v>
      </c>
      <c r="AB20" s="2092"/>
      <c r="AC20" s="564"/>
      <c r="AD20" s="3210">
        <f>ROUND(SUM(AD19:AD19),1)</f>
        <v>887.9</v>
      </c>
      <c r="AE20" s="568"/>
      <c r="AF20" s="588"/>
      <c r="AG20" s="2256">
        <f>ROUND(SUM(AA20-AD20),1)</f>
        <v>57.4</v>
      </c>
      <c r="AH20" s="584"/>
      <c r="AI20" s="2847">
        <f>ROUND(IF(AD20=0,0,AG20/(AD20)),3)</f>
        <v>6.5000000000000002E-2</v>
      </c>
    </row>
    <row r="21" spans="1:35" ht="14.25" customHeight="1">
      <c r="A21" s="2089" t="s">
        <v>1446</v>
      </c>
      <c r="B21" s="273"/>
      <c r="C21" s="1899"/>
      <c r="D21" s="273"/>
      <c r="E21" s="1899"/>
      <c r="F21" s="273"/>
      <c r="G21" s="1899"/>
      <c r="H21" s="273"/>
      <c r="I21" s="563"/>
      <c r="J21" s="273"/>
      <c r="K21" s="563"/>
      <c r="L21" s="273"/>
      <c r="M21" s="563"/>
      <c r="N21" s="273"/>
      <c r="O21" s="563"/>
      <c r="P21" s="273"/>
      <c r="Q21" s="563"/>
      <c r="R21" s="273"/>
      <c r="S21" s="563"/>
      <c r="T21" s="273"/>
      <c r="U21" s="563"/>
      <c r="V21" s="273"/>
      <c r="W21" s="563"/>
      <c r="X21" s="273"/>
      <c r="Y21" s="2091"/>
      <c r="Z21" s="563"/>
      <c r="AA21" s="316"/>
      <c r="AB21" s="2092"/>
      <c r="AC21" s="564"/>
      <c r="AD21" s="3195"/>
      <c r="AE21" s="568"/>
      <c r="AF21" s="588"/>
      <c r="AG21" s="589"/>
      <c r="AH21" s="574"/>
      <c r="AI21" s="2867"/>
    </row>
    <row r="22" spans="1:35" ht="14.25" customHeight="1">
      <c r="A22" s="1276" t="s">
        <v>1411</v>
      </c>
      <c r="B22" s="1208">
        <v>86.3</v>
      </c>
      <c r="C22" s="1142"/>
      <c r="D22" s="1208">
        <v>97</v>
      </c>
      <c r="E22" s="1142"/>
      <c r="F22" s="1208"/>
      <c r="G22" s="1899"/>
      <c r="H22" s="1208"/>
      <c r="I22" s="563"/>
      <c r="J22" s="1208"/>
      <c r="K22" s="563"/>
      <c r="L22" s="1208"/>
      <c r="M22" s="563"/>
      <c r="N22" s="1208"/>
      <c r="O22" s="563"/>
      <c r="P22" s="1208"/>
      <c r="Q22" s="563"/>
      <c r="R22" s="1208"/>
      <c r="S22" s="563"/>
      <c r="T22" s="1208"/>
      <c r="U22" s="563"/>
      <c r="V22" s="1208"/>
      <c r="W22" s="563"/>
      <c r="X22" s="1208"/>
      <c r="Y22" s="2091"/>
      <c r="Z22" s="563"/>
      <c r="AA22" s="319">
        <f>ROUND(SUM(B22:X22),1)</f>
        <v>183.3</v>
      </c>
      <c r="AB22" s="2092"/>
      <c r="AC22" s="564"/>
      <c r="AD22" s="3209">
        <v>146.19999999999999</v>
      </c>
      <c r="AE22" s="568"/>
      <c r="AF22" s="588"/>
      <c r="AG22" s="598">
        <f>ROUND(SUM(AA22-AD22),1)</f>
        <v>37.1</v>
      </c>
      <c r="AH22" s="574"/>
      <c r="AI22" s="2828">
        <f>ROUND(IF(AD22=0,0,AG22/(AD22)),3)</f>
        <v>0.254</v>
      </c>
    </row>
    <row r="23" spans="1:35" ht="14.25" customHeight="1">
      <c r="A23" s="590" t="s">
        <v>1406</v>
      </c>
      <c r="B23" s="2366">
        <f>ROUND(SUM(B22:B22),1)</f>
        <v>86.3</v>
      </c>
      <c r="C23" s="1899"/>
      <c r="D23" s="485">
        <f>ROUND(SUM(D22:D22),1)</f>
        <v>97</v>
      </c>
      <c r="E23" s="1899"/>
      <c r="F23" s="485">
        <f>ROUND(SUM(F22:F22),1)</f>
        <v>0</v>
      </c>
      <c r="G23" s="1899"/>
      <c r="H23" s="485">
        <f>ROUND(SUM(H22:H22),1)</f>
        <v>0</v>
      </c>
      <c r="I23" s="563"/>
      <c r="J23" s="485">
        <f>ROUND(SUM(J22:J22),1)</f>
        <v>0</v>
      </c>
      <c r="K23" s="563"/>
      <c r="L23" s="485">
        <f>ROUND(SUM(L22:L22),1)</f>
        <v>0</v>
      </c>
      <c r="M23" s="563"/>
      <c r="N23" s="485">
        <f>ROUND(SUM(N22:N22),1)</f>
        <v>0</v>
      </c>
      <c r="O23" s="563"/>
      <c r="P23" s="485">
        <f>ROUND(SUM(P22:P22),1)</f>
        <v>0</v>
      </c>
      <c r="Q23" s="563"/>
      <c r="R23" s="485">
        <f>ROUND(SUM(R22:R22),1)</f>
        <v>0</v>
      </c>
      <c r="S23" s="563"/>
      <c r="T23" s="485">
        <f>ROUND(SUM(T22:T22),1)</f>
        <v>0</v>
      </c>
      <c r="U23" s="563"/>
      <c r="V23" s="485">
        <f>ROUND(SUM(V22:V22),1)</f>
        <v>0</v>
      </c>
      <c r="W23" s="563"/>
      <c r="X23" s="485">
        <f>ROUND(SUM(X22:X22),1)</f>
        <v>0</v>
      </c>
      <c r="Y23" s="2091"/>
      <c r="Z23" s="563"/>
      <c r="AA23" s="1289">
        <f>SUM(AA22:AA22)</f>
        <v>183.3</v>
      </c>
      <c r="AB23" s="2092"/>
      <c r="AC23" s="564"/>
      <c r="AD23" s="3210">
        <f>SUM(AD22:AD22)</f>
        <v>146.19999999999999</v>
      </c>
      <c r="AE23" s="568"/>
      <c r="AF23" s="588"/>
      <c r="AG23" s="2368">
        <f>ROUND(SUM(AA23-AD23),1)</f>
        <v>37.1</v>
      </c>
      <c r="AH23" s="584"/>
      <c r="AI23" s="2868">
        <f>ROUND(IF(AD23=0,0,AG23/(AD23)),3)</f>
        <v>0.254</v>
      </c>
    </row>
    <row r="24" spans="1:35" ht="14.25" customHeight="1">
      <c r="A24" s="590"/>
      <c r="B24" s="2366"/>
      <c r="C24" s="1899"/>
      <c r="D24" s="273"/>
      <c r="E24" s="1899"/>
      <c r="F24" s="273"/>
      <c r="G24" s="273"/>
      <c r="H24" s="273"/>
      <c r="I24" s="566"/>
      <c r="J24" s="273"/>
      <c r="K24" s="566"/>
      <c r="L24" s="273"/>
      <c r="M24" s="566"/>
      <c r="N24" s="273"/>
      <c r="O24" s="566"/>
      <c r="P24" s="273"/>
      <c r="Q24" s="566"/>
      <c r="R24" s="273"/>
      <c r="S24" s="566"/>
      <c r="T24" s="273"/>
      <c r="U24" s="566"/>
      <c r="V24" s="273"/>
      <c r="W24" s="566"/>
      <c r="X24" s="273"/>
      <c r="Y24" s="2091"/>
      <c r="Z24" s="563"/>
      <c r="AA24" s="316"/>
      <c r="AB24" s="2092"/>
      <c r="AC24" s="564"/>
      <c r="AD24" s="3212"/>
      <c r="AE24" s="568"/>
      <c r="AF24" s="588"/>
      <c r="AG24" s="589"/>
      <c r="AH24" s="574"/>
      <c r="AI24" s="2869"/>
    </row>
    <row r="25" spans="1:35" ht="14.25" customHeight="1">
      <c r="A25" s="590" t="s">
        <v>1407</v>
      </c>
      <c r="B25" s="617">
        <f>ROUND(SUM(B16+B20+B23),1)</f>
        <v>2245.8000000000002</v>
      </c>
      <c r="C25" s="261"/>
      <c r="D25" s="617">
        <f>ROUND(SUM(D16+D20+D23),1)</f>
        <v>1142.5999999999999</v>
      </c>
      <c r="E25" s="261"/>
      <c r="F25" s="617">
        <f>ROUND(SUM(F16+F20+F23),1)</f>
        <v>0</v>
      </c>
      <c r="G25" s="261"/>
      <c r="H25" s="617">
        <f>ROUND(SUM(H16+H20+H23),1)</f>
        <v>0</v>
      </c>
      <c r="I25" s="563"/>
      <c r="J25" s="617">
        <f>ROUND(SUM(J16+J20+J23),1)</f>
        <v>0</v>
      </c>
      <c r="K25" s="563"/>
      <c r="L25" s="617">
        <f>ROUND(SUM(L16+L20+L23),1)</f>
        <v>0</v>
      </c>
      <c r="M25" s="563"/>
      <c r="N25" s="617">
        <f>ROUND(SUM(N16+N20+N23),1)</f>
        <v>0</v>
      </c>
      <c r="O25" s="563"/>
      <c r="P25" s="617">
        <f>ROUND(SUM(P16+P20+P23),1)</f>
        <v>0</v>
      </c>
      <c r="Q25" s="563"/>
      <c r="R25" s="617">
        <f>ROUND(SUM(R16+R20+R23),1)</f>
        <v>0</v>
      </c>
      <c r="S25" s="563"/>
      <c r="T25" s="617">
        <f>ROUND(SUM(T16+T20+T23),1)</f>
        <v>0</v>
      </c>
      <c r="U25" s="563"/>
      <c r="V25" s="617">
        <f>ROUND(SUM(V16+V20+V23),1)</f>
        <v>0</v>
      </c>
      <c r="W25" s="563"/>
      <c r="X25" s="617">
        <f>ROUND(SUM(X16+X20+X23),1)</f>
        <v>0</v>
      </c>
      <c r="Y25" s="2091"/>
      <c r="Z25" s="563"/>
      <c r="AA25" s="617">
        <f>ROUND(SUM(AA16+AA20+AA23),1)</f>
        <v>3388.4</v>
      </c>
      <c r="AB25" s="2092"/>
      <c r="AC25" s="564"/>
      <c r="AD25" s="617">
        <f>ROUND(SUM(AD16+AD20+AD23),1)</f>
        <v>2897.9</v>
      </c>
      <c r="AE25" s="568"/>
      <c r="AF25" s="588"/>
      <c r="AG25" s="617">
        <f>ROUND(SUM(AG16+AG20+AG23),1)</f>
        <v>490.5</v>
      </c>
      <c r="AH25" s="584"/>
      <c r="AI25" s="2870">
        <f>ROUND(IF(AD25=0,0,AG25/(AD25)),3)</f>
        <v>0.16900000000000001</v>
      </c>
    </row>
    <row r="26" spans="1:35" ht="14.25" customHeight="1">
      <c r="A26" s="491"/>
      <c r="B26" s="261"/>
      <c r="C26" s="261"/>
      <c r="D26" s="261"/>
      <c r="E26" s="261"/>
      <c r="F26" s="261"/>
      <c r="G26" s="261"/>
      <c r="H26" s="261"/>
      <c r="I26" s="563"/>
      <c r="J26" s="261"/>
      <c r="K26" s="563"/>
      <c r="L26" s="261"/>
      <c r="M26" s="563"/>
      <c r="N26" s="261"/>
      <c r="O26" s="563"/>
      <c r="P26" s="261"/>
      <c r="Q26" s="563"/>
      <c r="R26" s="261"/>
      <c r="S26" s="563"/>
      <c r="T26" s="261"/>
      <c r="U26" s="563"/>
      <c r="V26" s="261"/>
      <c r="W26" s="563"/>
      <c r="X26" s="261"/>
      <c r="Y26" s="2091"/>
      <c r="Z26" s="563"/>
      <c r="AA26" s="564"/>
      <c r="AB26" s="2092"/>
      <c r="AC26" s="564"/>
      <c r="AD26" s="3194"/>
      <c r="AE26" s="568"/>
      <c r="AF26" s="588"/>
      <c r="AG26" s="589"/>
      <c r="AH26" s="574"/>
      <c r="AI26" s="2867"/>
    </row>
    <row r="27" spans="1:35" ht="14.25" customHeight="1">
      <c r="A27" s="491" t="s">
        <v>1308</v>
      </c>
      <c r="B27" s="600"/>
      <c r="C27" s="593"/>
      <c r="D27" s="593"/>
      <c r="E27" s="593"/>
      <c r="F27" s="593"/>
      <c r="G27" s="593"/>
      <c r="H27" s="593"/>
      <c r="I27" s="593"/>
      <c r="J27" s="593"/>
      <c r="K27" s="593"/>
      <c r="L27" s="593"/>
      <c r="M27" s="593"/>
      <c r="N27" s="593"/>
      <c r="O27" s="593"/>
      <c r="P27" s="593"/>
      <c r="Q27" s="593"/>
      <c r="R27" s="593"/>
      <c r="S27" s="593"/>
      <c r="T27" s="593"/>
      <c r="U27" s="593"/>
      <c r="V27" s="593"/>
      <c r="W27" s="593"/>
      <c r="X27" s="593"/>
      <c r="Y27" s="1994"/>
      <c r="Z27" s="593"/>
      <c r="AA27" s="592"/>
      <c r="AB27" s="1994"/>
      <c r="AC27" s="593"/>
      <c r="AD27" s="3204"/>
      <c r="AE27" s="596"/>
      <c r="AF27" s="597"/>
      <c r="AG27" s="598"/>
      <c r="AH27" s="574"/>
      <c r="AI27" s="2871"/>
    </row>
    <row r="28" spans="1:35" ht="14.25" customHeight="1">
      <c r="A28" s="1837" t="s">
        <v>1437</v>
      </c>
      <c r="B28" s="600"/>
      <c r="C28" s="593"/>
      <c r="D28" s="593"/>
      <c r="E28" s="593"/>
      <c r="F28" s="593"/>
      <c r="G28" s="593"/>
      <c r="H28" s="593"/>
      <c r="I28" s="593"/>
      <c r="J28" s="593"/>
      <c r="K28" s="593"/>
      <c r="L28" s="593"/>
      <c r="M28" s="593"/>
      <c r="N28" s="593"/>
      <c r="O28" s="593"/>
      <c r="P28" s="593"/>
      <c r="Q28" s="593"/>
      <c r="R28" s="593"/>
      <c r="S28" s="593"/>
      <c r="T28" s="593"/>
      <c r="U28" s="593"/>
      <c r="V28" s="593"/>
      <c r="W28" s="593"/>
      <c r="X28" s="593"/>
      <c r="Y28" s="2924"/>
      <c r="Z28" s="593"/>
      <c r="AA28" s="592"/>
      <c r="AB28" s="2924"/>
      <c r="AC28" s="593"/>
      <c r="AD28" s="3204"/>
      <c r="AE28" s="596"/>
      <c r="AF28" s="597"/>
      <c r="AG28" s="598"/>
      <c r="AH28" s="574"/>
      <c r="AI28" s="2871"/>
    </row>
    <row r="29" spans="1:35" ht="14.25" customHeight="1">
      <c r="A29" s="1837" t="s">
        <v>1312</v>
      </c>
      <c r="B29" s="600">
        <v>0</v>
      </c>
      <c r="C29" s="593"/>
      <c r="D29" s="593">
        <v>0</v>
      </c>
      <c r="E29" s="593"/>
      <c r="F29" s="593"/>
      <c r="G29" s="593"/>
      <c r="H29" s="593"/>
      <c r="I29" s="593"/>
      <c r="J29" s="593"/>
      <c r="K29" s="593"/>
      <c r="L29" s="593"/>
      <c r="M29" s="593"/>
      <c r="N29" s="593"/>
      <c r="O29" s="593"/>
      <c r="P29" s="593"/>
      <c r="Q29" s="593"/>
      <c r="R29" s="593"/>
      <c r="S29" s="593"/>
      <c r="T29" s="593"/>
      <c r="U29" s="593"/>
      <c r="V29" s="593"/>
      <c r="W29" s="593"/>
      <c r="X29" s="593"/>
      <c r="Y29" s="2924"/>
      <c r="Z29" s="593"/>
      <c r="AA29" s="592">
        <f t="shared" ref="AA29:AA36" si="0">ROUND(SUM(B29:X29),1)</f>
        <v>0</v>
      </c>
      <c r="AB29" s="2924"/>
      <c r="AC29" s="593"/>
      <c r="AD29" s="3204">
        <v>0</v>
      </c>
      <c r="AE29" s="596"/>
      <c r="AF29" s="597"/>
      <c r="AG29" s="598">
        <f t="shared" ref="AG29" si="1">ROUND(SUM(AA29-AD29),1)</f>
        <v>0</v>
      </c>
      <c r="AH29" s="574"/>
      <c r="AI29" s="2828">
        <f>ROUND(IF(AD29=0,0,AG29/(AD29)),3)</f>
        <v>0</v>
      </c>
    </row>
    <row r="30" spans="1:35" ht="14.25" customHeight="1">
      <c r="A30" s="1837" t="s">
        <v>1442</v>
      </c>
      <c r="B30" s="600"/>
      <c r="C30" s="593"/>
      <c r="D30" s="593"/>
      <c r="E30" s="593"/>
      <c r="F30" s="593"/>
      <c r="G30" s="593"/>
      <c r="H30" s="593"/>
      <c r="I30" s="593"/>
      <c r="J30" s="593"/>
      <c r="K30" s="593"/>
      <c r="L30" s="593"/>
      <c r="M30" s="593"/>
      <c r="N30" s="593"/>
      <c r="O30" s="593"/>
      <c r="P30" s="593"/>
      <c r="Q30" s="593"/>
      <c r="R30" s="593"/>
      <c r="S30" s="593"/>
      <c r="T30" s="593"/>
      <c r="U30" s="593"/>
      <c r="V30" s="593"/>
      <c r="W30" s="593"/>
      <c r="X30" s="593"/>
      <c r="Y30" s="2721"/>
      <c r="Z30" s="593"/>
      <c r="AA30" s="592"/>
      <c r="AB30" s="2721"/>
      <c r="AC30" s="593"/>
      <c r="AD30" s="3204"/>
      <c r="AE30" s="596"/>
      <c r="AF30" s="597"/>
      <c r="AG30" s="598"/>
      <c r="AH30" s="574"/>
      <c r="AI30" s="2871"/>
    </row>
    <row r="31" spans="1:35" ht="14.25" customHeight="1">
      <c r="A31" s="1837" t="s">
        <v>1315</v>
      </c>
      <c r="B31" s="600">
        <v>0</v>
      </c>
      <c r="C31" s="593"/>
      <c r="D31" s="600">
        <v>0</v>
      </c>
      <c r="E31" s="593"/>
      <c r="F31" s="600"/>
      <c r="G31" s="593"/>
      <c r="H31" s="600"/>
      <c r="I31" s="593"/>
      <c r="J31" s="600"/>
      <c r="K31" s="593"/>
      <c r="L31" s="600"/>
      <c r="M31" s="593"/>
      <c r="N31" s="600"/>
      <c r="O31" s="593"/>
      <c r="P31" s="600"/>
      <c r="Q31" s="593"/>
      <c r="R31" s="600"/>
      <c r="S31" s="593"/>
      <c r="T31" s="600"/>
      <c r="U31" s="593"/>
      <c r="V31" s="600"/>
      <c r="W31" s="593"/>
      <c r="X31" s="600"/>
      <c r="Y31" s="2721"/>
      <c r="Z31" s="593"/>
      <c r="AA31" s="592">
        <f t="shared" si="0"/>
        <v>0</v>
      </c>
      <c r="AB31" s="2721"/>
      <c r="AC31" s="593"/>
      <c r="AD31" s="3204">
        <v>0</v>
      </c>
      <c r="AE31" s="596"/>
      <c r="AF31" s="597"/>
      <c r="AG31" s="598">
        <f t="shared" ref="AG31:AG39" si="2">ROUND(SUM(AA31-AD31),1)</f>
        <v>0</v>
      </c>
      <c r="AH31" s="574"/>
      <c r="AI31" s="2828">
        <f t="shared" ref="AI31:AI39" si="3">ROUND(IF(AD31=0,0,AG31/(AD31)),3)</f>
        <v>0</v>
      </c>
    </row>
    <row r="32" spans="1:35" ht="14.25" customHeight="1">
      <c r="A32" s="1837" t="s">
        <v>1316</v>
      </c>
      <c r="B32" s="600">
        <v>0</v>
      </c>
      <c r="C32" s="593"/>
      <c r="D32" s="600">
        <v>0</v>
      </c>
      <c r="E32" s="593"/>
      <c r="F32" s="600"/>
      <c r="G32" s="593"/>
      <c r="H32" s="600"/>
      <c r="I32" s="593"/>
      <c r="J32" s="600"/>
      <c r="K32" s="593"/>
      <c r="L32" s="600"/>
      <c r="M32" s="593"/>
      <c r="N32" s="600"/>
      <c r="O32" s="593"/>
      <c r="P32" s="600"/>
      <c r="Q32" s="593"/>
      <c r="R32" s="600"/>
      <c r="S32" s="593"/>
      <c r="T32" s="600"/>
      <c r="U32" s="593"/>
      <c r="V32" s="600"/>
      <c r="W32" s="593"/>
      <c r="X32" s="600"/>
      <c r="Y32" s="2721"/>
      <c r="Z32" s="593"/>
      <c r="AA32" s="592">
        <f t="shared" si="0"/>
        <v>0</v>
      </c>
      <c r="AB32" s="2721"/>
      <c r="AC32" s="593"/>
      <c r="AD32" s="3204">
        <v>0</v>
      </c>
      <c r="AE32" s="596"/>
      <c r="AF32" s="597"/>
      <c r="AG32" s="598">
        <f t="shared" si="2"/>
        <v>0</v>
      </c>
      <c r="AH32" s="574"/>
      <c r="AI32" s="2828">
        <f t="shared" si="3"/>
        <v>0</v>
      </c>
    </row>
    <row r="33" spans="1:36" ht="14.25" customHeight="1">
      <c r="A33" s="1837" t="s">
        <v>1317</v>
      </c>
      <c r="B33" s="600">
        <v>0</v>
      </c>
      <c r="C33" s="593"/>
      <c r="D33" s="600">
        <v>0</v>
      </c>
      <c r="E33" s="593"/>
      <c r="F33" s="600"/>
      <c r="G33" s="593"/>
      <c r="H33" s="600"/>
      <c r="I33" s="593"/>
      <c r="J33" s="600"/>
      <c r="K33" s="593"/>
      <c r="L33" s="600"/>
      <c r="M33" s="593"/>
      <c r="N33" s="600"/>
      <c r="O33" s="593"/>
      <c r="P33" s="600"/>
      <c r="Q33" s="593"/>
      <c r="R33" s="600"/>
      <c r="S33" s="593"/>
      <c r="T33" s="600"/>
      <c r="U33" s="593"/>
      <c r="V33" s="600"/>
      <c r="W33" s="593"/>
      <c r="X33" s="600"/>
      <c r="Y33" s="2721"/>
      <c r="Z33" s="593"/>
      <c r="AA33" s="592">
        <f t="shared" si="0"/>
        <v>0</v>
      </c>
      <c r="AB33" s="2721"/>
      <c r="AC33" s="593"/>
      <c r="AD33" s="3204">
        <v>0</v>
      </c>
      <c r="AE33" s="596"/>
      <c r="AF33" s="597"/>
      <c r="AG33" s="598">
        <f t="shared" si="2"/>
        <v>0</v>
      </c>
      <c r="AH33" s="574"/>
      <c r="AI33" s="2828">
        <f t="shared" si="3"/>
        <v>0</v>
      </c>
    </row>
    <row r="34" spans="1:36" ht="14.25" customHeight="1">
      <c r="A34" s="1837" t="s">
        <v>1318</v>
      </c>
      <c r="B34" s="600">
        <v>0</v>
      </c>
      <c r="C34" s="593"/>
      <c r="D34" s="600">
        <v>0</v>
      </c>
      <c r="E34" s="593"/>
      <c r="F34" s="600"/>
      <c r="G34" s="593"/>
      <c r="H34" s="600"/>
      <c r="I34" s="593"/>
      <c r="J34" s="600"/>
      <c r="K34" s="593"/>
      <c r="L34" s="600"/>
      <c r="M34" s="593"/>
      <c r="N34" s="600"/>
      <c r="O34" s="593"/>
      <c r="P34" s="600"/>
      <c r="Q34" s="593"/>
      <c r="R34" s="600"/>
      <c r="S34" s="593"/>
      <c r="T34" s="600"/>
      <c r="U34" s="593"/>
      <c r="V34" s="600"/>
      <c r="W34" s="593"/>
      <c r="X34" s="600"/>
      <c r="Y34" s="2721"/>
      <c r="Z34" s="593"/>
      <c r="AA34" s="592">
        <f t="shared" si="0"/>
        <v>0</v>
      </c>
      <c r="AB34" s="2721"/>
      <c r="AC34" s="593"/>
      <c r="AD34" s="3204">
        <v>0</v>
      </c>
      <c r="AE34" s="596"/>
      <c r="AF34" s="597"/>
      <c r="AG34" s="598">
        <f t="shared" si="2"/>
        <v>0</v>
      </c>
      <c r="AH34" s="574"/>
      <c r="AI34" s="2828">
        <f t="shared" si="3"/>
        <v>0</v>
      </c>
    </row>
    <row r="35" spans="1:36" ht="14.25" customHeight="1">
      <c r="A35" s="1837" t="s">
        <v>1319</v>
      </c>
      <c r="B35" s="600">
        <v>0</v>
      </c>
      <c r="C35" s="593"/>
      <c r="D35" s="600">
        <v>0</v>
      </c>
      <c r="E35" s="593"/>
      <c r="F35" s="600"/>
      <c r="G35" s="593"/>
      <c r="H35" s="600"/>
      <c r="I35" s="593"/>
      <c r="J35" s="600"/>
      <c r="K35" s="593"/>
      <c r="L35" s="600"/>
      <c r="M35" s="593"/>
      <c r="N35" s="600"/>
      <c r="O35" s="593"/>
      <c r="P35" s="600"/>
      <c r="Q35" s="593"/>
      <c r="R35" s="600"/>
      <c r="S35" s="593"/>
      <c r="T35" s="600"/>
      <c r="U35" s="593"/>
      <c r="V35" s="600"/>
      <c r="W35" s="593"/>
      <c r="X35" s="600"/>
      <c r="Y35" s="2721"/>
      <c r="Z35" s="593"/>
      <c r="AA35" s="592">
        <f t="shared" si="0"/>
        <v>0</v>
      </c>
      <c r="AB35" s="2721"/>
      <c r="AC35" s="593"/>
      <c r="AD35" s="3204">
        <v>0</v>
      </c>
      <c r="AE35" s="596"/>
      <c r="AF35" s="597"/>
      <c r="AG35" s="598">
        <f t="shared" si="2"/>
        <v>0</v>
      </c>
      <c r="AH35" s="574"/>
      <c r="AI35" s="2828">
        <f t="shared" si="3"/>
        <v>0</v>
      </c>
    </row>
    <row r="36" spans="1:36" ht="14.25" customHeight="1">
      <c r="A36" s="1837" t="s">
        <v>1320</v>
      </c>
      <c r="B36" s="600">
        <v>0</v>
      </c>
      <c r="C36" s="593"/>
      <c r="D36" s="600">
        <v>0</v>
      </c>
      <c r="E36" s="593"/>
      <c r="F36" s="600"/>
      <c r="G36" s="593"/>
      <c r="H36" s="600"/>
      <c r="I36" s="593"/>
      <c r="J36" s="600"/>
      <c r="K36" s="593"/>
      <c r="L36" s="600"/>
      <c r="M36" s="593"/>
      <c r="N36" s="600"/>
      <c r="O36" s="593"/>
      <c r="P36" s="600"/>
      <c r="Q36" s="593"/>
      <c r="R36" s="600"/>
      <c r="S36" s="593"/>
      <c r="T36" s="600"/>
      <c r="U36" s="593"/>
      <c r="V36" s="600"/>
      <c r="W36" s="593"/>
      <c r="X36" s="600"/>
      <c r="Y36" s="2721"/>
      <c r="Z36" s="593"/>
      <c r="AA36" s="592">
        <f t="shared" si="0"/>
        <v>0</v>
      </c>
      <c r="AB36" s="2721"/>
      <c r="AC36" s="593"/>
      <c r="AD36" s="3204">
        <v>0</v>
      </c>
      <c r="AE36" s="596"/>
      <c r="AF36" s="597"/>
      <c r="AG36" s="598">
        <f t="shared" si="2"/>
        <v>0</v>
      </c>
      <c r="AH36" s="574"/>
      <c r="AI36" s="2828">
        <f t="shared" si="3"/>
        <v>0</v>
      </c>
    </row>
    <row r="37" spans="1:36" ht="14.25" customHeight="1">
      <c r="A37" s="1837" t="s">
        <v>1310</v>
      </c>
      <c r="B37" s="600">
        <v>0</v>
      </c>
      <c r="C37" s="593"/>
      <c r="D37" s="600">
        <v>0</v>
      </c>
      <c r="E37" s="593"/>
      <c r="F37" s="600"/>
      <c r="G37" s="593"/>
      <c r="H37" s="600"/>
      <c r="I37" s="593"/>
      <c r="J37" s="600"/>
      <c r="K37" s="593"/>
      <c r="L37" s="600"/>
      <c r="M37" s="593"/>
      <c r="N37" s="600"/>
      <c r="O37" s="593"/>
      <c r="P37" s="600"/>
      <c r="Q37" s="593"/>
      <c r="R37" s="600"/>
      <c r="S37" s="593"/>
      <c r="T37" s="600"/>
      <c r="U37" s="593"/>
      <c r="V37" s="600"/>
      <c r="W37" s="593"/>
      <c r="X37" s="600"/>
      <c r="Y37" s="1994"/>
      <c r="Z37" s="593"/>
      <c r="AA37" s="592">
        <f>ROUND(SUM(B37:X37),1)</f>
        <v>0</v>
      </c>
      <c r="AB37" s="1994"/>
      <c r="AC37" s="593"/>
      <c r="AD37" s="3204">
        <v>0</v>
      </c>
      <c r="AE37" s="596"/>
      <c r="AF37" s="597"/>
      <c r="AG37" s="598">
        <f t="shared" si="2"/>
        <v>0</v>
      </c>
      <c r="AH37" s="574"/>
      <c r="AI37" s="2828">
        <f>ROUND(IF(AD37=0,0,AG37/(AD37)),3)</f>
        <v>0</v>
      </c>
    </row>
    <row r="38" spans="1:36" ht="14.25" customHeight="1">
      <c r="A38" s="1837" t="s">
        <v>1328</v>
      </c>
      <c r="B38" s="600">
        <v>0</v>
      </c>
      <c r="C38" s="593"/>
      <c r="D38" s="600">
        <v>0.5</v>
      </c>
      <c r="E38" s="593"/>
      <c r="F38" s="600"/>
      <c r="G38" s="593"/>
      <c r="H38" s="600"/>
      <c r="I38" s="593"/>
      <c r="J38" s="600"/>
      <c r="K38" s="593"/>
      <c r="L38" s="600"/>
      <c r="M38" s="593"/>
      <c r="N38" s="600"/>
      <c r="O38" s="593"/>
      <c r="P38" s="600"/>
      <c r="Q38" s="593"/>
      <c r="R38" s="600"/>
      <c r="S38" s="593"/>
      <c r="T38" s="600"/>
      <c r="U38" s="593"/>
      <c r="V38" s="600"/>
      <c r="W38" s="593"/>
      <c r="X38" s="600"/>
      <c r="Y38" s="1994"/>
      <c r="Z38" s="593"/>
      <c r="AA38" s="592">
        <f>ROUND(SUM(B38:X38),1)</f>
        <v>0.5</v>
      </c>
      <c r="AB38" s="1994"/>
      <c r="AC38" s="593"/>
      <c r="AD38" s="3204">
        <v>2.5</v>
      </c>
      <c r="AE38" s="596"/>
      <c r="AF38" s="597"/>
      <c r="AG38" s="598">
        <f t="shared" si="2"/>
        <v>-2</v>
      </c>
      <c r="AH38" s="574"/>
      <c r="AI38" s="45">
        <f t="shared" si="3"/>
        <v>-0.8</v>
      </c>
    </row>
    <row r="39" spans="1:36" ht="14.25" customHeight="1">
      <c r="A39" s="1837" t="s">
        <v>1329</v>
      </c>
      <c r="B39" s="600">
        <v>0</v>
      </c>
      <c r="C39" s="593"/>
      <c r="D39" s="600">
        <v>0</v>
      </c>
      <c r="E39" s="593"/>
      <c r="F39" s="600"/>
      <c r="G39" s="593"/>
      <c r="H39" s="600"/>
      <c r="I39" s="593"/>
      <c r="J39" s="600"/>
      <c r="K39" s="593"/>
      <c r="L39" s="600"/>
      <c r="M39" s="593"/>
      <c r="N39" s="600"/>
      <c r="O39" s="593"/>
      <c r="P39" s="600"/>
      <c r="Q39" s="593"/>
      <c r="R39" s="600"/>
      <c r="S39" s="593"/>
      <c r="T39" s="600"/>
      <c r="U39" s="593"/>
      <c r="V39" s="600"/>
      <c r="W39" s="593"/>
      <c r="X39" s="600"/>
      <c r="Y39" s="1994"/>
      <c r="Z39" s="593"/>
      <c r="AA39" s="592">
        <f>ROUND(SUM(B39:X39),1)</f>
        <v>0</v>
      </c>
      <c r="AB39" s="1994"/>
      <c r="AC39" s="593"/>
      <c r="AD39" s="3204">
        <v>0</v>
      </c>
      <c r="AE39" s="596"/>
      <c r="AF39" s="597"/>
      <c r="AG39" s="598">
        <f t="shared" si="2"/>
        <v>0</v>
      </c>
      <c r="AH39" s="574"/>
      <c r="AI39" s="45">
        <f t="shared" si="3"/>
        <v>0</v>
      </c>
    </row>
    <row r="40" spans="1:36" ht="14.25" customHeight="1">
      <c r="A40" s="1837" t="s">
        <v>1441</v>
      </c>
      <c r="B40" s="600"/>
      <c r="C40" s="593"/>
      <c r="D40" s="600"/>
      <c r="E40" s="593"/>
      <c r="F40" s="600"/>
      <c r="G40" s="593"/>
      <c r="H40" s="600"/>
      <c r="I40" s="593"/>
      <c r="J40" s="600"/>
      <c r="K40" s="593"/>
      <c r="L40" s="600"/>
      <c r="M40" s="593"/>
      <c r="N40" s="600"/>
      <c r="O40" s="593"/>
      <c r="P40" s="600"/>
      <c r="Q40" s="593"/>
      <c r="R40" s="600"/>
      <c r="S40" s="593"/>
      <c r="T40" s="600"/>
      <c r="U40" s="593"/>
      <c r="V40" s="600"/>
      <c r="W40" s="593"/>
      <c r="X40" s="600"/>
      <c r="Y40" s="1994"/>
      <c r="Z40" s="593"/>
      <c r="AA40" s="592"/>
      <c r="AB40" s="1994"/>
      <c r="AC40" s="593"/>
      <c r="AD40" s="3204"/>
      <c r="AE40" s="596"/>
      <c r="AF40" s="597"/>
      <c r="AG40" s="598"/>
      <c r="AH40" s="574"/>
      <c r="AI40" s="599"/>
    </row>
    <row r="41" spans="1:36" ht="14.25" customHeight="1">
      <c r="A41" s="1837" t="s">
        <v>1484</v>
      </c>
      <c r="B41" s="600">
        <v>-8.3000000000000007</v>
      </c>
      <c r="C41" s="593"/>
      <c r="D41" s="600">
        <v>94.2</v>
      </c>
      <c r="E41" s="593"/>
      <c r="F41" s="600"/>
      <c r="G41" s="593"/>
      <c r="H41" s="600"/>
      <c r="I41" s="593"/>
      <c r="J41" s="600"/>
      <c r="K41" s="593"/>
      <c r="L41" s="600"/>
      <c r="M41" s="593"/>
      <c r="N41" s="600"/>
      <c r="O41" s="593"/>
      <c r="P41" s="600"/>
      <c r="Q41" s="593"/>
      <c r="R41" s="600"/>
      <c r="S41" s="593"/>
      <c r="T41" s="600"/>
      <c r="U41" s="593"/>
      <c r="V41" s="600"/>
      <c r="W41" s="593"/>
      <c r="X41" s="600"/>
      <c r="Y41" s="1994"/>
      <c r="Z41" s="593"/>
      <c r="AA41" s="592">
        <f>ROUND(SUM(B41:X41),1)</f>
        <v>85.9</v>
      </c>
      <c r="AB41" s="1994"/>
      <c r="AC41" s="593"/>
      <c r="AD41" s="3204">
        <v>81.5</v>
      </c>
      <c r="AE41" s="596"/>
      <c r="AF41" s="597"/>
      <c r="AG41" s="598">
        <f>ROUND(SUM(AA41-AD41),1)</f>
        <v>4.4000000000000004</v>
      </c>
      <c r="AH41" s="574"/>
      <c r="AI41" s="45">
        <f>ROUND(IF(AD41=0,0,AG41/(AD41)),3)</f>
        <v>5.3999999999999999E-2</v>
      </c>
    </row>
    <row r="42" spans="1:36" ht="14.25" customHeight="1">
      <c r="A42" s="1837" t="s">
        <v>1339</v>
      </c>
      <c r="B42" s="600">
        <v>0</v>
      </c>
      <c r="C42" s="593"/>
      <c r="D42" s="600">
        <v>0</v>
      </c>
      <c r="E42" s="593"/>
      <c r="F42" s="600"/>
      <c r="G42" s="593"/>
      <c r="H42" s="600"/>
      <c r="I42" s="593"/>
      <c r="J42" s="600"/>
      <c r="K42" s="593"/>
      <c r="L42" s="600"/>
      <c r="M42" s="593"/>
      <c r="N42" s="600"/>
      <c r="O42" s="593"/>
      <c r="P42" s="600"/>
      <c r="Q42" s="593"/>
      <c r="R42" s="600"/>
      <c r="S42" s="593"/>
      <c r="T42" s="600"/>
      <c r="U42" s="593"/>
      <c r="V42" s="600"/>
      <c r="W42" s="593"/>
      <c r="X42" s="600"/>
      <c r="Y42" s="2924"/>
      <c r="Z42" s="593"/>
      <c r="AA42" s="592">
        <f>ROUND(SUM(B42:X42),1)</f>
        <v>0</v>
      </c>
      <c r="AB42" s="2924"/>
      <c r="AC42" s="593"/>
      <c r="AD42" s="3204">
        <v>0</v>
      </c>
      <c r="AE42" s="596"/>
      <c r="AF42" s="597"/>
      <c r="AG42" s="598">
        <f>ROUND(SUM(AA42-AD42),1)</f>
        <v>0</v>
      </c>
      <c r="AH42" s="574"/>
      <c r="AI42" s="2828">
        <f>ROUND(IF(AD42=0,0,AG42/(AD42)),3)</f>
        <v>0</v>
      </c>
    </row>
    <row r="43" spans="1:36" s="609" customFormat="1" ht="15.75">
      <c r="A43" s="590" t="s">
        <v>1375</v>
      </c>
      <c r="B43" s="256">
        <f>ROUND(SUM(B29:B42),1)</f>
        <v>-8.3000000000000007</v>
      </c>
      <c r="C43" s="2095"/>
      <c r="D43" s="256">
        <f>ROUND(SUM(D29:D42),1)</f>
        <v>94.7</v>
      </c>
      <c r="E43" s="2095"/>
      <c r="F43" s="256">
        <f>ROUND(SUM(F29:F42),1)</f>
        <v>0</v>
      </c>
      <c r="G43" s="2095"/>
      <c r="H43" s="256">
        <f>ROUND(SUM(H29:H42),1)</f>
        <v>0</v>
      </c>
      <c r="I43" s="604"/>
      <c r="J43" s="256">
        <f>ROUND(SUM(J29:J42),1)</f>
        <v>0</v>
      </c>
      <c r="K43" s="604"/>
      <c r="L43" s="256">
        <f>ROUND(SUM(L29:L42),1)</f>
        <v>0</v>
      </c>
      <c r="M43" s="604"/>
      <c r="N43" s="256">
        <f>ROUND(SUM(N29:N42),1)</f>
        <v>0</v>
      </c>
      <c r="O43" s="604"/>
      <c r="P43" s="256">
        <f>ROUND(SUM(P29:P42),1)</f>
        <v>0</v>
      </c>
      <c r="Q43" s="604"/>
      <c r="R43" s="256">
        <f>ROUND(SUM(R29:R42),1)</f>
        <v>0</v>
      </c>
      <c r="S43" s="604"/>
      <c r="T43" s="256">
        <f>ROUND(SUM(T29:T42),1)</f>
        <v>0</v>
      </c>
      <c r="U43" s="604"/>
      <c r="V43" s="256">
        <f>ROUND(SUM(V29:V42),1)</f>
        <v>0</v>
      </c>
      <c r="W43" s="604"/>
      <c r="X43" s="256">
        <f>ROUND(SUM(X29:X42),1)</f>
        <v>0</v>
      </c>
      <c r="Y43" s="606"/>
      <c r="Z43" s="604"/>
      <c r="AA43" s="528">
        <f>ROUND(SUM(AA29:AA42),1)</f>
        <v>86.4</v>
      </c>
      <c r="AB43" s="606"/>
      <c r="AC43" s="604"/>
      <c r="AD43" s="528">
        <f>ROUND(SUM(AD29:AD42),1)</f>
        <v>84</v>
      </c>
      <c r="AE43" s="607"/>
      <c r="AF43" s="608"/>
      <c r="AG43" s="256">
        <f>ROUND(SUM(AG29:AG42),1)</f>
        <v>2.4</v>
      </c>
      <c r="AH43" s="584"/>
      <c r="AI43" s="72">
        <f>ROUND(IF(AD43=0,0,AG43/(AD43)),3)</f>
        <v>2.9000000000000001E-2</v>
      </c>
      <c r="AJ43" s="1031"/>
    </row>
    <row r="44" spans="1:36" s="609" customFormat="1" ht="14.25" customHeight="1">
      <c r="A44" s="590"/>
      <c r="B44" s="273"/>
      <c r="C44" s="2095"/>
      <c r="D44" s="273"/>
      <c r="E44" s="2095"/>
      <c r="F44" s="273"/>
      <c r="G44" s="2095"/>
      <c r="H44" s="273"/>
      <c r="I44" s="604"/>
      <c r="J44" s="273"/>
      <c r="K44" s="604"/>
      <c r="L44" s="273"/>
      <c r="M44" s="604"/>
      <c r="N44" s="273"/>
      <c r="O44" s="604"/>
      <c r="P44" s="273"/>
      <c r="Q44" s="604"/>
      <c r="R44" s="273"/>
      <c r="S44" s="604"/>
      <c r="T44" s="273"/>
      <c r="U44" s="604"/>
      <c r="V44" s="273"/>
      <c r="W44" s="604"/>
      <c r="X44" s="273"/>
      <c r="Y44" s="2094"/>
      <c r="Z44" s="604"/>
      <c r="AA44" s="2097"/>
      <c r="AB44" s="2094"/>
      <c r="AC44" s="604"/>
      <c r="AD44" s="3195"/>
      <c r="AE44" s="607"/>
      <c r="AF44" s="608"/>
      <c r="AG44" s="2095"/>
      <c r="AH44" s="584"/>
      <c r="AI44" s="585"/>
      <c r="AJ44" s="1031"/>
    </row>
    <row r="45" spans="1:36" ht="15">
      <c r="A45" s="1614" t="s">
        <v>1186</v>
      </c>
      <c r="B45" s="2098">
        <v>0</v>
      </c>
      <c r="C45" s="598"/>
      <c r="D45" s="2098">
        <v>0</v>
      </c>
      <c r="E45" s="598"/>
      <c r="F45" s="2098"/>
      <c r="G45" s="593"/>
      <c r="H45" s="2098"/>
      <c r="I45" s="593"/>
      <c r="J45" s="2098"/>
      <c r="K45" s="593"/>
      <c r="L45" s="2098"/>
      <c r="M45" s="593"/>
      <c r="N45" s="2098"/>
      <c r="O45" s="593"/>
      <c r="P45" s="2098"/>
      <c r="Q45" s="593"/>
      <c r="R45" s="2098"/>
      <c r="S45" s="593"/>
      <c r="T45" s="2098"/>
      <c r="U45" s="593"/>
      <c r="V45" s="2098"/>
      <c r="W45" s="593"/>
      <c r="X45" s="2098"/>
      <c r="Y45" s="595"/>
      <c r="Z45" s="593"/>
      <c r="AA45" s="601">
        <f>ROUND(SUM(B45:X45),1)</f>
        <v>0</v>
      </c>
      <c r="AB45" s="595"/>
      <c r="AC45" s="593"/>
      <c r="AD45" s="3205">
        <v>0</v>
      </c>
      <c r="AE45" s="596"/>
      <c r="AF45" s="597"/>
      <c r="AG45" s="602">
        <f>ROUND(SUM(AA45-AD45),1)</f>
        <v>0</v>
      </c>
      <c r="AH45" s="574"/>
      <c r="AI45" s="1854">
        <f>ROUND(IF(AD45=0,0,AG45/(AD45)),3)</f>
        <v>0</v>
      </c>
    </row>
    <row r="46" spans="1:36" ht="12" customHeight="1">
      <c r="A46" s="563"/>
      <c r="B46" s="593"/>
      <c r="C46" s="593"/>
      <c r="D46" s="593"/>
      <c r="E46" s="593"/>
      <c r="F46" s="593"/>
      <c r="G46" s="593"/>
      <c r="H46" s="593"/>
      <c r="I46" s="593"/>
      <c r="J46" s="593"/>
      <c r="K46" s="593"/>
      <c r="L46" s="593"/>
      <c r="M46" s="593"/>
      <c r="N46" s="593"/>
      <c r="O46" s="593"/>
      <c r="P46" s="593"/>
      <c r="Q46" s="593"/>
      <c r="R46" s="593"/>
      <c r="S46" s="593"/>
      <c r="T46" s="593"/>
      <c r="U46" s="593"/>
      <c r="V46" s="593"/>
      <c r="W46" s="593"/>
      <c r="X46" s="593"/>
      <c r="Y46" s="595"/>
      <c r="Z46" s="593"/>
      <c r="AA46" s="593"/>
      <c r="AB46" s="595"/>
      <c r="AC46" s="593"/>
      <c r="AD46" s="3202"/>
      <c r="AE46" s="596"/>
      <c r="AF46" s="597"/>
      <c r="AG46" s="598"/>
      <c r="AH46" s="574"/>
      <c r="AI46" s="575"/>
    </row>
    <row r="47" spans="1:36" ht="14.25" customHeight="1">
      <c r="A47" s="590" t="s">
        <v>194</v>
      </c>
      <c r="B47" s="603">
        <f>ROUND(SUM(B25+B43+B45),1)</f>
        <v>2237.5</v>
      </c>
      <c r="C47" s="604"/>
      <c r="D47" s="603">
        <f>ROUND(SUM(D25+D43+D45),1)</f>
        <v>1237.3</v>
      </c>
      <c r="E47" s="605"/>
      <c r="F47" s="603">
        <f>ROUND(SUM(F25+F43+F45),1)</f>
        <v>0</v>
      </c>
      <c r="G47" s="605"/>
      <c r="H47" s="603">
        <f>ROUND(SUM(H25+H43+H45),1)</f>
        <v>0</v>
      </c>
      <c r="I47" s="605"/>
      <c r="J47" s="603">
        <f>ROUND(SUM(J25+J43+J45),1)</f>
        <v>0</v>
      </c>
      <c r="K47" s="605"/>
      <c r="L47" s="603">
        <f>ROUND(SUM(L25+L43+L45),1)</f>
        <v>0</v>
      </c>
      <c r="M47" s="605"/>
      <c r="N47" s="603">
        <f>ROUND(SUM(N25+N43+N45),1)</f>
        <v>0</v>
      </c>
      <c r="O47" s="605"/>
      <c r="P47" s="603">
        <f>ROUND(SUM(P25+P43+P45),1)</f>
        <v>0</v>
      </c>
      <c r="Q47" s="605"/>
      <c r="R47" s="603">
        <f>ROUND(SUM(R25+R43+R45),1)</f>
        <v>0</v>
      </c>
      <c r="S47" s="605"/>
      <c r="T47" s="603">
        <f>ROUND(SUM(T25+T43+T45),1)</f>
        <v>0</v>
      </c>
      <c r="U47" s="605"/>
      <c r="V47" s="603">
        <f>ROUND(SUM(V25+V43+V45),1)</f>
        <v>0</v>
      </c>
      <c r="W47" s="605"/>
      <c r="X47" s="603">
        <f>ROUND(SUM(X25+X43+X45),1)</f>
        <v>0</v>
      </c>
      <c r="Y47" s="606"/>
      <c r="Z47" s="604"/>
      <c r="AA47" s="603">
        <f>ROUND(SUM(AA25+AA43+AA45),1)</f>
        <v>3474.8</v>
      </c>
      <c r="AB47" s="606"/>
      <c r="AC47" s="604"/>
      <c r="AD47" s="603">
        <f>ROUND(SUM(AD25+AD43+AD45),1)</f>
        <v>2981.9</v>
      </c>
      <c r="AE47" s="607"/>
      <c r="AF47" s="608"/>
      <c r="AG47" s="603">
        <f>ROUND(SUM(AG25+AG43+AG45),1)</f>
        <v>492.9</v>
      </c>
      <c r="AH47" s="584"/>
      <c r="AI47" s="1974">
        <f>ROUND(IF(AD47=0,0,AG47/(AD47)),3)</f>
        <v>0.16500000000000001</v>
      </c>
      <c r="AJ47" s="1032"/>
    </row>
    <row r="48" spans="1:36" ht="19.5" customHeight="1">
      <c r="A48" s="56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5"/>
      <c r="Z48" s="593"/>
      <c r="AA48" s="593"/>
      <c r="AB48" s="595"/>
      <c r="AC48" s="593"/>
      <c r="AD48" s="3202"/>
      <c r="AE48" s="596"/>
      <c r="AF48" s="597"/>
      <c r="AG48" s="598"/>
      <c r="AH48" s="574"/>
      <c r="AI48" s="575"/>
    </row>
    <row r="49" spans="1:36" ht="15.75">
      <c r="A49" s="610" t="s">
        <v>195</v>
      </c>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5"/>
      <c r="Z49" s="593"/>
      <c r="AA49" s="593"/>
      <c r="AB49" s="595"/>
      <c r="AC49" s="593"/>
      <c r="AD49" s="3202"/>
      <c r="AE49" s="596"/>
      <c r="AF49" s="597"/>
      <c r="AG49" s="598"/>
      <c r="AH49" s="574"/>
      <c r="AI49" s="575"/>
    </row>
    <row r="50" spans="1:36" ht="14.25" customHeight="1">
      <c r="A50" s="611" t="s">
        <v>158</v>
      </c>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5"/>
      <c r="Z50" s="593"/>
      <c r="AA50" s="593"/>
      <c r="AB50" s="595"/>
      <c r="AC50" s="593"/>
      <c r="AD50" s="3202"/>
      <c r="AE50" s="596"/>
      <c r="AF50" s="597"/>
      <c r="AG50" s="598"/>
      <c r="AH50" s="574"/>
      <c r="AI50" s="575"/>
    </row>
    <row r="51" spans="1:36" ht="14.25" customHeight="1">
      <c r="A51" s="611" t="s">
        <v>39</v>
      </c>
      <c r="B51" s="600">
        <v>0.4</v>
      </c>
      <c r="C51" s="593"/>
      <c r="D51" s="593">
        <v>1.2</v>
      </c>
      <c r="E51" s="592"/>
      <c r="F51" s="593"/>
      <c r="G51" s="593"/>
      <c r="H51" s="593"/>
      <c r="I51" s="593"/>
      <c r="J51" s="593"/>
      <c r="K51" s="593"/>
      <c r="L51" s="593"/>
      <c r="M51" s="593"/>
      <c r="N51" s="593"/>
      <c r="O51" s="593"/>
      <c r="P51" s="593"/>
      <c r="Q51" s="593"/>
      <c r="R51" s="593"/>
      <c r="S51" s="593"/>
      <c r="T51" s="593"/>
      <c r="U51" s="593"/>
      <c r="V51" s="593"/>
      <c r="W51" s="593"/>
      <c r="X51" s="593"/>
      <c r="Y51" s="595"/>
      <c r="Z51" s="593"/>
      <c r="AA51" s="592">
        <f>ROUND(SUM(B51:X51),1)</f>
        <v>1.6</v>
      </c>
      <c r="AB51" s="595"/>
      <c r="AC51" s="593"/>
      <c r="AD51" s="3204">
        <v>2.6</v>
      </c>
      <c r="AE51" s="596"/>
      <c r="AF51" s="597"/>
      <c r="AG51" s="598">
        <f>ROUND(SUM(AA51-AD51),1)</f>
        <v>-1</v>
      </c>
      <c r="AH51" s="574"/>
      <c r="AI51" s="2700">
        <f>ROUND(IF(AD51=0,0,AG51/(AD51)),3)</f>
        <v>-0.38500000000000001</v>
      </c>
    </row>
    <row r="52" spans="1:36" ht="14.25" customHeight="1">
      <c r="A52" s="2401" t="s">
        <v>1449</v>
      </c>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5"/>
      <c r="Z52" s="593"/>
      <c r="AA52" s="593"/>
      <c r="AB52" s="595"/>
      <c r="AC52" s="593"/>
      <c r="AD52" s="3202"/>
      <c r="AE52" s="596"/>
      <c r="AF52" s="597"/>
      <c r="AG52" s="598"/>
      <c r="AH52" s="574"/>
      <c r="AI52" s="575"/>
    </row>
    <row r="53" spans="1:36" ht="14.25" customHeight="1">
      <c r="A53" s="2402" t="s">
        <v>1448</v>
      </c>
      <c r="B53" s="612">
        <v>165.9</v>
      </c>
      <c r="C53" s="593"/>
      <c r="D53" s="612">
        <v>254.6</v>
      </c>
      <c r="E53" s="593"/>
      <c r="F53" s="612"/>
      <c r="G53" s="593"/>
      <c r="H53" s="612"/>
      <c r="I53" s="593"/>
      <c r="J53" s="612"/>
      <c r="K53" s="593"/>
      <c r="L53" s="612"/>
      <c r="M53" s="593"/>
      <c r="N53" s="612"/>
      <c r="O53" s="593"/>
      <c r="P53" s="612"/>
      <c r="Q53" s="593"/>
      <c r="R53" s="612"/>
      <c r="S53" s="593"/>
      <c r="T53" s="612"/>
      <c r="U53" s="593"/>
      <c r="V53" s="612"/>
      <c r="W53" s="593"/>
      <c r="X53" s="612"/>
      <c r="Y53" s="595"/>
      <c r="Z53" s="593"/>
      <c r="AA53" s="601">
        <f>ROUND(SUM(B53:X53),1)</f>
        <v>420.5</v>
      </c>
      <c r="AB53" s="595"/>
      <c r="AC53" s="593"/>
      <c r="AD53" s="3206">
        <v>390</v>
      </c>
      <c r="AE53" s="596"/>
      <c r="AF53" s="597"/>
      <c r="AG53" s="612">
        <f>ROUND(SUM(AA53-AD53),1)</f>
        <v>30.5</v>
      </c>
      <c r="AH53" s="574"/>
      <c r="AI53" s="1854">
        <f>ROUND(IF(AD53=0,0,AG53/(AD53)),3)</f>
        <v>7.8E-2</v>
      </c>
    </row>
    <row r="54" spans="1:36" ht="15">
      <c r="A54" s="563"/>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5"/>
      <c r="Z54" s="593"/>
      <c r="AA54" s="593"/>
      <c r="AB54" s="595"/>
      <c r="AC54" s="593"/>
      <c r="AD54" s="3202"/>
      <c r="AE54" s="596"/>
      <c r="AF54" s="597"/>
      <c r="AG54" s="598"/>
      <c r="AH54" s="574"/>
      <c r="AI54" s="575"/>
    </row>
    <row r="55" spans="1:36" ht="14.25" customHeight="1">
      <c r="A55" s="610" t="s">
        <v>196</v>
      </c>
      <c r="B55" s="603">
        <f>ROUND(SUM(B51:B53),1)</f>
        <v>166.3</v>
      </c>
      <c r="C55" s="604"/>
      <c r="D55" s="603">
        <f>ROUND(SUM(D51:D53),1)</f>
        <v>255.8</v>
      </c>
      <c r="E55" s="605"/>
      <c r="F55" s="603">
        <f>ROUND(SUM(F51:F53),1)</f>
        <v>0</v>
      </c>
      <c r="G55" s="605"/>
      <c r="H55" s="603">
        <f>ROUND(SUM(H51:H53),1)</f>
        <v>0</v>
      </c>
      <c r="I55" s="605"/>
      <c r="J55" s="603">
        <f>ROUND(SUM(J51:J53),1)</f>
        <v>0</v>
      </c>
      <c r="K55" s="605"/>
      <c r="L55" s="603">
        <f>ROUND(SUM(L51:L53),1)</f>
        <v>0</v>
      </c>
      <c r="M55" s="605"/>
      <c r="N55" s="603">
        <f>ROUND(SUM(N51:N53),1)</f>
        <v>0</v>
      </c>
      <c r="O55" s="605"/>
      <c r="P55" s="603">
        <f>ROUND(SUM(P51:P53),1)</f>
        <v>0</v>
      </c>
      <c r="Q55" s="605"/>
      <c r="R55" s="603">
        <f>ROUND(SUM(R51:R53),1)</f>
        <v>0</v>
      </c>
      <c r="S55" s="605"/>
      <c r="T55" s="603">
        <f>ROUND(SUM(T51:T53),1)</f>
        <v>0</v>
      </c>
      <c r="U55" s="605"/>
      <c r="V55" s="603">
        <f>ROUND(SUM(V51:V53),1)</f>
        <v>0</v>
      </c>
      <c r="W55" s="605"/>
      <c r="X55" s="603">
        <f>ROUND(SUM(X51:X53),1)</f>
        <v>0</v>
      </c>
      <c r="Y55" s="606"/>
      <c r="Z55" s="604"/>
      <c r="AA55" s="603">
        <f>ROUND(SUM(AA51:AA53),1)</f>
        <v>422.1</v>
      </c>
      <c r="AB55" s="606"/>
      <c r="AC55" s="604"/>
      <c r="AD55" s="603">
        <f>ROUND(SUM(AD51:AD53),1)</f>
        <v>392.6</v>
      </c>
      <c r="AE55" s="607"/>
      <c r="AF55" s="608"/>
      <c r="AG55" s="603">
        <f>ROUND(SUM(AG51:AG53),1)</f>
        <v>29.5</v>
      </c>
      <c r="AH55" s="584"/>
      <c r="AI55" s="1974">
        <f>ROUND(IF(AD55=0,0,AG55/(AD55)),3)</f>
        <v>7.4999999999999997E-2</v>
      </c>
      <c r="AJ55" s="1033"/>
    </row>
    <row r="56" spans="1:36" ht="12" customHeight="1">
      <c r="A56" s="563"/>
      <c r="B56" s="593"/>
      <c r="C56" s="593"/>
      <c r="D56" s="594"/>
      <c r="E56" s="594"/>
      <c r="F56" s="594"/>
      <c r="G56" s="594"/>
      <c r="H56" s="594"/>
      <c r="I56" s="594"/>
      <c r="J56" s="594"/>
      <c r="K56" s="594"/>
      <c r="L56" s="594"/>
      <c r="M56" s="594"/>
      <c r="N56" s="594"/>
      <c r="O56" s="594"/>
      <c r="P56" s="594"/>
      <c r="Q56" s="594"/>
      <c r="R56" s="594"/>
      <c r="S56" s="594"/>
      <c r="T56" s="594"/>
      <c r="U56" s="594"/>
      <c r="V56" s="594"/>
      <c r="W56" s="594"/>
      <c r="X56" s="594"/>
      <c r="Y56" s="595"/>
      <c r="Z56" s="593"/>
      <c r="AA56" s="593" t="s">
        <v>16</v>
      </c>
      <c r="AB56" s="595"/>
      <c r="AC56" s="593"/>
      <c r="AD56" s="3202"/>
      <c r="AE56" s="596"/>
      <c r="AF56" s="597"/>
      <c r="AG56" s="598"/>
      <c r="AH56" s="574"/>
      <c r="AI56" s="575"/>
    </row>
    <row r="57" spans="1:36" ht="14.25" customHeight="1">
      <c r="A57" s="610" t="s">
        <v>45</v>
      </c>
      <c r="B57" s="593"/>
      <c r="C57" s="593"/>
      <c r="D57" s="594"/>
      <c r="E57" s="594"/>
      <c r="F57" s="594"/>
      <c r="G57" s="594"/>
      <c r="H57" s="594"/>
      <c r="I57" s="594"/>
      <c r="J57" s="594"/>
      <c r="K57" s="594"/>
      <c r="L57" s="594"/>
      <c r="M57" s="594"/>
      <c r="N57" s="594"/>
      <c r="O57" s="594"/>
      <c r="P57" s="594"/>
      <c r="Q57" s="594"/>
      <c r="R57" s="594"/>
      <c r="S57" s="594"/>
      <c r="T57" s="594"/>
      <c r="U57" s="594"/>
      <c r="V57" s="594"/>
      <c r="W57" s="594"/>
      <c r="X57" s="594"/>
      <c r="Y57" s="595"/>
      <c r="Z57" s="593"/>
      <c r="AA57" s="593"/>
      <c r="AB57" s="595"/>
      <c r="AC57" s="593"/>
      <c r="AD57" s="3202"/>
      <c r="AE57" s="596"/>
      <c r="AF57" s="597"/>
      <c r="AG57" s="598"/>
      <c r="AH57" s="574"/>
      <c r="AI57" s="575"/>
    </row>
    <row r="58" spans="1:36" ht="14.25" customHeight="1">
      <c r="A58" s="590" t="s">
        <v>197</v>
      </c>
      <c r="B58" s="603">
        <f>ROUND(SUM(B47-B55),1)</f>
        <v>2071.1999999999998</v>
      </c>
      <c r="C58" s="604"/>
      <c r="D58" s="603">
        <f>ROUND(SUM(D47-D55),1)</f>
        <v>981.5</v>
      </c>
      <c r="E58" s="614"/>
      <c r="F58" s="603">
        <f>ROUND(SUM(F47-F55),1)</f>
        <v>0</v>
      </c>
      <c r="G58" s="605"/>
      <c r="H58" s="603">
        <f>ROUND(SUM(H47-H55),1)</f>
        <v>0</v>
      </c>
      <c r="I58" s="605"/>
      <c r="J58" s="603">
        <f>ROUND(SUM(J47-J55),1)</f>
        <v>0</v>
      </c>
      <c r="K58" s="605"/>
      <c r="L58" s="603">
        <f>ROUND(SUM(L47-L55),1)</f>
        <v>0</v>
      </c>
      <c r="M58" s="605"/>
      <c r="N58" s="603">
        <f>ROUND(SUM(N47-N55),1)</f>
        <v>0</v>
      </c>
      <c r="O58" s="605"/>
      <c r="P58" s="603">
        <f>ROUND(SUM(P47-P55),1)</f>
        <v>0</v>
      </c>
      <c r="Q58" s="605"/>
      <c r="R58" s="603">
        <f>ROUND(SUM(R47-R55),1)</f>
        <v>0</v>
      </c>
      <c r="S58" s="605"/>
      <c r="T58" s="603">
        <f>ROUND(SUM(T47-T55),1)</f>
        <v>0</v>
      </c>
      <c r="U58" s="605"/>
      <c r="V58" s="603">
        <f>ROUND(SUM(V47-V55),1)</f>
        <v>0</v>
      </c>
      <c r="W58" s="605"/>
      <c r="X58" s="603">
        <f>ROUND(SUM(X47-X55),1)</f>
        <v>0</v>
      </c>
      <c r="Y58" s="606"/>
      <c r="Z58" s="604"/>
      <c r="AA58" s="603">
        <f>ROUND(SUM(AA47-AA55),1)</f>
        <v>3052.7</v>
      </c>
      <c r="AB58" s="606"/>
      <c r="AC58" s="604"/>
      <c r="AD58" s="603">
        <f>ROUND(SUM(AD47-AD55),1)</f>
        <v>2589.3000000000002</v>
      </c>
      <c r="AE58" s="607"/>
      <c r="AF58" s="608"/>
      <c r="AG58" s="603">
        <f>ROUND(SUM(+AG47-AG55),1)</f>
        <v>463.4</v>
      </c>
      <c r="AH58" s="584"/>
      <c r="AI58" s="1974">
        <f>ROUND(IF(AD58=0,0,AG58/(AD58)),3)</f>
        <v>0.17899999999999999</v>
      </c>
      <c r="AJ58" s="1032"/>
    </row>
    <row r="59" spans="1:36" ht="19.5" customHeight="1">
      <c r="A59" s="563"/>
      <c r="B59" s="598"/>
      <c r="C59" s="593"/>
      <c r="D59" s="593"/>
      <c r="E59" s="593"/>
      <c r="F59" s="593"/>
      <c r="G59" s="593"/>
      <c r="H59" s="593"/>
      <c r="I59" s="593"/>
      <c r="J59" s="593"/>
      <c r="K59" s="593"/>
      <c r="L59" s="593"/>
      <c r="M59" s="593"/>
      <c r="N59" s="593"/>
      <c r="O59" s="593"/>
      <c r="P59" s="593"/>
      <c r="Q59" s="593"/>
      <c r="R59" s="593"/>
      <c r="S59" s="593"/>
      <c r="T59" s="593"/>
      <c r="U59" s="593"/>
      <c r="V59" s="593"/>
      <c r="W59" s="593"/>
      <c r="X59" s="593"/>
      <c r="Y59" s="595"/>
      <c r="Z59" s="593"/>
      <c r="AA59" s="598" t="s">
        <v>16</v>
      </c>
      <c r="AB59" s="595"/>
      <c r="AC59" s="593"/>
      <c r="AD59" s="3203"/>
      <c r="AE59" s="596"/>
      <c r="AF59" s="597"/>
      <c r="AG59" s="598"/>
      <c r="AH59" s="574"/>
      <c r="AI59" s="575"/>
    </row>
    <row r="60" spans="1:36" ht="19.5" customHeight="1">
      <c r="A60" s="56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5"/>
      <c r="Z60" s="593"/>
      <c r="AA60" s="593"/>
      <c r="AB60" s="595"/>
      <c r="AC60" s="593"/>
      <c r="AD60" s="3202"/>
      <c r="AE60" s="596"/>
      <c r="AF60" s="597"/>
      <c r="AG60" s="598"/>
      <c r="AH60" s="574"/>
      <c r="AI60" s="575"/>
    </row>
    <row r="61" spans="1:36" ht="14.25" customHeight="1">
      <c r="A61" s="610" t="s">
        <v>47</v>
      </c>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5"/>
      <c r="Z61" s="593"/>
      <c r="AA61" s="593"/>
      <c r="AB61" s="595"/>
      <c r="AC61" s="593"/>
      <c r="AD61" s="3202"/>
      <c r="AE61" s="596"/>
      <c r="AF61" s="597"/>
      <c r="AG61" s="598"/>
      <c r="AH61" s="574"/>
      <c r="AI61" s="575"/>
    </row>
    <row r="62" spans="1:36" ht="14.25" customHeight="1">
      <c r="A62" s="611" t="s">
        <v>188</v>
      </c>
      <c r="B62" s="600">
        <v>526.9</v>
      </c>
      <c r="C62" s="593"/>
      <c r="D62" s="615">
        <v>76.8</v>
      </c>
      <c r="E62" s="593"/>
      <c r="F62" s="615"/>
      <c r="G62" s="593"/>
      <c r="H62" s="615"/>
      <c r="I62" s="593"/>
      <c r="J62" s="615"/>
      <c r="K62" s="593"/>
      <c r="L62" s="615"/>
      <c r="M62" s="593"/>
      <c r="N62" s="615"/>
      <c r="O62" s="593"/>
      <c r="P62" s="615"/>
      <c r="Q62" s="593"/>
      <c r="R62" s="615"/>
      <c r="S62" s="593"/>
      <c r="T62" s="615"/>
      <c r="U62" s="593"/>
      <c r="V62" s="615"/>
      <c r="W62" s="593"/>
      <c r="X62" s="615"/>
      <c r="Y62" s="595"/>
      <c r="Z62" s="593"/>
      <c r="AA62" s="592">
        <f>ROUND(SUM(B62:X62),1)</f>
        <v>603.70000000000005</v>
      </c>
      <c r="AB62" s="595"/>
      <c r="AC62" s="593"/>
      <c r="AD62" s="3204">
        <v>643</v>
      </c>
      <c r="AE62" s="596"/>
      <c r="AF62" s="597"/>
      <c r="AG62" s="598">
        <f>ROUND(SUM(AA62-AD62),1)</f>
        <v>-39.299999999999997</v>
      </c>
      <c r="AH62" s="574"/>
      <c r="AI62" s="45">
        <f>ROUND(IF(AD62=0,0,AG62/(AD62)),3)</f>
        <v>-6.0999999999999999E-2</v>
      </c>
    </row>
    <row r="63" spans="1:36" ht="14.25" customHeight="1">
      <c r="A63" s="611" t="s">
        <v>198</v>
      </c>
      <c r="B63" s="613">
        <v>-2302.1999999999998</v>
      </c>
      <c r="C63" s="593"/>
      <c r="D63" s="613">
        <v>-1020.9</v>
      </c>
      <c r="E63" s="593"/>
      <c r="F63" s="613"/>
      <c r="G63" s="593"/>
      <c r="H63" s="613"/>
      <c r="I63" s="593"/>
      <c r="J63" s="613"/>
      <c r="K63" s="593"/>
      <c r="L63" s="613"/>
      <c r="M63" s="593"/>
      <c r="N63" s="613"/>
      <c r="O63" s="593"/>
      <c r="P63" s="613"/>
      <c r="Q63" s="593"/>
      <c r="R63" s="613"/>
      <c r="S63" s="593"/>
      <c r="T63" s="613"/>
      <c r="U63" s="593"/>
      <c r="V63" s="613"/>
      <c r="W63" s="593"/>
      <c r="X63" s="613"/>
      <c r="Y63" s="595"/>
      <c r="Z63" s="593"/>
      <c r="AA63" s="601">
        <f>ROUND(SUM(B63:X63),1)</f>
        <v>-3323.1</v>
      </c>
      <c r="AB63" s="595"/>
      <c r="AC63" s="593"/>
      <c r="AD63" s="3207">
        <v>-2789.1</v>
      </c>
      <c r="AE63" s="596"/>
      <c r="AF63" s="597"/>
      <c r="AG63" s="612">
        <f>ROUND(SUM(-(AA63-AD63)),1)</f>
        <v>534</v>
      </c>
      <c r="AH63" s="574"/>
      <c r="AI63" s="1854">
        <f>-ROUND(IF(AD63=0,0,AG63/(AD63)),3)</f>
        <v>0.191</v>
      </c>
    </row>
    <row r="64" spans="1:36" ht="15">
      <c r="A64" s="563"/>
      <c r="B64" s="593"/>
      <c r="C64" s="593"/>
      <c r="D64" s="616"/>
      <c r="E64" s="593"/>
      <c r="F64" s="616"/>
      <c r="G64" s="593"/>
      <c r="H64" s="616"/>
      <c r="I64" s="593"/>
      <c r="J64" s="616"/>
      <c r="K64" s="593"/>
      <c r="L64" s="616"/>
      <c r="M64" s="593"/>
      <c r="N64" s="616"/>
      <c r="O64" s="593"/>
      <c r="P64" s="616"/>
      <c r="Q64" s="593"/>
      <c r="R64" s="616"/>
      <c r="S64" s="593"/>
      <c r="T64" s="616"/>
      <c r="U64" s="593"/>
      <c r="V64" s="616"/>
      <c r="W64" s="593"/>
      <c r="X64" s="616"/>
      <c r="Y64" s="595"/>
      <c r="Z64" s="593"/>
      <c r="AA64" s="593"/>
      <c r="AB64" s="595"/>
      <c r="AC64" s="593"/>
      <c r="AD64" s="3202"/>
      <c r="AE64" s="596"/>
      <c r="AF64" s="597"/>
      <c r="AG64" s="598"/>
      <c r="AH64" s="574"/>
      <c r="AI64" s="575"/>
    </row>
    <row r="65" spans="1:38" ht="14.25" customHeight="1">
      <c r="A65" s="610" t="s">
        <v>1208</v>
      </c>
      <c r="B65" s="617">
        <f>ROUND(SUM(B62:B63),1)</f>
        <v>-1775.3</v>
      </c>
      <c r="C65" s="604"/>
      <c r="D65" s="617">
        <f>ROUND(SUM(D62:D63),1)</f>
        <v>-944.1</v>
      </c>
      <c r="E65" s="605"/>
      <c r="F65" s="617">
        <f>ROUND(SUM(F62:F63),1)</f>
        <v>0</v>
      </c>
      <c r="G65" s="605"/>
      <c r="H65" s="617">
        <f>ROUND(SUM(H62:H63),1)</f>
        <v>0</v>
      </c>
      <c r="I65" s="605"/>
      <c r="J65" s="617">
        <f>ROUND(SUM(J62:J63),1)</f>
        <v>0</v>
      </c>
      <c r="K65" s="605"/>
      <c r="L65" s="617">
        <f>ROUND(SUM(L62:L63),1)</f>
        <v>0</v>
      </c>
      <c r="M65" s="605"/>
      <c r="N65" s="617">
        <f>ROUND(SUM(N62:N63),1)</f>
        <v>0</v>
      </c>
      <c r="O65" s="605"/>
      <c r="P65" s="617">
        <f>ROUND(SUM(P62:P63),1)</f>
        <v>0</v>
      </c>
      <c r="Q65" s="605"/>
      <c r="R65" s="617">
        <f>ROUND(SUM(R62:R63),1)</f>
        <v>0</v>
      </c>
      <c r="S65" s="605"/>
      <c r="T65" s="617">
        <f>ROUND(SUM(T62:T63),1)</f>
        <v>0</v>
      </c>
      <c r="U65" s="605"/>
      <c r="V65" s="617">
        <f>ROUND(SUM(V62:V63),1)</f>
        <v>0</v>
      </c>
      <c r="W65" s="605"/>
      <c r="X65" s="617">
        <f>ROUND(SUM(X62:X63),1)</f>
        <v>0</v>
      </c>
      <c r="Y65" s="606"/>
      <c r="Z65" s="604"/>
      <c r="AA65" s="617">
        <f>ROUND(SUM(AA62:AA63),1)</f>
        <v>-2719.4</v>
      </c>
      <c r="AB65" s="606"/>
      <c r="AC65" s="604"/>
      <c r="AD65" s="617">
        <f>ROUND(SUM(AD62:AD63),1)</f>
        <v>-2146.1</v>
      </c>
      <c r="AE65" s="607"/>
      <c r="AF65" s="608"/>
      <c r="AG65" s="617">
        <f>ROUND(SUM(AG62-AG63),1)</f>
        <v>-573.29999999999995</v>
      </c>
      <c r="AH65" s="584"/>
      <c r="AI65" s="1974">
        <f>-ROUND(IF(AD65=0,0,AG65/(AD65)),3)</f>
        <v>-0.26700000000000002</v>
      </c>
      <c r="AJ65" s="1032"/>
    </row>
    <row r="66" spans="1:38" ht="19.5" customHeight="1">
      <c r="A66" s="563"/>
      <c r="B66" s="593"/>
      <c r="C66" s="593"/>
      <c r="D66" s="616"/>
      <c r="E66" s="593"/>
      <c r="F66" s="616"/>
      <c r="G66" s="593"/>
      <c r="H66" s="616"/>
      <c r="I66" s="593"/>
      <c r="J66" s="616"/>
      <c r="K66" s="593"/>
      <c r="L66" s="616"/>
      <c r="M66" s="593"/>
      <c r="N66" s="616"/>
      <c r="O66" s="593"/>
      <c r="P66" s="616"/>
      <c r="Q66" s="593"/>
      <c r="R66" s="616"/>
      <c r="S66" s="593"/>
      <c r="T66" s="616"/>
      <c r="U66" s="593"/>
      <c r="V66" s="616"/>
      <c r="W66" s="593"/>
      <c r="X66" s="616"/>
      <c r="Y66" s="595"/>
      <c r="Z66" s="593"/>
      <c r="AA66" s="593" t="s">
        <v>16</v>
      </c>
      <c r="AB66" s="595"/>
      <c r="AC66" s="593"/>
      <c r="AD66" s="3202"/>
      <c r="AE66" s="596"/>
      <c r="AF66" s="597"/>
      <c r="AG66" s="598"/>
      <c r="AH66" s="574"/>
      <c r="AI66" s="575"/>
    </row>
    <row r="67" spans="1:38" ht="19.5" customHeight="1">
      <c r="A67" s="563"/>
      <c r="B67" s="593"/>
      <c r="C67" s="593"/>
      <c r="D67" s="616"/>
      <c r="E67" s="593"/>
      <c r="F67" s="616"/>
      <c r="G67" s="593"/>
      <c r="H67" s="616"/>
      <c r="I67" s="593"/>
      <c r="J67" s="616"/>
      <c r="K67" s="593"/>
      <c r="L67" s="616"/>
      <c r="M67" s="593"/>
      <c r="N67" s="616"/>
      <c r="O67" s="593"/>
      <c r="P67" s="616"/>
      <c r="Q67" s="593"/>
      <c r="R67" s="616"/>
      <c r="S67" s="593"/>
      <c r="T67" s="616"/>
      <c r="U67" s="593"/>
      <c r="V67" s="616"/>
      <c r="W67" s="593"/>
      <c r="X67" s="616"/>
      <c r="Y67" s="595"/>
      <c r="Z67" s="593"/>
      <c r="AA67" s="593"/>
      <c r="AB67" s="595"/>
      <c r="AC67" s="593"/>
      <c r="AD67" s="3202"/>
      <c r="AE67" s="596"/>
      <c r="AF67" s="597"/>
      <c r="AG67" s="598"/>
      <c r="AH67" s="574"/>
      <c r="AI67" s="575"/>
    </row>
    <row r="68" spans="1:38" ht="14.25" customHeight="1">
      <c r="A68" s="590" t="s">
        <v>199</v>
      </c>
      <c r="B68" s="593"/>
      <c r="C68" s="593"/>
      <c r="D68" s="594"/>
      <c r="E68" s="593"/>
      <c r="F68" s="594"/>
      <c r="G68" s="593"/>
      <c r="H68" s="594"/>
      <c r="I68" s="593"/>
      <c r="J68" s="594"/>
      <c r="K68" s="593"/>
      <c r="L68" s="594"/>
      <c r="M68" s="593"/>
      <c r="N68" s="594"/>
      <c r="O68" s="593"/>
      <c r="P68" s="594"/>
      <c r="Q68" s="593"/>
      <c r="R68" s="594"/>
      <c r="S68" s="593"/>
      <c r="T68" s="594"/>
      <c r="U68" s="593"/>
      <c r="V68" s="594"/>
      <c r="W68" s="593"/>
      <c r="X68" s="594"/>
      <c r="Y68" s="595"/>
      <c r="Z68" s="593"/>
      <c r="AA68" s="593"/>
      <c r="AB68" s="595"/>
      <c r="AC68" s="593"/>
      <c r="AD68" s="3202"/>
      <c r="AE68" s="596"/>
      <c r="AF68" s="597"/>
      <c r="AG68" s="598"/>
      <c r="AH68" s="574"/>
      <c r="AI68" s="575"/>
    </row>
    <row r="69" spans="1:38" ht="14.25" customHeight="1">
      <c r="A69" s="590" t="s">
        <v>200</v>
      </c>
      <c r="B69" s="593"/>
      <c r="C69" s="593"/>
      <c r="D69" s="594"/>
      <c r="E69" s="593"/>
      <c r="F69" s="594"/>
      <c r="G69" s="593"/>
      <c r="H69" s="594"/>
      <c r="I69" s="593"/>
      <c r="J69" s="594"/>
      <c r="K69" s="593"/>
      <c r="L69" s="594"/>
      <c r="M69" s="593"/>
      <c r="N69" s="594"/>
      <c r="O69" s="593"/>
      <c r="P69" s="594"/>
      <c r="Q69" s="593"/>
      <c r="R69" s="594"/>
      <c r="S69" s="593"/>
      <c r="T69" s="594"/>
      <c r="U69" s="593"/>
      <c r="V69" s="594"/>
      <c r="W69" s="593"/>
      <c r="X69" s="594"/>
      <c r="Y69" s="595"/>
      <c r="Z69" s="593"/>
      <c r="AA69" s="593"/>
      <c r="AB69" s="595"/>
      <c r="AC69" s="593"/>
      <c r="AD69" s="3202"/>
      <c r="AE69" s="596"/>
      <c r="AF69" s="597"/>
      <c r="AG69" s="598"/>
      <c r="AH69" s="574"/>
      <c r="AI69" s="575"/>
    </row>
    <row r="70" spans="1:38" ht="14.25" customHeight="1">
      <c r="A70" s="590" t="s">
        <v>201</v>
      </c>
      <c r="B70" s="603">
        <f>ROUND(SUM(+B58+B65),1)</f>
        <v>295.89999999999998</v>
      </c>
      <c r="C70" s="604"/>
      <c r="D70" s="603">
        <f>ROUND(SUM(+D58+D65),1)</f>
        <v>37.4</v>
      </c>
      <c r="E70" s="604"/>
      <c r="F70" s="603">
        <f>ROUND(SUM(+F58+F65),1)</f>
        <v>0</v>
      </c>
      <c r="G70" s="604"/>
      <c r="H70" s="603">
        <f>ROUND(SUM(+H58+H65),1)</f>
        <v>0</v>
      </c>
      <c r="I70" s="604"/>
      <c r="J70" s="603">
        <f>ROUND(SUM(+J58+J65),1)</f>
        <v>0</v>
      </c>
      <c r="K70" s="604"/>
      <c r="L70" s="603">
        <f>ROUND(SUM(+L58+L65),1)</f>
        <v>0</v>
      </c>
      <c r="M70" s="604"/>
      <c r="N70" s="603">
        <f>ROUND(SUM(+N58+N65),1)</f>
        <v>0</v>
      </c>
      <c r="O70" s="604"/>
      <c r="P70" s="603">
        <f>ROUND(SUM(+P58+P65),1)</f>
        <v>0</v>
      </c>
      <c r="Q70" s="604"/>
      <c r="R70" s="603">
        <f>ROUND(SUM(+R58+R65),1)</f>
        <v>0</v>
      </c>
      <c r="S70" s="604"/>
      <c r="T70" s="603">
        <f>ROUND(SUM(+T58+T65),1)</f>
        <v>0</v>
      </c>
      <c r="U70" s="604"/>
      <c r="V70" s="603">
        <f>ROUND(SUM(+V58+V65),1)</f>
        <v>0</v>
      </c>
      <c r="W70" s="604"/>
      <c r="X70" s="603">
        <f>ROUND(SUM(+X58+X65),1)</f>
        <v>0</v>
      </c>
      <c r="Y70" s="606"/>
      <c r="Z70" s="604"/>
      <c r="AA70" s="603">
        <f>ROUND(SUM(+AA58+AA65),1)</f>
        <v>333.3</v>
      </c>
      <c r="AB70" s="606"/>
      <c r="AC70" s="604"/>
      <c r="AD70" s="603">
        <f>ROUND(SUM(+AD58+AD65),1)</f>
        <v>443.2</v>
      </c>
      <c r="AE70" s="607"/>
      <c r="AF70" s="608"/>
      <c r="AG70" s="603">
        <f>ROUND(SUM(+AG58+AG65),1)</f>
        <v>-109.9</v>
      </c>
      <c r="AH70" s="584"/>
      <c r="AI70" s="2881">
        <f>ROUND(IF(AD70=0,0,AG70/(AD70)),3)</f>
        <v>-0.248</v>
      </c>
      <c r="AJ70" s="1032"/>
    </row>
    <row r="71" spans="1:38" ht="15">
      <c r="A71" s="563"/>
      <c r="B71" s="564"/>
      <c r="C71" s="564"/>
      <c r="D71" s="618"/>
      <c r="E71" s="564"/>
      <c r="F71" s="619"/>
      <c r="G71" s="564"/>
      <c r="H71" s="619"/>
      <c r="I71" s="564"/>
      <c r="J71" s="619"/>
      <c r="K71" s="564"/>
      <c r="L71" s="620"/>
      <c r="M71" s="564"/>
      <c r="N71" s="619"/>
      <c r="O71" s="564"/>
      <c r="P71" s="619"/>
      <c r="Q71" s="564"/>
      <c r="R71" s="619"/>
      <c r="S71" s="564"/>
      <c r="T71" s="619"/>
      <c r="U71" s="564"/>
      <c r="V71" s="619"/>
      <c r="W71" s="564"/>
      <c r="X71" s="619"/>
      <c r="Y71" s="587"/>
      <c r="Z71" s="564"/>
      <c r="AA71" s="564" t="s">
        <v>16</v>
      </c>
      <c r="AB71" s="587"/>
      <c r="AC71" s="564"/>
      <c r="AD71" s="3200"/>
      <c r="AE71" s="570"/>
      <c r="AF71" s="588"/>
      <c r="AG71" s="589"/>
      <c r="AH71" s="574"/>
      <c r="AI71" s="575"/>
    </row>
    <row r="72" spans="1:38" ht="15">
      <c r="A72" s="563"/>
      <c r="B72" s="563"/>
      <c r="C72" s="563"/>
      <c r="D72" s="567"/>
      <c r="E72" s="563"/>
      <c r="F72" s="589"/>
      <c r="G72" s="563"/>
      <c r="H72" s="566"/>
      <c r="I72" s="563"/>
      <c r="J72" s="566"/>
      <c r="K72" s="563"/>
      <c r="L72" s="621"/>
      <c r="M72" s="563"/>
      <c r="N72" s="566"/>
      <c r="O72" s="563"/>
      <c r="P72" s="566"/>
      <c r="Q72" s="563"/>
      <c r="R72" s="566"/>
      <c r="S72" s="563"/>
      <c r="T72" s="589"/>
      <c r="U72" s="564"/>
      <c r="V72" s="589"/>
      <c r="W72" s="564"/>
      <c r="X72" s="589"/>
      <c r="Y72" s="586"/>
      <c r="Z72" s="563"/>
      <c r="AA72" s="564"/>
      <c r="AB72" s="587"/>
      <c r="AC72" s="564"/>
      <c r="AD72" s="3199"/>
      <c r="AE72" s="568"/>
      <c r="AF72" s="588"/>
      <c r="AG72" s="589"/>
      <c r="AH72" s="574"/>
      <c r="AI72" s="575"/>
    </row>
    <row r="73" spans="1:38" ht="19.5" customHeight="1" thickBot="1">
      <c r="A73" s="590" t="s">
        <v>146</v>
      </c>
      <c r="B73" s="622">
        <f>ROUND(SUM(B12+B70),1)</f>
        <v>414.6</v>
      </c>
      <c r="C73" s="577"/>
      <c r="D73" s="622">
        <f>ROUND(SUM(D12+D70),1)</f>
        <v>452</v>
      </c>
      <c r="E73" s="577"/>
      <c r="F73" s="622">
        <f>ROUND(SUM(F12+F70),1)</f>
        <v>0</v>
      </c>
      <c r="G73" s="577"/>
      <c r="H73" s="622">
        <f>ROUND(SUM(H12+H70),1)</f>
        <v>0</v>
      </c>
      <c r="I73" s="577"/>
      <c r="J73" s="622">
        <f>ROUND(SUM(J12+J70),1)</f>
        <v>0</v>
      </c>
      <c r="K73" s="577"/>
      <c r="L73" s="622">
        <f>ROUND(SUM(L12+L70),1)</f>
        <v>0</v>
      </c>
      <c r="M73" s="577"/>
      <c r="N73" s="622">
        <f>ROUND(SUM(N12+N70),1)</f>
        <v>0</v>
      </c>
      <c r="O73" s="577"/>
      <c r="P73" s="622">
        <f>ROUND(SUM(P12+P70),1)</f>
        <v>0</v>
      </c>
      <c r="Q73" s="577"/>
      <c r="R73" s="622">
        <f>ROUND(SUM(R12+R70),1)</f>
        <v>0</v>
      </c>
      <c r="S73" s="577"/>
      <c r="T73" s="622">
        <f>ROUND(SUM(T12+T70),1)</f>
        <v>0</v>
      </c>
      <c r="U73" s="577"/>
      <c r="V73" s="622">
        <f>ROUND(SUM(V12+V70),1)</f>
        <v>0</v>
      </c>
      <c r="W73" s="577"/>
      <c r="X73" s="622">
        <f>ROUND(SUM(X12+X70),1)</f>
        <v>0</v>
      </c>
      <c r="Y73" s="580"/>
      <c r="Z73" s="577"/>
      <c r="AA73" s="622">
        <f>ROUND(SUM(AA12+AA70),1)</f>
        <v>452</v>
      </c>
      <c r="AB73" s="580"/>
      <c r="AC73" s="577"/>
      <c r="AD73" s="622">
        <f>ROUND(SUM(AD12+AD70),1)</f>
        <v>508.3</v>
      </c>
      <c r="AE73" s="623"/>
      <c r="AF73" s="582"/>
      <c r="AG73" s="622">
        <f>ROUND(SUM(+AG12+AG70),1)</f>
        <v>-56.3</v>
      </c>
      <c r="AH73" s="584"/>
      <c r="AI73" s="127">
        <f>ROUND(IF(AD73=0,0,AG73/(AD73)),3)</f>
        <v>-0.111</v>
      </c>
      <c r="AJ73" s="1034"/>
      <c r="AK73" s="609"/>
      <c r="AL73" s="609"/>
    </row>
    <row r="74" spans="1:38" ht="14.25" customHeight="1" thickTop="1">
      <c r="A74" s="624"/>
      <c r="B74" s="625"/>
      <c r="C74" s="626"/>
      <c r="D74" s="625"/>
      <c r="E74" s="557"/>
      <c r="F74" s="625"/>
      <c r="G74" s="557"/>
      <c r="H74" s="627"/>
      <c r="I74" s="557"/>
      <c r="J74" s="627"/>
      <c r="K74" s="557"/>
      <c r="L74" s="627"/>
      <c r="M74" s="557"/>
      <c r="N74" s="627"/>
      <c r="O74" s="557"/>
      <c r="P74" s="627"/>
      <c r="Q74" s="557"/>
      <c r="R74" s="627"/>
      <c r="S74" s="557"/>
      <c r="T74" s="627"/>
      <c r="U74" s="558"/>
      <c r="V74" s="627"/>
      <c r="W74" s="558"/>
      <c r="X74" s="627"/>
      <c r="Y74" s="625"/>
      <c r="Z74" s="626"/>
      <c r="AA74" s="625"/>
      <c r="AB74" s="625"/>
      <c r="AC74" s="626"/>
      <c r="AD74" s="625"/>
      <c r="AE74" s="628"/>
      <c r="AF74" s="625"/>
      <c r="AG74" s="625"/>
      <c r="AH74" s="629"/>
      <c r="AI74" s="630"/>
    </row>
    <row r="75" spans="1:38">
      <c r="L75" s="558"/>
      <c r="T75" s="631"/>
      <c r="U75" s="631"/>
      <c r="V75" s="631"/>
      <c r="W75" s="631"/>
      <c r="X75" s="631"/>
      <c r="AD75" s="2645"/>
    </row>
    <row r="76" spans="1:38" ht="12" customHeight="1">
      <c r="A76" s="575"/>
      <c r="L76" s="558"/>
      <c r="R76" s="632"/>
      <c r="T76" s="626"/>
      <c r="X76" s="626"/>
    </row>
    <row r="77" spans="1:38">
      <c r="L77" s="558"/>
      <c r="R77" s="632"/>
      <c r="T77" s="626"/>
      <c r="X77" s="626"/>
    </row>
    <row r="78" spans="1:38">
      <c r="A78" s="591"/>
      <c r="L78" s="558"/>
    </row>
    <row r="79" spans="1:38">
      <c r="A79" s="633"/>
      <c r="L79" s="558"/>
      <c r="R79" s="634"/>
    </row>
    <row r="80" spans="1:38">
      <c r="A80" s="635"/>
      <c r="L80" s="558"/>
    </row>
    <row r="81" spans="1:35">
      <c r="A81" s="636"/>
      <c r="L81" s="558"/>
      <c r="AI81" s="626"/>
    </row>
    <row r="82" spans="1:35">
      <c r="L82" s="558"/>
    </row>
    <row r="83" spans="1:35">
      <c r="L83" s="558"/>
    </row>
    <row r="84" spans="1:35">
      <c r="L84" s="558"/>
    </row>
    <row r="85" spans="1:35">
      <c r="L85" s="558"/>
    </row>
    <row r="86" spans="1:35">
      <c r="L86" s="558"/>
    </row>
    <row r="87" spans="1:35">
      <c r="L87" s="558"/>
    </row>
    <row r="88" spans="1:35">
      <c r="L88" s="558"/>
    </row>
    <row r="89" spans="1:35">
      <c r="L89" s="558"/>
    </row>
    <row r="90" spans="1:35">
      <c r="L90" s="558"/>
    </row>
    <row r="91" spans="1:35">
      <c r="L91" s="558"/>
    </row>
    <row r="92" spans="1:35">
      <c r="L92" s="558"/>
    </row>
    <row r="93" spans="1:35">
      <c r="L93" s="558"/>
    </row>
    <row r="94" spans="1:35">
      <c r="L94" s="558"/>
    </row>
    <row r="95" spans="1:35">
      <c r="L95" s="558"/>
    </row>
    <row r="96" spans="1:35">
      <c r="L96" s="558"/>
    </row>
    <row r="97" spans="12:12">
      <c r="L97" s="558"/>
    </row>
    <row r="98" spans="12:12">
      <c r="L98" s="558"/>
    </row>
    <row r="99" spans="12:12">
      <c r="L99" s="558"/>
    </row>
    <row r="100" spans="12:12">
      <c r="L100" s="558"/>
    </row>
    <row r="101" spans="12:12">
      <c r="L101" s="558"/>
    </row>
    <row r="102" spans="12:12">
      <c r="L102" s="558"/>
    </row>
    <row r="103" spans="12:12">
      <c r="L103" s="558"/>
    </row>
    <row r="104" spans="12:12">
      <c r="L104" s="558"/>
    </row>
    <row r="105" spans="12:12">
      <c r="L105" s="558"/>
    </row>
    <row r="106" spans="12:12">
      <c r="L106" s="558"/>
    </row>
    <row r="107" spans="12:12">
      <c r="L107" s="558"/>
    </row>
    <row r="108" spans="12:12">
      <c r="L108" s="558"/>
    </row>
    <row r="109" spans="12:12">
      <c r="L109" s="558"/>
    </row>
    <row r="110" spans="12:12">
      <c r="L110" s="558"/>
    </row>
    <row r="111" spans="12:12">
      <c r="L111" s="558"/>
    </row>
    <row r="112" spans="12:12">
      <c r="L112" s="558"/>
    </row>
    <row r="113" spans="12:12">
      <c r="L113" s="558"/>
    </row>
    <row r="114" spans="12:12">
      <c r="L114" s="558"/>
    </row>
    <row r="115" spans="12:12">
      <c r="L115" s="558"/>
    </row>
    <row r="116" spans="12:12">
      <c r="L116" s="558"/>
    </row>
    <row r="117" spans="12:12">
      <c r="L117" s="558"/>
    </row>
    <row r="118" spans="12:12">
      <c r="L118" s="558"/>
    </row>
    <row r="119" spans="12:12">
      <c r="L119" s="558"/>
    </row>
    <row r="120" spans="12:12">
      <c r="L120" s="558"/>
    </row>
    <row r="121" spans="12:12">
      <c r="L121" s="558"/>
    </row>
    <row r="122" spans="12:12">
      <c r="L122" s="558"/>
    </row>
    <row r="123" spans="12:12">
      <c r="L123" s="558"/>
    </row>
    <row r="124" spans="12:12">
      <c r="L124" s="558"/>
    </row>
    <row r="125" spans="12:12">
      <c r="L125" s="558"/>
    </row>
    <row r="126" spans="12:12">
      <c r="L126" s="558"/>
    </row>
    <row r="127" spans="12:12">
      <c r="L127" s="558"/>
    </row>
    <row r="128" spans="12:12">
      <c r="L128" s="558"/>
    </row>
    <row r="129" spans="12:12">
      <c r="L129" s="558"/>
    </row>
    <row r="130" spans="12:12">
      <c r="L130" s="558"/>
    </row>
    <row r="131" spans="12:12">
      <c r="L131" s="558"/>
    </row>
    <row r="132" spans="12:12">
      <c r="L132" s="558"/>
    </row>
    <row r="133" spans="12:12">
      <c r="L133" s="558"/>
    </row>
    <row r="134" spans="12:12">
      <c r="L134" s="558"/>
    </row>
    <row r="135" spans="12:12">
      <c r="L135" s="558"/>
    </row>
    <row r="136" spans="12:12">
      <c r="L136" s="558"/>
    </row>
    <row r="137" spans="12:12">
      <c r="L137" s="558"/>
    </row>
    <row r="138" spans="12:12">
      <c r="L138" s="558"/>
    </row>
    <row r="139" spans="12:12">
      <c r="L139" s="558"/>
    </row>
    <row r="140" spans="12:12">
      <c r="L140" s="558"/>
    </row>
    <row r="141" spans="12:12">
      <c r="L141" s="558"/>
    </row>
    <row r="142" spans="12:12">
      <c r="L142" s="558"/>
    </row>
    <row r="143" spans="12:12">
      <c r="L143" s="558"/>
    </row>
    <row r="144" spans="12:12">
      <c r="L144" s="558"/>
    </row>
    <row r="145" spans="12:12">
      <c r="L145" s="558"/>
    </row>
    <row r="146" spans="12:12">
      <c r="L146" s="558"/>
    </row>
    <row r="147" spans="12:12">
      <c r="L147" s="558"/>
    </row>
    <row r="148" spans="12:12">
      <c r="L148" s="558"/>
    </row>
    <row r="149" spans="12:12">
      <c r="L149" s="558"/>
    </row>
    <row r="150" spans="12:12">
      <c r="L150" s="558"/>
    </row>
    <row r="151" spans="12:12">
      <c r="L151" s="558"/>
    </row>
    <row r="152" spans="12:12">
      <c r="L152" s="558"/>
    </row>
    <row r="153" spans="12:12">
      <c r="L153" s="558"/>
    </row>
    <row r="154" spans="12:12">
      <c r="L154" s="558"/>
    </row>
    <row r="155" spans="12:12">
      <c r="L155" s="558"/>
    </row>
    <row r="156" spans="12:12">
      <c r="L156" s="558"/>
    </row>
    <row r="157" spans="12:12">
      <c r="L157" s="558"/>
    </row>
    <row r="158" spans="12:12">
      <c r="L158" s="558"/>
    </row>
    <row r="159" spans="12:12">
      <c r="L159" s="558"/>
    </row>
    <row r="160" spans="12:12">
      <c r="L160" s="558"/>
    </row>
    <row r="161" spans="12:12">
      <c r="L161" s="558"/>
    </row>
    <row r="162" spans="12:12">
      <c r="L162" s="558"/>
    </row>
    <row r="163" spans="12:12">
      <c r="L163" s="558"/>
    </row>
    <row r="164" spans="12:12">
      <c r="L164" s="558"/>
    </row>
    <row r="165" spans="12:12">
      <c r="L165" s="558"/>
    </row>
    <row r="166" spans="12:12">
      <c r="L166" s="558"/>
    </row>
    <row r="167" spans="12:12">
      <c r="L167" s="558"/>
    </row>
    <row r="168" spans="12:12">
      <c r="L168" s="558"/>
    </row>
    <row r="169" spans="12:12">
      <c r="L169" s="558"/>
    </row>
    <row r="170" spans="12:12">
      <c r="L170" s="558"/>
    </row>
    <row r="171" spans="12:12">
      <c r="L171" s="558"/>
    </row>
    <row r="172" spans="12:12">
      <c r="L172" s="558"/>
    </row>
    <row r="173" spans="12:12">
      <c r="L173" s="558"/>
    </row>
    <row r="174" spans="12:12">
      <c r="L174" s="558"/>
    </row>
    <row r="175" spans="12:12">
      <c r="L175" s="558"/>
    </row>
    <row r="176" spans="12:12">
      <c r="L176" s="558"/>
    </row>
    <row r="177" spans="12:12">
      <c r="L177" s="558"/>
    </row>
    <row r="178" spans="12:12">
      <c r="L178" s="558"/>
    </row>
    <row r="179" spans="12:12">
      <c r="L179" s="558"/>
    </row>
    <row r="180" spans="12:12">
      <c r="L180" s="558"/>
    </row>
    <row r="181" spans="12:12">
      <c r="L181" s="558"/>
    </row>
    <row r="182" spans="12:12">
      <c r="L182" s="558"/>
    </row>
    <row r="183" spans="12:12">
      <c r="L183" s="558"/>
    </row>
    <row r="184" spans="12:12">
      <c r="L184" s="558"/>
    </row>
    <row r="185" spans="12:12">
      <c r="L185" s="558"/>
    </row>
    <row r="186" spans="12:12">
      <c r="L186" s="558"/>
    </row>
    <row r="187" spans="12:12">
      <c r="L187" s="558"/>
    </row>
    <row r="188" spans="12:12">
      <c r="L188" s="558"/>
    </row>
    <row r="189" spans="12:12">
      <c r="L189" s="558"/>
    </row>
    <row r="190" spans="12:12">
      <c r="L190" s="558"/>
    </row>
    <row r="191" spans="12:12">
      <c r="L191" s="558"/>
    </row>
    <row r="192" spans="12:12">
      <c r="L192" s="558"/>
    </row>
    <row r="193" spans="12:12">
      <c r="L193" s="558"/>
    </row>
    <row r="194" spans="12:12">
      <c r="L194" s="558"/>
    </row>
    <row r="195" spans="12:12">
      <c r="L195" s="558"/>
    </row>
    <row r="196" spans="12:12">
      <c r="L196" s="558"/>
    </row>
    <row r="197" spans="12:12">
      <c r="L197" s="558"/>
    </row>
    <row r="198" spans="12:12">
      <c r="L198" s="558"/>
    </row>
    <row r="199" spans="12:12">
      <c r="L199" s="558"/>
    </row>
    <row r="200" spans="12:12">
      <c r="L200" s="558"/>
    </row>
    <row r="201" spans="12:12">
      <c r="L201" s="558"/>
    </row>
    <row r="202" spans="12:12">
      <c r="L202" s="558"/>
    </row>
    <row r="203" spans="12:12">
      <c r="L203" s="558"/>
    </row>
    <row r="204" spans="12:12">
      <c r="L204" s="558"/>
    </row>
    <row r="205" spans="12:12">
      <c r="L205" s="558"/>
    </row>
    <row r="206" spans="12:12">
      <c r="L206" s="558"/>
    </row>
    <row r="207" spans="12:12">
      <c r="L207" s="558"/>
    </row>
    <row r="208" spans="12:12">
      <c r="L208" s="558"/>
    </row>
    <row r="209" spans="12:12">
      <c r="L209" s="558"/>
    </row>
    <row r="210" spans="12:12">
      <c r="L210" s="558"/>
    </row>
    <row r="211" spans="12:12">
      <c r="L211" s="558"/>
    </row>
    <row r="212" spans="12:12">
      <c r="L212" s="558"/>
    </row>
    <row r="213" spans="12:12">
      <c r="L213" s="558"/>
    </row>
    <row r="214" spans="12:12">
      <c r="L214" s="558"/>
    </row>
    <row r="215" spans="12:12">
      <c r="L215" s="558"/>
    </row>
    <row r="216" spans="12:12">
      <c r="L216" s="558"/>
    </row>
    <row r="217" spans="12:12">
      <c r="L217" s="558"/>
    </row>
    <row r="218" spans="12:12">
      <c r="L218" s="558"/>
    </row>
    <row r="219" spans="12:12">
      <c r="L219" s="558"/>
    </row>
    <row r="220" spans="12:12">
      <c r="L220" s="558"/>
    </row>
    <row r="221" spans="12:12">
      <c r="L221" s="558"/>
    </row>
    <row r="222" spans="12:12">
      <c r="L222" s="558"/>
    </row>
    <row r="223" spans="12:12">
      <c r="L223" s="558"/>
    </row>
    <row r="224" spans="12:12">
      <c r="L224" s="558"/>
    </row>
    <row r="225" spans="12:12">
      <c r="L225" s="558"/>
    </row>
    <row r="226" spans="12:12">
      <c r="L226" s="558"/>
    </row>
    <row r="227" spans="12:12">
      <c r="L227" s="558"/>
    </row>
    <row r="228" spans="12:12">
      <c r="L228" s="558"/>
    </row>
    <row r="229" spans="12:12">
      <c r="L229" s="558"/>
    </row>
    <row r="230" spans="12:12">
      <c r="L230" s="558"/>
    </row>
    <row r="231" spans="12:12">
      <c r="L231" s="558"/>
    </row>
    <row r="232" spans="12:12">
      <c r="L232" s="558"/>
    </row>
    <row r="233" spans="12:12">
      <c r="L233" s="558"/>
    </row>
    <row r="234" spans="12:12">
      <c r="L234" s="558"/>
    </row>
    <row r="235" spans="12:12">
      <c r="L235" s="558"/>
    </row>
    <row r="236" spans="12:12">
      <c r="L236" s="558"/>
    </row>
    <row r="237" spans="12:12">
      <c r="L237" s="558"/>
    </row>
    <row r="238" spans="12:12">
      <c r="L238" s="558"/>
    </row>
    <row r="239" spans="12:12">
      <c r="L239" s="558"/>
    </row>
    <row r="240" spans="12:12">
      <c r="L240" s="558"/>
    </row>
    <row r="241" spans="12:12">
      <c r="L241" s="558"/>
    </row>
    <row r="242" spans="12:12">
      <c r="L242" s="558"/>
    </row>
    <row r="243" spans="12:12">
      <c r="L243" s="558"/>
    </row>
    <row r="244" spans="12:12">
      <c r="L244" s="558"/>
    </row>
    <row r="245" spans="12:12">
      <c r="L245" s="558"/>
    </row>
    <row r="246" spans="12:12">
      <c r="L246" s="558"/>
    </row>
    <row r="247" spans="12:12">
      <c r="L247" s="558"/>
    </row>
    <row r="248" spans="12:12">
      <c r="L248" s="558"/>
    </row>
    <row r="249" spans="12:12">
      <c r="L249" s="558"/>
    </row>
    <row r="250" spans="12:12">
      <c r="L250" s="558"/>
    </row>
    <row r="251" spans="12:12">
      <c r="L251" s="558"/>
    </row>
    <row r="252" spans="12:12">
      <c r="L252" s="558"/>
    </row>
    <row r="253" spans="12:12">
      <c r="L253" s="558"/>
    </row>
    <row r="254" spans="12:12">
      <c r="L254" s="558"/>
    </row>
    <row r="255" spans="12:12">
      <c r="L255" s="558"/>
    </row>
    <row r="256" spans="12:12">
      <c r="L256" s="558"/>
    </row>
    <row r="257" spans="12:12">
      <c r="L257" s="558"/>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AI24 AJ38:AJ40 AJ41 AI41 AI38:AI40 AI45 AI46:AI63 AI43:AI44 AI64:AI69 AI71:AI73" unlockedFormula="1"/>
    <ignoredError sqref="C43 E43 G43 I43 K43" formulaRange="1"/>
  </ignoredErrors>
</worksheet>
</file>

<file path=xl/worksheets/sheet23.xml><?xml version="1.0" encoding="utf-8"?>
<worksheet xmlns="http://schemas.openxmlformats.org/spreadsheetml/2006/main" xmlns:r="http://schemas.openxmlformats.org/officeDocument/2006/relationships">
  <sheetPr codeName="Sheet21"/>
  <dimension ref="A1:BA110"/>
  <sheetViews>
    <sheetView showGridLines="0" zoomScale="70" zoomScaleNormal="70" workbookViewId="0"/>
  </sheetViews>
  <sheetFormatPr defaultRowHeight="15"/>
  <cols>
    <col min="1" max="1" width="2.5546875" style="302" customWidth="1"/>
    <col min="2" max="2" width="15.6640625" style="302" customWidth="1"/>
    <col min="3" max="3" width="32.77734375" style="302" customWidth="1"/>
    <col min="4" max="4" width="2" style="302" customWidth="1"/>
    <col min="5" max="5" width="12.5546875" style="302" customWidth="1"/>
    <col min="6" max="6" width="1.77734375" style="302" customWidth="1"/>
    <col min="7" max="7" width="10.6640625" style="302" customWidth="1"/>
    <col min="8" max="8" width="1.77734375" style="302" customWidth="1"/>
    <col min="9" max="9" width="12.6640625" style="302" customWidth="1"/>
    <col min="10" max="10" width="1.77734375" style="302" customWidth="1"/>
    <col min="11" max="11" width="13.21875" style="302" customWidth="1"/>
    <col min="12" max="12" width="1.21875" style="302" customWidth="1"/>
    <col min="13" max="13" width="10.5546875" style="302" customWidth="1"/>
    <col min="14" max="14" width="1.77734375" style="302" customWidth="1"/>
    <col min="15" max="15" width="12.44140625" style="302" customWidth="1"/>
    <col min="16" max="16" width="1.77734375" style="302" customWidth="1"/>
    <col min="17" max="17" width="12.21875" style="302" customWidth="1"/>
    <col min="18" max="18" width="1.77734375" style="302" customWidth="1"/>
    <col min="19" max="19" width="12.21875" style="302" customWidth="1"/>
    <col min="20" max="20" width="1.77734375" style="302" customWidth="1"/>
    <col min="21" max="21" width="10.77734375" style="302" customWidth="1"/>
    <col min="22" max="22" width="1.77734375" style="302" customWidth="1"/>
    <col min="23" max="23" width="10.109375" style="302" customWidth="1"/>
    <col min="24" max="24" width="1.77734375" style="302" customWidth="1"/>
    <col min="25" max="25" width="10.77734375" style="302" customWidth="1"/>
    <col min="26" max="26" width="1.77734375" style="302" customWidth="1"/>
    <col min="27" max="27" width="9.6640625" style="302" bestFit="1" customWidth="1"/>
    <col min="28" max="29" width="1.77734375" style="302" customWidth="1"/>
    <col min="30" max="30" width="12.6640625" style="302" customWidth="1"/>
    <col min="31" max="32" width="1.109375" style="302" customWidth="1"/>
    <col min="33" max="33" width="12.6640625" style="302" customWidth="1"/>
    <col min="34" max="35" width="1" style="302" customWidth="1"/>
    <col min="36" max="36" width="13.109375" style="302" bestFit="1" customWidth="1"/>
    <col min="37" max="37" width="1.33203125" style="302" customWidth="1"/>
    <col min="38" max="38" width="12.33203125" style="302" customWidth="1"/>
    <col min="39" max="16384" width="8.88671875" style="302"/>
  </cols>
  <sheetData>
    <row r="1" spans="1:40">
      <c r="B1" s="1190" t="s">
        <v>1231</v>
      </c>
    </row>
    <row r="2" spans="1:40">
      <c r="B2" s="1740"/>
    </row>
    <row r="3" spans="1:40" ht="19.5" customHeight="1">
      <c r="A3" s="637"/>
      <c r="B3" s="643" t="s">
        <v>0</v>
      </c>
      <c r="C3" s="638"/>
      <c r="D3" s="638"/>
      <c r="E3" s="638"/>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L3" s="742" t="s">
        <v>202</v>
      </c>
    </row>
    <row r="4" spans="1:40" ht="19.5" customHeight="1">
      <c r="A4" s="637"/>
      <c r="B4" s="643" t="s">
        <v>1280</v>
      </c>
      <c r="C4" s="638"/>
      <c r="D4" s="638"/>
      <c r="E4" s="638"/>
      <c r="F4" s="639"/>
      <c r="G4" s="639"/>
      <c r="H4" s="639"/>
      <c r="I4" s="639"/>
      <c r="J4" s="639"/>
      <c r="K4" s="639"/>
      <c r="L4" s="639"/>
      <c r="M4" s="639"/>
      <c r="N4" s="639"/>
      <c r="O4" s="639"/>
      <c r="P4" s="639"/>
      <c r="Q4" s="639"/>
      <c r="R4" s="639"/>
      <c r="S4" s="639"/>
      <c r="T4" s="639"/>
      <c r="U4" s="639"/>
      <c r="V4" s="639"/>
      <c r="W4" s="639"/>
      <c r="X4" s="639"/>
      <c r="Y4" s="639"/>
      <c r="Z4" s="639"/>
      <c r="AA4" s="639"/>
      <c r="AB4" s="639"/>
      <c r="AC4" s="639"/>
      <c r="AE4" s="640"/>
      <c r="AF4" s="640"/>
    </row>
    <row r="5" spans="1:40" ht="19.5" customHeight="1">
      <c r="A5" s="637"/>
      <c r="B5" s="562" t="s">
        <v>153</v>
      </c>
      <c r="C5" s="638"/>
      <c r="D5" s="638"/>
      <c r="E5" s="638"/>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L5" s="508"/>
    </row>
    <row r="6" spans="1:40" ht="19.5" customHeight="1">
      <c r="A6" s="637"/>
      <c r="B6" s="3197" t="s">
        <v>1549</v>
      </c>
      <c r="C6" s="638"/>
      <c r="D6" s="638"/>
      <c r="E6" s="638"/>
      <c r="F6" s="639"/>
      <c r="G6" s="639"/>
      <c r="H6" s="641"/>
      <c r="I6" s="639"/>
      <c r="J6" s="639"/>
      <c r="K6" s="639"/>
      <c r="L6" s="639"/>
      <c r="M6" s="639"/>
      <c r="N6" s="639"/>
      <c r="O6" s="639"/>
      <c r="P6" s="639"/>
      <c r="Q6" s="639"/>
      <c r="R6" s="639"/>
      <c r="S6" s="639"/>
      <c r="T6" s="639"/>
      <c r="U6" s="639"/>
      <c r="V6" s="639"/>
      <c r="W6" s="639"/>
      <c r="X6" s="639"/>
      <c r="Y6" s="639"/>
      <c r="Z6" s="639"/>
      <c r="AA6" s="639"/>
      <c r="AB6" s="639"/>
      <c r="AC6" s="639"/>
      <c r="AD6" s="639"/>
      <c r="AE6" s="642"/>
      <c r="AF6" s="642"/>
      <c r="AG6" s="642"/>
      <c r="AH6" s="642"/>
      <c r="AI6" s="642"/>
    </row>
    <row r="7" spans="1:40" ht="19.5" customHeight="1">
      <c r="A7" s="637"/>
      <c r="B7" s="643" t="s">
        <v>1118</v>
      </c>
      <c r="C7" s="638"/>
      <c r="D7" s="638"/>
      <c r="E7" s="638"/>
      <c r="F7" s="639"/>
      <c r="G7" s="639"/>
      <c r="H7" s="641"/>
      <c r="I7" s="639"/>
      <c r="J7" s="639"/>
      <c r="K7" s="639"/>
      <c r="L7" s="639"/>
      <c r="M7" s="639"/>
      <c r="N7" s="639"/>
      <c r="O7" s="639"/>
      <c r="P7" s="639"/>
      <c r="Q7" s="639"/>
      <c r="R7" s="639"/>
      <c r="S7" s="639"/>
      <c r="T7" s="639"/>
      <c r="U7" s="639"/>
      <c r="V7" s="639"/>
      <c r="W7" s="639"/>
      <c r="X7" s="639"/>
      <c r="Y7" s="639"/>
      <c r="Z7" s="639"/>
      <c r="AA7" s="639"/>
      <c r="AB7" s="639"/>
      <c r="AC7" s="639"/>
      <c r="AD7" s="639"/>
      <c r="AE7" s="642"/>
      <c r="AF7" s="642"/>
      <c r="AG7" s="642"/>
      <c r="AH7" s="642"/>
      <c r="AI7" s="642"/>
    </row>
    <row r="8" spans="1:40" ht="19.5" customHeight="1">
      <c r="A8" s="637"/>
      <c r="C8" s="638"/>
      <c r="D8" s="638"/>
      <c r="E8" s="638"/>
      <c r="F8" s="639"/>
      <c r="G8" s="639"/>
      <c r="H8" s="639"/>
      <c r="I8" s="639"/>
      <c r="J8" s="639"/>
      <c r="K8" s="639"/>
      <c r="L8" s="639"/>
      <c r="M8" s="639"/>
      <c r="N8" s="639"/>
      <c r="O8" s="639"/>
      <c r="P8" s="639"/>
      <c r="Q8" s="639"/>
      <c r="R8" s="639"/>
      <c r="S8" s="639"/>
      <c r="T8" s="639"/>
      <c r="U8" s="639"/>
      <c r="V8" s="639"/>
      <c r="W8" s="639"/>
      <c r="X8" s="639"/>
      <c r="Y8" s="639"/>
      <c r="Z8" s="639"/>
      <c r="AA8" s="639"/>
      <c r="AB8" s="639"/>
      <c r="AC8" s="644"/>
    </row>
    <row r="9" spans="1:40" ht="15.75" customHeight="1">
      <c r="A9" s="637"/>
      <c r="B9" s="643"/>
      <c r="C9" s="638"/>
      <c r="D9" s="638"/>
      <c r="E9" s="638"/>
      <c r="F9" s="639"/>
      <c r="G9" s="639"/>
      <c r="H9" s="639"/>
      <c r="I9" s="639"/>
      <c r="J9" s="639"/>
      <c r="K9" s="639"/>
      <c r="L9" s="639"/>
      <c r="M9" s="639"/>
      <c r="N9" s="639"/>
      <c r="O9" s="639"/>
      <c r="P9" s="639"/>
      <c r="Q9" s="639"/>
      <c r="R9" s="639"/>
      <c r="S9" s="639"/>
      <c r="T9" s="639"/>
      <c r="U9" s="639"/>
      <c r="V9" s="639"/>
      <c r="W9" s="639"/>
      <c r="X9" s="639"/>
      <c r="Y9" s="639"/>
      <c r="Z9" s="639"/>
      <c r="AA9" s="639"/>
      <c r="AB9" s="639"/>
      <c r="AC9" s="644"/>
    </row>
    <row r="10" spans="1:40" ht="15.75" customHeight="1">
      <c r="A10" s="637"/>
      <c r="B10" s="645"/>
      <c r="C10" s="638"/>
      <c r="D10" s="638"/>
      <c r="E10" s="638"/>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44"/>
      <c r="AD10" s="3517" t="s">
        <v>1593</v>
      </c>
      <c r="AE10" s="3524"/>
      <c r="AF10" s="3524"/>
      <c r="AG10" s="3524"/>
      <c r="AH10" s="3524"/>
      <c r="AI10" s="3524"/>
      <c r="AJ10" s="3524"/>
      <c r="AK10" s="3524"/>
      <c r="AL10" s="3524"/>
    </row>
    <row r="11" spans="1:40" ht="15.75" customHeight="1">
      <c r="A11" s="637"/>
      <c r="B11" s="645"/>
      <c r="C11" s="638"/>
      <c r="D11" s="638"/>
      <c r="E11" s="1547"/>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9"/>
      <c r="AD11" s="1504"/>
      <c r="AE11" s="1550"/>
      <c r="AF11" s="1550"/>
      <c r="AG11" s="1550"/>
      <c r="AH11" s="1550"/>
      <c r="AI11" s="1550"/>
      <c r="AJ11" s="1550"/>
      <c r="AK11" s="1550"/>
      <c r="AL11" s="1550"/>
    </row>
    <row r="12" spans="1:40" ht="15.75" customHeight="1">
      <c r="A12" s="646"/>
      <c r="B12" s="646"/>
      <c r="C12" s="646"/>
      <c r="D12" s="646"/>
      <c r="E12" s="1519">
        <v>2015</v>
      </c>
      <c r="F12" s="1551"/>
      <c r="G12" s="1551"/>
      <c r="H12" s="1551"/>
      <c r="I12" s="1551"/>
      <c r="J12" s="1551"/>
      <c r="K12" s="1551"/>
      <c r="L12" s="1551"/>
      <c r="M12" s="1551"/>
      <c r="N12" s="1551"/>
      <c r="O12" s="1551"/>
      <c r="P12" s="1551"/>
      <c r="Q12" s="1551"/>
      <c r="R12" s="1551"/>
      <c r="S12" s="1551"/>
      <c r="T12" s="1551"/>
      <c r="U12" s="1551"/>
      <c r="V12" s="1551"/>
      <c r="W12" s="1519">
        <v>2016</v>
      </c>
      <c r="X12" s="1551"/>
      <c r="Y12" s="1551"/>
      <c r="Z12" s="1551"/>
      <c r="AA12" s="1551"/>
      <c r="AB12" s="1551"/>
      <c r="AC12" s="1551"/>
      <c r="AD12" s="1552"/>
      <c r="AE12" s="1552"/>
      <c r="AF12" s="1552"/>
      <c r="AG12" s="1552"/>
      <c r="AH12" s="1552"/>
      <c r="AI12" s="1552"/>
      <c r="AJ12" s="1526" t="s">
        <v>8</v>
      </c>
      <c r="AK12" s="1526"/>
      <c r="AL12" s="1521" t="s">
        <v>9</v>
      </c>
      <c r="AM12" s="1555"/>
    </row>
    <row r="13" spans="1:40" ht="15.75" customHeight="1">
      <c r="A13" s="223"/>
      <c r="B13" s="223"/>
      <c r="C13" s="223"/>
      <c r="D13" s="223"/>
      <c r="E13" s="2254" t="s">
        <v>129</v>
      </c>
      <c r="F13" s="479"/>
      <c r="G13" s="2254" t="s">
        <v>130</v>
      </c>
      <c r="H13" s="479"/>
      <c r="I13" s="2254" t="s">
        <v>131</v>
      </c>
      <c r="J13" s="479"/>
      <c r="K13" s="2254" t="s">
        <v>132</v>
      </c>
      <c r="L13" s="479"/>
      <c r="M13" s="2254" t="s">
        <v>133</v>
      </c>
      <c r="N13" s="479"/>
      <c r="O13" s="2254" t="s">
        <v>134</v>
      </c>
      <c r="P13" s="479"/>
      <c r="Q13" s="2254" t="s">
        <v>135</v>
      </c>
      <c r="R13" s="479"/>
      <c r="S13" s="2254" t="s">
        <v>136</v>
      </c>
      <c r="T13" s="479"/>
      <c r="U13" s="2254" t="s">
        <v>137</v>
      </c>
      <c r="V13" s="479"/>
      <c r="W13" s="2254" t="s">
        <v>154</v>
      </c>
      <c r="X13" s="479"/>
      <c r="Y13" s="2254" t="s">
        <v>139</v>
      </c>
      <c r="Z13" s="479"/>
      <c r="AA13" s="2254" t="s">
        <v>140</v>
      </c>
      <c r="AB13" s="479"/>
      <c r="AC13" s="479"/>
      <c r="AD13" s="2254">
        <v>2015</v>
      </c>
      <c r="AE13" s="479"/>
      <c r="AF13" s="479"/>
      <c r="AG13" s="1553">
        <v>2014</v>
      </c>
      <c r="AH13" s="1554"/>
      <c r="AI13" s="1554"/>
      <c r="AJ13" s="1534" t="s">
        <v>13</v>
      </c>
      <c r="AK13" s="1524"/>
      <c r="AL13" s="1534" t="s">
        <v>14</v>
      </c>
      <c r="AM13" s="2257"/>
      <c r="AN13" s="648"/>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8"/>
      <c r="AK14" s="648"/>
      <c r="AL14" s="648"/>
      <c r="AM14" s="648"/>
    </row>
    <row r="15" spans="1:40" ht="15.75" customHeight="1">
      <c r="A15" s="223"/>
      <c r="B15" s="376" t="s">
        <v>141</v>
      </c>
      <c r="C15" s="221"/>
      <c r="D15" s="223"/>
      <c r="E15" s="295">
        <v>-724.4</v>
      </c>
      <c r="F15" s="295"/>
      <c r="G15" s="295">
        <f>+E101</f>
        <v>-795</v>
      </c>
      <c r="H15" s="295"/>
      <c r="I15" s="295"/>
      <c r="J15" s="295"/>
      <c r="K15" s="295"/>
      <c r="L15" s="295"/>
      <c r="M15" s="295"/>
      <c r="N15" s="295"/>
      <c r="O15" s="295"/>
      <c r="P15" s="295"/>
      <c r="Q15" s="295"/>
      <c r="R15" s="295"/>
      <c r="S15" s="295"/>
      <c r="T15" s="295"/>
      <c r="U15" s="295"/>
      <c r="V15" s="295"/>
      <c r="W15" s="295"/>
      <c r="X15" s="295"/>
      <c r="Y15" s="295"/>
      <c r="Z15" s="295"/>
      <c r="AA15" s="295"/>
      <c r="AB15" s="295"/>
      <c r="AC15" s="296"/>
      <c r="AD15" s="295">
        <f>+E15</f>
        <v>-724.4</v>
      </c>
      <c r="AE15" s="424"/>
      <c r="AF15" s="425"/>
      <c r="AG15" s="649">
        <v>-628.70000000000005</v>
      </c>
      <c r="AH15" s="295"/>
      <c r="AI15" s="650"/>
      <c r="AJ15" s="649">
        <f>+AD15-AG15</f>
        <v>-95.699999999999932</v>
      </c>
      <c r="AK15" s="651"/>
      <c r="AL15" s="2833">
        <f>ROUND(IF(AG15=0,0,-AJ15/(AG15)),3)</f>
        <v>-0.152</v>
      </c>
      <c r="AM15" s="653"/>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4"/>
      <c r="AD16" s="368"/>
      <c r="AE16" s="487"/>
      <c r="AF16" s="253"/>
      <c r="AG16" s="368"/>
      <c r="AH16" s="368"/>
      <c r="AI16" s="647"/>
      <c r="AJ16" s="648"/>
      <c r="AK16" s="648"/>
      <c r="AL16" s="648"/>
    </row>
    <row r="17" spans="1:44" ht="15.75">
      <c r="A17" s="223"/>
      <c r="B17" s="221" t="s">
        <v>203</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4"/>
      <c r="AD17" s="368"/>
      <c r="AE17" s="487"/>
      <c r="AF17" s="253"/>
      <c r="AG17" s="368"/>
      <c r="AH17" s="368"/>
      <c r="AI17" s="647"/>
      <c r="AJ17" s="648"/>
      <c r="AK17" s="648"/>
      <c r="AL17" s="648"/>
    </row>
    <row r="18" spans="1:44" ht="15.75">
      <c r="A18" s="223"/>
      <c r="B18" s="491" t="s">
        <v>1373</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4"/>
      <c r="AD18" s="368"/>
      <c r="AE18" s="2109"/>
      <c r="AF18" s="253"/>
      <c r="AG18" s="368"/>
      <c r="AH18" s="368"/>
      <c r="AI18" s="647"/>
      <c r="AJ18" s="648"/>
      <c r="AK18" s="648"/>
      <c r="AL18" s="648"/>
    </row>
    <row r="19" spans="1:44" ht="15.75">
      <c r="A19" s="223"/>
      <c r="B19" s="2089" t="s">
        <v>1444</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4"/>
      <c r="AD19" s="368"/>
      <c r="AE19" s="2109"/>
      <c r="AF19" s="253"/>
      <c r="AG19" s="368"/>
      <c r="AH19" s="368"/>
      <c r="AI19" s="647"/>
      <c r="AJ19" s="648"/>
      <c r="AK19" s="648"/>
      <c r="AL19" s="648"/>
    </row>
    <row r="20" spans="1:44">
      <c r="A20" s="223"/>
      <c r="B20" s="1276" t="s">
        <v>1394</v>
      </c>
      <c r="C20" s="223"/>
      <c r="D20" s="223"/>
      <c r="E20" s="2695">
        <f>+' Exhibit I State'!E19</f>
        <v>3</v>
      </c>
      <c r="F20" s="2822"/>
      <c r="G20" s="2695">
        <f>+' Exhibit I State'!G19</f>
        <v>0.1</v>
      </c>
      <c r="H20" s="2822"/>
      <c r="I20" s="2695"/>
      <c r="J20" s="2872"/>
      <c r="K20" s="2695"/>
      <c r="L20" s="2873"/>
      <c r="M20" s="2695"/>
      <c r="N20" s="2873"/>
      <c r="O20" s="2695"/>
      <c r="P20" s="563"/>
      <c r="Q20" s="2896"/>
      <c r="R20" s="563"/>
      <c r="S20" s="2896"/>
      <c r="T20" s="563"/>
      <c r="U20" s="2896"/>
      <c r="V20" s="563"/>
      <c r="W20" s="2934"/>
      <c r="X20" s="563"/>
      <c r="Y20" s="2934"/>
      <c r="Z20" s="563"/>
      <c r="AA20" s="2934"/>
      <c r="AB20" s="2091"/>
      <c r="AC20" s="563"/>
      <c r="AD20" s="261">
        <f>ROUND(SUM(E20:AA20),1)</f>
        <v>3.1</v>
      </c>
      <c r="AE20" s="2092"/>
      <c r="AF20" s="564"/>
      <c r="AG20" s="593">
        <f>+' Exhibit I State'!AI19</f>
        <v>2.2999999999999998</v>
      </c>
      <c r="AH20" s="568"/>
      <c r="AI20" s="588"/>
      <c r="AJ20" s="598">
        <f>ROUND(SUM(AD20-AG20),1)</f>
        <v>0.8</v>
      </c>
      <c r="AK20" s="574"/>
      <c r="AL20" s="45">
        <f>ROUND(IF(AG20=0,0,AJ20/(AG20)),3)</f>
        <v>0.34799999999999998</v>
      </c>
      <c r="AM20" s="1030"/>
    </row>
    <row r="21" spans="1:44">
      <c r="A21" s="223"/>
      <c r="B21" s="1276" t="s">
        <v>1396</v>
      </c>
      <c r="C21" s="223"/>
      <c r="D21" s="223"/>
      <c r="E21" s="2695">
        <f>+' Exhibit I State'!E20</f>
        <v>32.6</v>
      </c>
      <c r="F21" s="2822"/>
      <c r="G21" s="2695">
        <f>+' Exhibit I State'!G20</f>
        <v>33.1</v>
      </c>
      <c r="H21" s="2822"/>
      <c r="I21" s="2695"/>
      <c r="J21" s="2872"/>
      <c r="K21" s="2695"/>
      <c r="L21" s="2873"/>
      <c r="M21" s="2695"/>
      <c r="N21" s="2873"/>
      <c r="O21" s="2695"/>
      <c r="P21" s="563"/>
      <c r="Q21" s="2896"/>
      <c r="R21" s="563"/>
      <c r="S21" s="2896"/>
      <c r="T21" s="563"/>
      <c r="U21" s="2896"/>
      <c r="V21" s="563"/>
      <c r="W21" s="2934"/>
      <c r="X21" s="563"/>
      <c r="Y21" s="2934"/>
      <c r="Z21" s="563"/>
      <c r="AA21" s="2934"/>
      <c r="AB21" s="2091"/>
      <c r="AC21" s="563"/>
      <c r="AD21" s="261">
        <f>ROUND(SUM(E21:AA21),1)</f>
        <v>65.7</v>
      </c>
      <c r="AE21" s="2092"/>
      <c r="AF21" s="564"/>
      <c r="AG21" s="593">
        <f>+' Exhibit I State'!AI20</f>
        <v>68.8</v>
      </c>
      <c r="AH21" s="568"/>
      <c r="AI21" s="588"/>
      <c r="AJ21" s="598">
        <f>ROUND(SUM(AD21-AG21),1)</f>
        <v>-3.1</v>
      </c>
      <c r="AK21" s="574"/>
      <c r="AL21" s="45">
        <f>ROUND(IF(AG21=0,0,AJ21/(AG21)),3)</f>
        <v>-4.4999999999999998E-2</v>
      </c>
      <c r="AM21" s="1030"/>
    </row>
    <row r="22" spans="1:44">
      <c r="A22" s="223"/>
      <c r="B22" s="1276" t="s">
        <v>1398</v>
      </c>
      <c r="C22" s="223"/>
      <c r="D22" s="223"/>
      <c r="E22" s="2695">
        <f>+' Exhibit I State'!E21</f>
        <v>13.4</v>
      </c>
      <c r="F22" s="2822"/>
      <c r="G22" s="2695">
        <f>+' Exhibit I State'!G21</f>
        <v>10.3</v>
      </c>
      <c r="H22" s="2822"/>
      <c r="I22" s="2695"/>
      <c r="J22" s="2872"/>
      <c r="K22" s="2695"/>
      <c r="L22" s="2873"/>
      <c r="M22" s="2695"/>
      <c r="N22" s="2873"/>
      <c r="O22" s="2695"/>
      <c r="P22" s="563"/>
      <c r="Q22" s="2896"/>
      <c r="R22" s="563"/>
      <c r="S22" s="2896"/>
      <c r="T22" s="563"/>
      <c r="U22" s="2896"/>
      <c r="V22" s="563"/>
      <c r="W22" s="2934"/>
      <c r="X22" s="563"/>
      <c r="Y22" s="2934"/>
      <c r="Z22" s="563"/>
      <c r="AA22" s="2934"/>
      <c r="AB22" s="2091"/>
      <c r="AC22" s="563"/>
      <c r="AD22" s="261">
        <f>ROUND(SUM(E22:AA22),1)</f>
        <v>23.7</v>
      </c>
      <c r="AE22" s="2092"/>
      <c r="AF22" s="564"/>
      <c r="AG22" s="593">
        <f>+' Exhibit I State'!AI21</f>
        <v>23.4</v>
      </c>
      <c r="AH22" s="568"/>
      <c r="AI22" s="588"/>
      <c r="AJ22" s="598">
        <f>ROUND(SUM(AD22-AG22),1)</f>
        <v>0.3</v>
      </c>
      <c r="AK22" s="574"/>
      <c r="AL22" s="45">
        <f>ROUND(IF(AG22=0,0,AJ22/(AG22)),3)</f>
        <v>1.2999999999999999E-2</v>
      </c>
      <c r="AM22" s="1030"/>
    </row>
    <row r="23" spans="1:44" ht="15.75">
      <c r="A23" s="223"/>
      <c r="B23" s="590" t="s">
        <v>1501</v>
      </c>
      <c r="C23" s="223"/>
      <c r="D23" s="223"/>
      <c r="E23" s="2874">
        <f>ROUND(SUM(E20:E22),1)</f>
        <v>49</v>
      </c>
      <c r="F23" s="2875"/>
      <c r="G23" s="2874">
        <f>ROUND(SUM(G20:G22),1)</f>
        <v>43.5</v>
      </c>
      <c r="H23" s="2875"/>
      <c r="I23" s="2874">
        <f>ROUND(SUM(I20:I22),1)</f>
        <v>0</v>
      </c>
      <c r="J23" s="2875"/>
      <c r="K23" s="2874">
        <f>ROUND(SUM(K20:K22),1)</f>
        <v>0</v>
      </c>
      <c r="L23" s="2873"/>
      <c r="M23" s="2874">
        <f>ROUND(SUM(M20:M22),1)</f>
        <v>0</v>
      </c>
      <c r="N23" s="2873"/>
      <c r="O23" s="2874">
        <f>ROUND(SUM(O20:O22),1)</f>
        <v>0</v>
      </c>
      <c r="P23" s="563"/>
      <c r="Q23" s="1289">
        <f>ROUND(SUM(Q20:Q22),1)</f>
        <v>0</v>
      </c>
      <c r="R23" s="563"/>
      <c r="S23" s="1289">
        <f>ROUND(SUM(S20:S22),1)</f>
        <v>0</v>
      </c>
      <c r="T23" s="563"/>
      <c r="U23" s="1289">
        <f>ROUND(SUM(U20:U22),1)</f>
        <v>0</v>
      </c>
      <c r="V23" s="563"/>
      <c r="W23" s="1289">
        <f>ROUND(SUM(W20:W22),1)</f>
        <v>0</v>
      </c>
      <c r="X23" s="563"/>
      <c r="Y23" s="1289">
        <f>ROUND(SUM(Y20:Y22),1)</f>
        <v>0</v>
      </c>
      <c r="Z23" s="563"/>
      <c r="AA23" s="1289">
        <f>ROUND(SUM(AA20:AA22),1)</f>
        <v>0</v>
      </c>
      <c r="AB23" s="2091"/>
      <c r="AC23" s="563"/>
      <c r="AD23" s="485">
        <f>ROUND(SUM(AD20:AD22),1)</f>
        <v>92.5</v>
      </c>
      <c r="AE23" s="2092"/>
      <c r="AF23" s="564"/>
      <c r="AG23" s="485">
        <f>ROUND(SUM(AG20:AG22),1)</f>
        <v>94.5</v>
      </c>
      <c r="AH23" s="568"/>
      <c r="AI23" s="588"/>
      <c r="AJ23" s="2256">
        <f>ROUND(SUM(AD23-AG23),1)</f>
        <v>-2</v>
      </c>
      <c r="AK23" s="584"/>
      <c r="AL23" s="72">
        <f>ROUND(IF(AG23=0,0,AJ23/(AG23)),3)</f>
        <v>-2.1000000000000001E-2</v>
      </c>
      <c r="AM23" s="1030"/>
    </row>
    <row r="24" spans="1:44" ht="15.75">
      <c r="A24" s="223"/>
      <c r="B24" s="2089" t="s">
        <v>1445</v>
      </c>
      <c r="C24" s="223"/>
      <c r="D24" s="223"/>
      <c r="E24" s="2876"/>
      <c r="F24" s="2875"/>
      <c r="G24" s="2876"/>
      <c r="H24" s="2875"/>
      <c r="I24" s="2876"/>
      <c r="J24" s="2875"/>
      <c r="K24" s="2876"/>
      <c r="L24" s="2873"/>
      <c r="M24" s="2876"/>
      <c r="N24" s="2873"/>
      <c r="O24" s="2876"/>
      <c r="P24" s="563"/>
      <c r="Q24" s="316"/>
      <c r="R24" s="563"/>
      <c r="S24" s="316"/>
      <c r="T24" s="563"/>
      <c r="U24" s="316"/>
      <c r="V24" s="563"/>
      <c r="W24" s="316"/>
      <c r="X24" s="563"/>
      <c r="Y24" s="316"/>
      <c r="Z24" s="563"/>
      <c r="AA24" s="316"/>
      <c r="AB24" s="2091"/>
      <c r="AC24" s="563"/>
      <c r="AD24" s="273"/>
      <c r="AE24" s="2092"/>
      <c r="AF24" s="564"/>
      <c r="AG24" s="273"/>
      <c r="AH24" s="568"/>
      <c r="AI24" s="588"/>
      <c r="AJ24" s="2095"/>
      <c r="AK24" s="584"/>
      <c r="AL24" s="114"/>
      <c r="AM24" s="1030"/>
    </row>
    <row r="25" spans="1:44" ht="15.75">
      <c r="A25" s="223"/>
      <c r="B25" s="1276" t="s">
        <v>1401</v>
      </c>
      <c r="C25" s="223"/>
      <c r="D25" s="223"/>
      <c r="E25" s="2695">
        <f>+' Exhibit I State'!E24</f>
        <v>0</v>
      </c>
      <c r="F25" s="2875"/>
      <c r="G25" s="2695">
        <f>+' Exhibit I State'!G24</f>
        <v>0</v>
      </c>
      <c r="H25" s="2875"/>
      <c r="I25" s="2695"/>
      <c r="J25" s="2875"/>
      <c r="K25" s="2695"/>
      <c r="L25" s="2873"/>
      <c r="M25" s="2695"/>
      <c r="N25" s="2873"/>
      <c r="O25" s="2695"/>
      <c r="P25" s="563"/>
      <c r="Q25" s="2896"/>
      <c r="R25" s="563"/>
      <c r="S25" s="2896"/>
      <c r="T25" s="563"/>
      <c r="U25" s="2896"/>
      <c r="V25" s="563"/>
      <c r="W25" s="2934"/>
      <c r="X25" s="563"/>
      <c r="Y25" s="2934"/>
      <c r="Z25" s="563"/>
      <c r="AA25" s="2934"/>
      <c r="AB25" s="2091"/>
      <c r="AC25" s="563"/>
      <c r="AD25" s="1921">
        <v>0</v>
      </c>
      <c r="AE25" s="2092"/>
      <c r="AF25" s="564"/>
      <c r="AG25" s="593">
        <v>0</v>
      </c>
      <c r="AH25" s="568"/>
      <c r="AI25" s="588"/>
      <c r="AJ25" s="598">
        <f>ROUND(SUM(AD25-AG25),1)</f>
        <v>0</v>
      </c>
      <c r="AK25" s="574"/>
      <c r="AL25" s="2871">
        <f>ROUND(IF(AG25=0,0,AJ25/(AG25)),3)</f>
        <v>0</v>
      </c>
      <c r="AM25" s="1030"/>
      <c r="AN25" s="559"/>
      <c r="AO25" s="559"/>
      <c r="AP25" s="559"/>
      <c r="AQ25" s="559"/>
      <c r="AR25" s="559"/>
    </row>
    <row r="26" spans="1:44" ht="15.75">
      <c r="A26" s="223"/>
      <c r="B26" s="1276" t="s">
        <v>1402</v>
      </c>
      <c r="C26" s="223"/>
      <c r="D26" s="223"/>
      <c r="E26" s="2695">
        <f>+' Exhibit I State'!E25</f>
        <v>0.1</v>
      </c>
      <c r="F26" s="2822"/>
      <c r="G26" s="2695">
        <f>+' Exhibit I State'!G25</f>
        <v>0</v>
      </c>
      <c r="H26" s="2822"/>
      <c r="I26" s="2695"/>
      <c r="J26" s="2875"/>
      <c r="K26" s="2695"/>
      <c r="L26" s="2873"/>
      <c r="M26" s="2695"/>
      <c r="N26" s="2873"/>
      <c r="O26" s="2695"/>
      <c r="P26" s="563"/>
      <c r="Q26" s="2896"/>
      <c r="R26" s="563"/>
      <c r="S26" s="2896"/>
      <c r="T26" s="563"/>
      <c r="U26" s="2896"/>
      <c r="V26" s="563"/>
      <c r="W26" s="2934"/>
      <c r="X26" s="563"/>
      <c r="Y26" s="2934"/>
      <c r="Z26" s="563"/>
      <c r="AA26" s="2934"/>
      <c r="AB26" s="2091"/>
      <c r="AC26" s="563"/>
      <c r="AD26" s="261">
        <f>ROUND(SUM(E26:AA26),1)</f>
        <v>0.1</v>
      </c>
      <c r="AE26" s="2092"/>
      <c r="AF26" s="564"/>
      <c r="AG26" s="593">
        <f>+' Exhibit I State'!AI25</f>
        <v>0</v>
      </c>
      <c r="AH26" s="568"/>
      <c r="AI26" s="588"/>
      <c r="AJ26" s="598">
        <f>ROUND(SUM(AD26-AG26),1)</f>
        <v>0.1</v>
      </c>
      <c r="AK26" s="574"/>
      <c r="AL26" s="2843">
        <f>ROUND(IF(AG26=0,1,AJ26/(AG26)),3)</f>
        <v>1</v>
      </c>
      <c r="AM26" s="1030"/>
      <c r="AN26" s="559"/>
      <c r="AO26" s="559"/>
      <c r="AP26" s="559"/>
      <c r="AQ26" s="559"/>
      <c r="AR26" s="559"/>
    </row>
    <row r="27" spans="1:44" ht="15.75">
      <c r="A27" s="223"/>
      <c r="B27" s="1276" t="s">
        <v>1405</v>
      </c>
      <c r="C27" s="223"/>
      <c r="D27" s="223"/>
      <c r="E27" s="2695">
        <f>+' Exhibit I State'!E26</f>
        <v>50.8</v>
      </c>
      <c r="F27" s="2822"/>
      <c r="G27" s="2695">
        <f>+' Exhibit I State'!G26</f>
        <v>49.8</v>
      </c>
      <c r="H27" s="2822"/>
      <c r="I27" s="2695"/>
      <c r="J27" s="2875"/>
      <c r="K27" s="2695"/>
      <c r="L27" s="2873"/>
      <c r="M27" s="2695"/>
      <c r="N27" s="2873"/>
      <c r="O27" s="2695"/>
      <c r="P27" s="563"/>
      <c r="Q27" s="2896"/>
      <c r="R27" s="563"/>
      <c r="S27" s="2896"/>
      <c r="T27" s="563"/>
      <c r="U27" s="2896"/>
      <c r="V27" s="563"/>
      <c r="W27" s="2934"/>
      <c r="X27" s="563"/>
      <c r="Y27" s="2934"/>
      <c r="Z27" s="563"/>
      <c r="AA27" s="2934"/>
      <c r="AB27" s="2091"/>
      <c r="AC27" s="563"/>
      <c r="AD27" s="261">
        <f>ROUND(SUM(E27:AA27),1)</f>
        <v>100.6</v>
      </c>
      <c r="AE27" s="2092"/>
      <c r="AF27" s="564"/>
      <c r="AG27" s="593">
        <f>+' Exhibit I State'!AI26</f>
        <v>106.1</v>
      </c>
      <c r="AH27" s="568"/>
      <c r="AI27" s="588"/>
      <c r="AJ27" s="598">
        <f>ROUND(SUM(AD27-AG27),1)</f>
        <v>-5.5</v>
      </c>
      <c r="AK27" s="574"/>
      <c r="AL27" s="2828">
        <f>ROUND(IF(AG27=0,0,AJ27/(AG27)),3)</f>
        <v>-5.1999999999999998E-2</v>
      </c>
      <c r="AM27" s="1030"/>
      <c r="AN27" s="559"/>
      <c r="AO27" s="559"/>
      <c r="AP27" s="559"/>
      <c r="AQ27" s="559"/>
      <c r="AR27" s="559"/>
    </row>
    <row r="28" spans="1:44" ht="15.75">
      <c r="A28" s="223"/>
      <c r="B28" s="590" t="s">
        <v>1502</v>
      </c>
      <c r="C28" s="223"/>
      <c r="D28" s="223"/>
      <c r="E28" s="2874">
        <f>ROUND(SUM(E25:E27),1)</f>
        <v>50.9</v>
      </c>
      <c r="F28" s="2822"/>
      <c r="G28" s="2874">
        <f>ROUND(SUM(G25:G27),1)</f>
        <v>49.8</v>
      </c>
      <c r="H28" s="2822"/>
      <c r="I28" s="2874">
        <f>ROUND(SUM(I25:I27),1)</f>
        <v>0</v>
      </c>
      <c r="J28" s="2875"/>
      <c r="K28" s="2874">
        <f>ROUND(SUM(K25:K27),1)</f>
        <v>0</v>
      </c>
      <c r="L28" s="2873"/>
      <c r="M28" s="2874">
        <f>ROUND(SUM(M25:M27),1)</f>
        <v>0</v>
      </c>
      <c r="N28" s="2873"/>
      <c r="O28" s="2874">
        <f>ROUND(SUM(O25:O27),1)</f>
        <v>0</v>
      </c>
      <c r="P28" s="563"/>
      <c r="Q28" s="1289">
        <f>ROUND(SUM(Q25:Q27),1)</f>
        <v>0</v>
      </c>
      <c r="R28" s="563"/>
      <c r="S28" s="1289">
        <f>ROUND(SUM(S25:S27),1)</f>
        <v>0</v>
      </c>
      <c r="T28" s="563"/>
      <c r="U28" s="1289">
        <f>ROUND(SUM(U25:U27),1)</f>
        <v>0</v>
      </c>
      <c r="V28" s="563"/>
      <c r="W28" s="1289">
        <f>ROUND(SUM(W25:W27),1)</f>
        <v>0</v>
      </c>
      <c r="X28" s="563"/>
      <c r="Y28" s="1289">
        <f>ROUND(SUM(Y25:Y27),1)</f>
        <v>0</v>
      </c>
      <c r="Z28" s="563"/>
      <c r="AA28" s="1289">
        <f>ROUND(SUM(AA25:AA27),1)</f>
        <v>0</v>
      </c>
      <c r="AB28" s="2091"/>
      <c r="AC28" s="563"/>
      <c r="AD28" s="1289">
        <f>ROUND(SUM(AD25:AD27),1)</f>
        <v>100.7</v>
      </c>
      <c r="AE28" s="2092"/>
      <c r="AF28" s="564"/>
      <c r="AG28" s="1289">
        <f>ROUND(SUM(AG25:AG27),1)</f>
        <v>106.1</v>
      </c>
      <c r="AH28" s="568"/>
      <c r="AI28" s="588"/>
      <c r="AJ28" s="1289">
        <f>ROUND(SUM(AJ25:AJ27),1)</f>
        <v>-5.4</v>
      </c>
      <c r="AK28" s="574"/>
      <c r="AL28" s="2868">
        <f>ROUND(IF(AG28=0,0,AJ28/(AG28)),3)</f>
        <v>-5.0999999999999997E-2</v>
      </c>
      <c r="AM28" s="1030"/>
      <c r="AN28" s="559"/>
      <c r="AO28" s="559"/>
      <c r="AP28" s="559"/>
      <c r="AQ28" s="559"/>
      <c r="AR28" s="559"/>
    </row>
    <row r="29" spans="1:44" ht="15.75">
      <c r="A29" s="223"/>
      <c r="B29" s="2089" t="s">
        <v>1446</v>
      </c>
      <c r="C29" s="223"/>
      <c r="D29" s="223"/>
      <c r="E29" s="2877"/>
      <c r="F29" s="2877"/>
      <c r="G29" s="2877"/>
      <c r="H29" s="2877"/>
      <c r="I29" s="2877"/>
      <c r="J29" s="2877"/>
      <c r="K29" s="2877"/>
      <c r="L29" s="2877"/>
      <c r="M29" s="2877"/>
      <c r="N29" s="2877"/>
      <c r="O29" s="2877"/>
      <c r="P29" s="368"/>
      <c r="Q29" s="368"/>
      <c r="R29" s="368"/>
      <c r="S29" s="368"/>
      <c r="T29" s="368"/>
      <c r="U29" s="368"/>
      <c r="V29" s="368"/>
      <c r="W29" s="368"/>
      <c r="X29" s="368"/>
      <c r="Y29" s="368"/>
      <c r="Z29" s="368"/>
      <c r="AA29" s="368"/>
      <c r="AB29" s="368"/>
      <c r="AC29" s="474"/>
      <c r="AD29" s="368"/>
      <c r="AE29" s="2109"/>
      <c r="AF29" s="253"/>
      <c r="AG29" s="368"/>
      <c r="AH29" s="368"/>
      <c r="AI29" s="647"/>
      <c r="AJ29" s="648"/>
      <c r="AK29" s="648"/>
      <c r="AL29" s="2878"/>
    </row>
    <row r="30" spans="1:44" ht="15.75">
      <c r="A30" s="223"/>
      <c r="B30" s="1276" t="s">
        <v>1411</v>
      </c>
      <c r="C30" s="223"/>
      <c r="D30" s="223"/>
      <c r="E30" s="2695">
        <f>+' Exhibit I State'!E29</f>
        <v>0</v>
      </c>
      <c r="F30" s="2822"/>
      <c r="G30" s="2695">
        <f>+' Exhibit I State'!G29</f>
        <v>0</v>
      </c>
      <c r="H30" s="2822"/>
      <c r="I30" s="2698"/>
      <c r="J30" s="2875"/>
      <c r="K30" s="2695"/>
      <c r="L30" s="2873"/>
      <c r="M30" s="2695"/>
      <c r="N30" s="2873"/>
      <c r="O30" s="2695"/>
      <c r="P30" s="563"/>
      <c r="Q30" s="2896"/>
      <c r="R30" s="563"/>
      <c r="S30" s="2896"/>
      <c r="T30" s="563"/>
      <c r="U30" s="2896"/>
      <c r="V30" s="563"/>
      <c r="W30" s="2934"/>
      <c r="X30" s="563"/>
      <c r="Y30" s="2934"/>
      <c r="Z30" s="563"/>
      <c r="AA30" s="2934"/>
      <c r="AB30" s="2091"/>
      <c r="AC30" s="563"/>
      <c r="AD30" s="261">
        <f>ROUND(SUM(E30:AA30),1)</f>
        <v>0</v>
      </c>
      <c r="AE30" s="2092"/>
      <c r="AF30" s="564"/>
      <c r="AG30" s="593">
        <f>+' Exhibit I State'!AI29</f>
        <v>0</v>
      </c>
      <c r="AH30" s="568"/>
      <c r="AI30" s="588"/>
      <c r="AJ30" s="598">
        <f>ROUND(SUM(AD30-AG30),1)</f>
        <v>0</v>
      </c>
      <c r="AK30" s="574"/>
      <c r="AL30" s="2828">
        <f>ROUND(IF(AG30=0,0,AJ30/(AG30)),3)</f>
        <v>0</v>
      </c>
      <c r="AM30" s="1030"/>
      <c r="AN30" s="559"/>
      <c r="AO30" s="559"/>
      <c r="AP30" s="559"/>
    </row>
    <row r="31" spans="1:44" ht="15.75">
      <c r="A31" s="223"/>
      <c r="B31" s="590" t="s">
        <v>1503</v>
      </c>
      <c r="C31" s="223"/>
      <c r="D31" s="223"/>
      <c r="E31" s="256">
        <f>ROUND(SUM(E30:E30),1)</f>
        <v>0</v>
      </c>
      <c r="F31" s="1899"/>
      <c r="G31" s="256">
        <f>ROUND(SUM(G30:G30),1)</f>
        <v>0</v>
      </c>
      <c r="H31" s="1899"/>
      <c r="I31" s="256">
        <f>ROUND(SUM(I30:I30),1)</f>
        <v>0</v>
      </c>
      <c r="J31" s="1899"/>
      <c r="K31" s="256">
        <f>ROUND(SUM(K30:K30),1)</f>
        <v>0</v>
      </c>
      <c r="L31" s="563"/>
      <c r="M31" s="256">
        <f>ROUND(SUM(M30:M30),1)</f>
        <v>0</v>
      </c>
      <c r="N31" s="563"/>
      <c r="O31" s="256">
        <f>ROUND(SUM(O30:O30),1)</f>
        <v>0</v>
      </c>
      <c r="P31" s="563"/>
      <c r="Q31" s="256">
        <f>ROUND(SUM(Q30:Q30),1)</f>
        <v>0</v>
      </c>
      <c r="R31" s="563"/>
      <c r="S31" s="256">
        <f>ROUND(SUM(S30:S30),1)</f>
        <v>0</v>
      </c>
      <c r="T31" s="563"/>
      <c r="U31" s="256">
        <f>ROUND(SUM(U30:U30),1)</f>
        <v>0</v>
      </c>
      <c r="V31" s="563"/>
      <c r="W31" s="256">
        <f>ROUND(SUM(W30:W30),1)</f>
        <v>0</v>
      </c>
      <c r="X31" s="563"/>
      <c r="Y31" s="256">
        <f>ROUND(SUM(Y30:Y30),1)</f>
        <v>0</v>
      </c>
      <c r="Z31" s="563"/>
      <c r="AA31" s="256">
        <f>ROUND(SUM(AA30:AA30),1)</f>
        <v>0</v>
      </c>
      <c r="AB31" s="2091"/>
      <c r="AC31" s="563"/>
      <c r="AD31" s="256">
        <f>ROUND(SUM(AD30:AD30),1)</f>
        <v>0</v>
      </c>
      <c r="AE31" s="2092"/>
      <c r="AF31" s="564"/>
      <c r="AG31" s="256">
        <f>ROUND(SUM(AG30:AG30),1)</f>
        <v>0</v>
      </c>
      <c r="AH31" s="568"/>
      <c r="AI31" s="588"/>
      <c r="AJ31" s="2256">
        <f>ROUND(SUM(AD31-AG31),1)</f>
        <v>0</v>
      </c>
      <c r="AK31" s="584"/>
      <c r="AL31" s="2847">
        <f>ROUND(IF(AG31=0,0,AJ31/(AG31)),3)</f>
        <v>0</v>
      </c>
      <c r="AM31" s="1030"/>
      <c r="AN31" s="559"/>
      <c r="AO31" s="559"/>
      <c r="AP31" s="559"/>
    </row>
    <row r="32" spans="1:44" ht="15.75">
      <c r="A32" s="223"/>
      <c r="B32" s="590"/>
      <c r="C32" s="223"/>
      <c r="D32" s="223"/>
      <c r="E32" s="485"/>
      <c r="F32" s="1899"/>
      <c r="G32" s="485"/>
      <c r="H32" s="1899"/>
      <c r="I32" s="485"/>
      <c r="J32" s="1899"/>
      <c r="K32" s="1289"/>
      <c r="L32" s="563"/>
      <c r="M32" s="1289"/>
      <c r="N32" s="563"/>
      <c r="O32" s="1289"/>
      <c r="P32" s="563"/>
      <c r="Q32" s="1289"/>
      <c r="R32" s="563"/>
      <c r="S32" s="1289"/>
      <c r="T32" s="563"/>
      <c r="U32" s="1289"/>
      <c r="V32" s="563"/>
      <c r="W32" s="1289"/>
      <c r="X32" s="563"/>
      <c r="Y32" s="1289"/>
      <c r="Z32" s="563"/>
      <c r="AA32" s="1289"/>
      <c r="AB32" s="2091"/>
      <c r="AC32" s="563"/>
      <c r="AD32" s="485"/>
      <c r="AE32" s="2092"/>
      <c r="AF32" s="564"/>
      <c r="AG32" s="564"/>
      <c r="AH32" s="568"/>
      <c r="AI32" s="588"/>
      <c r="AJ32" s="589"/>
      <c r="AK32" s="574"/>
      <c r="AL32" s="2867"/>
      <c r="AM32" s="1030"/>
      <c r="AN32" s="559"/>
      <c r="AO32" s="559"/>
      <c r="AP32" s="559"/>
    </row>
    <row r="33" spans="1:42" ht="15.75">
      <c r="A33" s="223"/>
      <c r="B33" s="590" t="s">
        <v>1407</v>
      </c>
      <c r="C33" s="223"/>
      <c r="D33" s="223"/>
      <c r="E33" s="2093">
        <f>ROUND(SUM(E11+E28+E23+E31),1)</f>
        <v>99.9</v>
      </c>
      <c r="F33" s="261"/>
      <c r="G33" s="2093">
        <f>ROUND(SUM(G11+G28+G23+G31),1)</f>
        <v>93.3</v>
      </c>
      <c r="H33" s="261"/>
      <c r="I33" s="2093">
        <f>ROUND(SUM(I11+I28+I23+I31),1)</f>
        <v>0</v>
      </c>
      <c r="J33" s="261"/>
      <c r="K33" s="2093">
        <f>ROUND(SUM(K11+K28+K23+K31),1)</f>
        <v>0</v>
      </c>
      <c r="L33" s="563"/>
      <c r="M33" s="2093">
        <f>ROUND(SUM(M11+M28+M23+M31),1)</f>
        <v>0</v>
      </c>
      <c r="N33" s="563"/>
      <c r="O33" s="2093">
        <f>ROUND(SUM(O11+O28+O23+O31),1)</f>
        <v>0</v>
      </c>
      <c r="P33" s="563"/>
      <c r="Q33" s="2093">
        <f>ROUND(SUM(Q11+Q28+Q23+Q31),1)</f>
        <v>0</v>
      </c>
      <c r="R33" s="563"/>
      <c r="S33" s="2093">
        <f>ROUND(SUM(S11+S28+S23+S31),1)</f>
        <v>0</v>
      </c>
      <c r="T33" s="563"/>
      <c r="U33" s="2093">
        <f>ROUND(SUM(U11+U28+U23+U31),1)</f>
        <v>0</v>
      </c>
      <c r="V33" s="563"/>
      <c r="W33" s="2093">
        <f>ROUND(SUM(W11+W28+W23+W31),1)</f>
        <v>0</v>
      </c>
      <c r="X33" s="563"/>
      <c r="Y33" s="2093">
        <f>ROUND(SUM(Y11+Y28+Y23+Y31),1)</f>
        <v>0</v>
      </c>
      <c r="Z33" s="563"/>
      <c r="AA33" s="2093">
        <f>ROUND(SUM(AA11+AA28+AA23+AA31),1)</f>
        <v>0</v>
      </c>
      <c r="AB33" s="2091"/>
      <c r="AC33" s="563"/>
      <c r="AD33" s="2093">
        <f>ROUND(SUM(AD11+AD28+AD23+AD31),1)</f>
        <v>193.2</v>
      </c>
      <c r="AE33" s="2092"/>
      <c r="AF33" s="564"/>
      <c r="AG33" s="2093">
        <f>ROUND(SUM(AG11+AG28+AG23+AG31),1)</f>
        <v>200.6</v>
      </c>
      <c r="AH33" s="568"/>
      <c r="AI33" s="588"/>
      <c r="AJ33" s="2256">
        <f>ROUND(SUM(AD33-AG33),1)</f>
        <v>-7.4</v>
      </c>
      <c r="AK33" s="584"/>
      <c r="AL33" s="2847">
        <f>ROUND(IF(AG33=0,0,AJ33/(AG33)),3)</f>
        <v>-3.6999999999999998E-2</v>
      </c>
      <c r="AM33" s="1030"/>
      <c r="AN33" s="559"/>
      <c r="AO33" s="559"/>
      <c r="AP33" s="559"/>
    </row>
    <row r="34" spans="1:42" ht="15.75">
      <c r="A34" s="223"/>
      <c r="B34" s="590"/>
      <c r="C34" s="223"/>
      <c r="D34" s="223"/>
      <c r="E34" s="2096"/>
      <c r="F34" s="261"/>
      <c r="G34" s="2096"/>
      <c r="H34" s="261"/>
      <c r="I34" s="2096"/>
      <c r="J34" s="261"/>
      <c r="K34" s="2096"/>
      <c r="L34" s="563"/>
      <c r="M34" s="2096"/>
      <c r="N34" s="563"/>
      <c r="O34" s="2096"/>
      <c r="P34" s="563"/>
      <c r="Q34" s="2096"/>
      <c r="R34" s="563"/>
      <c r="S34" s="2096"/>
      <c r="T34" s="563"/>
      <c r="U34" s="2096"/>
      <c r="V34" s="563"/>
      <c r="W34" s="2096"/>
      <c r="X34" s="563"/>
      <c r="Y34" s="2096"/>
      <c r="Z34" s="563"/>
      <c r="AA34" s="2096"/>
      <c r="AB34" s="2723"/>
      <c r="AC34" s="563"/>
      <c r="AD34" s="2096"/>
      <c r="AE34" s="2092"/>
      <c r="AF34" s="564"/>
      <c r="AG34" s="2096"/>
      <c r="AH34" s="568"/>
      <c r="AI34" s="588"/>
      <c r="AJ34" s="2095"/>
      <c r="AK34" s="584"/>
      <c r="AL34" s="2833"/>
      <c r="AM34" s="1030"/>
      <c r="AN34" s="559"/>
      <c r="AO34" s="559"/>
      <c r="AP34" s="559"/>
    </row>
    <row r="35" spans="1:42" ht="15.75">
      <c r="A35" s="223"/>
      <c r="B35" s="491" t="s">
        <v>1308</v>
      </c>
      <c r="C35" s="223"/>
      <c r="D35" s="223"/>
      <c r="E35" s="373"/>
      <c r="F35" s="261"/>
      <c r="G35" s="518"/>
      <c r="H35" s="261"/>
      <c r="I35" s="518"/>
      <c r="J35" s="261"/>
      <c r="K35" s="518"/>
      <c r="L35" s="261"/>
      <c r="M35" s="518"/>
      <c r="N35" s="261"/>
      <c r="O35" s="518"/>
      <c r="P35" s="261"/>
      <c r="Q35" s="518"/>
      <c r="R35" s="261"/>
      <c r="S35" s="518"/>
      <c r="T35" s="261"/>
      <c r="U35" s="518"/>
      <c r="V35" s="261"/>
      <c r="X35" s="261"/>
      <c r="Y35" s="518"/>
      <c r="Z35" s="261"/>
      <c r="AA35" s="518"/>
      <c r="AB35" s="261"/>
      <c r="AC35" s="250"/>
      <c r="AD35" s="518"/>
      <c r="AE35" s="1995"/>
      <c r="AF35" s="255"/>
      <c r="AG35" s="654"/>
      <c r="AH35" s="274"/>
      <c r="AI35" s="657"/>
      <c r="AJ35" s="251"/>
      <c r="AK35" s="655"/>
      <c r="AL35" s="2828"/>
      <c r="AM35" s="648"/>
    </row>
    <row r="36" spans="1:42" ht="15.75">
      <c r="A36" s="223"/>
      <c r="B36" s="1837" t="s">
        <v>1436</v>
      </c>
      <c r="C36" s="223"/>
      <c r="D36" s="223"/>
      <c r="E36" s="373"/>
      <c r="F36" s="261"/>
      <c r="G36" s="518"/>
      <c r="H36" s="261"/>
      <c r="I36" s="518"/>
      <c r="J36" s="261"/>
      <c r="K36" s="518"/>
      <c r="L36" s="261"/>
      <c r="M36" s="518"/>
      <c r="N36" s="261"/>
      <c r="O36" s="518"/>
      <c r="P36" s="261"/>
      <c r="Q36" s="518"/>
      <c r="R36" s="261"/>
      <c r="S36" s="518"/>
      <c r="T36" s="261"/>
      <c r="U36" s="518"/>
      <c r="V36" s="261"/>
      <c r="X36" s="261"/>
      <c r="Y36" s="518"/>
      <c r="Z36" s="261"/>
      <c r="AA36" s="518"/>
      <c r="AB36" s="261"/>
      <c r="AC36" s="250"/>
      <c r="AD36" s="518"/>
      <c r="AE36" s="1995"/>
      <c r="AF36" s="255"/>
      <c r="AG36" s="654"/>
      <c r="AH36" s="274"/>
      <c r="AI36" s="657"/>
      <c r="AJ36" s="251"/>
      <c r="AK36" s="655"/>
      <c r="AL36" s="2828"/>
      <c r="AM36" s="648"/>
    </row>
    <row r="37" spans="1:42" ht="15.75">
      <c r="A37" s="223"/>
      <c r="B37" s="1837" t="s">
        <v>1342</v>
      </c>
      <c r="C37" s="223"/>
      <c r="D37" s="223"/>
      <c r="E37" s="373">
        <f>+' Exhibit I State'!E36+'Exhibit I Federal'!E18</f>
        <v>0</v>
      </c>
      <c r="F37" s="261"/>
      <c r="G37" s="373">
        <f>+' Exhibit I State'!G36+'Exhibit I Federal'!G18</f>
        <v>0</v>
      </c>
      <c r="H37" s="261"/>
      <c r="I37" s="373"/>
      <c r="J37" s="261"/>
      <c r="K37" s="373"/>
      <c r="L37" s="261"/>
      <c r="M37" s="373"/>
      <c r="N37" s="261"/>
      <c r="O37" s="373"/>
      <c r="P37" s="261"/>
      <c r="Q37" s="373"/>
      <c r="R37" s="261"/>
      <c r="S37" s="373"/>
      <c r="T37" s="261"/>
      <c r="U37" s="373"/>
      <c r="V37" s="261"/>
      <c r="W37" s="1138"/>
      <c r="X37" s="261"/>
      <c r="Y37" s="1138"/>
      <c r="Z37" s="261"/>
      <c r="AA37" s="1138"/>
      <c r="AB37" s="261"/>
      <c r="AC37" s="250"/>
      <c r="AD37" s="518">
        <f t="shared" ref="AD37:AD58" si="0">ROUND(SUM(E37:AA37),1)</f>
        <v>0</v>
      </c>
      <c r="AE37" s="1995"/>
      <c r="AF37" s="255"/>
      <c r="AG37" s="654">
        <f>+' Exhibit I State'!AI36</f>
        <v>0</v>
      </c>
      <c r="AH37" s="274"/>
      <c r="AI37" s="657"/>
      <c r="AJ37" s="251">
        <f t="shared" ref="AJ37:AJ58" si="1">ROUND(SUM(+AD37-AG37),1)</f>
        <v>0</v>
      </c>
      <c r="AK37" s="655"/>
      <c r="AL37" s="2828">
        <f>ROUND(IF(AG37=0,0,AJ37/(AG37)),3)</f>
        <v>0</v>
      </c>
      <c r="AM37" s="648"/>
    </row>
    <row r="38" spans="1:42" ht="15.75">
      <c r="A38" s="223"/>
      <c r="B38" s="1837" t="s">
        <v>1437</v>
      </c>
      <c r="C38" s="223"/>
      <c r="D38" s="223"/>
      <c r="E38" s="373"/>
      <c r="F38" s="261"/>
      <c r="G38" s="373"/>
      <c r="H38" s="261"/>
      <c r="I38" s="373"/>
      <c r="J38" s="261"/>
      <c r="K38" s="373"/>
      <c r="L38" s="261"/>
      <c r="M38" s="373"/>
      <c r="N38" s="261"/>
      <c r="O38" s="373"/>
      <c r="P38" s="261"/>
      <c r="Q38" s="373"/>
      <c r="R38" s="261"/>
      <c r="S38" s="373"/>
      <c r="T38" s="261"/>
      <c r="U38" s="373"/>
      <c r="V38" s="261"/>
      <c r="W38" s="1138"/>
      <c r="X38" s="261"/>
      <c r="Y38" s="1138"/>
      <c r="Z38" s="261"/>
      <c r="AA38" s="1138"/>
      <c r="AB38" s="261"/>
      <c r="AC38" s="250"/>
      <c r="AD38" s="518"/>
      <c r="AE38" s="1995"/>
      <c r="AF38" s="255"/>
      <c r="AG38" s="654"/>
      <c r="AH38" s="274"/>
      <c r="AI38" s="657"/>
      <c r="AJ38" s="251"/>
      <c r="AK38" s="655"/>
      <c r="AL38" s="2828"/>
      <c r="AM38" s="648"/>
    </row>
    <row r="39" spans="1:42" ht="15.75">
      <c r="A39" s="223"/>
      <c r="B39" s="1837" t="s">
        <v>1343</v>
      </c>
      <c r="C39" s="223"/>
      <c r="D39" s="223"/>
      <c r="E39" s="373">
        <f>+' Exhibit I State'!E38+'Exhibit I Federal'!E20</f>
        <v>9.1</v>
      </c>
      <c r="F39" s="261"/>
      <c r="G39" s="373">
        <f>+' Exhibit I State'!G38+'Exhibit I Federal'!G20</f>
        <v>8.6</v>
      </c>
      <c r="H39" s="261"/>
      <c r="I39" s="373"/>
      <c r="J39" s="261"/>
      <c r="K39" s="373"/>
      <c r="L39" s="261"/>
      <c r="M39" s="373"/>
      <c r="N39" s="261"/>
      <c r="O39" s="373"/>
      <c r="P39" s="261"/>
      <c r="Q39" s="373"/>
      <c r="R39" s="261"/>
      <c r="S39" s="373"/>
      <c r="T39" s="261"/>
      <c r="U39" s="373"/>
      <c r="V39" s="261"/>
      <c r="W39" s="1138"/>
      <c r="X39" s="261"/>
      <c r="Y39" s="1138"/>
      <c r="Z39" s="261"/>
      <c r="AA39" s="1138"/>
      <c r="AB39" s="261"/>
      <c r="AC39" s="250"/>
      <c r="AD39" s="518">
        <f t="shared" si="0"/>
        <v>17.7</v>
      </c>
      <c r="AE39" s="1995"/>
      <c r="AF39" s="255"/>
      <c r="AG39" s="654">
        <f>+' Exhibit I State'!AI38</f>
        <v>17.100000000000001</v>
      </c>
      <c r="AH39" s="274"/>
      <c r="AI39" s="657"/>
      <c r="AJ39" s="251">
        <f t="shared" si="1"/>
        <v>0.6</v>
      </c>
      <c r="AK39" s="655"/>
      <c r="AL39" s="2828">
        <f>ROUND(IF(AG39=0,0,AJ39/(AG39)),3)</f>
        <v>3.5000000000000003E-2</v>
      </c>
      <c r="AM39" s="648"/>
    </row>
    <row r="40" spans="1:42" ht="15.75">
      <c r="A40" s="223"/>
      <c r="B40" s="1837" t="s">
        <v>1442</v>
      </c>
      <c r="C40" s="223"/>
      <c r="D40" s="223"/>
      <c r="E40" s="373"/>
      <c r="F40" s="261"/>
      <c r="G40" s="373"/>
      <c r="H40" s="261"/>
      <c r="I40" s="373"/>
      <c r="J40" s="261"/>
      <c r="K40" s="373"/>
      <c r="L40" s="261"/>
      <c r="M40" s="373"/>
      <c r="N40" s="261"/>
      <c r="O40" s="373"/>
      <c r="P40" s="261"/>
      <c r="Q40" s="373"/>
      <c r="R40" s="261"/>
      <c r="S40" s="373"/>
      <c r="T40" s="261"/>
      <c r="U40" s="373"/>
      <c r="V40" s="261"/>
      <c r="W40" s="1138"/>
      <c r="X40" s="261"/>
      <c r="Y40" s="1138"/>
      <c r="Z40" s="261"/>
      <c r="AA40" s="1138"/>
      <c r="AB40" s="261"/>
      <c r="AC40" s="250"/>
      <c r="AD40" s="518"/>
      <c r="AE40" s="1995"/>
      <c r="AF40" s="255"/>
      <c r="AG40" s="654"/>
      <c r="AH40" s="274"/>
      <c r="AI40" s="657"/>
      <c r="AJ40" s="251"/>
      <c r="AK40" s="655"/>
      <c r="AL40" s="2828"/>
      <c r="AM40" s="648"/>
    </row>
    <row r="41" spans="1:42" ht="15.75">
      <c r="A41" s="223"/>
      <c r="B41" s="1837" t="s">
        <v>1347</v>
      </c>
      <c r="C41" s="223"/>
      <c r="D41" s="223"/>
      <c r="E41" s="373">
        <f>+' Exhibit I State'!E40+'Exhibit I Federal'!E22</f>
        <v>1.7</v>
      </c>
      <c r="F41" s="261"/>
      <c r="G41" s="373">
        <f>+' Exhibit I State'!G40+'Exhibit I Federal'!G22</f>
        <v>2.2000000000000002</v>
      </c>
      <c r="H41" s="261"/>
      <c r="I41" s="373"/>
      <c r="J41" s="261"/>
      <c r="K41" s="373"/>
      <c r="L41" s="261"/>
      <c r="M41" s="373"/>
      <c r="N41" s="261"/>
      <c r="O41" s="373"/>
      <c r="P41" s="261"/>
      <c r="Q41" s="373"/>
      <c r="R41" s="261"/>
      <c r="S41" s="373"/>
      <c r="T41" s="261"/>
      <c r="U41" s="373"/>
      <c r="V41" s="261"/>
      <c r="W41" s="1138"/>
      <c r="X41" s="261"/>
      <c r="Y41" s="1138"/>
      <c r="Z41" s="261"/>
      <c r="AA41" s="1138"/>
      <c r="AB41" s="261"/>
      <c r="AC41" s="250"/>
      <c r="AD41" s="518">
        <f t="shared" si="0"/>
        <v>3.9</v>
      </c>
      <c r="AE41" s="1995"/>
      <c r="AF41" s="255"/>
      <c r="AG41" s="654">
        <f>+' Exhibit I State'!AI40</f>
        <v>9.6999999999999993</v>
      </c>
      <c r="AH41" s="274"/>
      <c r="AI41" s="657"/>
      <c r="AJ41" s="251">
        <f t="shared" si="1"/>
        <v>-5.8</v>
      </c>
      <c r="AK41" s="655"/>
      <c r="AL41" s="2828">
        <f>ROUND(IF(AG41=0,0,AJ41/(AG41)),3)</f>
        <v>-0.59799999999999998</v>
      </c>
      <c r="AM41" s="648"/>
    </row>
    <row r="42" spans="1:42" ht="15.75">
      <c r="A42" s="223"/>
      <c r="B42" s="1837" t="s">
        <v>1529</v>
      </c>
      <c r="C42" s="223"/>
      <c r="D42" s="223"/>
      <c r="E42" s="373">
        <f>+' Exhibit I State'!E41+'Exhibit I Federal'!E23</f>
        <v>0</v>
      </c>
      <c r="F42" s="261"/>
      <c r="G42" s="373">
        <f>+' Exhibit I State'!G41+'Exhibit I Federal'!G23</f>
        <v>0</v>
      </c>
      <c r="H42" s="261"/>
      <c r="I42" s="373"/>
      <c r="J42" s="261"/>
      <c r="K42" s="373"/>
      <c r="L42" s="261"/>
      <c r="M42" s="373"/>
      <c r="N42" s="261"/>
      <c r="O42" s="373"/>
      <c r="P42" s="261"/>
      <c r="Q42" s="373"/>
      <c r="R42" s="261"/>
      <c r="S42" s="373"/>
      <c r="T42" s="261"/>
      <c r="U42" s="373"/>
      <c r="V42" s="261"/>
      <c r="W42" s="1138"/>
      <c r="X42" s="261"/>
      <c r="Y42" s="1138"/>
      <c r="Z42" s="261"/>
      <c r="AA42" s="1138"/>
      <c r="AB42" s="261"/>
      <c r="AC42" s="250"/>
      <c r="AD42" s="518">
        <f t="shared" si="0"/>
        <v>0</v>
      </c>
      <c r="AE42" s="2917"/>
      <c r="AF42" s="255"/>
      <c r="AG42" s="654">
        <f>+' Exhibit I State'!AI41</f>
        <v>0</v>
      </c>
      <c r="AH42" s="274"/>
      <c r="AI42" s="657"/>
      <c r="AJ42" s="251">
        <f>ROUND(SUM(+AD42-AG42),1)</f>
        <v>0</v>
      </c>
      <c r="AK42" s="655"/>
      <c r="AL42" s="2828">
        <f>ROUND(IF(AG42=0,0,AJ42/(AG42)),3)</f>
        <v>0</v>
      </c>
      <c r="AM42" s="648"/>
    </row>
    <row r="43" spans="1:42" ht="15.75">
      <c r="A43" s="223"/>
      <c r="B43" s="1837" t="s">
        <v>1350</v>
      </c>
      <c r="C43" s="223"/>
      <c r="D43" s="223"/>
      <c r="E43" s="373">
        <f>+' Exhibit I State'!E42+'Exhibit I Federal'!E24</f>
        <v>58.6</v>
      </c>
      <c r="F43" s="261"/>
      <c r="G43" s="373">
        <f>+' Exhibit I State'!G42+'Exhibit I Federal'!G24</f>
        <v>71.5</v>
      </c>
      <c r="H43" s="261"/>
      <c r="I43" s="373"/>
      <c r="J43" s="261"/>
      <c r="K43" s="373"/>
      <c r="L43" s="261"/>
      <c r="M43" s="373"/>
      <c r="N43" s="261"/>
      <c r="O43" s="373"/>
      <c r="P43" s="261"/>
      <c r="Q43" s="373"/>
      <c r="R43" s="261"/>
      <c r="S43" s="373"/>
      <c r="T43" s="261"/>
      <c r="U43" s="373"/>
      <c r="V43" s="261"/>
      <c r="W43" s="1138"/>
      <c r="X43" s="261"/>
      <c r="Y43" s="1138"/>
      <c r="Z43" s="261"/>
      <c r="AA43" s="1138"/>
      <c r="AB43" s="261"/>
      <c r="AC43" s="250"/>
      <c r="AD43" s="518">
        <f t="shared" si="0"/>
        <v>130.1</v>
      </c>
      <c r="AE43" s="1995"/>
      <c r="AF43" s="255"/>
      <c r="AG43" s="654">
        <f>+' Exhibit I State'!AI42</f>
        <v>116.8</v>
      </c>
      <c r="AH43" s="274"/>
      <c r="AI43" s="657"/>
      <c r="AJ43" s="251">
        <f t="shared" si="1"/>
        <v>13.3</v>
      </c>
      <c r="AK43" s="655"/>
      <c r="AL43" s="2828">
        <f>ROUND(IF(AG43=0,0,AJ43/(AG43)),3)</f>
        <v>0.114</v>
      </c>
      <c r="AM43" s="648"/>
    </row>
    <row r="44" spans="1:42" ht="15.75">
      <c r="A44" s="223"/>
      <c r="B44" s="1837" t="s">
        <v>1351</v>
      </c>
      <c r="C44" s="223"/>
      <c r="D44" s="223"/>
      <c r="E44" s="373">
        <f>+' Exhibit I State'!E43+'Exhibit I Federal'!E25</f>
        <v>0</v>
      </c>
      <c r="F44" s="261"/>
      <c r="G44" s="373">
        <f>+' Exhibit I State'!G43+'Exhibit I Federal'!G25</f>
        <v>0</v>
      </c>
      <c r="H44" s="261"/>
      <c r="I44" s="373"/>
      <c r="J44" s="261"/>
      <c r="K44" s="373"/>
      <c r="L44" s="261"/>
      <c r="M44" s="373"/>
      <c r="N44" s="261"/>
      <c r="O44" s="373"/>
      <c r="P44" s="261"/>
      <c r="Q44" s="373"/>
      <c r="R44" s="261"/>
      <c r="S44" s="373"/>
      <c r="T44" s="261"/>
      <c r="U44" s="373"/>
      <c r="V44" s="261"/>
      <c r="W44" s="1138"/>
      <c r="X44" s="261"/>
      <c r="Y44" s="1138"/>
      <c r="Z44" s="261"/>
      <c r="AA44" s="1138"/>
      <c r="AB44" s="261"/>
      <c r="AC44" s="250"/>
      <c r="AD44" s="518">
        <f t="shared" si="0"/>
        <v>0</v>
      </c>
      <c r="AE44" s="1995"/>
      <c r="AF44" s="255"/>
      <c r="AG44" s="654">
        <f>+' Exhibit I State'!AI43</f>
        <v>0</v>
      </c>
      <c r="AH44" s="274"/>
      <c r="AI44" s="657"/>
      <c r="AJ44" s="251">
        <f t="shared" si="1"/>
        <v>0</v>
      </c>
      <c r="AK44" s="655"/>
      <c r="AL44" s="2828">
        <f>ROUND(IF(AG44=0,0,AJ44/(AG44)),3)</f>
        <v>0</v>
      </c>
      <c r="AM44" s="648"/>
    </row>
    <row r="45" spans="1:42" ht="15.75">
      <c r="A45" s="223"/>
      <c r="B45" s="1837" t="s">
        <v>1309</v>
      </c>
      <c r="C45" s="223"/>
      <c r="D45" s="223"/>
      <c r="E45" s="373">
        <f>+' Exhibit I State'!E44+'Exhibit I Federal'!E26</f>
        <v>0.1</v>
      </c>
      <c r="F45" s="261"/>
      <c r="G45" s="373">
        <f>+' Exhibit I State'!G44+'Exhibit I Federal'!G26</f>
        <v>3.5</v>
      </c>
      <c r="H45" s="261"/>
      <c r="I45" s="373"/>
      <c r="J45" s="261"/>
      <c r="K45" s="373"/>
      <c r="L45" s="261"/>
      <c r="M45" s="373"/>
      <c r="N45" s="261"/>
      <c r="O45" s="373"/>
      <c r="P45" s="261"/>
      <c r="Q45" s="373"/>
      <c r="R45" s="261"/>
      <c r="S45" s="373"/>
      <c r="T45" s="261"/>
      <c r="U45" s="373"/>
      <c r="V45" s="261"/>
      <c r="W45" s="1138"/>
      <c r="X45" s="261"/>
      <c r="Y45" s="1138"/>
      <c r="Z45" s="261"/>
      <c r="AA45" s="1138"/>
      <c r="AB45" s="261"/>
      <c r="AC45" s="250"/>
      <c r="AD45" s="518">
        <f t="shared" si="0"/>
        <v>3.6</v>
      </c>
      <c r="AE45" s="1995"/>
      <c r="AF45" s="255"/>
      <c r="AG45" s="654">
        <f>+' Exhibit I State'!AI44</f>
        <v>5.3</v>
      </c>
      <c r="AH45" s="274"/>
      <c r="AI45" s="657"/>
      <c r="AJ45" s="251">
        <f t="shared" si="1"/>
        <v>-1.7</v>
      </c>
      <c r="AK45" s="655"/>
      <c r="AL45" s="2828">
        <f>ROUND(IF(AG45=0,1,AJ45/(AG45)),3)</f>
        <v>-0.32100000000000001</v>
      </c>
      <c r="AM45" s="648"/>
    </row>
    <row r="46" spans="1:42" ht="15.75">
      <c r="A46" s="223"/>
      <c r="B46" s="1837" t="s">
        <v>1310</v>
      </c>
      <c r="C46" s="223"/>
      <c r="D46" s="223"/>
      <c r="E46" s="373">
        <f>+' Exhibit I State'!E45+'Exhibit I Federal'!E27</f>
        <v>0.1</v>
      </c>
      <c r="F46" s="261"/>
      <c r="G46" s="373">
        <f>+' Exhibit I State'!G45+'Exhibit I Federal'!G27</f>
        <v>0</v>
      </c>
      <c r="H46" s="261"/>
      <c r="I46" s="373"/>
      <c r="J46" s="261"/>
      <c r="K46" s="373"/>
      <c r="L46" s="261"/>
      <c r="M46" s="373"/>
      <c r="N46" s="261"/>
      <c r="O46" s="373"/>
      <c r="P46" s="261"/>
      <c r="Q46" s="373"/>
      <c r="R46" s="261"/>
      <c r="S46" s="373"/>
      <c r="T46" s="261"/>
      <c r="U46" s="373"/>
      <c r="V46" s="261"/>
      <c r="W46" s="1138"/>
      <c r="X46" s="261"/>
      <c r="Y46" s="1138"/>
      <c r="Z46" s="261"/>
      <c r="AA46" s="1138"/>
      <c r="AB46" s="261"/>
      <c r="AC46" s="250"/>
      <c r="AD46" s="518">
        <f t="shared" si="0"/>
        <v>0.1</v>
      </c>
      <c r="AE46" s="1995"/>
      <c r="AF46" s="255"/>
      <c r="AG46" s="654">
        <f>+' Exhibit I State'!AI45</f>
        <v>0.1</v>
      </c>
      <c r="AH46" s="274"/>
      <c r="AI46" s="657"/>
      <c r="AJ46" s="251">
        <f>ROUND(SUM(+AD46-AG46),1)</f>
        <v>0</v>
      </c>
      <c r="AK46" s="655"/>
      <c r="AL46" s="2828">
        <f>ROUND(IF(AG46=0,1,AJ46/(AG46)),3)</f>
        <v>0</v>
      </c>
      <c r="AM46" s="648"/>
    </row>
    <row r="47" spans="1:42" ht="15.75">
      <c r="A47" s="223"/>
      <c r="B47" s="1837" t="s">
        <v>1440</v>
      </c>
      <c r="C47" s="223"/>
      <c r="D47" s="223"/>
      <c r="E47" s="373"/>
      <c r="F47" s="261"/>
      <c r="G47" s="373"/>
      <c r="H47" s="261"/>
      <c r="I47" s="373"/>
      <c r="J47" s="261"/>
      <c r="K47" s="373"/>
      <c r="L47" s="261"/>
      <c r="M47" s="373"/>
      <c r="N47" s="261"/>
      <c r="O47" s="373"/>
      <c r="P47" s="261"/>
      <c r="Q47" s="373"/>
      <c r="R47" s="261"/>
      <c r="S47" s="373"/>
      <c r="T47" s="261"/>
      <c r="U47" s="373"/>
      <c r="V47" s="261"/>
      <c r="W47" s="1138"/>
      <c r="X47" s="261"/>
      <c r="Y47" s="1138"/>
      <c r="Z47" s="261"/>
      <c r="AA47" s="1138"/>
      <c r="AB47" s="261"/>
      <c r="AC47" s="250"/>
      <c r="AD47" s="518"/>
      <c r="AE47" s="1995"/>
      <c r="AF47" s="255"/>
      <c r="AG47" s="654"/>
      <c r="AH47" s="274"/>
      <c r="AI47" s="657"/>
      <c r="AJ47" s="251"/>
      <c r="AK47" s="655"/>
      <c r="AL47" s="45"/>
      <c r="AM47" s="648"/>
    </row>
    <row r="48" spans="1:42" ht="15.75">
      <c r="A48" s="223"/>
      <c r="B48" s="1837" t="s">
        <v>1355</v>
      </c>
      <c r="C48" s="223"/>
      <c r="D48" s="223"/>
      <c r="E48" s="373">
        <f>+' Exhibit I State'!E47+'Exhibit I Federal'!E29</f>
        <v>12.2</v>
      </c>
      <c r="F48" s="261"/>
      <c r="G48" s="373">
        <f>+' Exhibit I State'!G47+'Exhibit I Federal'!G29</f>
        <v>43.1</v>
      </c>
      <c r="H48" s="261"/>
      <c r="I48" s="373"/>
      <c r="J48" s="261"/>
      <c r="K48" s="373"/>
      <c r="L48" s="261"/>
      <c r="M48" s="373"/>
      <c r="N48" s="261"/>
      <c r="O48" s="373"/>
      <c r="P48" s="261"/>
      <c r="Q48" s="373"/>
      <c r="R48" s="261"/>
      <c r="S48" s="373"/>
      <c r="T48" s="261"/>
      <c r="U48" s="373"/>
      <c r="V48" s="261"/>
      <c r="W48" s="1138"/>
      <c r="X48" s="261"/>
      <c r="Y48" s="1138"/>
      <c r="Z48" s="261"/>
      <c r="AA48" s="1138"/>
      <c r="AB48" s="261"/>
      <c r="AC48" s="250"/>
      <c r="AD48" s="518">
        <f t="shared" si="0"/>
        <v>55.3</v>
      </c>
      <c r="AE48" s="1995"/>
      <c r="AF48" s="255"/>
      <c r="AG48" s="654">
        <f>+' Exhibit I State'!AI47</f>
        <v>182.8</v>
      </c>
      <c r="AH48" s="274"/>
      <c r="AI48" s="657"/>
      <c r="AJ48" s="251">
        <f t="shared" si="1"/>
        <v>-127.5</v>
      </c>
      <c r="AK48" s="655"/>
      <c r="AL48" s="2828">
        <f>ROUND(IF(AG48=0,0,AJ48/(AG48)),3)</f>
        <v>-0.69699999999999995</v>
      </c>
      <c r="AM48" s="648"/>
    </row>
    <row r="49" spans="1:42" ht="15.75">
      <c r="A49" s="223"/>
      <c r="B49" s="1837" t="s">
        <v>1357</v>
      </c>
      <c r="C49" s="223"/>
      <c r="D49" s="223"/>
      <c r="E49" s="373">
        <f>+' Exhibit I State'!E48+'Exhibit I Federal'!E30</f>
        <v>0</v>
      </c>
      <c r="F49" s="373">
        <f>+' Exhibit I State'!F48+'Exhibit I Federal'!F31</f>
        <v>0</v>
      </c>
      <c r="G49" s="373">
        <f>+' Exhibit I State'!G48+'Exhibit I Federal'!G30</f>
        <v>0</v>
      </c>
      <c r="H49" s="373"/>
      <c r="I49" s="373"/>
      <c r="J49" s="373"/>
      <c r="K49" s="373"/>
      <c r="L49" s="373"/>
      <c r="M49" s="373"/>
      <c r="N49" s="373"/>
      <c r="O49" s="373"/>
      <c r="P49" s="373"/>
      <c r="Q49" s="373"/>
      <c r="R49" s="261"/>
      <c r="S49" s="373"/>
      <c r="T49" s="261"/>
      <c r="U49" s="373"/>
      <c r="V49" s="261"/>
      <c r="W49" s="1138"/>
      <c r="X49" s="261"/>
      <c r="Y49" s="1138"/>
      <c r="Z49" s="261"/>
      <c r="AA49" s="1138"/>
      <c r="AB49" s="261"/>
      <c r="AC49" s="250"/>
      <c r="AD49" s="518">
        <f t="shared" si="0"/>
        <v>0</v>
      </c>
      <c r="AE49" s="2917"/>
      <c r="AF49" s="255"/>
      <c r="AG49" s="654">
        <f>+' Exhibit I State'!AI48+'Exhibit I Federal'!AI30</f>
        <v>0</v>
      </c>
      <c r="AH49" s="274"/>
      <c r="AI49" s="657"/>
      <c r="AJ49" s="251">
        <f t="shared" si="1"/>
        <v>0</v>
      </c>
      <c r="AK49" s="655"/>
      <c r="AL49" s="2828">
        <f>ROUND(IF(AG49=0,0,AJ49/(AG49)),3)</f>
        <v>0</v>
      </c>
      <c r="AM49" s="648"/>
    </row>
    <row r="50" spans="1:42" ht="15.75">
      <c r="A50" s="223"/>
      <c r="B50" s="1837" t="s">
        <v>1358</v>
      </c>
      <c r="C50" s="223"/>
      <c r="D50" s="223"/>
      <c r="E50" s="373">
        <f>+' Exhibit I State'!E49+'Exhibit I Federal'!E31</f>
        <v>0</v>
      </c>
      <c r="F50" s="261"/>
      <c r="G50" s="373">
        <f>+' Exhibit I State'!G49+'Exhibit I Federal'!G31</f>
        <v>1.3</v>
      </c>
      <c r="H50" s="261"/>
      <c r="I50" s="373"/>
      <c r="J50" s="261"/>
      <c r="K50" s="373"/>
      <c r="L50" s="261"/>
      <c r="M50" s="373"/>
      <c r="N50" s="261"/>
      <c r="O50" s="373"/>
      <c r="P50" s="261"/>
      <c r="Q50" s="373"/>
      <c r="R50" s="261"/>
      <c r="S50" s="373"/>
      <c r="T50" s="261"/>
      <c r="U50" s="373"/>
      <c r="V50" s="261"/>
      <c r="W50" s="1138"/>
      <c r="X50" s="261"/>
      <c r="Y50" s="1138"/>
      <c r="Z50" s="261"/>
      <c r="AA50" s="1138"/>
      <c r="AB50" s="261"/>
      <c r="AC50" s="250"/>
      <c r="AD50" s="518">
        <f t="shared" si="0"/>
        <v>1.3</v>
      </c>
      <c r="AE50" s="1995"/>
      <c r="AF50" s="255"/>
      <c r="AG50" s="654">
        <f>+' Exhibit I State'!AI49</f>
        <v>5.0999999999999996</v>
      </c>
      <c r="AH50" s="274"/>
      <c r="AI50" s="657"/>
      <c r="AJ50" s="251">
        <f t="shared" si="1"/>
        <v>-3.8</v>
      </c>
      <c r="AK50" s="655"/>
      <c r="AL50" s="2700">
        <f>ROUND(IF(AG50=0,0,AJ50/(AG50)),3)</f>
        <v>-0.745</v>
      </c>
      <c r="AM50" s="648"/>
    </row>
    <row r="51" spans="1:42" ht="15.75">
      <c r="A51" s="223"/>
      <c r="B51" s="1837" t="s">
        <v>1328</v>
      </c>
      <c r="C51" s="223"/>
      <c r="D51" s="223"/>
      <c r="E51" s="373">
        <f>+' Exhibit I State'!E50+'Exhibit I Federal'!E32</f>
        <v>0.1</v>
      </c>
      <c r="F51" s="261"/>
      <c r="G51" s="373">
        <f>+' Exhibit I State'!G50+'Exhibit I Federal'!G32</f>
        <v>0.1</v>
      </c>
      <c r="H51" s="261"/>
      <c r="I51" s="373"/>
      <c r="J51" s="261"/>
      <c r="K51" s="373"/>
      <c r="L51" s="261"/>
      <c r="M51" s="373"/>
      <c r="N51" s="261"/>
      <c r="O51" s="373"/>
      <c r="P51" s="261"/>
      <c r="Q51" s="373"/>
      <c r="R51" s="261"/>
      <c r="S51" s="373"/>
      <c r="T51" s="261"/>
      <c r="U51" s="373"/>
      <c r="V51" s="261"/>
      <c r="W51" s="1138"/>
      <c r="X51" s="261"/>
      <c r="Y51" s="1138"/>
      <c r="Z51" s="261"/>
      <c r="AA51" s="1138"/>
      <c r="AB51" s="261"/>
      <c r="AC51" s="250"/>
      <c r="AD51" s="518">
        <f t="shared" si="0"/>
        <v>0.2</v>
      </c>
      <c r="AE51" s="1995"/>
      <c r="AF51" s="255"/>
      <c r="AG51" s="654">
        <f>+' Exhibit I State'!AI50</f>
        <v>0.8</v>
      </c>
      <c r="AH51" s="274"/>
      <c r="AI51" s="657"/>
      <c r="AJ51" s="251">
        <f t="shared" si="1"/>
        <v>-0.6</v>
      </c>
      <c r="AK51" s="655"/>
      <c r="AL51" s="45">
        <f>ROUND(IF(AG51=0,0,AJ51/(AG51)),3)</f>
        <v>-0.75</v>
      </c>
      <c r="AM51" s="648"/>
    </row>
    <row r="52" spans="1:42" ht="15.75">
      <c r="A52" s="223"/>
      <c r="B52" s="1837" t="s">
        <v>1329</v>
      </c>
      <c r="C52" s="223"/>
      <c r="D52" s="223"/>
      <c r="E52" s="373">
        <f>+' Exhibit I State'!E51+'Exhibit I Federal'!E33</f>
        <v>0.2</v>
      </c>
      <c r="F52" s="261"/>
      <c r="G52" s="373">
        <f>+' Exhibit I State'!G51+'Exhibit I Federal'!G33</f>
        <v>1.1000000000000001</v>
      </c>
      <c r="H52" s="261"/>
      <c r="I52" s="373"/>
      <c r="J52" s="261"/>
      <c r="K52" s="373"/>
      <c r="L52" s="261"/>
      <c r="M52" s="373"/>
      <c r="N52" s="261"/>
      <c r="O52" s="373"/>
      <c r="P52" s="261"/>
      <c r="Q52" s="373"/>
      <c r="R52" s="261"/>
      <c r="S52" s="373"/>
      <c r="T52" s="261"/>
      <c r="U52" s="373"/>
      <c r="V52" s="261"/>
      <c r="W52" s="1138"/>
      <c r="X52" s="261"/>
      <c r="Y52" s="1138"/>
      <c r="Z52" s="261"/>
      <c r="AA52" s="1138"/>
      <c r="AB52" s="261"/>
      <c r="AC52" s="250"/>
      <c r="AD52" s="518">
        <f t="shared" si="0"/>
        <v>1.3</v>
      </c>
      <c r="AE52" s="1995"/>
      <c r="AF52" s="255"/>
      <c r="AG52" s="2729">
        <f>+' Exhibit I State'!AI51+'Exhibit I Federal'!AI33</f>
        <v>1.3</v>
      </c>
      <c r="AH52" s="274"/>
      <c r="AI52" s="657"/>
      <c r="AJ52" s="251">
        <f t="shared" si="1"/>
        <v>0</v>
      </c>
      <c r="AK52" s="655"/>
      <c r="AL52" s="45">
        <f>ROUND(IF(AG52=0,0,AJ52/(AG52)),3)</f>
        <v>0</v>
      </c>
      <c r="AM52" s="648"/>
    </row>
    <row r="53" spans="1:42" ht="15.75">
      <c r="A53" s="223"/>
      <c r="B53" s="1837" t="s">
        <v>1441</v>
      </c>
      <c r="C53" s="223"/>
      <c r="D53" s="223"/>
      <c r="E53" s="373"/>
      <c r="F53" s="261"/>
      <c r="G53" s="373"/>
      <c r="H53" s="261"/>
      <c r="I53" s="373"/>
      <c r="J53" s="261"/>
      <c r="K53" s="373"/>
      <c r="L53" s="261"/>
      <c r="M53" s="373"/>
      <c r="N53" s="261"/>
      <c r="O53" s="373"/>
      <c r="P53" s="261"/>
      <c r="Q53" s="373"/>
      <c r="R53" s="261"/>
      <c r="S53" s="373"/>
      <c r="T53" s="261"/>
      <c r="U53" s="373"/>
      <c r="V53" s="261"/>
      <c r="W53" s="1138"/>
      <c r="X53" s="261"/>
      <c r="Y53" s="1138"/>
      <c r="Z53" s="261"/>
      <c r="AA53" s="1138"/>
      <c r="AB53" s="261"/>
      <c r="AC53" s="250"/>
      <c r="AD53" s="518"/>
      <c r="AE53" s="1995"/>
      <c r="AF53" s="255"/>
      <c r="AG53" s="654"/>
      <c r="AH53" s="274"/>
      <c r="AI53" s="657"/>
      <c r="AJ53" s="251"/>
      <c r="AK53" s="655"/>
      <c r="AL53" s="45"/>
      <c r="AM53" s="648"/>
    </row>
    <row r="54" spans="1:42" ht="15.75">
      <c r="A54" s="223"/>
      <c r="B54" s="1837" t="s">
        <v>1359</v>
      </c>
      <c r="C54" s="223"/>
      <c r="D54" s="223"/>
      <c r="E54" s="373">
        <f>+' Exhibit I State'!E53+'Exhibit I Federal'!E35</f>
        <v>0</v>
      </c>
      <c r="F54" s="261"/>
      <c r="G54" s="373">
        <f>+' Exhibit I State'!G53+'Exhibit I Federal'!G35</f>
        <v>0</v>
      </c>
      <c r="H54" s="261"/>
      <c r="I54" s="373"/>
      <c r="J54" s="261"/>
      <c r="K54" s="373"/>
      <c r="L54" s="261"/>
      <c r="M54" s="373"/>
      <c r="N54" s="261"/>
      <c r="O54" s="373"/>
      <c r="P54" s="261"/>
      <c r="Q54" s="373"/>
      <c r="R54" s="261"/>
      <c r="S54" s="373"/>
      <c r="T54" s="261"/>
      <c r="U54" s="373"/>
      <c r="V54" s="261"/>
      <c r="W54" s="1138"/>
      <c r="X54" s="261"/>
      <c r="Y54" s="1138"/>
      <c r="Z54" s="261"/>
      <c r="AA54" s="1138"/>
      <c r="AB54" s="261"/>
      <c r="AC54" s="250"/>
      <c r="AD54" s="518">
        <f t="shared" si="0"/>
        <v>0</v>
      </c>
      <c r="AE54" s="1995"/>
      <c r="AF54" s="255"/>
      <c r="AG54" s="654">
        <f>+' Exhibit I State'!AI53</f>
        <v>0</v>
      </c>
      <c r="AH54" s="274"/>
      <c r="AI54" s="657"/>
      <c r="AJ54" s="251">
        <f t="shared" si="1"/>
        <v>0</v>
      </c>
      <c r="AK54" s="655"/>
      <c r="AL54" s="45">
        <f>ROUND(IF(AG54=0,0,AJ54/(AG54)),3)</f>
        <v>0</v>
      </c>
      <c r="AM54" s="648"/>
    </row>
    <row r="55" spans="1:42" ht="15.75">
      <c r="A55" s="223"/>
      <c r="B55" s="1837" t="s">
        <v>1361</v>
      </c>
      <c r="C55" s="223"/>
      <c r="D55" s="223"/>
      <c r="E55" s="373">
        <f>+' Exhibit I State'!E54+'Exhibit I Federal'!E36</f>
        <v>0</v>
      </c>
      <c r="F55" s="261"/>
      <c r="G55" s="373">
        <f>+' Exhibit I State'!G54+'Exhibit I Federal'!G36</f>
        <v>0</v>
      </c>
      <c r="H55" s="261"/>
      <c r="I55" s="373"/>
      <c r="J55" s="261"/>
      <c r="K55" s="373"/>
      <c r="L55" s="261"/>
      <c r="M55" s="373"/>
      <c r="N55" s="261"/>
      <c r="O55" s="373"/>
      <c r="P55" s="261"/>
      <c r="Q55" s="373"/>
      <c r="R55" s="261"/>
      <c r="S55" s="373"/>
      <c r="T55" s="261"/>
      <c r="U55" s="373"/>
      <c r="V55" s="261"/>
      <c r="W55" s="1138"/>
      <c r="X55" s="261"/>
      <c r="Y55" s="1138"/>
      <c r="Z55" s="261"/>
      <c r="AA55" s="1138"/>
      <c r="AB55" s="261"/>
      <c r="AC55" s="250"/>
      <c r="AD55" s="518">
        <f t="shared" si="0"/>
        <v>0</v>
      </c>
      <c r="AE55" s="1995"/>
      <c r="AF55" s="255"/>
      <c r="AG55" s="654">
        <f>+' Exhibit I State'!AI54</f>
        <v>0</v>
      </c>
      <c r="AH55" s="274"/>
      <c r="AI55" s="657"/>
      <c r="AJ55" s="251">
        <f t="shared" si="1"/>
        <v>0</v>
      </c>
      <c r="AK55" s="655"/>
      <c r="AL55" s="2828">
        <f>ROUND(IF(AG55=0,0,AJ55/(AG55)),3)</f>
        <v>0</v>
      </c>
      <c r="AM55" s="648"/>
    </row>
    <row r="56" spans="1:42" ht="15.75">
      <c r="A56" s="223"/>
      <c r="B56" s="1837" t="s">
        <v>1365</v>
      </c>
      <c r="C56" s="223"/>
      <c r="D56" s="223"/>
      <c r="E56" s="373">
        <f>+' Exhibit I State'!E55+'Exhibit I Federal'!E37</f>
        <v>0.6</v>
      </c>
      <c r="F56" s="261"/>
      <c r="G56" s="373">
        <f>+' Exhibit I State'!G55+'Exhibit I Federal'!G37</f>
        <v>0.2</v>
      </c>
      <c r="H56" s="261"/>
      <c r="I56" s="373"/>
      <c r="J56" s="261"/>
      <c r="K56" s="373"/>
      <c r="L56" s="261"/>
      <c r="M56" s="373"/>
      <c r="N56" s="261"/>
      <c r="O56" s="373"/>
      <c r="P56" s="261"/>
      <c r="Q56" s="373"/>
      <c r="R56" s="261"/>
      <c r="S56" s="373"/>
      <c r="T56" s="261"/>
      <c r="U56" s="373"/>
      <c r="V56" s="261"/>
      <c r="W56" s="1138"/>
      <c r="X56" s="261"/>
      <c r="Y56" s="1138"/>
      <c r="Z56" s="261"/>
      <c r="AA56" s="1138"/>
      <c r="AB56" s="261"/>
      <c r="AC56" s="250"/>
      <c r="AD56" s="518">
        <f t="shared" si="0"/>
        <v>0.8</v>
      </c>
      <c r="AE56" s="1995"/>
      <c r="AF56" s="255"/>
      <c r="AG56" s="654">
        <f>+' Exhibit I State'!AI55</f>
        <v>1.1000000000000001</v>
      </c>
      <c r="AH56" s="274"/>
      <c r="AI56" s="657"/>
      <c r="AJ56" s="251">
        <f t="shared" si="1"/>
        <v>-0.3</v>
      </c>
      <c r="AK56" s="655"/>
      <c r="AL56" s="2843">
        <f>ROUND(IF(AG56=0,1,AJ56/(AG56)),3)</f>
        <v>-0.27300000000000002</v>
      </c>
      <c r="AM56" s="648"/>
    </row>
    <row r="57" spans="1:42" ht="15.75">
      <c r="A57" s="223"/>
      <c r="B57" s="1837" t="s">
        <v>1367</v>
      </c>
      <c r="C57" s="223"/>
      <c r="D57" s="223"/>
      <c r="E57" s="373">
        <f>+' Exhibit I State'!E56+'Exhibit I Federal'!E38</f>
        <v>1.2</v>
      </c>
      <c r="F57" s="261"/>
      <c r="G57" s="373">
        <f>+' Exhibit I State'!G56+'Exhibit I Federal'!G38</f>
        <v>0.6</v>
      </c>
      <c r="H57" s="261"/>
      <c r="I57" s="373"/>
      <c r="J57" s="261"/>
      <c r="K57" s="373"/>
      <c r="L57" s="261"/>
      <c r="M57" s="373"/>
      <c r="N57" s="261"/>
      <c r="O57" s="373"/>
      <c r="P57" s="261"/>
      <c r="Q57" s="373"/>
      <c r="R57" s="261"/>
      <c r="S57" s="373"/>
      <c r="T57" s="261"/>
      <c r="U57" s="373"/>
      <c r="V57" s="261"/>
      <c r="W57" s="1138"/>
      <c r="X57" s="261"/>
      <c r="Y57" s="1138"/>
      <c r="Z57" s="261"/>
      <c r="AA57" s="1138"/>
      <c r="AB57" s="261"/>
      <c r="AC57" s="250"/>
      <c r="AD57" s="518">
        <f t="shared" si="0"/>
        <v>1.8</v>
      </c>
      <c r="AE57" s="1995"/>
      <c r="AF57" s="255"/>
      <c r="AG57" s="2729">
        <f>+' Exhibit I State'!AI56+'Exhibit I Federal'!AI38</f>
        <v>1.8</v>
      </c>
      <c r="AH57" s="274"/>
      <c r="AI57" s="657"/>
      <c r="AJ57" s="251">
        <f t="shared" si="1"/>
        <v>0</v>
      </c>
      <c r="AK57" s="655"/>
      <c r="AL57" s="2700">
        <f>ROUND(IF(AG57=0,0,AJ57/(AG57)),3)</f>
        <v>0</v>
      </c>
      <c r="AM57" s="648"/>
    </row>
    <row r="58" spans="1:42" ht="15.75">
      <c r="A58" s="223"/>
      <c r="B58" s="1837" t="s">
        <v>1339</v>
      </c>
      <c r="C58" s="223"/>
      <c r="D58" s="223"/>
      <c r="E58" s="373">
        <f>+' Exhibit I State'!E57+'Exhibit I Federal'!E39</f>
        <v>0.1</v>
      </c>
      <c r="F58" s="261"/>
      <c r="G58" s="373">
        <f>+' Exhibit I State'!G57+'Exhibit I Federal'!G39</f>
        <v>0.2</v>
      </c>
      <c r="H58" s="261"/>
      <c r="I58" s="373"/>
      <c r="J58" s="261"/>
      <c r="K58" s="373"/>
      <c r="L58" s="261"/>
      <c r="M58" s="373"/>
      <c r="N58" s="261"/>
      <c r="O58" s="373"/>
      <c r="P58" s="261"/>
      <c r="Q58" s="373"/>
      <c r="R58" s="261"/>
      <c r="S58" s="373"/>
      <c r="T58" s="261"/>
      <c r="U58" s="373"/>
      <c r="V58" s="261"/>
      <c r="W58" s="1138"/>
      <c r="X58" s="261"/>
      <c r="Y58" s="1138"/>
      <c r="Z58" s="261"/>
      <c r="AA58" s="1138"/>
      <c r="AB58" s="261"/>
      <c r="AC58" s="250"/>
      <c r="AD58" s="518">
        <f t="shared" si="0"/>
        <v>0.3</v>
      </c>
      <c r="AE58" s="1995"/>
      <c r="AF58" s="255"/>
      <c r="AG58" s="654">
        <f>+' Exhibit I State'!AI57+'Exhibit I Federal'!AI39</f>
        <v>0.1</v>
      </c>
      <c r="AH58" s="274"/>
      <c r="AI58" s="657"/>
      <c r="AJ58" s="251">
        <f t="shared" si="1"/>
        <v>0.2</v>
      </c>
      <c r="AK58" s="655"/>
      <c r="AL58" s="2843">
        <f>ROUND(IF(AG58=0,1,AJ58/(AG58)),3)</f>
        <v>2</v>
      </c>
      <c r="AM58" s="648"/>
    </row>
    <row r="59" spans="1:42" s="653" customFormat="1" ht="15.75">
      <c r="A59" s="221"/>
      <c r="B59" s="590" t="s">
        <v>1504</v>
      </c>
      <c r="C59" s="221"/>
      <c r="D59" s="221"/>
      <c r="E59" s="485">
        <f>ROUND(SUM(E37:E58),1)</f>
        <v>84</v>
      </c>
      <c r="F59" s="1899"/>
      <c r="G59" s="485">
        <f>ROUND(SUM(G37:G58),1)</f>
        <v>132.4</v>
      </c>
      <c r="H59" s="2110"/>
      <c r="I59" s="485">
        <f>ROUND(SUM(I37:I58),1)</f>
        <v>0</v>
      </c>
      <c r="J59" s="1899"/>
      <c r="K59" s="485">
        <f>ROUND(SUM(K37:K58),1)</f>
        <v>0</v>
      </c>
      <c r="L59" s="1899"/>
      <c r="M59" s="485">
        <f>ROUND(SUM(M37:M58),1)</f>
        <v>0</v>
      </c>
      <c r="N59" s="1899"/>
      <c r="O59" s="485">
        <f>ROUND(SUM(O37:O58),1)</f>
        <v>0</v>
      </c>
      <c r="P59" s="1899"/>
      <c r="Q59" s="485">
        <f>ROUND(SUM(Q37:Q58),1)</f>
        <v>0</v>
      </c>
      <c r="R59" s="1899"/>
      <c r="S59" s="485">
        <f>ROUND(SUM(S37:S58),1)</f>
        <v>0</v>
      </c>
      <c r="T59" s="1899"/>
      <c r="U59" s="485">
        <f>ROUND(SUM(U37:U58),1)</f>
        <v>0</v>
      </c>
      <c r="V59" s="1899"/>
      <c r="W59" s="485">
        <f>ROUND(SUM(W37:W58),1)</f>
        <v>0</v>
      </c>
      <c r="X59" s="1899"/>
      <c r="Y59" s="485">
        <f>ROUND(SUM(Y37:Y58),1)</f>
        <v>0</v>
      </c>
      <c r="Z59" s="1899"/>
      <c r="AA59" s="485">
        <f>ROUND(SUM(AA37:AA58),1)</f>
        <v>0</v>
      </c>
      <c r="AB59" s="1899"/>
      <c r="AC59" s="259"/>
      <c r="AD59" s="485">
        <f>ROUND(SUM(AD37:AD58),1)</f>
        <v>216.4</v>
      </c>
      <c r="AE59" s="422"/>
      <c r="AF59" s="273"/>
      <c r="AG59" s="485">
        <f>ROUND(SUM(AG37:AG58),1)</f>
        <v>342</v>
      </c>
      <c r="AH59" s="284"/>
      <c r="AI59" s="657"/>
      <c r="AJ59" s="485">
        <f>ROUND(SUM(AJ37:AJ58),1)</f>
        <v>-125.6</v>
      </c>
      <c r="AK59" s="2111"/>
      <c r="AL59" s="2112">
        <f>ROUND(SUM(AJ59/AG59),3)</f>
        <v>-0.36699999999999999</v>
      </c>
    </row>
    <row r="60" spans="1:42" ht="15.75">
      <c r="A60" s="223"/>
      <c r="B60" s="590"/>
      <c r="C60" s="223"/>
      <c r="D60" s="223"/>
      <c r="E60" s="1177"/>
      <c r="F60" s="261"/>
      <c r="G60" s="1177"/>
      <c r="H60" s="518"/>
      <c r="I60" s="1177"/>
      <c r="J60" s="261"/>
      <c r="K60" s="1840"/>
      <c r="L60" s="261"/>
      <c r="M60" s="1840"/>
      <c r="N60" s="261"/>
      <c r="O60" s="518"/>
      <c r="P60" s="261"/>
      <c r="Q60" s="518"/>
      <c r="R60" s="261"/>
      <c r="S60" s="518"/>
      <c r="T60" s="261"/>
      <c r="U60" s="518"/>
      <c r="V60" s="261"/>
      <c r="X60" s="261"/>
      <c r="Y60" s="518"/>
      <c r="Z60" s="261"/>
      <c r="AA60" s="518"/>
      <c r="AB60" s="261"/>
      <c r="AC60" s="250"/>
      <c r="AD60" s="518"/>
      <c r="AE60" s="2088"/>
      <c r="AF60" s="249"/>
      <c r="AG60" s="261"/>
      <c r="AH60" s="274"/>
      <c r="AI60" s="657"/>
      <c r="AJ60" s="251"/>
      <c r="AK60" s="658"/>
      <c r="AL60" s="656"/>
    </row>
    <row r="61" spans="1:42" ht="15.75">
      <c r="A61" s="223"/>
      <c r="B61" s="223" t="s">
        <v>155</v>
      </c>
      <c r="C61" s="223"/>
      <c r="D61" s="223"/>
      <c r="E61" s="518">
        <f>+' Exhibit I State'!E60+'Exhibit I Federal'!E42</f>
        <v>101</v>
      </c>
      <c r="F61" s="261"/>
      <c r="G61" s="518">
        <f>+' Exhibit I State'!G60+'Exhibit I Federal'!G42</f>
        <v>69.7</v>
      </c>
      <c r="H61" s="261"/>
      <c r="I61" s="518"/>
      <c r="J61" s="261"/>
      <c r="K61" s="518"/>
      <c r="L61" s="261"/>
      <c r="M61" s="518"/>
      <c r="N61" s="261"/>
      <c r="O61" s="518"/>
      <c r="P61" s="261"/>
      <c r="Q61" s="518"/>
      <c r="R61" s="261"/>
      <c r="S61" s="518"/>
      <c r="T61" s="261"/>
      <c r="U61" s="518"/>
      <c r="V61" s="261"/>
      <c r="W61" s="682"/>
      <c r="X61" s="261"/>
      <c r="Y61" s="682"/>
      <c r="Z61" s="261"/>
      <c r="AA61" s="682"/>
      <c r="AB61" s="261"/>
      <c r="AC61" s="250"/>
      <c r="AD61" s="261">
        <f>ROUND(SUM(E61:AA61),1)</f>
        <v>170.7</v>
      </c>
      <c r="AE61" s="276"/>
      <c r="AF61" s="249"/>
      <c r="AG61" s="261">
        <f>+' Exhibit I State'!AI60+'Exhibit I Federal'!AI42</f>
        <v>240.2</v>
      </c>
      <c r="AH61" s="274"/>
      <c r="AI61" s="659"/>
      <c r="AJ61" s="661">
        <f>ROUND(SUM(+AD61-AG61),1)</f>
        <v>-69.5</v>
      </c>
      <c r="AK61" s="658"/>
      <c r="AL61" s="662">
        <f>ROUND(SUM(AJ61/AG61),3)</f>
        <v>-0.28899999999999998</v>
      </c>
    </row>
    <row r="62" spans="1:42" ht="15.75">
      <c r="A62" s="223"/>
      <c r="B62" s="223"/>
      <c r="C62" s="223"/>
      <c r="D62" s="223"/>
      <c r="E62" s="289"/>
      <c r="F62" s="261"/>
      <c r="G62" s="289"/>
      <c r="H62" s="261"/>
      <c r="I62" s="289"/>
      <c r="J62" s="261"/>
      <c r="K62" s="418"/>
      <c r="L62" s="261"/>
      <c r="M62" s="418"/>
      <c r="N62" s="261"/>
      <c r="O62" s="289"/>
      <c r="P62" s="261"/>
      <c r="Q62" s="289"/>
      <c r="R62" s="261"/>
      <c r="S62" s="289"/>
      <c r="T62" s="261"/>
      <c r="U62" s="289"/>
      <c r="V62" s="261"/>
      <c r="W62" s="289"/>
      <c r="X62" s="261"/>
      <c r="Y62" s="289"/>
      <c r="Z62" s="261"/>
      <c r="AA62" s="289"/>
      <c r="AB62" s="261"/>
      <c r="AC62" s="250"/>
      <c r="AD62" s="289"/>
      <c r="AE62" s="276"/>
      <c r="AF62" s="249"/>
      <c r="AG62" s="289"/>
      <c r="AH62" s="249"/>
      <c r="AI62" s="659"/>
      <c r="AJ62" s="251"/>
      <c r="AK62" s="648"/>
      <c r="AL62" s="656"/>
    </row>
    <row r="63" spans="1:42" ht="15.75">
      <c r="A63" s="223"/>
      <c r="B63" s="221" t="s">
        <v>204</v>
      </c>
      <c r="C63" s="223"/>
      <c r="D63" s="223"/>
      <c r="E63" s="603">
        <f>ROUND(SUM(+E59+E61+E33),1)</f>
        <v>284.89999999999998</v>
      </c>
      <c r="F63" s="257"/>
      <c r="G63" s="603">
        <f>ROUND(SUM(+G59+G61+G33),1)</f>
        <v>295.39999999999998</v>
      </c>
      <c r="H63" s="257"/>
      <c r="I63" s="603">
        <f>ROUND(SUM(+I59+I61+I33),1)</f>
        <v>0</v>
      </c>
      <c r="J63" s="257"/>
      <c r="K63" s="603">
        <f>ROUND(SUM(+K59+K61+K33),1)</f>
        <v>0</v>
      </c>
      <c r="L63" s="257"/>
      <c r="M63" s="603">
        <f>ROUND(SUM(+M59+M61+M33),1)</f>
        <v>0</v>
      </c>
      <c r="N63" s="257"/>
      <c r="O63" s="603">
        <f>ROUND(SUM(+O59+O61+O33),1)</f>
        <v>0</v>
      </c>
      <c r="P63" s="257"/>
      <c r="Q63" s="603">
        <f>ROUND(SUM(+Q59+Q61+Q33),1)</f>
        <v>0</v>
      </c>
      <c r="R63" s="257"/>
      <c r="S63" s="603">
        <f>ROUND(SUM(+S59+S61+S33),1)</f>
        <v>0</v>
      </c>
      <c r="T63" s="257"/>
      <c r="U63" s="603">
        <f>ROUND(SUM(+U59+U61+U33),1)</f>
        <v>0</v>
      </c>
      <c r="V63" s="257"/>
      <c r="W63" s="603">
        <f>ROUND(SUM(+W59+W61+W33),1)</f>
        <v>0</v>
      </c>
      <c r="X63" s="257"/>
      <c r="Y63" s="603">
        <f>ROUND(SUM(+Y59+Y61+Y33),1)</f>
        <v>0</v>
      </c>
      <c r="Z63" s="257"/>
      <c r="AA63" s="603">
        <f>ROUND(SUM(+AA59+AA61+AA33),1)</f>
        <v>0</v>
      </c>
      <c r="AB63" s="257"/>
      <c r="AC63" s="259"/>
      <c r="AD63" s="603">
        <f>ROUND(SUM(+AD59+AD61+AD33),1)</f>
        <v>580.29999999999995</v>
      </c>
      <c r="AE63" s="422"/>
      <c r="AF63" s="273"/>
      <c r="AG63" s="603">
        <f>ROUND(SUM(+AG59+AG61+AG33),1)</f>
        <v>782.8</v>
      </c>
      <c r="AH63" s="284"/>
      <c r="AI63" s="659"/>
      <c r="AJ63" s="603">
        <f>ROUND(SUM(+AJ59+AJ61+AJ33),1)</f>
        <v>-202.5</v>
      </c>
      <c r="AK63" s="369"/>
      <c r="AL63" s="1850">
        <f>ROUND(SUM(AJ63/AG63),3)</f>
        <v>-0.25900000000000001</v>
      </c>
      <c r="AM63" s="653"/>
      <c r="AN63" s="663"/>
      <c r="AO63" s="653"/>
      <c r="AP63" s="653"/>
    </row>
    <row r="64" spans="1:42" ht="15.75">
      <c r="A64" s="223"/>
      <c r="B64" s="223"/>
      <c r="C64" s="223"/>
      <c r="D64" s="223"/>
      <c r="E64" s="289"/>
      <c r="F64" s="261"/>
      <c r="G64" s="289"/>
      <c r="H64" s="261"/>
      <c r="I64" s="289"/>
      <c r="J64" s="261"/>
      <c r="K64" s="289"/>
      <c r="L64" s="261"/>
      <c r="M64" s="289"/>
      <c r="N64" s="261"/>
      <c r="O64" s="289"/>
      <c r="P64" s="261"/>
      <c r="Q64" s="289"/>
      <c r="R64" s="261"/>
      <c r="S64" s="289"/>
      <c r="T64" s="261"/>
      <c r="U64" s="289"/>
      <c r="V64" s="261"/>
      <c r="W64" s="289"/>
      <c r="X64" s="261"/>
      <c r="Y64" s="289"/>
      <c r="Z64" s="261"/>
      <c r="AA64" s="289"/>
      <c r="AB64" s="261"/>
      <c r="AC64" s="250"/>
      <c r="AD64" s="289"/>
      <c r="AE64" s="276"/>
      <c r="AF64" s="249"/>
      <c r="AG64" s="289"/>
      <c r="AH64" s="249"/>
      <c r="AI64" s="659"/>
      <c r="AJ64" s="251"/>
      <c r="AK64" s="648"/>
      <c r="AL64" s="656"/>
    </row>
    <row r="65" spans="1:42" ht="15.75">
      <c r="A65" s="223"/>
      <c r="B65" s="221" t="s">
        <v>24</v>
      </c>
      <c r="C65" s="223"/>
      <c r="D65" s="223"/>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50"/>
      <c r="AD65" s="261"/>
      <c r="AE65" s="276"/>
      <c r="AF65" s="249"/>
      <c r="AG65" s="261"/>
      <c r="AH65" s="261"/>
      <c r="AI65" s="659"/>
      <c r="AJ65" s="251"/>
      <c r="AK65" s="648"/>
      <c r="AL65" s="656"/>
    </row>
    <row r="66" spans="1:42" ht="15.75">
      <c r="A66" s="223"/>
      <c r="B66" s="223" t="s">
        <v>157</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74"/>
      <c r="AE66" s="276"/>
      <c r="AF66" s="249"/>
      <c r="AG66" s="261"/>
      <c r="AH66" s="261"/>
      <c r="AI66" s="659"/>
      <c r="AJ66" s="251"/>
      <c r="AK66" s="648"/>
      <c r="AL66" s="656"/>
    </row>
    <row r="67" spans="1:42" ht="15.75">
      <c r="A67" s="223"/>
      <c r="B67" s="223" t="s">
        <v>26</v>
      </c>
      <c r="C67" s="223"/>
      <c r="D67" s="223"/>
      <c r="E67" s="518">
        <f>+' Exhibit I State'!E66+'Exhibit I Federal'!E48</f>
        <v>0.1</v>
      </c>
      <c r="F67" s="261"/>
      <c r="G67" s="518">
        <f>+' Exhibit I State'!G66+'Exhibit I Federal'!G48</f>
        <v>0.1</v>
      </c>
      <c r="H67" s="518"/>
      <c r="I67" s="518"/>
      <c r="J67" s="261"/>
      <c r="K67" s="518"/>
      <c r="L67" s="261"/>
      <c r="M67" s="518"/>
      <c r="N67" s="261"/>
      <c r="O67" s="518"/>
      <c r="P67" s="261"/>
      <c r="Q67" s="518"/>
      <c r="R67" s="261"/>
      <c r="S67" s="518"/>
      <c r="T67" s="261"/>
      <c r="U67" s="518"/>
      <c r="V67" s="261"/>
      <c r="W67" s="682"/>
      <c r="X67" s="261"/>
      <c r="Y67" s="682"/>
      <c r="Z67" s="261"/>
      <c r="AA67" s="682"/>
      <c r="AB67" s="261"/>
      <c r="AC67" s="250"/>
      <c r="AD67" s="261">
        <f>ROUND(SUM(E67:AA67),1)</f>
        <v>0.2</v>
      </c>
      <c r="AE67" s="276"/>
      <c r="AF67" s="249"/>
      <c r="AG67" s="261">
        <f>' Exhibit I State'!AI66+'Exhibit I Federal'!AI48</f>
        <v>0.7</v>
      </c>
      <c r="AH67" s="274"/>
      <c r="AI67" s="657"/>
      <c r="AJ67" s="251">
        <f>ROUND(SUM(+AD67-AG67),1)</f>
        <v>-0.5</v>
      </c>
      <c r="AK67" s="658"/>
      <c r="AL67" s="2828">
        <f>ROUND(IF(AG67=0,0,AJ67/(AG67)),3)</f>
        <v>-0.71399999999999997</v>
      </c>
    </row>
    <row r="68" spans="1:42" ht="15.75">
      <c r="A68" s="223"/>
      <c r="B68" s="223" t="s">
        <v>27</v>
      </c>
      <c r="C68" s="223"/>
      <c r="D68" s="223"/>
      <c r="E68" s="518">
        <f>+' Exhibit I State'!E67+'Exhibit I Federal'!E49</f>
        <v>2.7</v>
      </c>
      <c r="F68" s="261"/>
      <c r="G68" s="518">
        <f>+' Exhibit I State'!G67+'Exhibit I Federal'!G49</f>
        <v>2.6</v>
      </c>
      <c r="H68" s="261"/>
      <c r="I68" s="518"/>
      <c r="J68" s="261"/>
      <c r="K68" s="518"/>
      <c r="L68" s="261"/>
      <c r="M68" s="518"/>
      <c r="N68" s="261"/>
      <c r="O68" s="518"/>
      <c r="P68" s="261"/>
      <c r="Q68" s="518"/>
      <c r="R68" s="261"/>
      <c r="S68" s="518"/>
      <c r="T68" s="261"/>
      <c r="U68" s="518"/>
      <c r="V68" s="261"/>
      <c r="W68" s="682"/>
      <c r="X68" s="261"/>
      <c r="Y68" s="682"/>
      <c r="Z68" s="261"/>
      <c r="AA68" s="682"/>
      <c r="AB68" s="261"/>
      <c r="AC68" s="250"/>
      <c r="AD68" s="261">
        <f t="shared" ref="AD68:AD75" si="2">ROUND(SUM(E68:AA68),1)</f>
        <v>5.3</v>
      </c>
      <c r="AE68" s="276"/>
      <c r="AF68" s="249"/>
      <c r="AG68" s="261">
        <f>' Exhibit I State'!AI67+'Exhibit I Federal'!AI49</f>
        <v>6.4</v>
      </c>
      <c r="AH68" s="274"/>
      <c r="AI68" s="657"/>
      <c r="AJ68" s="251">
        <f t="shared" ref="AJ68:AJ75" si="3">ROUND(SUM(+AD68-AG68),1)</f>
        <v>-1.1000000000000001</v>
      </c>
      <c r="AK68" s="658"/>
      <c r="AL68" s="2828">
        <f>ROUND(IF(AG68=0,0,AJ68/(AG68)),3)</f>
        <v>-0.17199999999999999</v>
      </c>
    </row>
    <row r="69" spans="1:42" ht="15.75">
      <c r="A69" s="223"/>
      <c r="B69" s="223" t="s">
        <v>28</v>
      </c>
      <c r="C69" s="223"/>
      <c r="D69" s="223"/>
      <c r="E69" s="518">
        <f>+' Exhibit I State'!E68+'Exhibit I Federal'!E50</f>
        <v>9.1</v>
      </c>
      <c r="F69" s="261"/>
      <c r="G69" s="518">
        <f>+' Exhibit I State'!G68+'Exhibit I Federal'!G50</f>
        <v>4.2</v>
      </c>
      <c r="H69" s="261"/>
      <c r="I69" s="518"/>
      <c r="J69" s="261"/>
      <c r="K69" s="518"/>
      <c r="L69" s="261"/>
      <c r="M69" s="518"/>
      <c r="N69" s="261"/>
      <c r="O69" s="518"/>
      <c r="P69" s="261"/>
      <c r="Q69" s="518"/>
      <c r="R69" s="261"/>
      <c r="S69" s="518"/>
      <c r="T69" s="261"/>
      <c r="U69" s="518"/>
      <c r="V69" s="261"/>
      <c r="W69" s="682"/>
      <c r="X69" s="261"/>
      <c r="Y69" s="682"/>
      <c r="Z69" s="261"/>
      <c r="AA69" s="682"/>
      <c r="AB69" s="261"/>
      <c r="AC69" s="250"/>
      <c r="AD69" s="261">
        <f t="shared" si="2"/>
        <v>13.3</v>
      </c>
      <c r="AE69" s="276"/>
      <c r="AF69" s="249"/>
      <c r="AG69" s="261">
        <f>' Exhibit I State'!AI68+'Exhibit I Federal'!AI50</f>
        <v>1.5</v>
      </c>
      <c r="AH69" s="274"/>
      <c r="AI69" s="657"/>
      <c r="AJ69" s="251">
        <f t="shared" si="3"/>
        <v>11.8</v>
      </c>
      <c r="AK69" s="658"/>
      <c r="AL69" s="2828">
        <f>ROUND(IF(AG69=0,0,AJ69/(AG69)),3)</f>
        <v>7.867</v>
      </c>
      <c r="AM69" s="648"/>
    </row>
    <row r="70" spans="1:42" ht="15.75">
      <c r="A70" s="223"/>
      <c r="B70" s="223" t="s">
        <v>29</v>
      </c>
      <c r="C70" s="223"/>
      <c r="D70" s="223"/>
      <c r="E70" s="518"/>
      <c r="F70" s="261"/>
      <c r="G70" s="518"/>
      <c r="H70" s="261"/>
      <c r="I70" s="518"/>
      <c r="J70" s="261"/>
      <c r="K70" s="518"/>
      <c r="L70" s="261"/>
      <c r="M70" s="518"/>
      <c r="N70" s="261"/>
      <c r="O70" s="518"/>
      <c r="P70" s="261"/>
      <c r="Q70" s="518"/>
      <c r="R70" s="261"/>
      <c r="S70" s="518"/>
      <c r="T70" s="261"/>
      <c r="U70" s="518"/>
      <c r="V70" s="261"/>
      <c r="W70" s="682"/>
      <c r="X70" s="261"/>
      <c r="Y70" s="682"/>
      <c r="Z70" s="261"/>
      <c r="AA70" s="682"/>
      <c r="AB70" s="261"/>
      <c r="AC70" s="250"/>
      <c r="AD70" s="1177" t="s">
        <v>16</v>
      </c>
      <c r="AE70" s="276"/>
      <c r="AF70" s="249"/>
      <c r="AG70" s="266"/>
      <c r="AH70" s="261"/>
      <c r="AI70" s="659"/>
      <c r="AJ70" s="251" t="s">
        <v>16</v>
      </c>
      <c r="AK70" s="658"/>
      <c r="AL70" s="664" t="s">
        <v>16</v>
      </c>
      <c r="AM70" s="648"/>
    </row>
    <row r="71" spans="1:42" ht="15.75">
      <c r="A71" s="223"/>
      <c r="B71" s="223" t="s">
        <v>30</v>
      </c>
      <c r="C71" s="221"/>
      <c r="D71" s="223"/>
      <c r="E71" s="518">
        <f>+' Exhibit I State'!E70+'Exhibit I Federal'!E52</f>
        <v>0</v>
      </c>
      <c r="F71" s="261"/>
      <c r="G71" s="518">
        <f>+' Exhibit I State'!G70+'Exhibit I Federal'!G52</f>
        <v>0</v>
      </c>
      <c r="H71" s="261"/>
      <c r="I71" s="518"/>
      <c r="J71" s="261"/>
      <c r="K71" s="518"/>
      <c r="L71" s="261"/>
      <c r="M71" s="518"/>
      <c r="N71" s="261"/>
      <c r="O71" s="518"/>
      <c r="P71" s="261"/>
      <c r="Q71" s="518"/>
      <c r="R71" s="261"/>
      <c r="S71" s="518"/>
      <c r="T71" s="261"/>
      <c r="U71" s="518"/>
      <c r="V71" s="261"/>
      <c r="W71" s="2935"/>
      <c r="X71" s="261"/>
      <c r="Y71" s="2935"/>
      <c r="Z71" s="261"/>
      <c r="AA71" s="2935"/>
      <c r="AB71" s="261"/>
      <c r="AC71" s="250"/>
      <c r="AD71" s="261">
        <f t="shared" si="2"/>
        <v>0</v>
      </c>
      <c r="AE71" s="276"/>
      <c r="AF71" s="249"/>
      <c r="AG71" s="266">
        <f>' Exhibit I State'!AI70+'Exhibit I Federal'!AI52</f>
        <v>0</v>
      </c>
      <c r="AH71" s="261"/>
      <c r="AI71" s="659"/>
      <c r="AJ71" s="251">
        <f t="shared" si="3"/>
        <v>0</v>
      </c>
      <c r="AK71" s="658"/>
      <c r="AL71" s="45">
        <f t="shared" ref="AL71:AL76" si="4">ROUND(IF(AG71=0,0,AJ71/(AG71)),3)</f>
        <v>0</v>
      </c>
      <c r="AM71" s="648"/>
    </row>
    <row r="72" spans="1:42" ht="15.75">
      <c r="A72" s="223"/>
      <c r="B72" s="223" t="s">
        <v>31</v>
      </c>
      <c r="C72" s="223"/>
      <c r="D72" s="223"/>
      <c r="E72" s="518">
        <f>+' Exhibit I State'!E71+'Exhibit I Federal'!E53</f>
        <v>3.6</v>
      </c>
      <c r="F72" s="261"/>
      <c r="G72" s="518">
        <f>+' Exhibit I State'!G71+'Exhibit I Federal'!G53</f>
        <v>4.9000000000000004</v>
      </c>
      <c r="H72" s="261"/>
      <c r="I72" s="518"/>
      <c r="J72" s="261"/>
      <c r="K72" s="518"/>
      <c r="L72" s="261"/>
      <c r="M72" s="518"/>
      <c r="N72" s="261"/>
      <c r="O72" s="518"/>
      <c r="P72" s="261"/>
      <c r="Q72" s="518"/>
      <c r="R72" s="261"/>
      <c r="S72" s="518"/>
      <c r="T72" s="261"/>
      <c r="U72" s="518"/>
      <c r="V72" s="261"/>
      <c r="W72" s="682"/>
      <c r="X72" s="261"/>
      <c r="Y72" s="682"/>
      <c r="Z72" s="261"/>
      <c r="AA72" s="682"/>
      <c r="AB72" s="261"/>
      <c r="AC72" s="250"/>
      <c r="AD72" s="261">
        <f t="shared" si="2"/>
        <v>8.5</v>
      </c>
      <c r="AE72" s="276"/>
      <c r="AF72" s="249"/>
      <c r="AG72" s="266">
        <f>' Exhibit I State'!AI71+'Exhibit I Federal'!AI53</f>
        <v>6.6</v>
      </c>
      <c r="AH72" s="274"/>
      <c r="AI72" s="657"/>
      <c r="AJ72" s="251">
        <f t="shared" si="3"/>
        <v>1.9</v>
      </c>
      <c r="AK72" s="658"/>
      <c r="AL72" s="45">
        <f t="shared" si="4"/>
        <v>0.28799999999999998</v>
      </c>
    </row>
    <row r="73" spans="1:42" ht="15.75">
      <c r="A73" s="223"/>
      <c r="B73" s="223" t="s">
        <v>32</v>
      </c>
      <c r="C73" s="223"/>
      <c r="D73" s="223"/>
      <c r="E73" s="518">
        <f>+' Exhibit I State'!E72+'Exhibit I Federal'!E54</f>
        <v>0</v>
      </c>
      <c r="F73" s="261"/>
      <c r="G73" s="518">
        <f>+' Exhibit I State'!G72+'Exhibit I Federal'!G54</f>
        <v>0</v>
      </c>
      <c r="H73" s="261"/>
      <c r="I73" s="518"/>
      <c r="J73" s="261"/>
      <c r="K73" s="518"/>
      <c r="L73" s="261"/>
      <c r="M73" s="518"/>
      <c r="N73" s="261"/>
      <c r="O73" s="518"/>
      <c r="P73" s="261"/>
      <c r="Q73" s="518"/>
      <c r="R73" s="261"/>
      <c r="S73" s="518"/>
      <c r="T73" s="261"/>
      <c r="U73" s="518"/>
      <c r="V73" s="261"/>
      <c r="W73" s="2935"/>
      <c r="X73" s="261"/>
      <c r="Y73" s="2935"/>
      <c r="Z73" s="261"/>
      <c r="AA73" s="2935"/>
      <c r="AB73" s="261"/>
      <c r="AC73" s="250"/>
      <c r="AD73" s="261">
        <f t="shared" si="2"/>
        <v>0</v>
      </c>
      <c r="AE73" s="276"/>
      <c r="AF73" s="249"/>
      <c r="AG73" s="266">
        <f>' Exhibit I State'!AI72+'Exhibit I Federal'!AI54</f>
        <v>0</v>
      </c>
      <c r="AH73" s="274"/>
      <c r="AI73" s="657"/>
      <c r="AJ73" s="251">
        <f t="shared" si="3"/>
        <v>0</v>
      </c>
      <c r="AK73" s="658"/>
      <c r="AL73" s="45">
        <f t="shared" si="4"/>
        <v>0</v>
      </c>
      <c r="AM73" s="648"/>
    </row>
    <row r="74" spans="1:42" ht="15.75">
      <c r="A74" s="223"/>
      <c r="B74" s="223" t="s">
        <v>33</v>
      </c>
      <c r="C74" s="223"/>
      <c r="D74" s="223"/>
      <c r="E74" s="518">
        <f>+' Exhibit I State'!E73+'Exhibit I Federal'!E55</f>
        <v>0</v>
      </c>
      <c r="F74" s="261"/>
      <c r="G74" s="518">
        <f>+' Exhibit I State'!G73+'Exhibit I Federal'!G55</f>
        <v>0</v>
      </c>
      <c r="H74" s="261"/>
      <c r="I74" s="518"/>
      <c r="J74" s="261"/>
      <c r="K74" s="518"/>
      <c r="L74" s="261"/>
      <c r="M74" s="518"/>
      <c r="N74" s="261"/>
      <c r="O74" s="518"/>
      <c r="P74" s="261"/>
      <c r="Q74" s="518"/>
      <c r="R74" s="261"/>
      <c r="S74" s="518"/>
      <c r="T74" s="261"/>
      <c r="U74" s="518"/>
      <c r="V74" s="261"/>
      <c r="W74" s="682"/>
      <c r="X74" s="261"/>
      <c r="Y74" s="682"/>
      <c r="Z74" s="261"/>
      <c r="AA74" s="682"/>
      <c r="AB74" s="261"/>
      <c r="AC74" s="250"/>
      <c r="AD74" s="261">
        <f t="shared" si="2"/>
        <v>0</v>
      </c>
      <c r="AE74" s="276"/>
      <c r="AF74" s="249"/>
      <c r="AG74" s="266">
        <f>' Exhibit I State'!AI73+'Exhibit I Federal'!AI55</f>
        <v>5.5</v>
      </c>
      <c r="AH74" s="261"/>
      <c r="AI74" s="659"/>
      <c r="AJ74" s="251">
        <f t="shared" si="3"/>
        <v>-5.5</v>
      </c>
      <c r="AK74" s="658"/>
      <c r="AL74" s="45">
        <f t="shared" si="4"/>
        <v>-1</v>
      </c>
      <c r="AM74" s="648"/>
    </row>
    <row r="75" spans="1:42" ht="15.75">
      <c r="A75" s="223"/>
      <c r="B75" s="223" t="s">
        <v>34</v>
      </c>
      <c r="C75" s="221"/>
      <c r="D75" s="223"/>
      <c r="E75" s="518">
        <f>+' Exhibit I State'!E74+'Exhibit I Federal'!E56</f>
        <v>21.2</v>
      </c>
      <c r="F75" s="261"/>
      <c r="G75" s="518">
        <f>+' Exhibit I State'!G74+'Exhibit I Federal'!G56</f>
        <v>60</v>
      </c>
      <c r="H75" s="261"/>
      <c r="I75" s="518"/>
      <c r="J75" s="261"/>
      <c r="K75" s="518"/>
      <c r="L75" s="261"/>
      <c r="M75" s="518"/>
      <c r="N75" s="261"/>
      <c r="O75" s="518"/>
      <c r="P75" s="261"/>
      <c r="Q75" s="518"/>
      <c r="R75" s="261"/>
      <c r="S75" s="518"/>
      <c r="T75" s="261"/>
      <c r="U75" s="518"/>
      <c r="V75" s="261"/>
      <c r="W75" s="682"/>
      <c r="X75" s="261"/>
      <c r="Y75" s="682"/>
      <c r="Z75" s="261"/>
      <c r="AA75" s="682"/>
      <c r="AB75" s="261"/>
      <c r="AC75" s="250"/>
      <c r="AD75" s="261">
        <f t="shared" si="2"/>
        <v>81.2</v>
      </c>
      <c r="AE75" s="276"/>
      <c r="AF75" s="249"/>
      <c r="AG75" s="266">
        <f>' Exhibit I State'!AI74+'Exhibit I Federal'!AI56</f>
        <v>6</v>
      </c>
      <c r="AH75" s="261"/>
      <c r="AI75" s="659"/>
      <c r="AJ75" s="251">
        <f t="shared" si="3"/>
        <v>75.2</v>
      </c>
      <c r="AK75" s="658"/>
      <c r="AL75" s="3482">
        <f>ROUND(IF(AG75=0,0,AJ75/(AG75)),3)</f>
        <v>12.532999999999999</v>
      </c>
      <c r="AM75" s="648"/>
    </row>
    <row r="76" spans="1:42" ht="15.75">
      <c r="A76" s="223"/>
      <c r="B76" s="223" t="s">
        <v>35</v>
      </c>
      <c r="C76" s="223"/>
      <c r="D76" s="223"/>
      <c r="E76" s="518">
        <f>+' Exhibit I State'!E75+'Exhibit I Federal'!E57</f>
        <v>31</v>
      </c>
      <c r="F76" s="261"/>
      <c r="G76" s="518">
        <f>+' Exhibit I State'!G75+'Exhibit I Federal'!G57</f>
        <v>31.099999999999998</v>
      </c>
      <c r="H76" s="261"/>
      <c r="I76" s="518"/>
      <c r="J76" s="261"/>
      <c r="K76" s="518"/>
      <c r="L76" s="261"/>
      <c r="M76" s="518"/>
      <c r="N76" s="261"/>
      <c r="O76" s="518"/>
      <c r="P76" s="261"/>
      <c r="Q76" s="518"/>
      <c r="R76" s="261"/>
      <c r="S76" s="518"/>
      <c r="T76" s="261"/>
      <c r="U76" s="518"/>
      <c r="V76" s="261"/>
      <c r="W76" s="682"/>
      <c r="X76" s="261"/>
      <c r="Y76" s="682"/>
      <c r="Z76" s="261"/>
      <c r="AA76" s="682"/>
      <c r="AB76" s="261"/>
      <c r="AC76" s="250"/>
      <c r="AD76" s="261">
        <f>ROUND(SUM(E76:AA76),1)</f>
        <v>62.1</v>
      </c>
      <c r="AE76" s="276"/>
      <c r="AF76" s="249"/>
      <c r="AG76" s="1842">
        <f>' Exhibit I State'!AI75+'Exhibit I Federal'!AI57</f>
        <v>87.5</v>
      </c>
      <c r="AH76" s="249"/>
      <c r="AI76" s="659"/>
      <c r="AJ76" s="251">
        <f>ROUND(SUM(+AD76-AG76),1)</f>
        <v>-25.4</v>
      </c>
      <c r="AK76" s="648"/>
      <c r="AL76" s="1854">
        <f t="shared" si="4"/>
        <v>-0.28999999999999998</v>
      </c>
      <c r="AM76" s="648"/>
    </row>
    <row r="77" spans="1:42" ht="15.75">
      <c r="A77" s="223"/>
      <c r="B77" s="221" t="s">
        <v>205</v>
      </c>
      <c r="C77" s="223"/>
      <c r="D77" s="223"/>
      <c r="E77" s="546">
        <f>ROUND(SUM(E67:E76),1)</f>
        <v>67.7</v>
      </c>
      <c r="F77" s="257"/>
      <c r="G77" s="546">
        <f>ROUND(SUM(G67:G76),1)</f>
        <v>102.9</v>
      </c>
      <c r="H77" s="257"/>
      <c r="I77" s="546">
        <f>ROUND(SUM(I67:I76),1)</f>
        <v>0</v>
      </c>
      <c r="J77" s="273"/>
      <c r="K77" s="546">
        <f>ROUND(SUM(K67:K76),1)</f>
        <v>0</v>
      </c>
      <c r="L77" s="273"/>
      <c r="M77" s="546">
        <f>ROUND(SUM(M67:M76),1)</f>
        <v>0</v>
      </c>
      <c r="N77" s="273"/>
      <c r="O77" s="546">
        <f>ROUND(SUM(O67:O76),1)</f>
        <v>0</v>
      </c>
      <c r="P77" s="257"/>
      <c r="Q77" s="546">
        <f>ROUND(SUM(Q67:Q76),1)</f>
        <v>0</v>
      </c>
      <c r="R77" s="257"/>
      <c r="S77" s="546">
        <f>ROUND(SUM(S67:S76),1)</f>
        <v>0</v>
      </c>
      <c r="T77" s="257"/>
      <c r="U77" s="546">
        <f>ROUND(SUM(U67:U76),1)</f>
        <v>0</v>
      </c>
      <c r="V77" s="257"/>
      <c r="W77" s="546">
        <f>ROUND(SUM(W67:W76),1)</f>
        <v>0</v>
      </c>
      <c r="X77" s="257"/>
      <c r="Y77" s="546">
        <f>ROUND(SUM(Y67:Y76),1)</f>
        <v>0</v>
      </c>
      <c r="Z77" s="257"/>
      <c r="AA77" s="546">
        <f>ROUND(SUM(AA67:AA76),1)</f>
        <v>0</v>
      </c>
      <c r="AB77" s="257"/>
      <c r="AC77" s="259"/>
      <c r="AD77" s="546">
        <f>ROUND(SUM(AD67:AD76),1)</f>
        <v>170.6</v>
      </c>
      <c r="AE77" s="422"/>
      <c r="AF77" s="273"/>
      <c r="AG77" s="546">
        <f>ROUND(SUM(AG67:AG76),1)</f>
        <v>114.2</v>
      </c>
      <c r="AH77" s="273"/>
      <c r="AI77" s="659"/>
      <c r="AJ77" s="546">
        <f>ROUND(SUM(AJ67:AJ76),1)</f>
        <v>56.4</v>
      </c>
      <c r="AK77" s="666"/>
      <c r="AL77" s="1850">
        <f>ROUND(SUM(AJ77/AG77),3)</f>
        <v>0.49399999999999999</v>
      </c>
      <c r="AM77" s="653"/>
      <c r="AN77" s="663"/>
      <c r="AO77" s="653"/>
      <c r="AP77" s="653"/>
    </row>
    <row r="78" spans="1:42" ht="15.75">
      <c r="A78" s="223"/>
      <c r="B78" s="223" t="s">
        <v>206</v>
      </c>
      <c r="C78" s="223"/>
      <c r="D78" s="223"/>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50"/>
      <c r="AD78" s="261"/>
      <c r="AE78" s="276"/>
      <c r="AF78" s="249"/>
      <c r="AG78" s="261"/>
      <c r="AH78" s="261"/>
      <c r="AI78" s="659"/>
      <c r="AJ78" s="251"/>
      <c r="AK78" s="648"/>
      <c r="AL78" s="656"/>
    </row>
    <row r="79" spans="1:42" ht="15.75">
      <c r="A79" s="223"/>
      <c r="B79" s="223" t="s">
        <v>207</v>
      </c>
      <c r="C79" s="223"/>
      <c r="D79" s="223"/>
      <c r="E79" s="518">
        <f>+' Exhibit I State'!E78+'Exhibit I Federal'!E60</f>
        <v>0</v>
      </c>
      <c r="F79" s="261"/>
      <c r="G79" s="518">
        <f>+' Exhibit I State'!G78+'Exhibit I Federal'!G60</f>
        <v>0</v>
      </c>
      <c r="H79" s="261"/>
      <c r="I79" s="373"/>
      <c r="J79" s="261"/>
      <c r="K79" s="373"/>
      <c r="L79" s="261"/>
      <c r="M79" s="373"/>
      <c r="N79" s="261"/>
      <c r="O79" s="373"/>
      <c r="P79" s="261"/>
      <c r="Q79" s="373"/>
      <c r="R79" s="261"/>
      <c r="S79" s="373"/>
      <c r="T79" s="261"/>
      <c r="U79" s="373"/>
      <c r="V79" s="261"/>
      <c r="W79" s="1138"/>
      <c r="X79" s="261"/>
      <c r="Y79" s="1138"/>
      <c r="Z79" s="261"/>
      <c r="AA79" s="1138"/>
      <c r="AB79" s="261"/>
      <c r="AC79" s="250"/>
      <c r="AD79" s="274">
        <f>ROUND(SUM(E79:AA79),1)</f>
        <v>0</v>
      </c>
      <c r="AE79" s="276"/>
      <c r="AF79" s="249"/>
      <c r="AG79" s="373">
        <f>' Exhibit I State'!AI78+'Exhibit I Federal'!AI60</f>
        <v>0</v>
      </c>
      <c r="AH79" s="266"/>
      <c r="AI79" s="668"/>
      <c r="AJ79" s="665">
        <f>ROUND(SUM(+AD79-AG79),1)</f>
        <v>0</v>
      </c>
      <c r="AK79" s="648"/>
      <c r="AL79" s="45">
        <f>ROUND(IF(AG79=0,0,AJ79/(AG79)),3)</f>
        <v>0</v>
      </c>
    </row>
    <row r="80" spans="1:42" ht="15.75">
      <c r="A80" s="223"/>
      <c r="B80" s="223" t="s">
        <v>208</v>
      </c>
      <c r="C80" s="223"/>
      <c r="D80" s="223"/>
      <c r="E80" s="518">
        <f>+' Exhibit I State'!E79+'Exhibit I Federal'!E61</f>
        <v>0</v>
      </c>
      <c r="F80" s="261"/>
      <c r="G80" s="518">
        <f>+' Exhibit I State'!G79+'Exhibit I Federal'!G61</f>
        <v>0</v>
      </c>
      <c r="H80" s="261"/>
      <c r="I80" s="373"/>
      <c r="J80" s="261"/>
      <c r="K80" s="373"/>
      <c r="L80" s="261"/>
      <c r="M80" s="373"/>
      <c r="N80" s="261"/>
      <c r="O80" s="373"/>
      <c r="P80" s="261"/>
      <c r="Q80" s="373"/>
      <c r="R80" s="261"/>
      <c r="S80" s="373"/>
      <c r="T80" s="261"/>
      <c r="U80" s="373"/>
      <c r="V80" s="261"/>
      <c r="W80" s="1138"/>
      <c r="X80" s="261"/>
      <c r="Y80" s="1138"/>
      <c r="Z80" s="261"/>
      <c r="AA80" s="1138"/>
      <c r="AB80" s="261"/>
      <c r="AC80" s="250"/>
      <c r="AD80" s="274">
        <f>ROUND(SUM(E80:AA80),1)</f>
        <v>0</v>
      </c>
      <c r="AE80" s="276"/>
      <c r="AF80" s="249"/>
      <c r="AG80" s="373">
        <f>' Exhibit I State'!AI79+'Exhibit I Federal'!AI61</f>
        <v>0</v>
      </c>
      <c r="AH80" s="266"/>
      <c r="AI80" s="668"/>
      <c r="AJ80" s="665">
        <f>ROUND(SUM(+AD80-AG80),1)</f>
        <v>0</v>
      </c>
      <c r="AK80" s="648"/>
      <c r="AL80" s="45">
        <f>ROUND(IF(AG80=0,0,AJ80/(AG80)),3)</f>
        <v>0</v>
      </c>
    </row>
    <row r="81" spans="1:42" ht="15.75">
      <c r="A81" s="223"/>
      <c r="B81" s="223" t="s">
        <v>209</v>
      </c>
      <c r="C81" s="223"/>
      <c r="D81" s="223"/>
      <c r="E81" s="518">
        <f>+' Exhibit I State'!E80+'Exhibit I Federal'!E62</f>
        <v>0</v>
      </c>
      <c r="F81" s="261"/>
      <c r="G81" s="518">
        <f>+' Exhibit I State'!G80+'Exhibit I Federal'!G62</f>
        <v>0</v>
      </c>
      <c r="H81" s="261"/>
      <c r="I81" s="373"/>
      <c r="J81" s="261"/>
      <c r="K81" s="373"/>
      <c r="L81" s="261"/>
      <c r="M81" s="373"/>
      <c r="N81" s="261"/>
      <c r="O81" s="373"/>
      <c r="P81" s="261"/>
      <c r="Q81" s="373"/>
      <c r="R81" s="261"/>
      <c r="S81" s="373"/>
      <c r="T81" s="261"/>
      <c r="U81" s="373"/>
      <c r="V81" s="261"/>
      <c r="W81" s="1138"/>
      <c r="X81" s="261"/>
      <c r="Y81" s="1138"/>
      <c r="Z81" s="669"/>
      <c r="AA81" s="1138"/>
      <c r="AB81" s="669"/>
      <c r="AC81" s="670"/>
      <c r="AD81" s="274">
        <f>ROUND(SUM(E81:AA81),1)</f>
        <v>0</v>
      </c>
      <c r="AE81" s="276"/>
      <c r="AF81" s="249"/>
      <c r="AG81" s="373">
        <f>' Exhibit I State'!AI80+'Exhibit I Federal'!AI62</f>
        <v>0</v>
      </c>
      <c r="AH81" s="266"/>
      <c r="AI81" s="668"/>
      <c r="AJ81" s="665">
        <f>ROUND(SUM(+AD81-AG81),1)</f>
        <v>0</v>
      </c>
      <c r="AK81" s="648"/>
      <c r="AL81" s="45">
        <f>ROUND(IF(AG81=0,0,AJ81/(AG81)),3)</f>
        <v>0</v>
      </c>
    </row>
    <row r="82" spans="1:42" ht="15.75">
      <c r="A82" s="223"/>
      <c r="B82" s="247" t="s">
        <v>179</v>
      </c>
      <c r="C82" s="223"/>
      <c r="D82" s="223"/>
      <c r="E82" s="518">
        <f>+' Exhibit I State'!E81+'Exhibit I Federal'!E63</f>
        <v>288.89999999999998</v>
      </c>
      <c r="F82" s="261"/>
      <c r="G82" s="518">
        <f>+' Exhibit I State'!G81+'Exhibit I Federal'!G63</f>
        <v>426.1</v>
      </c>
      <c r="H82" s="373"/>
      <c r="I82" s="373"/>
      <c r="J82" s="373"/>
      <c r="K82" s="373"/>
      <c r="L82" s="261"/>
      <c r="M82" s="373"/>
      <c r="N82" s="261"/>
      <c r="O82" s="373"/>
      <c r="P82" s="261"/>
      <c r="Q82" s="265"/>
      <c r="R82" s="261"/>
      <c r="S82" s="265"/>
      <c r="T82" s="261"/>
      <c r="U82" s="265"/>
      <c r="V82" s="261"/>
      <c r="W82" s="1138"/>
      <c r="X82" s="261"/>
      <c r="Y82" s="1138"/>
      <c r="Z82" s="261"/>
      <c r="AA82" s="1138"/>
      <c r="AB82" s="261"/>
      <c r="AC82" s="250"/>
      <c r="AD82" s="274">
        <f>ROUND(SUM(E82:AA82),1)</f>
        <v>715</v>
      </c>
      <c r="AE82" s="276"/>
      <c r="AF82" s="249"/>
      <c r="AG82" s="1870">
        <f>' Exhibit I State'!AI81+'Exhibit I Federal'!AI63</f>
        <v>636.20000000000005</v>
      </c>
      <c r="AH82" s="275"/>
      <c r="AI82" s="657"/>
      <c r="AJ82" s="661">
        <f>ROUND(SUM(+AD82-AG82),1)</f>
        <v>78.8</v>
      </c>
      <c r="AK82" s="648"/>
      <c r="AL82" s="1854">
        <f>ROUND(IF(AG82=0,0,AJ82/(AG82)),3)</f>
        <v>0.124</v>
      </c>
    </row>
    <row r="83" spans="1:42" ht="15.75">
      <c r="A83" s="223"/>
      <c r="B83" s="223"/>
      <c r="C83" s="223"/>
      <c r="D83" s="223"/>
      <c r="E83" s="289"/>
      <c r="F83" s="261"/>
      <c r="G83" s="289"/>
      <c r="H83" s="261"/>
      <c r="I83" s="289"/>
      <c r="J83" s="261"/>
      <c r="K83" s="289"/>
      <c r="L83" s="261"/>
      <c r="M83" s="289"/>
      <c r="N83" s="261"/>
      <c r="O83" s="289"/>
      <c r="P83" s="261"/>
      <c r="Q83" s="289"/>
      <c r="R83" s="261"/>
      <c r="S83" s="289"/>
      <c r="T83" s="261"/>
      <c r="U83" s="289"/>
      <c r="V83" s="261"/>
      <c r="W83" s="289"/>
      <c r="X83" s="261"/>
      <c r="Y83" s="289"/>
      <c r="Z83" s="261"/>
      <c r="AA83" s="289"/>
      <c r="AB83" s="261"/>
      <c r="AC83" s="250"/>
      <c r="AD83" s="289"/>
      <c r="AE83" s="276"/>
      <c r="AF83" s="249"/>
      <c r="AG83" s="251"/>
      <c r="AH83" s="251"/>
      <c r="AI83" s="671"/>
      <c r="AJ83" s="251"/>
      <c r="AK83" s="648"/>
      <c r="AL83" s="656"/>
    </row>
    <row r="84" spans="1:42" ht="15.75">
      <c r="A84" s="223"/>
      <c r="B84" s="221" t="s">
        <v>210</v>
      </c>
      <c r="C84" s="223"/>
      <c r="D84" s="223"/>
      <c r="E84" s="257">
        <f>ROUND(SUM(+E82+E77),1)</f>
        <v>356.6</v>
      </c>
      <c r="F84" s="257"/>
      <c r="G84" s="257">
        <f>ROUND(SUM(+G82+G77),1)</f>
        <v>529</v>
      </c>
      <c r="H84" s="257"/>
      <c r="I84" s="257">
        <f>ROUND(SUM(+I82+I77),1)</f>
        <v>0</v>
      </c>
      <c r="J84" s="257"/>
      <c r="K84" s="257">
        <f>ROUND(SUM(+K82+K77),1)</f>
        <v>0</v>
      </c>
      <c r="L84" s="257"/>
      <c r="M84" s="1899">
        <f>ROUND(SUM(+M82+M77),1)</f>
        <v>0</v>
      </c>
      <c r="N84" s="257"/>
      <c r="O84" s="257">
        <f>ROUND(SUM(+O82+O77),1)</f>
        <v>0</v>
      </c>
      <c r="P84" s="257"/>
      <c r="Q84" s="257">
        <f>ROUND(SUM(+Q82+Q77),1)</f>
        <v>0</v>
      </c>
      <c r="R84" s="257"/>
      <c r="S84" s="257">
        <f>ROUND(SUM(+S82+S77),1)</f>
        <v>0</v>
      </c>
      <c r="T84" s="257"/>
      <c r="U84" s="257">
        <f>ROUND(SUM(+U82+U77),1)</f>
        <v>0</v>
      </c>
      <c r="V84" s="257"/>
      <c r="W84" s="257">
        <f>ROUND(SUM(+W82+W77),1)</f>
        <v>0</v>
      </c>
      <c r="X84" s="257"/>
      <c r="Y84" s="257">
        <f>ROUND(SUM(+Y82+Y77),1)</f>
        <v>0</v>
      </c>
      <c r="Z84" s="257"/>
      <c r="AA84" s="1899">
        <f>ROUND(SUM(+AA82+AA77),1)</f>
        <v>0</v>
      </c>
      <c r="AB84" s="257"/>
      <c r="AC84" s="259"/>
      <c r="AD84" s="257">
        <f>ROUND(SUM(+AD82+AD77),1)</f>
        <v>885.6</v>
      </c>
      <c r="AE84" s="422"/>
      <c r="AF84" s="273"/>
      <c r="AG84" s="257">
        <f>ROUND(SUM(+AG82+AG77),1)</f>
        <v>750.4</v>
      </c>
      <c r="AH84" s="273"/>
      <c r="AI84" s="659"/>
      <c r="AJ84" s="271">
        <f>ROUND(SUM(AJ77+AJ82),1)</f>
        <v>135.19999999999999</v>
      </c>
      <c r="AK84" s="666"/>
      <c r="AL84" s="556">
        <f>ROUND(SUM(AJ84/AG84),3)</f>
        <v>0.18</v>
      </c>
      <c r="AM84" s="653"/>
      <c r="AN84" s="663"/>
      <c r="AO84" s="653"/>
      <c r="AP84" s="653"/>
    </row>
    <row r="85" spans="1:42" ht="15.75">
      <c r="A85" s="223"/>
      <c r="B85" s="223"/>
      <c r="C85" s="223"/>
      <c r="D85" s="223"/>
      <c r="E85" s="289"/>
      <c r="F85" s="261"/>
      <c r="G85" s="289"/>
      <c r="H85" s="261"/>
      <c r="I85" s="289"/>
      <c r="J85" s="261"/>
      <c r="K85" s="289"/>
      <c r="L85" s="261"/>
      <c r="M85" s="289"/>
      <c r="N85" s="261"/>
      <c r="O85" s="289"/>
      <c r="P85" s="261"/>
      <c r="Q85" s="289"/>
      <c r="R85" s="261"/>
      <c r="S85" s="289"/>
      <c r="T85" s="261"/>
      <c r="U85" s="289"/>
      <c r="V85" s="261"/>
      <c r="W85" s="289"/>
      <c r="X85" s="261"/>
      <c r="Y85" s="289"/>
      <c r="Z85" s="261"/>
      <c r="AA85" s="289"/>
      <c r="AB85" s="261"/>
      <c r="AC85" s="250"/>
      <c r="AD85" s="289"/>
      <c r="AE85" s="276"/>
      <c r="AF85" s="249"/>
      <c r="AG85" s="289"/>
      <c r="AH85" s="249"/>
      <c r="AI85" s="659"/>
      <c r="AJ85" s="251"/>
      <c r="AK85" s="648"/>
      <c r="AL85" s="656"/>
    </row>
    <row r="86" spans="1:42" ht="15.75">
      <c r="A86" s="223"/>
      <c r="B86" s="221" t="s">
        <v>211</v>
      </c>
      <c r="C86" s="223"/>
      <c r="D86" s="223"/>
      <c r="E86" s="261"/>
      <c r="F86" s="261"/>
      <c r="G86" s="261"/>
      <c r="H86" s="261"/>
      <c r="I86" s="261"/>
      <c r="J86" s="261"/>
      <c r="K86" s="261"/>
      <c r="L86" s="261"/>
      <c r="M86" s="261"/>
      <c r="N86" s="261"/>
      <c r="O86" s="261"/>
      <c r="P86" s="261"/>
      <c r="Q86" s="261"/>
      <c r="R86" s="261"/>
      <c r="S86" s="261"/>
      <c r="T86" s="261"/>
      <c r="U86" s="373"/>
      <c r="V86" s="261"/>
      <c r="W86" s="373"/>
      <c r="X86" s="261"/>
      <c r="Y86" s="261"/>
      <c r="Z86" s="261"/>
      <c r="AA86" s="261"/>
      <c r="AB86" s="261"/>
      <c r="AC86" s="250"/>
      <c r="AD86" s="251"/>
      <c r="AE86" s="276"/>
      <c r="AF86" s="249"/>
      <c r="AG86" s="251"/>
      <c r="AH86" s="251"/>
      <c r="AI86" s="671"/>
      <c r="AJ86" s="251"/>
      <c r="AK86" s="648"/>
      <c r="AL86" s="656"/>
    </row>
    <row r="87" spans="1:42" ht="15.75">
      <c r="A87" s="223"/>
      <c r="B87" s="221" t="s">
        <v>212</v>
      </c>
      <c r="C87" s="223"/>
      <c r="D87" s="223"/>
      <c r="E87" s="257">
        <f>ROUND(SUM(E63-E84),1)</f>
        <v>-71.7</v>
      </c>
      <c r="F87" s="257"/>
      <c r="G87" s="257">
        <f>ROUND(SUM(G63-G84),1)</f>
        <v>-233.6</v>
      </c>
      <c r="H87" s="257"/>
      <c r="I87" s="257">
        <f>ROUND(SUM(I63-I84),1)</f>
        <v>0</v>
      </c>
      <c r="J87" s="257"/>
      <c r="K87" s="257">
        <f>ROUND(SUM(K63-K84),1)</f>
        <v>0</v>
      </c>
      <c r="L87" s="257"/>
      <c r="M87" s="1899">
        <f>ROUND(SUM(M63-M84),1)</f>
        <v>0</v>
      </c>
      <c r="N87" s="257"/>
      <c r="O87" s="257">
        <f>ROUND(SUM(O63-O84),1)</f>
        <v>0</v>
      </c>
      <c r="P87" s="257"/>
      <c r="Q87" s="257">
        <f>ROUND(SUM(Q63-Q84),1)</f>
        <v>0</v>
      </c>
      <c r="R87" s="257"/>
      <c r="S87" s="257">
        <f>ROUND(SUM(S63-S84),1)</f>
        <v>0</v>
      </c>
      <c r="T87" s="257"/>
      <c r="U87" s="257">
        <f>ROUND(SUM(U63-U84),1)</f>
        <v>0</v>
      </c>
      <c r="V87" s="257"/>
      <c r="W87" s="257">
        <f>ROUND(SUM(W63-W84),1)</f>
        <v>0</v>
      </c>
      <c r="X87" s="257"/>
      <c r="Y87" s="257">
        <f>ROUND(SUM(Y63-Y84),1)</f>
        <v>0</v>
      </c>
      <c r="Z87" s="257"/>
      <c r="AA87" s="1899">
        <f>ROUND(SUM(AA63-AA84),1)</f>
        <v>0</v>
      </c>
      <c r="AB87" s="257"/>
      <c r="AC87" s="259"/>
      <c r="AD87" s="257">
        <f>ROUND(SUM(AD63-AD84),1)</f>
        <v>-305.3</v>
      </c>
      <c r="AE87" s="422"/>
      <c r="AF87" s="273"/>
      <c r="AG87" s="257">
        <f>ROUND(SUM(AG63-AG84),1)</f>
        <v>32.4</v>
      </c>
      <c r="AH87" s="273"/>
      <c r="AI87" s="659"/>
      <c r="AJ87" s="271">
        <f>ROUND(SUM(AJ63-AJ84),1)</f>
        <v>-337.7</v>
      </c>
      <c r="AK87" s="666"/>
      <c r="AL87" s="674">
        <f t="shared" ref="AL87" si="5">ROUND(IF(AG87=0,0,AJ87/(AG87)),3)</f>
        <v>-10.423</v>
      </c>
      <c r="AM87" s="653"/>
      <c r="AN87" s="653"/>
      <c r="AO87" s="653"/>
      <c r="AP87" s="653"/>
    </row>
    <row r="88" spans="1:42" ht="15.75">
      <c r="A88" s="223"/>
      <c r="B88" s="223"/>
      <c r="C88" s="223"/>
      <c r="D88" s="223"/>
      <c r="E88" s="289"/>
      <c r="F88" s="261"/>
      <c r="G88" s="289"/>
      <c r="H88" s="261"/>
      <c r="I88" s="289"/>
      <c r="J88" s="261"/>
      <c r="K88" s="289"/>
      <c r="L88" s="261"/>
      <c r="M88" s="289"/>
      <c r="N88" s="261"/>
      <c r="O88" s="289"/>
      <c r="P88" s="261"/>
      <c r="Q88" s="289"/>
      <c r="R88" s="261"/>
      <c r="S88" s="289"/>
      <c r="T88" s="261"/>
      <c r="U88" s="289"/>
      <c r="V88" s="261"/>
      <c r="W88" s="289"/>
      <c r="X88" s="261"/>
      <c r="Y88" s="289"/>
      <c r="Z88" s="261"/>
      <c r="AA88" s="289"/>
      <c r="AB88" s="261"/>
      <c r="AC88" s="250"/>
      <c r="AD88" s="289"/>
      <c r="AE88" s="276"/>
      <c r="AF88" s="249"/>
      <c r="AG88" s="289"/>
      <c r="AH88" s="249"/>
      <c r="AI88" s="659"/>
      <c r="AJ88" s="251"/>
      <c r="AK88" s="648"/>
      <c r="AL88" s="656"/>
    </row>
    <row r="89" spans="1:42" ht="15.75">
      <c r="A89" s="223"/>
      <c r="B89" s="221" t="s">
        <v>213</v>
      </c>
      <c r="C89" s="223"/>
      <c r="D89" s="223"/>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50"/>
      <c r="AD89" s="261"/>
      <c r="AE89" s="276"/>
      <c r="AF89" s="249"/>
      <c r="AG89" s="266"/>
      <c r="AH89" s="266"/>
      <c r="AI89" s="668"/>
      <c r="AJ89" s="251"/>
      <c r="AK89" s="648"/>
      <c r="AL89" s="656"/>
    </row>
    <row r="90" spans="1:42" ht="15.75">
      <c r="A90" s="223"/>
      <c r="B90" s="223" t="s">
        <v>214</v>
      </c>
      <c r="C90" s="223"/>
      <c r="D90" s="223"/>
      <c r="E90" s="518">
        <f>+' Exhibit I State'!E89+'Exhibit I Federal'!E71</f>
        <v>0</v>
      </c>
      <c r="F90" s="261"/>
      <c r="G90" s="373">
        <v>0</v>
      </c>
      <c r="H90" s="373"/>
      <c r="I90" s="373"/>
      <c r="J90" s="261"/>
      <c r="K90" s="373"/>
      <c r="L90" s="261"/>
      <c r="M90" s="373"/>
      <c r="N90" s="373"/>
      <c r="O90" s="373"/>
      <c r="P90" s="261"/>
      <c r="Q90" s="373"/>
      <c r="R90" s="261"/>
      <c r="S90" s="373"/>
      <c r="T90" s="261"/>
      <c r="U90" s="373"/>
      <c r="V90" s="261"/>
      <c r="W90" s="373"/>
      <c r="X90" s="261"/>
      <c r="Y90" s="373"/>
      <c r="Z90" s="261"/>
      <c r="AA90" s="373"/>
      <c r="AB90" s="261"/>
      <c r="AC90" s="250"/>
      <c r="AD90" s="274">
        <f>ROUND(SUM(E90:AA90),1)</f>
        <v>0</v>
      </c>
      <c r="AE90" s="276"/>
      <c r="AF90" s="249"/>
      <c r="AG90" s="266">
        <f>' Exhibit I State'!AI89</f>
        <v>0</v>
      </c>
      <c r="AH90" s="266"/>
      <c r="AI90" s="668"/>
      <c r="AJ90" s="665">
        <f>ROUND(SUM(+AD90-AG90),1)</f>
        <v>0</v>
      </c>
      <c r="AK90" s="658"/>
      <c r="AL90" s="45">
        <f>ROUND(IF(AG90=0,0,AJ90/(AG90)),3)</f>
        <v>0</v>
      </c>
    </row>
    <row r="91" spans="1:42" ht="15.75">
      <c r="A91" s="223"/>
      <c r="B91" s="247" t="s">
        <v>180</v>
      </c>
      <c r="C91" s="223"/>
      <c r="D91" s="223"/>
      <c r="E91" s="518">
        <v>77.8</v>
      </c>
      <c r="F91" s="261"/>
      <c r="G91" s="518">
        <v>148</v>
      </c>
      <c r="H91" s="518"/>
      <c r="I91" s="518"/>
      <c r="J91" s="261"/>
      <c r="K91" s="518"/>
      <c r="L91" s="261"/>
      <c r="M91" s="518"/>
      <c r="N91" s="261"/>
      <c r="O91" s="518"/>
      <c r="P91" s="261"/>
      <c r="Q91" s="518"/>
      <c r="R91" s="261"/>
      <c r="S91" s="518"/>
      <c r="T91" s="261"/>
      <c r="U91" s="518"/>
      <c r="V91" s="261"/>
      <c r="W91" s="518"/>
      <c r="X91" s="261"/>
      <c r="Y91" s="2148"/>
      <c r="Z91" s="261"/>
      <c r="AA91" s="2148"/>
      <c r="AB91" s="261"/>
      <c r="AC91" s="250"/>
      <c r="AD91" s="274">
        <f>ROUND(SUM(E91:AA91),1)</f>
        <v>225.8</v>
      </c>
      <c r="AE91" s="276"/>
      <c r="AF91" s="249"/>
      <c r="AG91" s="319">
        <f>+' Exhibit I State'!AI90+'Exhibit I Federal'!AI71</f>
        <v>108.7</v>
      </c>
      <c r="AH91" s="274"/>
      <c r="AI91" s="657"/>
      <c r="AJ91" s="665">
        <f>ROUND(SUM(+AD91-AG91),1)</f>
        <v>117.1</v>
      </c>
      <c r="AK91" s="648"/>
      <c r="AL91" s="45">
        <f>ROUND(IF(AG91=0,0,AJ91/(AG91)),3)</f>
        <v>1.077</v>
      </c>
      <c r="AM91" s="648"/>
      <c r="AN91" s="370"/>
    </row>
    <row r="92" spans="1:42" ht="15.75">
      <c r="A92" s="223"/>
      <c r="B92" s="247" t="s">
        <v>215</v>
      </c>
      <c r="C92" s="223"/>
      <c r="D92" s="223"/>
      <c r="E92" s="261">
        <v>-76.7</v>
      </c>
      <c r="F92" s="261"/>
      <c r="G92" s="261">
        <v>-75.2</v>
      </c>
      <c r="H92" s="261"/>
      <c r="I92" s="261"/>
      <c r="J92" s="261"/>
      <c r="K92" s="261"/>
      <c r="L92" s="261"/>
      <c r="M92" s="261"/>
      <c r="N92" s="261"/>
      <c r="O92" s="261"/>
      <c r="P92" s="261"/>
      <c r="Q92" s="518"/>
      <c r="R92" s="261"/>
      <c r="S92" s="518"/>
      <c r="T92" s="261"/>
      <c r="U92" s="518"/>
      <c r="V92" s="261"/>
      <c r="W92" s="518"/>
      <c r="X92" s="261"/>
      <c r="Y92" s="2148"/>
      <c r="Z92" s="261"/>
      <c r="AA92" s="2148"/>
      <c r="AB92" s="261"/>
      <c r="AC92" s="250"/>
      <c r="AD92" s="274">
        <f>ROUND(SUM(E92:AA92),1)</f>
        <v>-151.9</v>
      </c>
      <c r="AE92" s="276"/>
      <c r="AF92" s="249"/>
      <c r="AG92" s="527">
        <f>+' Exhibit I State'!AI91+'Exhibit I Federal'!AI72</f>
        <v>-162.5</v>
      </c>
      <c r="AH92" s="249"/>
      <c r="AI92" s="659"/>
      <c r="AJ92" s="1843">
        <f>ROUND(-SUM(+AD92-AG92),1)</f>
        <v>-10.6</v>
      </c>
      <c r="AK92" s="648"/>
      <c r="AL92" s="1854">
        <f>-ROUND(IF(AG92=0,0,AJ92/(AG92)),3)</f>
        <v>-6.5000000000000002E-2</v>
      </c>
      <c r="AM92" s="648"/>
      <c r="AN92" s="370"/>
    </row>
    <row r="93" spans="1:42" ht="15.75">
      <c r="A93" s="223"/>
      <c r="B93" s="223"/>
      <c r="C93" s="223"/>
      <c r="D93" s="223"/>
      <c r="E93" s="289"/>
      <c r="F93" s="261"/>
      <c r="G93" s="289"/>
      <c r="H93" s="261"/>
      <c r="I93" s="289"/>
      <c r="J93" s="261"/>
      <c r="K93" s="289"/>
      <c r="L93" s="261"/>
      <c r="M93" s="289"/>
      <c r="N93" s="261"/>
      <c r="O93" s="289"/>
      <c r="P93" s="261"/>
      <c r="Q93" s="289"/>
      <c r="R93" s="261"/>
      <c r="S93" s="289"/>
      <c r="T93" s="261"/>
      <c r="U93" s="289"/>
      <c r="V93" s="261"/>
      <c r="W93" s="289"/>
      <c r="X93" s="261"/>
      <c r="Y93" s="289"/>
      <c r="Z93" s="261"/>
      <c r="AA93" s="289"/>
      <c r="AB93" s="261"/>
      <c r="AC93" s="250"/>
      <c r="AD93" s="289"/>
      <c r="AE93" s="276"/>
      <c r="AF93" s="249"/>
      <c r="AG93" s="251"/>
      <c r="AH93" s="251"/>
      <c r="AI93" s="671"/>
      <c r="AJ93" s="251"/>
      <c r="AK93" s="648"/>
      <c r="AL93" s="656"/>
      <c r="AM93" s="370"/>
    </row>
    <row r="94" spans="1:42" ht="15.75">
      <c r="A94" s="223"/>
      <c r="B94" s="221" t="s">
        <v>1505</v>
      </c>
      <c r="C94" s="223"/>
      <c r="D94" s="223"/>
      <c r="E94" s="257">
        <f>ROUND(SUM(E90:E93),1)</f>
        <v>1.1000000000000001</v>
      </c>
      <c r="F94" s="257"/>
      <c r="G94" s="257">
        <f>ROUND(SUM(G90:G93),1)</f>
        <v>72.8</v>
      </c>
      <c r="H94" s="257"/>
      <c r="I94" s="257">
        <f>ROUND(SUM(I90:I93),1)</f>
        <v>0</v>
      </c>
      <c r="J94" s="257"/>
      <c r="K94" s="257">
        <f>ROUND(SUM(K90:K93),1)</f>
        <v>0</v>
      </c>
      <c r="L94" s="257"/>
      <c r="M94" s="1899">
        <f>ROUND(SUM(M90:M93),1)</f>
        <v>0</v>
      </c>
      <c r="N94" s="257"/>
      <c r="O94" s="257">
        <f>ROUND(SUM(O90:O93),1)</f>
        <v>0</v>
      </c>
      <c r="P94" s="257"/>
      <c r="Q94" s="257">
        <f>ROUND(SUM(Q90:Q93),1)</f>
        <v>0</v>
      </c>
      <c r="R94" s="257"/>
      <c r="S94" s="257">
        <f>ROUND(SUM(S90:S93),1)</f>
        <v>0</v>
      </c>
      <c r="T94" s="257"/>
      <c r="U94" s="257">
        <f>ROUND(SUM(U90:U93),1)</f>
        <v>0</v>
      </c>
      <c r="V94" s="257"/>
      <c r="W94" s="257">
        <f>ROUND(SUM(W90:W93),1)</f>
        <v>0</v>
      </c>
      <c r="X94" s="257"/>
      <c r="Y94" s="257">
        <f>ROUND(SUM(Y90:Y93),1)</f>
        <v>0</v>
      </c>
      <c r="Z94" s="257"/>
      <c r="AA94" s="1899">
        <f>ROUND(SUM(AA90:AA93),1)</f>
        <v>0</v>
      </c>
      <c r="AB94" s="257"/>
      <c r="AC94" s="259"/>
      <c r="AD94" s="257">
        <f>ROUND(SUM(AD90:AD93),1)</f>
        <v>73.900000000000006</v>
      </c>
      <c r="AE94" s="422"/>
      <c r="AF94" s="273"/>
      <c r="AG94" s="257">
        <f>ROUND(SUM(AG90:AG93),1)</f>
        <v>-53.8</v>
      </c>
      <c r="AH94" s="273"/>
      <c r="AI94" s="659"/>
      <c r="AJ94" s="271">
        <f>ROUND(SUM(AD94-AG94),1)</f>
        <v>127.7</v>
      </c>
      <c r="AK94" s="666"/>
      <c r="AL94" s="674">
        <f>ROUND(SUM(AJ94/ABS(AG94)),3)</f>
        <v>2.3740000000000001</v>
      </c>
      <c r="AM94" s="653"/>
      <c r="AN94" s="653"/>
      <c r="AO94" s="653"/>
      <c r="AP94" s="653"/>
    </row>
    <row r="95" spans="1:42" ht="15.75">
      <c r="A95" s="223"/>
      <c r="B95" s="223"/>
      <c r="C95" s="223"/>
      <c r="D95" s="223"/>
      <c r="E95" s="289"/>
      <c r="F95" s="261"/>
      <c r="G95" s="289"/>
      <c r="H95" s="261"/>
      <c r="I95" s="289"/>
      <c r="J95" s="261"/>
      <c r="K95" s="289"/>
      <c r="L95" s="261"/>
      <c r="M95" s="289"/>
      <c r="N95" s="261"/>
      <c r="O95" s="289"/>
      <c r="P95" s="261"/>
      <c r="Q95" s="289"/>
      <c r="R95" s="261"/>
      <c r="S95" s="289"/>
      <c r="T95" s="261"/>
      <c r="U95" s="289"/>
      <c r="V95" s="261"/>
      <c r="W95" s="289"/>
      <c r="X95" s="261"/>
      <c r="Y95" s="289"/>
      <c r="Z95" s="261"/>
      <c r="AA95" s="289"/>
      <c r="AB95" s="261"/>
      <c r="AC95" s="250"/>
      <c r="AD95" s="289"/>
      <c r="AE95" s="276"/>
      <c r="AF95" s="249"/>
      <c r="AG95" s="289"/>
      <c r="AH95" s="249"/>
      <c r="AI95" s="659"/>
      <c r="AJ95" s="251"/>
      <c r="AK95" s="648"/>
      <c r="AL95" s="656"/>
    </row>
    <row r="96" spans="1:42" ht="15.75">
      <c r="A96" s="223"/>
      <c r="B96" s="223"/>
      <c r="C96" s="223"/>
      <c r="D96" s="223"/>
      <c r="E96" s="261"/>
      <c r="F96" s="261"/>
      <c r="G96" s="261" t="s">
        <v>16</v>
      </c>
      <c r="H96" s="261"/>
      <c r="I96" s="261" t="s">
        <v>16</v>
      </c>
      <c r="J96" s="261"/>
      <c r="K96" s="261"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50"/>
      <c r="AD96" s="261" t="s">
        <v>16</v>
      </c>
      <c r="AE96" s="276"/>
      <c r="AF96" s="249"/>
      <c r="AG96" s="261"/>
      <c r="AH96" s="261"/>
      <c r="AI96" s="659"/>
      <c r="AJ96" s="251" t="s">
        <v>16</v>
      </c>
      <c r="AK96" s="648"/>
      <c r="AL96" s="656"/>
    </row>
    <row r="97" spans="1:53" ht="15.75">
      <c r="A97" s="223"/>
      <c r="B97" s="221" t="s">
        <v>217</v>
      </c>
      <c r="C97" s="223"/>
      <c r="D97" s="223"/>
      <c r="E97" s="261"/>
      <c r="F97" s="261"/>
      <c r="G97" s="261" t="s">
        <v>16</v>
      </c>
      <c r="H97" s="261"/>
      <c r="I97" s="261" t="s">
        <v>16</v>
      </c>
      <c r="J97" s="261"/>
      <c r="K97" s="261" t="s">
        <v>16</v>
      </c>
      <c r="L97" s="261"/>
      <c r="M97" s="261" t="s">
        <v>16</v>
      </c>
      <c r="N97" s="261"/>
      <c r="O97" s="261" t="s">
        <v>16</v>
      </c>
      <c r="P97" s="261"/>
      <c r="Q97" s="1177" t="s">
        <v>16</v>
      </c>
      <c r="R97" s="261"/>
      <c r="S97" s="261" t="s">
        <v>16</v>
      </c>
      <c r="T97" s="261"/>
      <c r="U97" s="261" t="s">
        <v>16</v>
      </c>
      <c r="V97" s="261"/>
      <c r="W97" s="261" t="s">
        <v>16</v>
      </c>
      <c r="X97" s="261"/>
      <c r="Y97" s="261" t="s">
        <v>16</v>
      </c>
      <c r="Z97" s="261"/>
      <c r="AA97" s="261" t="s">
        <v>16</v>
      </c>
      <c r="AB97" s="261"/>
      <c r="AC97" s="250"/>
      <c r="AD97" s="261"/>
      <c r="AE97" s="276"/>
      <c r="AF97" s="249"/>
      <c r="AG97" s="261"/>
      <c r="AH97" s="261"/>
      <c r="AI97" s="659"/>
      <c r="AJ97" s="251"/>
      <c r="AK97" s="648"/>
      <c r="AL97" s="656"/>
    </row>
    <row r="98" spans="1:53" ht="15.75">
      <c r="A98" s="223"/>
      <c r="B98" s="221" t="s">
        <v>218</v>
      </c>
      <c r="C98" s="223"/>
      <c r="D98" s="223"/>
      <c r="E98" s="257" t="s">
        <v>16</v>
      </c>
      <c r="F98" s="257"/>
      <c r="G98" s="257"/>
      <c r="H98" s="257"/>
      <c r="I98" s="257"/>
      <c r="J98" s="257"/>
      <c r="K98" s="257"/>
      <c r="L98" s="257"/>
      <c r="M98" s="1899"/>
      <c r="N98" s="257"/>
      <c r="O98" s="257"/>
      <c r="P98" s="257"/>
      <c r="Q98" s="257"/>
      <c r="R98" s="257"/>
      <c r="S98" s="257"/>
      <c r="T98" s="257"/>
      <c r="U98" s="257"/>
      <c r="V98" s="257"/>
      <c r="W98" s="257"/>
      <c r="X98" s="257"/>
      <c r="Y98" s="257"/>
      <c r="Z98" s="257"/>
      <c r="AA98" s="1899"/>
      <c r="AB98" s="257"/>
      <c r="AC98" s="259"/>
      <c r="AD98" s="257" t="s">
        <v>16</v>
      </c>
      <c r="AE98" s="422"/>
      <c r="AF98" s="273"/>
      <c r="AG98" s="672"/>
      <c r="AH98" s="672"/>
      <c r="AI98" s="671"/>
      <c r="AJ98" s="672"/>
      <c r="AK98" s="666"/>
      <c r="AL98" s="652"/>
      <c r="AM98" s="653"/>
      <c r="AN98" s="653"/>
      <c r="AO98" s="653"/>
      <c r="AP98" s="653"/>
      <c r="AQ98" s="653"/>
      <c r="AR98" s="653"/>
      <c r="AS98" s="653"/>
      <c r="AT98" s="653"/>
      <c r="AU98" s="653"/>
      <c r="AV98" s="653"/>
      <c r="AW98" s="653"/>
    </row>
    <row r="99" spans="1:53" ht="15.75">
      <c r="A99" s="223"/>
      <c r="B99" s="221" t="s">
        <v>1495</v>
      </c>
      <c r="C99" s="223"/>
      <c r="D99" s="223"/>
      <c r="E99" s="673">
        <f>ROUND(SUM(E87+E94),1)</f>
        <v>-70.599999999999994</v>
      </c>
      <c r="F99" s="257"/>
      <c r="G99" s="673">
        <f>ROUND(SUM(G87+G94),1)</f>
        <v>-160.80000000000001</v>
      </c>
      <c r="H99" s="257"/>
      <c r="I99" s="673">
        <f>ROUND(SUM(I87+I94),1)</f>
        <v>0</v>
      </c>
      <c r="J99" s="257"/>
      <c r="K99" s="673">
        <f>ROUND(SUM(K87+K94),1)</f>
        <v>0</v>
      </c>
      <c r="L99" s="257"/>
      <c r="M99" s="673">
        <f>ROUND(SUM(M87+M94),1)</f>
        <v>0</v>
      </c>
      <c r="N99" s="257"/>
      <c r="O99" s="673">
        <f>ROUND(SUM(O87+O94),1)</f>
        <v>0</v>
      </c>
      <c r="P99" s="257"/>
      <c r="Q99" s="673">
        <f>ROUND(SUM(Q87+Q94),1)</f>
        <v>0</v>
      </c>
      <c r="R99" s="257"/>
      <c r="S99" s="673">
        <f>ROUND(SUM(S87+S94),1)</f>
        <v>0</v>
      </c>
      <c r="T99" s="257"/>
      <c r="U99" s="673">
        <f>ROUND(SUM(U87+U94),1)</f>
        <v>0</v>
      </c>
      <c r="V99" s="257"/>
      <c r="W99" s="673">
        <f>ROUND(SUM(W87+W94),1)</f>
        <v>0</v>
      </c>
      <c r="X99" s="257"/>
      <c r="Y99" s="673">
        <f>ROUND(SUM(Y87+Y94),1)</f>
        <v>0</v>
      </c>
      <c r="Z99" s="257"/>
      <c r="AA99" s="673">
        <f>ROUND(SUM(AA87+AA94),1)</f>
        <v>0</v>
      </c>
      <c r="AB99" s="257"/>
      <c r="AC99" s="259"/>
      <c r="AD99" s="673">
        <f>ROUND(AD87+AD94,1)</f>
        <v>-231.4</v>
      </c>
      <c r="AE99" s="422"/>
      <c r="AF99" s="273"/>
      <c r="AG99" s="673">
        <f>ROUND(AG87+AG94,1)</f>
        <v>-21.4</v>
      </c>
      <c r="AH99" s="672"/>
      <c r="AI99" s="671"/>
      <c r="AJ99" s="673">
        <f>ROUND(SUM(+AD99-AG99),1)</f>
        <v>-210</v>
      </c>
      <c r="AK99" s="666"/>
      <c r="AL99" s="3491">
        <f>-ROUND(IF(AG99=0,0,AJ99/(AG99)),3)</f>
        <v>-9.8130000000000006</v>
      </c>
      <c r="AM99" s="653"/>
      <c r="AN99" s="675"/>
      <c r="AO99" s="653"/>
      <c r="AP99" s="653"/>
      <c r="AQ99" s="653"/>
      <c r="AR99" s="653"/>
      <c r="AS99" s="653"/>
      <c r="AT99" s="653"/>
      <c r="AU99" s="653"/>
      <c r="AV99" s="653"/>
      <c r="AW99" s="653"/>
    </row>
    <row r="100" spans="1:53">
      <c r="A100" s="223"/>
      <c r="B100" s="223" t="s">
        <v>16</v>
      </c>
      <c r="C100" s="223"/>
      <c r="D100" s="223"/>
      <c r="E100" s="228"/>
      <c r="F100" s="228"/>
      <c r="G100" s="228"/>
      <c r="H100" s="228"/>
      <c r="I100" s="228"/>
      <c r="J100" s="228"/>
      <c r="K100" s="228"/>
      <c r="L100" s="228"/>
      <c r="M100" s="228"/>
      <c r="N100" s="228"/>
      <c r="O100" s="228"/>
      <c r="P100" s="228"/>
      <c r="Q100" s="228"/>
      <c r="R100" s="228"/>
      <c r="S100" s="534" t="s">
        <v>16</v>
      </c>
      <c r="T100" s="228"/>
      <c r="U100" s="534" t="s">
        <v>16</v>
      </c>
      <c r="V100" s="228"/>
      <c r="W100" s="534" t="s">
        <v>16</v>
      </c>
      <c r="X100" s="228"/>
      <c r="Y100" s="228"/>
      <c r="Z100" s="228"/>
      <c r="AA100" s="228"/>
      <c r="AB100" s="300"/>
      <c r="AC100" s="676"/>
      <c r="AD100" s="228"/>
      <c r="AE100" s="300"/>
      <c r="AF100" s="676"/>
      <c r="AG100" s="228"/>
      <c r="AH100" s="515"/>
      <c r="AI100" s="229"/>
      <c r="AJ100" s="648"/>
      <c r="AK100" s="648"/>
      <c r="AL100" s="656"/>
      <c r="AM100" s="648"/>
      <c r="AN100" s="648"/>
    </row>
    <row r="101" spans="1:53" s="222" customFormat="1" ht="15" customHeight="1" thickBot="1">
      <c r="A101" s="223"/>
      <c r="B101" s="221" t="s">
        <v>1506</v>
      </c>
      <c r="C101" s="223"/>
      <c r="E101" s="504">
        <f>ROUND(SUM(+E99+E15),1)</f>
        <v>-795</v>
      </c>
      <c r="F101" s="295"/>
      <c r="G101" s="504">
        <f>ROUND(SUM(+G99+G15),1)</f>
        <v>-955.8</v>
      </c>
      <c r="H101" s="295"/>
      <c r="I101" s="504">
        <f>ROUND(SUM(+I99+I15),1)</f>
        <v>0</v>
      </c>
      <c r="J101" s="295"/>
      <c r="K101" s="504">
        <f>ROUND(SUM(+K99+K15),1)</f>
        <v>0</v>
      </c>
      <c r="L101" s="295"/>
      <c r="M101" s="504">
        <f>ROUND(SUM(+M99+M15),1)</f>
        <v>0</v>
      </c>
      <c r="N101" s="295"/>
      <c r="O101" s="504">
        <f>ROUND(SUM(+O99+O15),1)</f>
        <v>0</v>
      </c>
      <c r="P101" s="295"/>
      <c r="Q101" s="504">
        <f>ROUND(SUM(+Q99+Q15),1)</f>
        <v>0</v>
      </c>
      <c r="R101" s="295"/>
      <c r="S101" s="504">
        <f>ROUND(SUM(+S99+S15),1)</f>
        <v>0</v>
      </c>
      <c r="T101" s="295"/>
      <c r="U101" s="504">
        <f>ROUND(SUM(+U99+U15),1)</f>
        <v>0</v>
      </c>
      <c r="V101" s="295"/>
      <c r="W101" s="504">
        <f>ROUND(SUM(+W99+W15),1)</f>
        <v>0</v>
      </c>
      <c r="X101" s="295"/>
      <c r="Y101" s="504">
        <f>ROUND(SUM(+Y99+Y15),1)</f>
        <v>0</v>
      </c>
      <c r="Z101" s="295"/>
      <c r="AA101" s="504">
        <f>ROUND(SUM(+AA99+AA15),1)</f>
        <v>0</v>
      </c>
      <c r="AB101" s="295"/>
      <c r="AC101" s="296"/>
      <c r="AD101" s="504">
        <f>ROUND(SUM(+AD99+AD15),1)</f>
        <v>-955.8</v>
      </c>
      <c r="AE101" s="295"/>
      <c r="AF101" s="296"/>
      <c r="AG101" s="504">
        <f>ROUND(SUM(+AG99+AG15),1)</f>
        <v>-650.1</v>
      </c>
      <c r="AH101" s="512"/>
      <c r="AI101" s="425"/>
      <c r="AJ101" s="504">
        <f>ROUND(SUM(+AJ99+AJ15),1)</f>
        <v>-305.7</v>
      </c>
      <c r="AK101" s="385"/>
      <c r="AL101" s="532">
        <f>ROUND(SUM(-(+AD101-AG101)/AG101),3)</f>
        <v>-0.47</v>
      </c>
      <c r="AM101" s="666"/>
      <c r="AN101" s="666"/>
      <c r="AO101" s="653"/>
      <c r="AP101" s="653"/>
      <c r="AQ101" s="507"/>
      <c r="AR101" s="507"/>
      <c r="AS101" s="507"/>
      <c r="AT101" s="507"/>
      <c r="AU101" s="507"/>
      <c r="AV101" s="507"/>
      <c r="AW101" s="507"/>
      <c r="AX101" s="507"/>
      <c r="AY101" s="507"/>
      <c r="AZ101" s="507"/>
      <c r="BA101" s="507"/>
    </row>
    <row r="102" spans="1:53" ht="15.75" thickTop="1">
      <c r="B102" s="426"/>
    </row>
    <row r="103" spans="1:53">
      <c r="B103" s="677"/>
      <c r="C103" s="678"/>
      <c r="D103" s="678"/>
      <c r="E103" s="679"/>
      <c r="F103" s="679"/>
      <c r="G103" s="679"/>
      <c r="AG103" s="680"/>
      <c r="AJ103" s="370"/>
    </row>
    <row r="104" spans="1:53">
      <c r="B104" s="677"/>
      <c r="C104" s="678"/>
      <c r="D104" s="678"/>
      <c r="E104" s="679"/>
      <c r="F104" s="679"/>
      <c r="G104" s="679"/>
      <c r="AJ104" s="370"/>
    </row>
    <row r="105" spans="1:53">
      <c r="B105" s="681"/>
      <c r="AJ105" s="370"/>
    </row>
    <row r="106" spans="1:53">
      <c r="B106" s="681"/>
    </row>
    <row r="107" spans="1:53">
      <c r="B107" s="677"/>
    </row>
    <row r="108" spans="1:53">
      <c r="B108" s="681"/>
    </row>
    <row r="109" spans="1:53">
      <c r="B109" s="681"/>
    </row>
    <row r="110" spans="1:53">
      <c r="B110" s="677"/>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2"/>
  <headerFooter scaleWithDoc="0" alignWithMargins="0">
    <oddFooter>&amp;C&amp;8&amp;P</oddFooter>
  </headerFooter>
  <rowBreaks count="1" manualBreakCount="1">
    <brk id="64" min="1" max="37" man="1"/>
  </rowBreaks>
  <ignoredErrors>
    <ignoredError sqref="AL20:AL24 AL92:AL93 AL78:AL82 AL76 AL83:AL86 AL37 AL40 AL41 AL43 AL59:AL66 AL39 AL70:AL73 AL27:AL36 AL88:AL90 AL74 AL91" unlockedFormula="1"/>
    <ignoredError sqref="AL50:AL54 AL47 AL57" formula="1" unlockedFormula="1"/>
    <ignoredError sqref="AL46 AL56 AL26" formula="1"/>
  </ignoredErrors>
</worksheet>
</file>

<file path=xl/worksheets/sheet24.xml><?xml version="1.0" encoding="utf-8"?>
<worksheet xmlns="http://schemas.openxmlformats.org/spreadsheetml/2006/main" xmlns:r="http://schemas.openxmlformats.org/officeDocument/2006/relationships">
  <sheetPr codeName="Sheet22"/>
  <dimension ref="A1:AQ107"/>
  <sheetViews>
    <sheetView showGridLines="0" zoomScale="70" zoomScaleNormal="80" workbookViewId="0"/>
  </sheetViews>
  <sheetFormatPr defaultRowHeight="15"/>
  <cols>
    <col min="1" max="1" width="2.5546875" style="302" customWidth="1"/>
    <col min="2" max="2" width="14.33203125" style="302" customWidth="1"/>
    <col min="3" max="3" width="26.33203125" style="302" customWidth="1"/>
    <col min="4" max="4" width="2" style="302" customWidth="1"/>
    <col min="5" max="5" width="11.109375" style="2166" bestFit="1" customWidth="1"/>
    <col min="6" max="6" width="1.77734375" style="2166" customWidth="1"/>
    <col min="7" max="7" width="11.77734375" style="2166" customWidth="1"/>
    <col min="8" max="8" width="1.77734375" style="2166" customWidth="1"/>
    <col min="9" max="9" width="11.109375" style="2166" bestFit="1" customWidth="1"/>
    <col min="10" max="10" width="1.77734375" style="2166" customWidth="1"/>
    <col min="11" max="11" width="12" style="2166" customWidth="1"/>
    <col min="12" max="12" width="1.21875" style="302" customWidth="1"/>
    <col min="13" max="13" width="10.33203125" style="302" bestFit="1" customWidth="1"/>
    <col min="14" max="14" width="1.77734375" style="302" customWidth="1"/>
    <col min="15" max="15" width="11.33203125" style="302" customWidth="1"/>
    <col min="16" max="16" width="1.77734375" style="302" customWidth="1"/>
    <col min="17" max="17" width="9.6640625" style="302" customWidth="1"/>
    <col min="18" max="18" width="1.77734375" style="302" customWidth="1"/>
    <col min="19" max="19" width="10.5546875" style="302" customWidth="1"/>
    <col min="20" max="20" width="1.77734375" style="302" customWidth="1"/>
    <col min="21" max="21" width="10.6640625" style="302" customWidth="1"/>
    <col min="22" max="22" width="1.77734375" style="302" customWidth="1"/>
    <col min="23" max="23" width="9" style="302" bestFit="1" customWidth="1"/>
    <col min="24" max="24" width="1.77734375" style="302" customWidth="1"/>
    <col min="25" max="25" width="10.77734375" style="302" customWidth="1"/>
    <col min="26" max="26" width="1.77734375" style="302" customWidth="1"/>
    <col min="27" max="27" width="9" style="302" bestFit="1" customWidth="1"/>
    <col min="28" max="28" width="1.33203125" style="302" customWidth="1"/>
    <col min="29" max="29" width="12.21875" style="302" customWidth="1"/>
    <col min="30" max="31" width="1.77734375" style="2166" customWidth="1"/>
    <col min="32" max="32" width="11.109375" style="2166" bestFit="1" customWidth="1"/>
    <col min="33" max="34" width="1.109375" style="2166" customWidth="1"/>
    <col min="35" max="35" width="11.33203125" style="2166" customWidth="1"/>
    <col min="36" max="37" width="1" style="2166" customWidth="1"/>
    <col min="38" max="38" width="13.44140625" style="2166" bestFit="1" customWidth="1"/>
    <col min="39" max="39" width="1.33203125" style="302" customWidth="1"/>
    <col min="40" max="40" width="12.88671875" style="302" customWidth="1"/>
    <col min="41" max="42" width="8.88671875" style="302"/>
    <col min="43" max="43" width="19.6640625" style="302" bestFit="1" customWidth="1"/>
    <col min="44" max="16384" width="8.88671875" style="302"/>
  </cols>
  <sheetData>
    <row r="1" spans="1:41">
      <c r="B1" s="1190" t="s">
        <v>1231</v>
      </c>
    </row>
    <row r="2" spans="1:41">
      <c r="B2" s="1740"/>
    </row>
    <row r="3" spans="1:41" ht="19.5" customHeight="1">
      <c r="A3" s="637"/>
      <c r="B3" s="539" t="s">
        <v>0</v>
      </c>
      <c r="C3" s="638"/>
      <c r="D3" s="638"/>
      <c r="E3" s="2167"/>
      <c r="F3" s="2168"/>
      <c r="G3" s="2168"/>
      <c r="H3" s="2168"/>
      <c r="I3" s="2168"/>
      <c r="J3" s="2168"/>
      <c r="K3" s="2168"/>
      <c r="L3" s="639"/>
      <c r="M3" s="639"/>
      <c r="N3" s="639"/>
      <c r="O3" s="639"/>
      <c r="P3" s="639"/>
      <c r="Q3" s="639"/>
      <c r="R3" s="639"/>
      <c r="S3" s="639"/>
      <c r="T3" s="639"/>
      <c r="U3" s="639"/>
      <c r="V3" s="639"/>
      <c r="W3" s="639"/>
      <c r="X3" s="639"/>
      <c r="Y3" s="639"/>
      <c r="Z3" s="639"/>
      <c r="AA3" s="639"/>
      <c r="AB3" s="639"/>
      <c r="AC3" s="639"/>
      <c r="AD3" s="2168"/>
      <c r="AE3" s="2168"/>
      <c r="AF3" s="2168"/>
      <c r="AG3" s="2168"/>
      <c r="AH3" s="2168"/>
      <c r="AI3" s="2168"/>
      <c r="AJ3" s="2168"/>
      <c r="AK3" s="2168"/>
      <c r="AN3" s="742" t="s">
        <v>202</v>
      </c>
    </row>
    <row r="4" spans="1:41" ht="19.5" customHeight="1">
      <c r="A4" s="637"/>
      <c r="B4" s="539" t="s">
        <v>219</v>
      </c>
      <c r="C4" s="638"/>
      <c r="D4" s="638"/>
      <c r="E4" s="2167"/>
      <c r="F4" s="2168"/>
      <c r="G4" s="2168"/>
      <c r="H4" s="2168"/>
      <c r="I4" s="2168"/>
      <c r="J4" s="2168"/>
      <c r="K4" s="2168"/>
      <c r="L4" s="639"/>
      <c r="M4" s="639"/>
      <c r="N4" s="639"/>
      <c r="O4" s="639"/>
      <c r="P4" s="639"/>
      <c r="Q4" s="639"/>
      <c r="R4" s="639"/>
      <c r="S4" s="639"/>
      <c r="T4" s="639"/>
      <c r="U4" s="639"/>
      <c r="V4" s="639"/>
      <c r="W4" s="639"/>
      <c r="X4" s="639"/>
      <c r="Y4" s="639"/>
      <c r="Z4" s="639"/>
      <c r="AA4" s="639"/>
      <c r="AB4" s="639"/>
      <c r="AC4" s="639"/>
      <c r="AD4" s="2168"/>
      <c r="AE4" s="2168"/>
      <c r="AG4" s="2181"/>
      <c r="AH4" s="2181"/>
    </row>
    <row r="5" spans="1:41" ht="19.5" customHeight="1">
      <c r="A5" s="637"/>
      <c r="B5" s="506" t="s">
        <v>1256</v>
      </c>
      <c r="C5" s="638"/>
      <c r="D5" s="638"/>
      <c r="E5" s="2167"/>
      <c r="F5" s="2168"/>
      <c r="G5" s="2168"/>
      <c r="H5" s="2168"/>
      <c r="I5" s="2168"/>
      <c r="J5" s="2168"/>
      <c r="K5" s="2168"/>
      <c r="L5" s="639"/>
      <c r="M5" s="639"/>
      <c r="N5" s="639"/>
      <c r="O5" s="639"/>
      <c r="P5" s="639"/>
      <c r="Q5" s="639"/>
      <c r="R5" s="639"/>
      <c r="S5" s="639"/>
      <c r="T5" s="639"/>
      <c r="U5" s="639"/>
      <c r="V5" s="639"/>
      <c r="W5" s="639"/>
      <c r="X5" s="639"/>
      <c r="Y5" s="639"/>
      <c r="Z5" s="639"/>
      <c r="AA5" s="639"/>
      <c r="AB5" s="639"/>
      <c r="AC5" s="639"/>
      <c r="AD5" s="2168"/>
      <c r="AE5" s="2168"/>
      <c r="AF5" s="2168"/>
      <c r="AG5" s="2168"/>
      <c r="AH5" s="2168"/>
      <c r="AI5" s="2168"/>
      <c r="AJ5" s="2168"/>
      <c r="AK5" s="2168"/>
      <c r="AN5" s="508"/>
    </row>
    <row r="6" spans="1:41" ht="19.5" customHeight="1">
      <c r="A6" s="637"/>
      <c r="B6" s="3198" t="s">
        <v>1549</v>
      </c>
      <c r="C6" s="638"/>
      <c r="D6" s="638"/>
      <c r="E6" s="2167"/>
      <c r="F6" s="2168"/>
      <c r="G6" s="2168"/>
      <c r="H6" s="2169"/>
      <c r="I6" s="2168"/>
      <c r="J6" s="2168"/>
      <c r="K6" s="2168"/>
      <c r="L6" s="639"/>
      <c r="M6" s="639"/>
      <c r="N6" s="639"/>
      <c r="O6" s="639"/>
      <c r="P6" s="639"/>
      <c r="Q6" s="639"/>
      <c r="R6" s="639"/>
      <c r="S6" s="639"/>
      <c r="T6" s="639"/>
      <c r="U6" s="639"/>
      <c r="V6" s="639"/>
      <c r="W6" s="639"/>
      <c r="X6" s="639"/>
      <c r="Y6" s="639"/>
      <c r="Z6" s="639"/>
      <c r="AA6" s="639"/>
      <c r="AB6" s="639"/>
      <c r="AC6" s="639"/>
      <c r="AD6" s="2168"/>
      <c r="AE6" s="2168"/>
      <c r="AF6" s="2168"/>
      <c r="AG6" s="2182"/>
      <c r="AH6" s="2182"/>
      <c r="AI6" s="2182"/>
      <c r="AJ6" s="2182"/>
      <c r="AK6" s="2182"/>
    </row>
    <row r="7" spans="1:41" ht="19.5" customHeight="1">
      <c r="A7" s="637"/>
      <c r="B7" s="643" t="s">
        <v>1117</v>
      </c>
      <c r="C7" s="638"/>
      <c r="D7" s="638"/>
      <c r="E7" s="2167"/>
      <c r="F7" s="2168"/>
      <c r="G7" s="2168"/>
      <c r="H7" s="2169"/>
      <c r="I7" s="2168"/>
      <c r="J7" s="2168"/>
      <c r="K7" s="2168"/>
      <c r="L7" s="639"/>
      <c r="M7" s="639"/>
      <c r="N7" s="639"/>
      <c r="O7" s="639"/>
      <c r="P7" s="639"/>
      <c r="Q7" s="639"/>
      <c r="R7" s="639"/>
      <c r="S7" s="639"/>
      <c r="T7" s="639"/>
      <c r="U7" s="639"/>
      <c r="V7" s="639"/>
      <c r="W7" s="639"/>
      <c r="X7" s="639"/>
      <c r="Y7" s="639"/>
      <c r="Z7" s="639"/>
      <c r="AA7" s="639"/>
      <c r="AB7" s="639"/>
      <c r="AC7" s="639"/>
      <c r="AD7" s="2168"/>
      <c r="AE7" s="2168"/>
      <c r="AF7" s="2168"/>
      <c r="AG7" s="2182"/>
      <c r="AH7" s="2182"/>
      <c r="AI7" s="2182"/>
      <c r="AJ7" s="2182"/>
      <c r="AK7" s="2182"/>
    </row>
    <row r="8" spans="1:41" ht="19.5" customHeight="1">
      <c r="A8" s="637"/>
      <c r="C8" s="638"/>
      <c r="D8" s="638"/>
      <c r="E8" s="2167"/>
      <c r="F8" s="2168"/>
      <c r="G8" s="2168"/>
      <c r="H8" s="2168"/>
      <c r="I8" s="2168"/>
      <c r="J8" s="2168"/>
      <c r="K8" s="2168"/>
      <c r="L8" s="639"/>
      <c r="M8" s="639"/>
      <c r="N8" s="639"/>
      <c r="O8" s="639"/>
      <c r="P8" s="639"/>
      <c r="Q8" s="639"/>
      <c r="R8" s="639"/>
      <c r="S8" s="639"/>
      <c r="T8" s="639"/>
      <c r="U8" s="639"/>
      <c r="V8" s="639"/>
      <c r="W8" s="639"/>
      <c r="X8" s="639"/>
      <c r="Y8" s="639"/>
      <c r="Z8" s="639"/>
      <c r="AA8" s="639"/>
      <c r="AB8" s="639"/>
      <c r="AC8" s="639"/>
      <c r="AD8" s="2168"/>
      <c r="AE8" s="2183"/>
    </row>
    <row r="9" spans="1:41" ht="15.75" customHeight="1">
      <c r="A9" s="637"/>
      <c r="B9" s="643"/>
      <c r="C9" s="638"/>
      <c r="D9" s="638"/>
      <c r="E9" s="2167"/>
      <c r="F9" s="2168"/>
      <c r="G9" s="2168"/>
      <c r="H9" s="2168"/>
      <c r="I9" s="2168"/>
      <c r="J9" s="2168"/>
      <c r="K9" s="2168"/>
      <c r="L9" s="639"/>
      <c r="M9" s="639"/>
      <c r="N9" s="639"/>
      <c r="O9" s="639"/>
      <c r="P9" s="639"/>
      <c r="Q9" s="639"/>
      <c r="R9" s="639"/>
      <c r="S9" s="639"/>
      <c r="T9" s="639"/>
      <c r="U9" s="639"/>
      <c r="V9" s="639"/>
      <c r="W9" s="639"/>
      <c r="X9" s="639"/>
      <c r="Y9" s="639"/>
      <c r="Z9" s="639"/>
      <c r="AA9" s="639"/>
      <c r="AB9" s="639"/>
      <c r="AC9" s="639"/>
      <c r="AD9" s="2168"/>
      <c r="AE9" s="2183"/>
    </row>
    <row r="10" spans="1:41" ht="15.75" customHeight="1">
      <c r="A10" s="637"/>
      <c r="B10" s="645"/>
      <c r="C10" s="638"/>
      <c r="D10" s="638"/>
      <c r="E10" s="2167"/>
      <c r="F10" s="2168"/>
      <c r="G10" s="2168"/>
      <c r="H10" s="2168"/>
      <c r="I10" s="2168"/>
      <c r="J10" s="2168"/>
      <c r="K10" s="2168"/>
      <c r="L10" s="639"/>
      <c r="M10" s="639"/>
      <c r="N10" s="639"/>
      <c r="O10" s="639"/>
      <c r="P10" s="639"/>
      <c r="Q10" s="639"/>
      <c r="R10" s="639"/>
      <c r="S10" s="639"/>
      <c r="T10" s="639"/>
      <c r="U10" s="639"/>
      <c r="V10" s="639"/>
      <c r="W10" s="639"/>
      <c r="X10" s="639"/>
      <c r="Y10" s="639"/>
      <c r="Z10" s="639"/>
      <c r="AA10" s="639"/>
      <c r="AB10" s="639"/>
      <c r="AC10" s="639"/>
      <c r="AD10" s="2168"/>
      <c r="AE10" s="2183"/>
      <c r="AF10" s="3517" t="s">
        <v>1593</v>
      </c>
      <c r="AG10" s="3524"/>
      <c r="AH10" s="3524"/>
      <c r="AI10" s="3524"/>
      <c r="AJ10" s="3524"/>
      <c r="AK10" s="3524"/>
      <c r="AL10" s="3524"/>
      <c r="AM10" s="3524"/>
      <c r="AN10" s="3524"/>
    </row>
    <row r="11" spans="1:41" ht="15.75" customHeight="1">
      <c r="A11" s="637"/>
      <c r="B11" s="645"/>
      <c r="C11" s="638"/>
      <c r="D11" s="638"/>
      <c r="E11" s="2170"/>
      <c r="F11" s="2171"/>
      <c r="G11" s="2171"/>
      <c r="H11" s="2171"/>
      <c r="I11" s="2171"/>
      <c r="J11" s="2171"/>
      <c r="K11" s="2171"/>
      <c r="L11" s="1548"/>
      <c r="M11" s="1548"/>
      <c r="N11" s="1548"/>
      <c r="O11" s="1548"/>
      <c r="P11" s="1548"/>
      <c r="Q11" s="1548"/>
      <c r="R11" s="1548"/>
      <c r="S11" s="1548"/>
      <c r="T11" s="1548"/>
      <c r="U11" s="1548"/>
      <c r="V11" s="1548"/>
      <c r="W11" s="1548"/>
      <c r="X11" s="1548"/>
      <c r="Y11" s="1548"/>
      <c r="Z11" s="1548"/>
      <c r="AA11" s="1548"/>
      <c r="AB11" s="1548"/>
      <c r="AC11" s="1526" t="s">
        <v>1468</v>
      </c>
      <c r="AD11" s="2171"/>
      <c r="AE11" s="2184"/>
      <c r="AF11" s="2185"/>
      <c r="AG11" s="2186"/>
      <c r="AH11" s="2186"/>
      <c r="AI11" s="2186"/>
      <c r="AJ11" s="2186"/>
      <c r="AK11" s="2186"/>
      <c r="AL11" s="2186"/>
      <c r="AM11" s="1550"/>
      <c r="AN11" s="1550"/>
    </row>
    <row r="12" spans="1:41" ht="15.75" customHeight="1">
      <c r="A12" s="646"/>
      <c r="B12" s="646"/>
      <c r="C12" s="646"/>
      <c r="D12" s="646"/>
      <c r="E12" s="1509">
        <v>2015</v>
      </c>
      <c r="F12" s="2172"/>
      <c r="G12" s="2172"/>
      <c r="H12" s="2172"/>
      <c r="I12" s="2172"/>
      <c r="J12" s="2172"/>
      <c r="K12" s="2172"/>
      <c r="L12" s="1551"/>
      <c r="M12" s="1551"/>
      <c r="N12" s="1551"/>
      <c r="O12" s="1551"/>
      <c r="P12" s="1551"/>
      <c r="Q12" s="1551"/>
      <c r="R12" s="1551"/>
      <c r="S12" s="1551"/>
      <c r="T12" s="1551"/>
      <c r="U12" s="1551"/>
      <c r="V12" s="1551"/>
      <c r="W12" s="1519">
        <v>2016</v>
      </c>
      <c r="X12" s="1551"/>
      <c r="Y12" s="1551"/>
      <c r="Z12" s="1551"/>
      <c r="AA12" s="1551"/>
      <c r="AB12" s="1551"/>
      <c r="AC12" s="1526" t="s">
        <v>1469</v>
      </c>
      <c r="AD12" s="2172"/>
      <c r="AE12" s="2172"/>
      <c r="AF12" s="2187"/>
      <c r="AG12" s="2187"/>
      <c r="AH12" s="2187"/>
      <c r="AI12" s="2187"/>
      <c r="AJ12" s="2187"/>
      <c r="AK12" s="2187"/>
      <c r="AL12" s="2188" t="s">
        <v>8</v>
      </c>
      <c r="AM12" s="1526"/>
      <c r="AN12" s="1521" t="s">
        <v>9</v>
      </c>
      <c r="AO12" s="1555"/>
    </row>
    <row r="13" spans="1:41" ht="15.75" customHeight="1">
      <c r="A13" s="223"/>
      <c r="B13" s="223"/>
      <c r="C13" s="223"/>
      <c r="D13" s="223"/>
      <c r="E13" s="1553" t="s">
        <v>129</v>
      </c>
      <c r="F13" s="306"/>
      <c r="G13" s="1553" t="s">
        <v>130</v>
      </c>
      <c r="H13" s="306"/>
      <c r="I13" s="1553" t="s">
        <v>131</v>
      </c>
      <c r="J13" s="306"/>
      <c r="K13" s="1553" t="s">
        <v>132</v>
      </c>
      <c r="L13" s="221"/>
      <c r="M13" s="1501" t="s">
        <v>133</v>
      </c>
      <c r="N13" s="221"/>
      <c r="O13" s="1501" t="s">
        <v>134</v>
      </c>
      <c r="P13" s="221"/>
      <c r="Q13" s="1501" t="s">
        <v>135</v>
      </c>
      <c r="R13" s="221"/>
      <c r="S13" s="1501" t="s">
        <v>136</v>
      </c>
      <c r="T13" s="221"/>
      <c r="U13" s="1501" t="s">
        <v>137</v>
      </c>
      <c r="V13" s="221"/>
      <c r="W13" s="1501" t="s">
        <v>154</v>
      </c>
      <c r="X13" s="221"/>
      <c r="Y13" s="1501" t="s">
        <v>139</v>
      </c>
      <c r="Z13" s="221"/>
      <c r="AA13" s="1501" t="s">
        <v>140</v>
      </c>
      <c r="AB13" s="1533"/>
      <c r="AC13" s="2106" t="s">
        <v>1470</v>
      </c>
      <c r="AD13" s="306"/>
      <c r="AE13" s="306"/>
      <c r="AF13" s="1553">
        <v>2015</v>
      </c>
      <c r="AG13" s="306"/>
      <c r="AH13" s="306"/>
      <c r="AI13" s="1553">
        <v>2014</v>
      </c>
      <c r="AJ13" s="1554"/>
      <c r="AK13" s="1554"/>
      <c r="AL13" s="2189" t="s">
        <v>13</v>
      </c>
      <c r="AM13" s="1524"/>
      <c r="AN13" s="1534" t="s">
        <v>14</v>
      </c>
      <c r="AO13" s="1555"/>
    </row>
    <row r="14" spans="1:41" ht="15.75">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33"/>
      <c r="AD14" s="342"/>
      <c r="AE14" s="2118"/>
      <c r="AF14" s="342"/>
      <c r="AG14" s="342"/>
      <c r="AH14" s="2259"/>
      <c r="AI14" s="342"/>
      <c r="AJ14" s="342"/>
      <c r="AK14" s="2022"/>
      <c r="AL14" s="2190"/>
      <c r="AM14" s="1370"/>
      <c r="AN14" s="1370"/>
    </row>
    <row r="15" spans="1:41" ht="15.75">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18"/>
      <c r="AF15" s="342"/>
      <c r="AG15" s="342"/>
      <c r="AH15" s="2259"/>
      <c r="AI15" s="342"/>
      <c r="AJ15" s="342"/>
      <c r="AK15" s="2022"/>
      <c r="AL15" s="2190"/>
      <c r="AM15" s="1370"/>
      <c r="AN15" s="1370"/>
    </row>
    <row r="16" spans="1:41" ht="15.75">
      <c r="A16" s="223"/>
      <c r="B16" s="221" t="s">
        <v>203</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18"/>
      <c r="AF16" s="342"/>
      <c r="AG16" s="2191"/>
      <c r="AH16" s="318"/>
      <c r="AI16" s="342"/>
      <c r="AJ16" s="342"/>
      <c r="AK16" s="2022"/>
      <c r="AL16" s="2192"/>
      <c r="AM16" s="648"/>
      <c r="AN16" s="648"/>
    </row>
    <row r="17" spans="1:41" ht="15.75">
      <c r="A17" s="223"/>
      <c r="B17" s="491" t="s">
        <v>1373</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18"/>
      <c r="AF17" s="342"/>
      <c r="AG17" s="2193"/>
      <c r="AH17" s="318"/>
      <c r="AI17" s="342"/>
      <c r="AJ17" s="342"/>
      <c r="AK17" s="2022"/>
      <c r="AL17" s="2192"/>
      <c r="AM17" s="648"/>
      <c r="AN17" s="648"/>
    </row>
    <row r="18" spans="1:41" ht="15.75">
      <c r="A18" s="223"/>
      <c r="B18" s="2089" t="s">
        <v>1391</v>
      </c>
      <c r="C18" s="223"/>
      <c r="D18" s="223"/>
      <c r="E18" s="2173"/>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90"/>
      <c r="AF18" s="2364" t="s">
        <v>16</v>
      </c>
      <c r="AG18" s="2150"/>
      <c r="AH18" s="262"/>
      <c r="AI18" s="319" t="s">
        <v>16</v>
      </c>
      <c r="AJ18" s="319"/>
      <c r="AK18" s="2195"/>
      <c r="AL18" s="690"/>
      <c r="AM18" s="648"/>
      <c r="AN18" s="648"/>
    </row>
    <row r="19" spans="1:41">
      <c r="A19" s="223"/>
      <c r="B19" s="1276" t="s">
        <v>1394</v>
      </c>
      <c r="C19" s="223"/>
      <c r="D19" s="365" t="s">
        <v>16</v>
      </c>
      <c r="E19" s="1839">
        <v>3</v>
      </c>
      <c r="F19" s="1839"/>
      <c r="G19" s="1839">
        <v>0.1</v>
      </c>
      <c r="H19" s="1839"/>
      <c r="I19" s="1839"/>
      <c r="J19" s="1839"/>
      <c r="K19" s="1839"/>
      <c r="L19" s="1177"/>
      <c r="M19" s="1839"/>
      <c r="N19" s="1177"/>
      <c r="O19" s="1933"/>
      <c r="P19" s="1177"/>
      <c r="Q19" s="1261"/>
      <c r="R19" s="1177"/>
      <c r="S19" s="1933"/>
      <c r="T19" s="1177"/>
      <c r="U19" s="1933"/>
      <c r="V19" s="1177"/>
      <c r="W19" s="1933"/>
      <c r="X19" s="1177"/>
      <c r="Y19" s="1933"/>
      <c r="Z19" s="1177"/>
      <c r="AA19" s="1933"/>
      <c r="AB19" s="1362"/>
      <c r="AC19" s="1839">
        <v>0</v>
      </c>
      <c r="AD19" s="1840"/>
      <c r="AE19" s="2793"/>
      <c r="AF19" s="1839">
        <f>ROUND(SUM(E19:AC19),1)</f>
        <v>3.1</v>
      </c>
      <c r="AG19" s="2796"/>
      <c r="AH19" s="2797"/>
      <c r="AI19" s="1839">
        <v>2.2999999999999998</v>
      </c>
      <c r="AJ19" s="2798"/>
      <c r="AK19" s="2799"/>
      <c r="AL19" s="1839">
        <f>ROUND(AF19-AI19,1)</f>
        <v>0.8</v>
      </c>
      <c r="AM19" s="2654"/>
      <c r="AN19" s="1871">
        <f>ROUND(IF(AI19=0,0,AL19/(AI19)),3)</f>
        <v>0.34799999999999998</v>
      </c>
    </row>
    <row r="20" spans="1:41" ht="15.75">
      <c r="A20" s="223"/>
      <c r="B20" s="1276" t="s">
        <v>1396</v>
      </c>
      <c r="C20" s="223"/>
      <c r="D20" s="223"/>
      <c r="E20" s="1841">
        <v>32.6</v>
      </c>
      <c r="F20" s="1840"/>
      <c r="G20" s="1841">
        <v>33.1</v>
      </c>
      <c r="H20" s="1840"/>
      <c r="I20" s="1841"/>
      <c r="J20" s="1840"/>
      <c r="K20" s="1841"/>
      <c r="L20" s="1177"/>
      <c r="M20" s="1177"/>
      <c r="N20" s="1177"/>
      <c r="O20" s="1362"/>
      <c r="P20" s="261"/>
      <c r="Q20" s="518"/>
      <c r="R20" s="261"/>
      <c r="S20" s="518"/>
      <c r="T20" s="261"/>
      <c r="U20" s="518"/>
      <c r="V20" s="261"/>
      <c r="W20" s="518"/>
      <c r="X20" s="261"/>
      <c r="Y20" s="518"/>
      <c r="Z20" s="261"/>
      <c r="AA20" s="518"/>
      <c r="AB20" s="518"/>
      <c r="AC20" s="1208">
        <v>0</v>
      </c>
      <c r="AD20" s="319"/>
      <c r="AE20" s="1290"/>
      <c r="AF20" s="320">
        <f>ROUND(SUM(E20:AC20),1)</f>
        <v>65.7</v>
      </c>
      <c r="AG20" s="2150"/>
      <c r="AH20" s="262"/>
      <c r="AI20" s="319">
        <v>68.8</v>
      </c>
      <c r="AJ20" s="319"/>
      <c r="AK20" s="2195"/>
      <c r="AL20" s="320">
        <f>ROUND(AF20-AI20,1)</f>
        <v>-3.1</v>
      </c>
      <c r="AM20" s="658"/>
      <c r="AN20" s="45">
        <f>ROUND(IF(AI20=0,0,AL20/(AI20)),3)</f>
        <v>-4.4999999999999998E-2</v>
      </c>
      <c r="AO20" s="648"/>
    </row>
    <row r="21" spans="1:41" ht="15.75">
      <c r="A21" s="223"/>
      <c r="B21" s="1276" t="s">
        <v>1398</v>
      </c>
      <c r="C21" s="223"/>
      <c r="D21" s="223"/>
      <c r="E21" s="3211">
        <v>13.4</v>
      </c>
      <c r="F21" s="1840"/>
      <c r="G21" s="1841">
        <v>10.3</v>
      </c>
      <c r="H21" s="1840"/>
      <c r="I21" s="1841"/>
      <c r="J21" s="1840"/>
      <c r="K21" s="1841"/>
      <c r="L21" s="1177"/>
      <c r="M21" s="1177"/>
      <c r="N21" s="1177"/>
      <c r="O21" s="1362"/>
      <c r="P21" s="261"/>
      <c r="Q21" s="518"/>
      <c r="R21" s="261"/>
      <c r="S21" s="518"/>
      <c r="T21" s="261"/>
      <c r="U21" s="518"/>
      <c r="V21" s="261"/>
      <c r="W21" s="518"/>
      <c r="X21" s="261"/>
      <c r="Y21" s="518"/>
      <c r="Z21" s="261"/>
      <c r="AA21" s="518"/>
      <c r="AB21" s="518"/>
      <c r="AC21" s="1208">
        <v>0</v>
      </c>
      <c r="AD21" s="319"/>
      <c r="AE21" s="1290"/>
      <c r="AF21" s="320">
        <f>ROUND(SUM(E21:AC21),1)</f>
        <v>23.7</v>
      </c>
      <c r="AG21" s="2150"/>
      <c r="AH21" s="262"/>
      <c r="AI21" s="319">
        <v>23.4</v>
      </c>
      <c r="AJ21" s="319"/>
      <c r="AK21" s="2195"/>
      <c r="AL21" s="320">
        <f>ROUND(AF21-AI21,1)</f>
        <v>0.3</v>
      </c>
      <c r="AM21" s="658"/>
      <c r="AN21" s="45">
        <f>ROUND(IF(AI21=0,0,AL21/(AI21)),3)</f>
        <v>1.2999999999999999E-2</v>
      </c>
    </row>
    <row r="22" spans="1:41" ht="15.75">
      <c r="A22" s="223"/>
      <c r="B22" s="590" t="s">
        <v>1501</v>
      </c>
      <c r="C22" s="223"/>
      <c r="D22" s="223"/>
      <c r="E22" s="1289">
        <f>ROUND(SUM(E19:E21),1)</f>
        <v>49</v>
      </c>
      <c r="F22" s="1840"/>
      <c r="G22" s="1289">
        <f>ROUND(SUM(G19:G21),1)</f>
        <v>43.5</v>
      </c>
      <c r="H22" s="1840"/>
      <c r="I22" s="1289">
        <f>ROUND(SUM(I19:I21),1)</f>
        <v>0</v>
      </c>
      <c r="J22" s="1840"/>
      <c r="K22" s="1289">
        <f>ROUND(SUM(K19:K21),1)</f>
        <v>0</v>
      </c>
      <c r="L22" s="1177"/>
      <c r="M22" s="1289">
        <f>ROUND(SUM(M19:M21),1)</f>
        <v>0</v>
      </c>
      <c r="N22" s="1177"/>
      <c r="O22" s="1289">
        <f>ROUND(SUM(O19:O21),1)</f>
        <v>0</v>
      </c>
      <c r="P22" s="261"/>
      <c r="Q22" s="1289">
        <f>ROUND(SUM(Q19:Q21),1)</f>
        <v>0</v>
      </c>
      <c r="R22" s="261"/>
      <c r="S22" s="1289">
        <f>ROUND(SUM(S19:S21),1)</f>
        <v>0</v>
      </c>
      <c r="T22" s="261"/>
      <c r="U22" s="1289">
        <f>ROUND(SUM(U19:U21),1)</f>
        <v>0</v>
      </c>
      <c r="V22" s="261"/>
      <c r="W22" s="1289">
        <f>ROUND(SUM(W19:W21),1)</f>
        <v>0</v>
      </c>
      <c r="X22" s="261"/>
      <c r="Y22" s="1289">
        <f>ROUND(SUM(Y19:Y21),1)</f>
        <v>0</v>
      </c>
      <c r="Z22" s="261"/>
      <c r="AA22" s="1289">
        <f>ROUND(SUM(AA19:AA21),1)</f>
        <v>0</v>
      </c>
      <c r="AB22" s="316"/>
      <c r="AC22" s="1289">
        <f>ROUND(SUM(AC19:AC21),1)</f>
        <v>0</v>
      </c>
      <c r="AD22" s="319"/>
      <c r="AE22" s="1290"/>
      <c r="AF22" s="1289">
        <f>ROUND(SUM(AF19:AF21),1)</f>
        <v>92.5</v>
      </c>
      <c r="AG22" s="2154"/>
      <c r="AH22" s="262"/>
      <c r="AI22" s="1289">
        <f>ROUND(SUM(AI19:AI21),1)</f>
        <v>94.5</v>
      </c>
      <c r="AJ22" s="319"/>
      <c r="AK22" s="2195"/>
      <c r="AL22" s="1289">
        <f>ROUND(SUM(AL19:AL21),1)</f>
        <v>-2</v>
      </c>
      <c r="AM22" s="658"/>
      <c r="AN22" s="72">
        <f>ROUND(IF(AI22=0,0,AL22/(AI22)),3)</f>
        <v>-2.1000000000000001E-2</v>
      </c>
    </row>
    <row r="23" spans="1:41" ht="15.75">
      <c r="A23" s="223"/>
      <c r="B23" s="2089" t="s">
        <v>1379</v>
      </c>
      <c r="C23" s="223"/>
      <c r="D23" s="223"/>
      <c r="E23" s="1840"/>
      <c r="F23" s="1840"/>
      <c r="G23" s="1840"/>
      <c r="H23" s="1840"/>
      <c r="I23" s="1840"/>
      <c r="J23" s="1840"/>
      <c r="K23" s="1840"/>
      <c r="L23" s="1177"/>
      <c r="M23" s="1177"/>
      <c r="N23" s="1177"/>
      <c r="O23" s="1362"/>
      <c r="P23" s="261"/>
      <c r="Q23" s="518"/>
      <c r="R23" s="261"/>
      <c r="S23" s="518"/>
      <c r="T23" s="261"/>
      <c r="U23" s="518"/>
      <c r="V23" s="261"/>
      <c r="W23" s="660"/>
      <c r="X23" s="261"/>
      <c r="Y23" s="518"/>
      <c r="Z23" s="261"/>
      <c r="AA23" s="660"/>
      <c r="AB23" s="660"/>
      <c r="AC23" s="660"/>
      <c r="AD23" s="319"/>
      <c r="AE23" s="1290"/>
      <c r="AF23" s="320"/>
      <c r="AG23" s="2150"/>
      <c r="AH23" s="262"/>
      <c r="AI23" s="320"/>
      <c r="AJ23" s="319"/>
      <c r="AK23" s="2195"/>
      <c r="AL23" s="320"/>
      <c r="AM23" s="648"/>
      <c r="AN23" s="656"/>
    </row>
    <row r="24" spans="1:41" ht="15.75">
      <c r="A24" s="223"/>
      <c r="B24" s="1276" t="s">
        <v>1401</v>
      </c>
      <c r="C24" s="223"/>
      <c r="D24" s="223"/>
      <c r="E24" s="1840">
        <v>0</v>
      </c>
      <c r="F24" s="1840"/>
      <c r="G24" s="1840">
        <v>0</v>
      </c>
      <c r="H24" s="1840"/>
      <c r="I24" s="1840"/>
      <c r="J24" s="1840"/>
      <c r="K24" s="1840"/>
      <c r="L24" s="1177"/>
      <c r="M24" s="1177"/>
      <c r="N24" s="1177"/>
      <c r="O24" s="1362"/>
      <c r="P24" s="261"/>
      <c r="Q24" s="518"/>
      <c r="R24" s="261"/>
      <c r="S24" s="518"/>
      <c r="T24" s="261"/>
      <c r="U24" s="518"/>
      <c r="V24" s="261"/>
      <c r="W24" s="1177"/>
      <c r="X24" s="261"/>
      <c r="Y24" s="518"/>
      <c r="Z24" s="261"/>
      <c r="AA24" s="660"/>
      <c r="AB24" s="660"/>
      <c r="AC24" s="1208">
        <v>0</v>
      </c>
      <c r="AD24" s="319"/>
      <c r="AE24" s="1290"/>
      <c r="AF24" s="320">
        <f>ROUND(SUM(E24:AC24),1)</f>
        <v>0</v>
      </c>
      <c r="AG24" s="2154"/>
      <c r="AH24" s="262"/>
      <c r="AI24" s="320">
        <v>0</v>
      </c>
      <c r="AJ24" s="319"/>
      <c r="AK24" s="2195"/>
      <c r="AL24" s="320">
        <f>ROUND(AF24-AI24,1)</f>
        <v>0</v>
      </c>
      <c r="AM24" s="648"/>
      <c r="AN24" s="45">
        <f>ROUND(IF(AI24=0,0,AL24/(AI24)),3)</f>
        <v>0</v>
      </c>
    </row>
    <row r="25" spans="1:41" ht="15.75">
      <c r="A25" s="223"/>
      <c r="B25" s="1276" t="s">
        <v>1402</v>
      </c>
      <c r="C25" s="223"/>
      <c r="D25" s="223"/>
      <c r="E25" s="1840">
        <v>0.1</v>
      </c>
      <c r="F25" s="1840"/>
      <c r="G25" s="1840">
        <v>0</v>
      </c>
      <c r="H25" s="1840"/>
      <c r="I25" s="1840"/>
      <c r="J25" s="1840"/>
      <c r="K25" s="1840"/>
      <c r="L25" s="1177"/>
      <c r="M25" s="1177"/>
      <c r="N25" s="1177"/>
      <c r="O25" s="1362"/>
      <c r="P25" s="261"/>
      <c r="Q25" s="518"/>
      <c r="R25" s="261"/>
      <c r="S25" s="518"/>
      <c r="T25" s="261"/>
      <c r="U25" s="518"/>
      <c r="V25" s="261"/>
      <c r="W25" s="1177"/>
      <c r="X25" s="261"/>
      <c r="Y25" s="518"/>
      <c r="Z25" s="261"/>
      <c r="AA25" s="518"/>
      <c r="AB25" s="660"/>
      <c r="AC25" s="1208">
        <v>0</v>
      </c>
      <c r="AD25" s="319"/>
      <c r="AE25" s="1290"/>
      <c r="AF25" s="320">
        <f>ROUND(SUM(E25:AC25),1)</f>
        <v>0.1</v>
      </c>
      <c r="AG25" s="2154"/>
      <c r="AH25" s="262"/>
      <c r="AI25" s="320">
        <v>0</v>
      </c>
      <c r="AJ25" s="319"/>
      <c r="AK25" s="2195"/>
      <c r="AL25" s="320">
        <f>ROUND(AF25-AI25,1)</f>
        <v>0.1</v>
      </c>
      <c r="AM25" s="648"/>
      <c r="AN25" s="2843">
        <f>ROUND(IF(AI25=0,1,AL25/(AI25)),3)</f>
        <v>1</v>
      </c>
    </row>
    <row r="26" spans="1:41" ht="15.75">
      <c r="A26" s="223"/>
      <c r="B26" s="1276" t="s">
        <v>1405</v>
      </c>
      <c r="C26" s="221"/>
      <c r="D26" s="223"/>
      <c r="E26" s="1841">
        <v>50.8</v>
      </c>
      <c r="F26" s="1840"/>
      <c r="G26" s="1841">
        <v>49.8</v>
      </c>
      <c r="H26" s="1840"/>
      <c r="I26" s="1841"/>
      <c r="J26" s="1840"/>
      <c r="K26" s="1841"/>
      <c r="L26" s="1177"/>
      <c r="M26" s="1177"/>
      <c r="N26" s="1177"/>
      <c r="O26" s="1362"/>
      <c r="P26" s="261"/>
      <c r="Q26" s="518"/>
      <c r="R26" s="261"/>
      <c r="S26" s="518"/>
      <c r="T26" s="261"/>
      <c r="U26" s="518"/>
      <c r="V26" s="261"/>
      <c r="W26" s="518"/>
      <c r="X26" s="261"/>
      <c r="Y26" s="518"/>
      <c r="Z26" s="261"/>
      <c r="AA26" s="518"/>
      <c r="AB26" s="518"/>
      <c r="AC26" s="1208">
        <v>0</v>
      </c>
      <c r="AD26" s="319"/>
      <c r="AE26" s="1290"/>
      <c r="AF26" s="320">
        <f>ROUND(SUM(E26:AC26),1)</f>
        <v>100.6</v>
      </c>
      <c r="AG26" s="2150"/>
      <c r="AH26" s="262"/>
      <c r="AI26" s="319">
        <v>106.1</v>
      </c>
      <c r="AJ26" s="319"/>
      <c r="AK26" s="2195"/>
      <c r="AL26" s="320">
        <f>ROUND(AF26-AI26,1)</f>
        <v>-5.5</v>
      </c>
      <c r="AM26" s="658"/>
      <c r="AN26" s="1854">
        <f>ROUND(IF(AI26=0,0,AL26/(AI26)),3)</f>
        <v>-5.1999999999999998E-2</v>
      </c>
    </row>
    <row r="27" spans="1:41" ht="15.75">
      <c r="A27" s="223"/>
      <c r="B27" s="590" t="s">
        <v>1502</v>
      </c>
      <c r="C27" s="221"/>
      <c r="D27" s="223"/>
      <c r="E27" s="1289">
        <f>ROUND(SUM(E24:E26),1)</f>
        <v>50.9</v>
      </c>
      <c r="F27" s="1840"/>
      <c r="G27" s="1289">
        <f>ROUND(SUM(G24:G26),1)</f>
        <v>49.8</v>
      </c>
      <c r="H27" s="1840"/>
      <c r="I27" s="1289">
        <f>ROUND(SUM(I24:I26),1)</f>
        <v>0</v>
      </c>
      <c r="J27" s="1840"/>
      <c r="K27" s="1289">
        <f>ROUND(SUM(K24:K26),1)</f>
        <v>0</v>
      </c>
      <c r="L27" s="1177"/>
      <c r="M27" s="1289">
        <f>ROUND(SUM(M24:M26),1)</f>
        <v>0</v>
      </c>
      <c r="N27" s="1177"/>
      <c r="O27" s="1289">
        <f>ROUND(SUM(O24:O26),1)</f>
        <v>0</v>
      </c>
      <c r="P27" s="261"/>
      <c r="Q27" s="1289">
        <f>ROUND(SUM(Q24:Q26),1)</f>
        <v>0</v>
      </c>
      <c r="R27" s="261"/>
      <c r="S27" s="1289">
        <f>ROUND(SUM(S24:S26),1)</f>
        <v>0</v>
      </c>
      <c r="T27" s="261"/>
      <c r="U27" s="1289">
        <f>ROUND(SUM(U24:U26),1)</f>
        <v>0</v>
      </c>
      <c r="V27" s="261"/>
      <c r="W27" s="1289">
        <f>ROUND(SUM(W24:W26),1)</f>
        <v>0</v>
      </c>
      <c r="X27" s="261"/>
      <c r="Y27" s="1289">
        <f>ROUND(SUM(Y24:Y26),1)</f>
        <v>0</v>
      </c>
      <c r="Z27" s="261"/>
      <c r="AA27" s="1289">
        <f>ROUND(SUM(AA24:AA26),1)</f>
        <v>0</v>
      </c>
      <c r="AB27" s="316"/>
      <c r="AC27" s="1289">
        <f>ROUND(SUM(AC24:AC26),1)</f>
        <v>0</v>
      </c>
      <c r="AD27" s="319"/>
      <c r="AE27" s="1290"/>
      <c r="AF27" s="1289">
        <f>ROUND(SUM(AF24:AF26),1)</f>
        <v>100.7</v>
      </c>
      <c r="AG27" s="2154"/>
      <c r="AH27" s="262"/>
      <c r="AI27" s="1289">
        <f>ROUND(SUM(AI24:AI26),1)</f>
        <v>106.1</v>
      </c>
      <c r="AJ27" s="319"/>
      <c r="AK27" s="2195"/>
      <c r="AL27" s="1289">
        <f>ROUND(SUM(AL24:AL26),1)</f>
        <v>-5.4</v>
      </c>
      <c r="AM27" s="658"/>
      <c r="AN27" s="1974">
        <f>ROUND(IF(AI27=0,0,AL27/(AI27)),3)</f>
        <v>-5.0999999999999997E-2</v>
      </c>
    </row>
    <row r="28" spans="1:41" ht="15.75">
      <c r="A28" s="223"/>
      <c r="B28" s="2089" t="s">
        <v>1380</v>
      </c>
      <c r="C28" s="223"/>
      <c r="D28" s="223"/>
      <c r="E28" s="2261"/>
      <c r="F28" s="1840"/>
      <c r="G28" s="2261"/>
      <c r="H28" s="1840"/>
      <c r="I28" s="1841"/>
      <c r="J28" s="1840"/>
      <c r="K28" s="1841"/>
      <c r="L28" s="1177"/>
      <c r="M28" s="1177"/>
      <c r="N28" s="1177"/>
      <c r="O28" s="1362"/>
      <c r="P28" s="261"/>
      <c r="Q28" s="518"/>
      <c r="R28" s="261"/>
      <c r="S28" s="518"/>
      <c r="T28" s="261"/>
      <c r="U28" s="518"/>
      <c r="V28" s="261"/>
      <c r="W28" s="518"/>
      <c r="X28" s="261"/>
      <c r="Y28" s="518"/>
      <c r="Z28" s="261"/>
      <c r="AA28" s="518"/>
      <c r="AB28" s="518"/>
      <c r="AC28" s="518"/>
      <c r="AD28" s="319"/>
      <c r="AE28" s="1290"/>
      <c r="AF28" s="320"/>
      <c r="AG28" s="2196"/>
      <c r="AH28" s="263"/>
      <c r="AI28" s="319"/>
      <c r="AJ28" s="320"/>
      <c r="AK28" s="2151"/>
      <c r="AL28" s="320"/>
      <c r="AM28" s="655"/>
      <c r="AN28" s="45"/>
      <c r="AO28" s="648"/>
    </row>
    <row r="29" spans="1:41" ht="15.75">
      <c r="A29" s="223"/>
      <c r="B29" s="1276" t="s">
        <v>1411</v>
      </c>
      <c r="C29" s="223"/>
      <c r="D29" s="223"/>
      <c r="E29" s="2261">
        <v>0</v>
      </c>
      <c r="F29" s="1840"/>
      <c r="G29" s="2261">
        <v>0</v>
      </c>
      <c r="H29" s="1840"/>
      <c r="I29" s="1841"/>
      <c r="J29" s="1840"/>
      <c r="K29" s="1841"/>
      <c r="L29" s="1177"/>
      <c r="M29" s="1177"/>
      <c r="N29" s="1177"/>
      <c r="O29" s="1362"/>
      <c r="P29" s="261"/>
      <c r="Q29" s="518"/>
      <c r="R29" s="261"/>
      <c r="S29" s="518"/>
      <c r="T29" s="261"/>
      <c r="U29" s="518"/>
      <c r="V29" s="261"/>
      <c r="W29" s="518"/>
      <c r="X29" s="261"/>
      <c r="Y29" s="518"/>
      <c r="Z29" s="261"/>
      <c r="AA29" s="518"/>
      <c r="AB29" s="518"/>
      <c r="AC29" s="1208">
        <v>0</v>
      </c>
      <c r="AD29" s="319"/>
      <c r="AE29" s="1290"/>
      <c r="AF29" s="320">
        <f>ROUND(SUM(E29:AC29),1)</f>
        <v>0</v>
      </c>
      <c r="AG29" s="2200"/>
      <c r="AH29" s="263"/>
      <c r="AI29" s="319">
        <v>0</v>
      </c>
      <c r="AJ29" s="320"/>
      <c r="AK29" s="2151"/>
      <c r="AL29" s="320">
        <f>ROUND(AF29-AI29,1)</f>
        <v>0</v>
      </c>
      <c r="AM29" s="655"/>
      <c r="AN29" s="1854">
        <f>ROUND(IF(AI29=0,0,AL29/(AI29)),3)</f>
        <v>0</v>
      </c>
      <c r="AO29" s="648"/>
    </row>
    <row r="30" spans="1:41" ht="15.75">
      <c r="A30" s="590" t="s">
        <v>1507</v>
      </c>
      <c r="B30" s="221"/>
      <c r="C30" s="223"/>
      <c r="D30" s="223"/>
      <c r="E30" s="1289">
        <f>ROUND(SUM(E29:E29),1)</f>
        <v>0</v>
      </c>
      <c r="F30" s="1840"/>
      <c r="G30" s="1289">
        <f>ROUND(SUM(G29:G29),1)</f>
        <v>0</v>
      </c>
      <c r="H30" s="1840"/>
      <c r="I30" s="1289">
        <f>ROUND(SUM(I29:I29),1)</f>
        <v>0</v>
      </c>
      <c r="J30" s="1840"/>
      <c r="K30" s="1289">
        <f>ROUND(SUM(K29:K29),1)</f>
        <v>0</v>
      </c>
      <c r="L30" s="1177"/>
      <c r="M30" s="1289">
        <f>ROUND(SUM(M29:M29),1)</f>
        <v>0</v>
      </c>
      <c r="N30" s="1177"/>
      <c r="O30" s="1289">
        <f>ROUND(SUM(O29:O29),1)</f>
        <v>0</v>
      </c>
      <c r="P30" s="261"/>
      <c r="Q30" s="1289">
        <f>ROUND(SUM(Q29:Q29),1)</f>
        <v>0</v>
      </c>
      <c r="R30" s="261"/>
      <c r="S30" s="1289">
        <f>ROUND(SUM(S29:S29),1)</f>
        <v>0</v>
      </c>
      <c r="T30" s="261"/>
      <c r="U30" s="1289">
        <f>ROUND(SUM(U29:U29),1)</f>
        <v>0</v>
      </c>
      <c r="V30" s="261"/>
      <c r="W30" s="1289">
        <f>ROUND(SUM(W29:W29),1)</f>
        <v>0</v>
      </c>
      <c r="X30" s="261"/>
      <c r="Y30" s="1289">
        <f>ROUND(SUM(Y29:Y29),1)</f>
        <v>0</v>
      </c>
      <c r="Z30" s="261"/>
      <c r="AA30" s="1289">
        <f>ROUND(SUM(AA29:AA29),1)</f>
        <v>0</v>
      </c>
      <c r="AB30" s="316"/>
      <c r="AC30" s="1289">
        <f>ROUND(SUM(AC29:AC29),1)</f>
        <v>0</v>
      </c>
      <c r="AD30" s="319"/>
      <c r="AE30" s="1290"/>
      <c r="AF30" s="1289">
        <f>ROUND(SUM(AF29:AF29),1)</f>
        <v>0</v>
      </c>
      <c r="AG30" s="2200"/>
      <c r="AH30" s="263"/>
      <c r="AI30" s="1289">
        <f>ROUND(SUM(AI29:AI29),1)</f>
        <v>0</v>
      </c>
      <c r="AJ30" s="320"/>
      <c r="AK30" s="2151"/>
      <c r="AL30" s="1289">
        <f>ROUND(SUM(AL29:AL29),1)</f>
        <v>0</v>
      </c>
      <c r="AM30" s="655"/>
      <c r="AN30" s="72">
        <f>ROUND(IF(AI30=0,0,AL30/(AI30)),3)</f>
        <v>0</v>
      </c>
      <c r="AO30" s="648"/>
    </row>
    <row r="31" spans="1:41" ht="15.75">
      <c r="A31" s="223"/>
      <c r="B31" s="221"/>
      <c r="C31" s="223"/>
      <c r="D31" s="223"/>
      <c r="E31" s="2261"/>
      <c r="F31" s="1840"/>
      <c r="G31" s="2261"/>
      <c r="H31" s="1840"/>
      <c r="I31" s="1841"/>
      <c r="J31" s="1840"/>
      <c r="K31" s="1841"/>
      <c r="L31" s="1177"/>
      <c r="M31" s="1177"/>
      <c r="N31" s="1177"/>
      <c r="O31" s="1362"/>
      <c r="P31" s="261"/>
      <c r="Q31" s="518"/>
      <c r="R31" s="261"/>
      <c r="S31" s="518"/>
      <c r="T31" s="261"/>
      <c r="U31" s="518"/>
      <c r="V31" s="261"/>
      <c r="W31" s="518"/>
      <c r="X31" s="261"/>
      <c r="Y31" s="518"/>
      <c r="Z31" s="261"/>
      <c r="AA31" s="518"/>
      <c r="AB31" s="518"/>
      <c r="AC31" s="518"/>
      <c r="AD31" s="319"/>
      <c r="AE31" s="1290"/>
      <c r="AF31" s="320"/>
      <c r="AG31" s="2200"/>
      <c r="AH31" s="263"/>
      <c r="AI31" s="319"/>
      <c r="AJ31" s="320"/>
      <c r="AK31" s="2151"/>
      <c r="AL31" s="320"/>
      <c r="AM31" s="655"/>
      <c r="AN31" s="2255"/>
      <c r="AO31" s="648"/>
    </row>
    <row r="32" spans="1:41" s="653" customFormat="1" ht="15.75">
      <c r="A32" s="221"/>
      <c r="B32" s="590" t="s">
        <v>1376</v>
      </c>
      <c r="C32" s="221"/>
      <c r="D32" s="221"/>
      <c r="E32" s="2093">
        <f>ROUND(SUM(+E27+E22+E30),1)</f>
        <v>99.9</v>
      </c>
      <c r="F32" s="313"/>
      <c r="G32" s="2093">
        <f>ROUND(SUM(+G27+G22+G30),1)</f>
        <v>93.3</v>
      </c>
      <c r="H32" s="313"/>
      <c r="I32" s="2093">
        <f>ROUND(SUM(+I27+I22+I30),1)</f>
        <v>0</v>
      </c>
      <c r="J32" s="313"/>
      <c r="K32" s="2093">
        <f>ROUND(SUM(+K27+K22+K30),1)</f>
        <v>0</v>
      </c>
      <c r="L32" s="1899"/>
      <c r="M32" s="2093">
        <f>ROUND(SUM(+M27+M22+M30),1)</f>
        <v>0</v>
      </c>
      <c r="N32" s="1899"/>
      <c r="O32" s="2093">
        <f>ROUND(SUM(+O27+O22+O30),1)</f>
        <v>0</v>
      </c>
      <c r="P32" s="1899"/>
      <c r="Q32" s="2093">
        <f>ROUND(SUM(+Q27+Q22+Q30),1)</f>
        <v>0</v>
      </c>
      <c r="R32" s="1899"/>
      <c r="S32" s="2093">
        <f>ROUND(SUM(+S27+S22+S30),1)</f>
        <v>0</v>
      </c>
      <c r="T32" s="1899"/>
      <c r="U32" s="2093">
        <f>ROUND(SUM(+U27+U22+U30),1)</f>
        <v>0</v>
      </c>
      <c r="V32" s="1899"/>
      <c r="W32" s="2093">
        <f>ROUND(SUM(+W27+W22+W30),1)</f>
        <v>0</v>
      </c>
      <c r="X32" s="1899"/>
      <c r="Y32" s="2093">
        <f>ROUND(SUM(+Y27+Y22+Y30),1)</f>
        <v>0</v>
      </c>
      <c r="Z32" s="1899"/>
      <c r="AA32" s="2093">
        <f>ROUND(SUM(+AA27+AA22+AA30),1)</f>
        <v>0</v>
      </c>
      <c r="AB32" s="2096"/>
      <c r="AC32" s="2093">
        <f>ROUND(SUM(+AC27+AC22+AC30),1)</f>
        <v>0</v>
      </c>
      <c r="AD32" s="313"/>
      <c r="AE32" s="1291"/>
      <c r="AF32" s="2093">
        <f>ROUND(SUM(+AF27+AF22+AF30),1)</f>
        <v>193.2</v>
      </c>
      <c r="AG32" s="2197"/>
      <c r="AH32" s="2198"/>
      <c r="AI32" s="2093">
        <f>ROUND(SUM(+AI27+AI22+AI30),1)</f>
        <v>200.6</v>
      </c>
      <c r="AJ32" s="2199"/>
      <c r="AK32" s="2151"/>
      <c r="AL32" s="2093">
        <f>ROUND(SUM(+AL27+AL22+AL30),1)</f>
        <v>-7.4</v>
      </c>
      <c r="AM32" s="1523"/>
      <c r="AN32" s="1974">
        <f>ROUND(IF(AI32=0,0,AL32/(AI32)),3)</f>
        <v>-3.6999999999999998E-2</v>
      </c>
      <c r="AO32" s="666"/>
    </row>
    <row r="33" spans="1:41" ht="15.75">
      <c r="A33" s="223"/>
      <c r="B33" s="1365"/>
      <c r="C33" s="223"/>
      <c r="D33" s="223"/>
      <c r="E33" s="2261"/>
      <c r="F33" s="1840"/>
      <c r="G33" s="2261"/>
      <c r="H33" s="1840"/>
      <c r="I33" s="1841"/>
      <c r="J33" s="1840"/>
      <c r="K33" s="1841"/>
      <c r="L33" s="1177"/>
      <c r="M33" s="1177"/>
      <c r="N33" s="1177"/>
      <c r="O33" s="1362"/>
      <c r="P33" s="261"/>
      <c r="Q33" s="518"/>
      <c r="R33" s="261"/>
      <c r="S33" s="518"/>
      <c r="T33" s="261"/>
      <c r="U33" s="518"/>
      <c r="V33" s="261"/>
      <c r="W33" s="518"/>
      <c r="X33" s="261"/>
      <c r="Y33" s="518"/>
      <c r="Z33" s="261"/>
      <c r="AA33" s="518"/>
      <c r="AB33" s="518"/>
      <c r="AC33" s="518"/>
      <c r="AD33" s="319"/>
      <c r="AE33" s="1290"/>
      <c r="AF33" s="320"/>
      <c r="AG33" s="2200"/>
      <c r="AH33" s="263"/>
      <c r="AI33" s="319"/>
      <c r="AJ33" s="320"/>
      <c r="AK33" s="2151"/>
      <c r="AL33" s="320"/>
      <c r="AM33" s="655"/>
      <c r="AN33" s="45"/>
      <c r="AO33" s="648"/>
    </row>
    <row r="34" spans="1:41" ht="15.75">
      <c r="A34" s="223"/>
      <c r="B34" s="491" t="s">
        <v>1308</v>
      </c>
      <c r="C34" s="223"/>
      <c r="D34" s="223"/>
      <c r="E34" s="1841"/>
      <c r="F34" s="1840"/>
      <c r="G34" s="1841"/>
      <c r="H34" s="1840"/>
      <c r="I34" s="1841"/>
      <c r="J34" s="1840"/>
      <c r="K34" s="1841"/>
      <c r="L34" s="1177"/>
      <c r="M34" s="1177"/>
      <c r="N34" s="1177"/>
      <c r="O34" s="1362"/>
      <c r="P34" s="261"/>
      <c r="Q34" s="518"/>
      <c r="R34" s="261"/>
      <c r="S34" s="518"/>
      <c r="T34" s="261"/>
      <c r="U34" s="518"/>
      <c r="V34" s="261"/>
      <c r="W34" s="518"/>
      <c r="X34" s="261"/>
      <c r="Y34" s="518"/>
      <c r="Z34" s="261"/>
      <c r="AA34" s="518"/>
      <c r="AB34" s="518"/>
      <c r="AC34" s="518"/>
      <c r="AD34" s="319"/>
      <c r="AE34" s="1290"/>
      <c r="AF34" s="320"/>
      <c r="AG34" s="2150"/>
      <c r="AH34" s="262"/>
      <c r="AI34" s="319"/>
      <c r="AJ34" s="320"/>
      <c r="AK34" s="2151"/>
      <c r="AL34" s="320"/>
      <c r="AM34" s="2152"/>
      <c r="AN34" s="2153"/>
    </row>
    <row r="35" spans="1:41" ht="15.75">
      <c r="A35" s="223"/>
      <c r="B35" s="1837" t="s">
        <v>1436</v>
      </c>
      <c r="C35" s="1365"/>
      <c r="D35" s="223"/>
      <c r="E35" s="1841"/>
      <c r="F35" s="1840"/>
      <c r="G35" s="1841"/>
      <c r="H35" s="1840"/>
      <c r="I35" s="1841"/>
      <c r="J35" s="1840"/>
      <c r="K35" s="1841"/>
      <c r="L35" s="1177"/>
      <c r="M35" s="1177"/>
      <c r="N35" s="1177"/>
      <c r="O35" s="1362"/>
      <c r="P35" s="261"/>
      <c r="Q35" s="518"/>
      <c r="R35" s="261"/>
      <c r="S35" s="518"/>
      <c r="T35" s="261"/>
      <c r="U35" s="518"/>
      <c r="V35" s="261"/>
      <c r="W35" s="518"/>
      <c r="X35" s="261"/>
      <c r="Y35" s="518"/>
      <c r="Z35" s="261"/>
      <c r="AA35" s="518"/>
      <c r="AB35" s="518"/>
      <c r="AC35" s="518"/>
      <c r="AD35" s="319"/>
      <c r="AE35" s="1290"/>
      <c r="AF35" s="320"/>
      <c r="AG35" s="2154"/>
      <c r="AH35" s="262"/>
      <c r="AI35" s="319"/>
      <c r="AJ35" s="320"/>
      <c r="AK35" s="2151"/>
      <c r="AL35" s="320"/>
      <c r="AM35" s="658"/>
      <c r="AN35" s="656"/>
    </row>
    <row r="36" spans="1:41" ht="15.75">
      <c r="A36" s="223"/>
      <c r="B36" s="1837" t="s">
        <v>1342</v>
      </c>
      <c r="C36" s="1365"/>
      <c r="D36" s="223"/>
      <c r="E36" s="1841">
        <v>0</v>
      </c>
      <c r="F36" s="1840"/>
      <c r="G36" s="1841">
        <v>0</v>
      </c>
      <c r="H36" s="1840"/>
      <c r="I36" s="1841"/>
      <c r="J36" s="1840"/>
      <c r="K36" s="1841"/>
      <c r="L36" s="1177"/>
      <c r="M36" s="1177"/>
      <c r="N36" s="1177"/>
      <c r="O36" s="1362"/>
      <c r="P36" s="261"/>
      <c r="Q36" s="518"/>
      <c r="R36" s="261"/>
      <c r="S36" s="518"/>
      <c r="T36" s="261"/>
      <c r="U36" s="518"/>
      <c r="V36" s="261"/>
      <c r="W36" s="518"/>
      <c r="X36" s="261"/>
      <c r="Y36" s="518"/>
      <c r="Z36" s="261"/>
      <c r="AA36" s="518"/>
      <c r="AB36" s="518"/>
      <c r="AC36" s="1208">
        <v>0</v>
      </c>
      <c r="AD36" s="319"/>
      <c r="AE36" s="1290"/>
      <c r="AF36" s="320">
        <f>ROUND(SUM(E36:AC36),1)</f>
        <v>0</v>
      </c>
      <c r="AG36" s="2154"/>
      <c r="AH36" s="262"/>
      <c r="AI36" s="2148">
        <v>0</v>
      </c>
      <c r="AJ36" s="320"/>
      <c r="AK36" s="2151"/>
      <c r="AL36" s="320">
        <f t="shared" ref="AL36:AL57" si="0">ROUND(AF36-AI36,1)</f>
        <v>0</v>
      </c>
      <c r="AM36" s="658"/>
      <c r="AN36" s="2828">
        <f>ROUND(IF(AI36=0,0,AL36/(AI36)),3)</f>
        <v>0</v>
      </c>
    </row>
    <row r="37" spans="1:41" ht="15.75">
      <c r="A37" s="223"/>
      <c r="B37" s="1837" t="s">
        <v>1437</v>
      </c>
      <c r="C37" s="1365"/>
      <c r="D37" s="223"/>
      <c r="E37" s="1841"/>
      <c r="F37" s="1840"/>
      <c r="G37" s="1841"/>
      <c r="H37" s="1840"/>
      <c r="I37" s="1841"/>
      <c r="J37" s="1840"/>
      <c r="K37" s="1841"/>
      <c r="L37" s="1177"/>
      <c r="M37" s="1177"/>
      <c r="N37" s="1177"/>
      <c r="O37" s="1362"/>
      <c r="P37" s="261"/>
      <c r="Q37" s="518"/>
      <c r="R37" s="261"/>
      <c r="S37" s="518"/>
      <c r="T37" s="261"/>
      <c r="U37" s="518"/>
      <c r="V37" s="261"/>
      <c r="W37" s="518"/>
      <c r="X37" s="261"/>
      <c r="Y37" s="518"/>
      <c r="Z37" s="261"/>
      <c r="AA37" s="518"/>
      <c r="AB37" s="518"/>
      <c r="AC37" s="518"/>
      <c r="AD37" s="319"/>
      <c r="AE37" s="1290"/>
      <c r="AF37" s="2149"/>
      <c r="AG37" s="2154"/>
      <c r="AH37" s="262"/>
      <c r="AI37" s="2148"/>
      <c r="AJ37" s="320"/>
      <c r="AK37" s="2151"/>
      <c r="AL37" s="320"/>
      <c r="AM37" s="658"/>
      <c r="AN37" s="2880"/>
    </row>
    <row r="38" spans="1:41" ht="15.75">
      <c r="A38" s="223"/>
      <c r="B38" s="1837" t="s">
        <v>1343</v>
      </c>
      <c r="C38" s="1365"/>
      <c r="D38" s="223"/>
      <c r="E38" s="1841">
        <v>9.1</v>
      </c>
      <c r="F38" s="1840"/>
      <c r="G38" s="1841">
        <v>8.6</v>
      </c>
      <c r="H38" s="1840"/>
      <c r="I38" s="1841"/>
      <c r="J38" s="1840"/>
      <c r="K38" s="1841"/>
      <c r="L38" s="1177"/>
      <c r="M38" s="1177"/>
      <c r="N38" s="1177"/>
      <c r="O38" s="1362"/>
      <c r="P38" s="261"/>
      <c r="Q38" s="518"/>
      <c r="R38" s="261"/>
      <c r="S38" s="518"/>
      <c r="T38" s="261"/>
      <c r="U38" s="518"/>
      <c r="V38" s="261"/>
      <c r="W38" s="518"/>
      <c r="X38" s="261"/>
      <c r="Y38" s="518"/>
      <c r="Z38" s="261"/>
      <c r="AA38" s="518"/>
      <c r="AB38" s="518"/>
      <c r="AC38" s="1208">
        <v>0</v>
      </c>
      <c r="AD38" s="319"/>
      <c r="AE38" s="1290"/>
      <c r="AF38" s="320">
        <f>ROUND(SUM(E38:AC38),1)</f>
        <v>17.7</v>
      </c>
      <c r="AG38" s="2154"/>
      <c r="AH38" s="262"/>
      <c r="AI38" s="2148">
        <v>17.100000000000001</v>
      </c>
      <c r="AJ38" s="320"/>
      <c r="AK38" s="2151"/>
      <c r="AL38" s="320">
        <f t="shared" si="0"/>
        <v>0.6</v>
      </c>
      <c r="AM38" s="658"/>
      <c r="AN38" s="2828">
        <f>ROUND(IF(AI38=0,0,AL38/(AI38)),3)</f>
        <v>3.5000000000000003E-2</v>
      </c>
    </row>
    <row r="39" spans="1:41" ht="15.75">
      <c r="A39" s="223"/>
      <c r="B39" s="1837" t="s">
        <v>1442</v>
      </c>
      <c r="C39" s="1365"/>
      <c r="D39" s="223"/>
      <c r="E39" s="2148"/>
      <c r="F39" s="319"/>
      <c r="G39" s="2148"/>
      <c r="H39" s="319"/>
      <c r="I39" s="2148"/>
      <c r="J39" s="319"/>
      <c r="K39" s="2148"/>
      <c r="L39" s="261"/>
      <c r="M39" s="261"/>
      <c r="N39" s="261"/>
      <c r="O39" s="518"/>
      <c r="P39" s="261"/>
      <c r="Q39" s="518"/>
      <c r="R39" s="261"/>
      <c r="S39" s="518"/>
      <c r="T39" s="261"/>
      <c r="U39" s="518"/>
      <c r="V39" s="261"/>
      <c r="W39" s="518"/>
      <c r="X39" s="261"/>
      <c r="Y39" s="518"/>
      <c r="Z39" s="261"/>
      <c r="AA39" s="518"/>
      <c r="AB39" s="518"/>
      <c r="AC39" s="518"/>
      <c r="AD39" s="319"/>
      <c r="AE39" s="1290"/>
      <c r="AF39" s="320"/>
      <c r="AG39" s="2154"/>
      <c r="AH39" s="262"/>
      <c r="AI39" s="2148"/>
      <c r="AJ39" s="320"/>
      <c r="AK39" s="2151"/>
      <c r="AL39" s="320"/>
      <c r="AM39" s="658"/>
      <c r="AN39" s="2880"/>
    </row>
    <row r="40" spans="1:41" ht="15.75">
      <c r="A40" s="223"/>
      <c r="B40" s="1837" t="s">
        <v>1347</v>
      </c>
      <c r="C40" s="1365"/>
      <c r="D40" s="223"/>
      <c r="E40" s="2148">
        <v>1.7</v>
      </c>
      <c r="F40" s="319"/>
      <c r="G40" s="2148">
        <v>2.2000000000000002</v>
      </c>
      <c r="H40" s="319"/>
      <c r="I40" s="2148"/>
      <c r="J40" s="319"/>
      <c r="K40" s="2148"/>
      <c r="L40" s="261"/>
      <c r="M40" s="261"/>
      <c r="N40" s="261"/>
      <c r="O40" s="518"/>
      <c r="P40" s="261"/>
      <c r="Q40" s="518"/>
      <c r="R40" s="261"/>
      <c r="S40" s="518"/>
      <c r="T40" s="261"/>
      <c r="U40" s="518"/>
      <c r="V40" s="261"/>
      <c r="W40" s="518"/>
      <c r="X40" s="261"/>
      <c r="Y40" s="518"/>
      <c r="Z40" s="261"/>
      <c r="AA40" s="518"/>
      <c r="AB40" s="518"/>
      <c r="AC40" s="1208">
        <v>0</v>
      </c>
      <c r="AD40" s="319"/>
      <c r="AE40" s="1290"/>
      <c r="AF40" s="320">
        <f t="shared" ref="AF40:AF45" si="1">ROUND(SUM(E40:AC40),1)</f>
        <v>3.9</v>
      </c>
      <c r="AG40" s="2154"/>
      <c r="AH40" s="262"/>
      <c r="AI40" s="2148">
        <v>9.6999999999999993</v>
      </c>
      <c r="AJ40" s="320"/>
      <c r="AK40" s="2151"/>
      <c r="AL40" s="320">
        <f t="shared" si="0"/>
        <v>-5.8</v>
      </c>
      <c r="AM40" s="658"/>
      <c r="AN40" s="2828">
        <f>ROUND(IF(AI40=0,0,AL40/(AI40)),3)</f>
        <v>-0.59799999999999998</v>
      </c>
    </row>
    <row r="41" spans="1:41" ht="15.75">
      <c r="A41" s="223"/>
      <c r="B41" s="1837" t="s">
        <v>1529</v>
      </c>
      <c r="C41" s="1365"/>
      <c r="D41" s="223"/>
      <c r="E41" s="2148">
        <v>0</v>
      </c>
      <c r="F41" s="319"/>
      <c r="G41" s="2148">
        <v>0</v>
      </c>
      <c r="H41" s="319"/>
      <c r="I41" s="2148"/>
      <c r="J41" s="319"/>
      <c r="K41" s="2148"/>
      <c r="L41" s="261"/>
      <c r="M41" s="261"/>
      <c r="N41" s="261"/>
      <c r="O41" s="518"/>
      <c r="P41" s="261"/>
      <c r="Q41" s="518"/>
      <c r="R41" s="261"/>
      <c r="S41" s="518"/>
      <c r="T41" s="261"/>
      <c r="U41" s="518"/>
      <c r="V41" s="261"/>
      <c r="W41" s="518"/>
      <c r="X41" s="261"/>
      <c r="Y41" s="518"/>
      <c r="Z41" s="261"/>
      <c r="AA41" s="518"/>
      <c r="AB41" s="518"/>
      <c r="AC41" s="1208">
        <v>0</v>
      </c>
      <c r="AD41" s="319"/>
      <c r="AE41" s="1290"/>
      <c r="AF41" s="320">
        <f t="shared" si="1"/>
        <v>0</v>
      </c>
      <c r="AG41" s="2916"/>
      <c r="AH41" s="262"/>
      <c r="AI41" s="2148">
        <v>0</v>
      </c>
      <c r="AJ41" s="320"/>
      <c r="AK41" s="2151"/>
      <c r="AL41" s="320">
        <f>ROUND(AF41-AI41,1)</f>
        <v>0</v>
      </c>
      <c r="AM41" s="658"/>
      <c r="AN41" s="2843">
        <f t="shared" ref="AN41:AN43" si="2">ROUND(IF(AI41=0,0,AL41/(AI41)),3)</f>
        <v>0</v>
      </c>
    </row>
    <row r="42" spans="1:41" ht="15.75">
      <c r="A42" s="223"/>
      <c r="B42" s="1837" t="s">
        <v>1350</v>
      </c>
      <c r="C42" s="1365"/>
      <c r="D42" s="223"/>
      <c r="E42" s="2148">
        <v>58.6</v>
      </c>
      <c r="F42" s="319"/>
      <c r="G42" s="2148">
        <v>71.5</v>
      </c>
      <c r="H42" s="319"/>
      <c r="I42" s="2148"/>
      <c r="J42" s="319"/>
      <c r="K42" s="2148"/>
      <c r="L42" s="261"/>
      <c r="M42" s="261"/>
      <c r="N42" s="261"/>
      <c r="O42" s="518"/>
      <c r="P42" s="261"/>
      <c r="Q42" s="518"/>
      <c r="R42" s="261"/>
      <c r="S42" s="518"/>
      <c r="T42" s="261"/>
      <c r="U42" s="518"/>
      <c r="V42" s="261"/>
      <c r="W42" s="518"/>
      <c r="X42" s="261"/>
      <c r="Y42" s="518"/>
      <c r="Z42" s="261"/>
      <c r="AA42" s="518"/>
      <c r="AB42" s="518"/>
      <c r="AC42" s="1208">
        <v>0</v>
      </c>
      <c r="AD42" s="319"/>
      <c r="AE42" s="1290"/>
      <c r="AF42" s="320">
        <f t="shared" si="1"/>
        <v>130.1</v>
      </c>
      <c r="AG42" s="2154"/>
      <c r="AH42" s="262"/>
      <c r="AI42" s="2148">
        <v>116.8</v>
      </c>
      <c r="AJ42" s="320"/>
      <c r="AK42" s="2151"/>
      <c r="AL42" s="320">
        <f t="shared" si="0"/>
        <v>13.3</v>
      </c>
      <c r="AM42" s="658"/>
      <c r="AN42" s="2828">
        <f>ROUND(IF(AI42=0,0,AL42/(AI42)),3)</f>
        <v>0.114</v>
      </c>
    </row>
    <row r="43" spans="1:41" ht="15.75">
      <c r="A43" s="223"/>
      <c r="B43" s="1837" t="s">
        <v>1351</v>
      </c>
      <c r="C43" s="1365"/>
      <c r="D43" s="223"/>
      <c r="E43" s="2148">
        <v>0</v>
      </c>
      <c r="F43" s="319"/>
      <c r="G43" s="2148">
        <v>0</v>
      </c>
      <c r="H43" s="319"/>
      <c r="I43" s="2148"/>
      <c r="J43" s="319"/>
      <c r="K43" s="2148"/>
      <c r="L43" s="261"/>
      <c r="M43" s="261"/>
      <c r="N43" s="261"/>
      <c r="O43" s="518"/>
      <c r="P43" s="261"/>
      <c r="Q43" s="518"/>
      <c r="R43" s="261"/>
      <c r="S43" s="518"/>
      <c r="T43" s="261"/>
      <c r="U43" s="518"/>
      <c r="V43" s="261"/>
      <c r="W43" s="518"/>
      <c r="X43" s="261"/>
      <c r="Y43" s="518"/>
      <c r="Z43" s="261"/>
      <c r="AA43" s="518"/>
      <c r="AB43" s="518"/>
      <c r="AC43" s="1208">
        <v>0</v>
      </c>
      <c r="AD43" s="319"/>
      <c r="AE43" s="1290"/>
      <c r="AF43" s="320">
        <f t="shared" si="1"/>
        <v>0</v>
      </c>
      <c r="AG43" s="2154"/>
      <c r="AH43" s="262"/>
      <c r="AI43" s="2148">
        <v>0</v>
      </c>
      <c r="AJ43" s="320"/>
      <c r="AK43" s="2151"/>
      <c r="AL43" s="320">
        <f t="shared" si="0"/>
        <v>0</v>
      </c>
      <c r="AM43" s="658"/>
      <c r="AN43" s="2843">
        <f t="shared" si="2"/>
        <v>0</v>
      </c>
    </row>
    <row r="44" spans="1:41" ht="15.75">
      <c r="A44" s="223"/>
      <c r="B44" s="1837" t="s">
        <v>1309</v>
      </c>
      <c r="C44" s="1365"/>
      <c r="D44" s="223"/>
      <c r="E44" s="2148">
        <v>0.1</v>
      </c>
      <c r="F44" s="319"/>
      <c r="G44" s="2148">
        <v>3.5</v>
      </c>
      <c r="H44" s="319"/>
      <c r="I44" s="2148"/>
      <c r="J44" s="319"/>
      <c r="K44" s="2148"/>
      <c r="L44" s="261"/>
      <c r="M44" s="261"/>
      <c r="N44" s="261"/>
      <c r="O44" s="518"/>
      <c r="P44" s="261"/>
      <c r="Q44" s="518"/>
      <c r="R44" s="261"/>
      <c r="S44" s="518"/>
      <c r="T44" s="261"/>
      <c r="U44" s="518"/>
      <c r="V44" s="261"/>
      <c r="W44" s="518"/>
      <c r="X44" s="261"/>
      <c r="Y44" s="518"/>
      <c r="Z44" s="261"/>
      <c r="AA44" s="518"/>
      <c r="AB44" s="518"/>
      <c r="AC44" s="1208">
        <v>0</v>
      </c>
      <c r="AD44" s="319"/>
      <c r="AE44" s="1290"/>
      <c r="AF44" s="320">
        <f t="shared" si="1"/>
        <v>3.6</v>
      </c>
      <c r="AG44" s="2154"/>
      <c r="AH44" s="262"/>
      <c r="AI44" s="2148">
        <v>5.3</v>
      </c>
      <c r="AJ44" s="320"/>
      <c r="AK44" s="2151"/>
      <c r="AL44" s="320">
        <f t="shared" si="0"/>
        <v>-1.7</v>
      </c>
      <c r="AM44" s="658"/>
      <c r="AN44" s="2828">
        <f>ROUND(IF(AI44=0,1,AL44/(AI44)),3)</f>
        <v>-0.32100000000000001</v>
      </c>
    </row>
    <row r="45" spans="1:41" ht="15.75">
      <c r="A45" s="223"/>
      <c r="B45" s="1837" t="s">
        <v>1310</v>
      </c>
      <c r="C45" s="1365"/>
      <c r="D45" s="223"/>
      <c r="E45" s="2148">
        <v>0.1</v>
      </c>
      <c r="F45" s="319"/>
      <c r="G45" s="2148">
        <v>0</v>
      </c>
      <c r="H45" s="319"/>
      <c r="I45" s="2148"/>
      <c r="J45" s="319"/>
      <c r="K45" s="2148"/>
      <c r="L45" s="261"/>
      <c r="M45" s="261"/>
      <c r="N45" s="261"/>
      <c r="O45" s="518"/>
      <c r="P45" s="261"/>
      <c r="Q45" s="518"/>
      <c r="R45" s="261"/>
      <c r="S45" s="518"/>
      <c r="T45" s="261"/>
      <c r="U45" s="518"/>
      <c r="V45" s="261"/>
      <c r="W45" s="518"/>
      <c r="X45" s="261"/>
      <c r="Y45" s="518"/>
      <c r="Z45" s="261"/>
      <c r="AA45" s="518"/>
      <c r="AB45" s="518"/>
      <c r="AC45" s="1208">
        <v>0</v>
      </c>
      <c r="AD45" s="319"/>
      <c r="AE45" s="1290"/>
      <c r="AF45" s="320">
        <f t="shared" si="1"/>
        <v>0.1</v>
      </c>
      <c r="AG45" s="2154"/>
      <c r="AH45" s="262"/>
      <c r="AI45" s="2148">
        <v>0.1</v>
      </c>
      <c r="AJ45" s="320"/>
      <c r="AK45" s="2151"/>
      <c r="AL45" s="320">
        <f t="shared" si="0"/>
        <v>0</v>
      </c>
      <c r="AM45" s="658"/>
      <c r="AN45" s="2843">
        <f>ROUND(IF(AI45=0,1,AL45/(AI45)),3)</f>
        <v>0</v>
      </c>
    </row>
    <row r="46" spans="1:41" ht="15.75">
      <c r="A46" s="223"/>
      <c r="B46" s="1837" t="s">
        <v>1440</v>
      </c>
      <c r="C46" s="1365"/>
      <c r="D46" s="223"/>
      <c r="E46" s="2148"/>
      <c r="F46" s="319"/>
      <c r="G46" s="2148"/>
      <c r="H46" s="319"/>
      <c r="I46" s="2148"/>
      <c r="J46" s="319"/>
      <c r="K46" s="2148"/>
      <c r="L46" s="261"/>
      <c r="M46" s="261"/>
      <c r="N46" s="261"/>
      <c r="O46" s="518"/>
      <c r="P46" s="261"/>
      <c r="Q46" s="518"/>
      <c r="R46" s="261"/>
      <c r="S46" s="518"/>
      <c r="T46" s="261"/>
      <c r="U46" s="518"/>
      <c r="V46" s="261"/>
      <c r="W46" s="518"/>
      <c r="X46" s="261"/>
      <c r="Y46" s="518"/>
      <c r="Z46" s="261"/>
      <c r="AA46" s="518"/>
      <c r="AB46" s="518"/>
      <c r="AC46" s="518"/>
      <c r="AD46" s="319"/>
      <c r="AE46" s="1290"/>
      <c r="AF46" s="320"/>
      <c r="AG46" s="2154"/>
      <c r="AH46" s="262"/>
      <c r="AI46" s="2148"/>
      <c r="AJ46" s="320"/>
      <c r="AK46" s="2151"/>
      <c r="AL46" s="320"/>
      <c r="AM46" s="658"/>
      <c r="AN46" s="2880"/>
    </row>
    <row r="47" spans="1:41" ht="15.75">
      <c r="A47" s="223"/>
      <c r="B47" s="1837" t="s">
        <v>1355</v>
      </c>
      <c r="C47" s="1365"/>
      <c r="D47" s="223"/>
      <c r="E47" s="2148">
        <v>12.2</v>
      </c>
      <c r="F47" s="319"/>
      <c r="G47" s="2148">
        <v>43.1</v>
      </c>
      <c r="H47" s="319"/>
      <c r="I47" s="2148"/>
      <c r="J47" s="319"/>
      <c r="K47" s="2148"/>
      <c r="L47" s="261"/>
      <c r="M47" s="261"/>
      <c r="N47" s="261"/>
      <c r="O47" s="518"/>
      <c r="P47" s="261"/>
      <c r="Q47" s="518"/>
      <c r="R47" s="261"/>
      <c r="S47" s="518"/>
      <c r="T47" s="261"/>
      <c r="U47" s="518"/>
      <c r="V47" s="261"/>
      <c r="W47" s="518"/>
      <c r="X47" s="261"/>
      <c r="Y47" s="518"/>
      <c r="Z47" s="261"/>
      <c r="AA47" s="518"/>
      <c r="AB47" s="518"/>
      <c r="AC47" s="1208">
        <v>0</v>
      </c>
      <c r="AD47" s="319"/>
      <c r="AE47" s="1290"/>
      <c r="AF47" s="320">
        <f>ROUND(SUM(E47:AC47),1)</f>
        <v>55.3</v>
      </c>
      <c r="AG47" s="2154"/>
      <c r="AH47" s="262"/>
      <c r="AI47" s="2148">
        <v>182.8</v>
      </c>
      <c r="AJ47" s="320"/>
      <c r="AK47" s="2151"/>
      <c r="AL47" s="320">
        <f t="shared" si="0"/>
        <v>-127.5</v>
      </c>
      <c r="AM47" s="658"/>
      <c r="AN47" s="2828">
        <f t="shared" ref="AN47:AN57" si="3">ROUND(IF(AI47=0,0,AL47/(AI47)),3)</f>
        <v>-0.69699999999999995</v>
      </c>
    </row>
    <row r="48" spans="1:41" s="1862" customFormat="1" ht="15.75">
      <c r="A48" s="2920"/>
      <c r="B48" s="1837" t="s">
        <v>1357</v>
      </c>
      <c r="C48" s="1365"/>
      <c r="D48" s="1365"/>
      <c r="E48" s="1841">
        <v>0</v>
      </c>
      <c r="F48" s="1841">
        <v>0</v>
      </c>
      <c r="G48" s="1841">
        <v>0</v>
      </c>
      <c r="H48" s="1841"/>
      <c r="I48" s="1841"/>
      <c r="J48" s="1841"/>
      <c r="K48" s="1841"/>
      <c r="L48" s="1841"/>
      <c r="M48" s="1841"/>
      <c r="N48" s="1841"/>
      <c r="O48" s="1841"/>
      <c r="P48" s="1841"/>
      <c r="Q48" s="1841"/>
      <c r="R48" s="1177"/>
      <c r="S48" s="1841"/>
      <c r="T48" s="1177"/>
      <c r="U48" s="1362"/>
      <c r="V48" s="1177"/>
      <c r="W48" s="1362"/>
      <c r="X48" s="1177"/>
      <c r="Y48" s="1362"/>
      <c r="Z48" s="1177"/>
      <c r="AA48" s="1362"/>
      <c r="AB48" s="1362"/>
      <c r="AC48" s="1208">
        <v>0</v>
      </c>
      <c r="AD48" s="1840"/>
      <c r="AE48" s="2793"/>
      <c r="AF48" s="1358">
        <f>ROUND(SUM(E48:AC48),1)</f>
        <v>0</v>
      </c>
      <c r="AG48" s="2923"/>
      <c r="AH48" s="2058"/>
      <c r="AI48" s="3211">
        <v>0</v>
      </c>
      <c r="AJ48" s="1358"/>
      <c r="AK48" s="2151"/>
      <c r="AL48" s="1358">
        <f t="shared" si="0"/>
        <v>0</v>
      </c>
      <c r="AM48" s="1911"/>
      <c r="AN48" s="2843">
        <f t="shared" si="3"/>
        <v>0</v>
      </c>
    </row>
    <row r="49" spans="1:43" ht="15.75">
      <c r="A49" s="223"/>
      <c r="B49" s="1837" t="s">
        <v>1358</v>
      </c>
      <c r="C49" s="1365"/>
      <c r="D49" s="223"/>
      <c r="E49" s="2148">
        <v>0</v>
      </c>
      <c r="F49" s="319"/>
      <c r="G49" s="2148">
        <v>1.3</v>
      </c>
      <c r="H49" s="319"/>
      <c r="I49" s="2148"/>
      <c r="J49" s="319"/>
      <c r="K49" s="2148"/>
      <c r="L49" s="261"/>
      <c r="M49" s="261"/>
      <c r="N49" s="261"/>
      <c r="O49" s="518"/>
      <c r="P49" s="261"/>
      <c r="Q49" s="518"/>
      <c r="R49" s="261"/>
      <c r="S49" s="518"/>
      <c r="T49" s="261"/>
      <c r="U49" s="518"/>
      <c r="V49" s="261"/>
      <c r="W49" s="518"/>
      <c r="X49" s="261"/>
      <c r="Y49" s="518"/>
      <c r="Z49" s="261"/>
      <c r="AA49" s="518"/>
      <c r="AB49" s="518"/>
      <c r="AC49" s="1208">
        <v>0</v>
      </c>
      <c r="AD49" s="319"/>
      <c r="AE49" s="1290"/>
      <c r="AF49" s="320">
        <f>ROUND(SUM(E49:AC49),1)</f>
        <v>1.3</v>
      </c>
      <c r="AG49" s="2154"/>
      <c r="AH49" s="262"/>
      <c r="AI49" s="2148">
        <v>5.0999999999999996</v>
      </c>
      <c r="AJ49" s="320"/>
      <c r="AK49" s="2151"/>
      <c r="AL49" s="320">
        <f t="shared" si="0"/>
        <v>-3.8</v>
      </c>
      <c r="AM49" s="658"/>
      <c r="AN49" s="2879">
        <f t="shared" si="3"/>
        <v>-0.745</v>
      </c>
    </row>
    <row r="50" spans="1:43" ht="15.75">
      <c r="A50" s="223"/>
      <c r="B50" s="1837" t="s">
        <v>1328</v>
      </c>
      <c r="C50" s="1365"/>
      <c r="D50" s="223"/>
      <c r="E50" s="2148">
        <v>0.1</v>
      </c>
      <c r="F50" s="319"/>
      <c r="G50" s="2148">
        <v>0.1</v>
      </c>
      <c r="H50" s="319"/>
      <c r="I50" s="2148"/>
      <c r="J50" s="319"/>
      <c r="K50" s="2148"/>
      <c r="L50" s="261"/>
      <c r="M50" s="261"/>
      <c r="N50" s="261"/>
      <c r="O50" s="518"/>
      <c r="P50" s="261"/>
      <c r="Q50" s="518"/>
      <c r="R50" s="261"/>
      <c r="S50" s="518"/>
      <c r="T50" s="261"/>
      <c r="U50" s="1362"/>
      <c r="V50" s="261"/>
      <c r="W50" s="518"/>
      <c r="X50" s="261"/>
      <c r="Y50" s="518"/>
      <c r="Z50" s="261"/>
      <c r="AA50" s="518"/>
      <c r="AB50" s="518"/>
      <c r="AC50" s="1208">
        <v>0</v>
      </c>
      <c r="AD50" s="319"/>
      <c r="AE50" s="1290"/>
      <c r="AF50" s="320">
        <f>ROUND(SUM(E50:AC50),1)</f>
        <v>0.2</v>
      </c>
      <c r="AG50" s="2154"/>
      <c r="AH50" s="262"/>
      <c r="AI50" s="2148">
        <v>0.8</v>
      </c>
      <c r="AJ50" s="320"/>
      <c r="AK50" s="2151"/>
      <c r="AL50" s="320">
        <f t="shared" si="0"/>
        <v>-0.6</v>
      </c>
      <c r="AM50" s="658"/>
      <c r="AN50" s="2828">
        <f t="shared" si="3"/>
        <v>-0.75</v>
      </c>
    </row>
    <row r="51" spans="1:43" ht="15.75">
      <c r="A51" s="223"/>
      <c r="B51" s="1837" t="s">
        <v>1329</v>
      </c>
      <c r="C51" s="1365"/>
      <c r="D51" s="223"/>
      <c r="E51" s="2148">
        <v>0.1</v>
      </c>
      <c r="F51" s="319"/>
      <c r="G51" s="2148">
        <v>1.1000000000000001</v>
      </c>
      <c r="H51" s="319"/>
      <c r="I51" s="2148"/>
      <c r="J51" s="319"/>
      <c r="K51" s="2148"/>
      <c r="L51" s="261"/>
      <c r="M51" s="261"/>
      <c r="N51" s="261"/>
      <c r="O51" s="518"/>
      <c r="P51" s="261"/>
      <c r="Q51" s="518"/>
      <c r="R51" s="261"/>
      <c r="S51" s="518"/>
      <c r="T51" s="261"/>
      <c r="U51" s="518"/>
      <c r="V51" s="261"/>
      <c r="W51" s="518"/>
      <c r="X51" s="261"/>
      <c r="Y51" s="518"/>
      <c r="Z51" s="261"/>
      <c r="AA51" s="518"/>
      <c r="AB51" s="518"/>
      <c r="AC51" s="1208">
        <v>0</v>
      </c>
      <c r="AD51" s="319"/>
      <c r="AE51" s="1290"/>
      <c r="AF51" s="320">
        <f>ROUND(SUM(E51:AC51),1)</f>
        <v>1.2</v>
      </c>
      <c r="AG51" s="2154"/>
      <c r="AH51" s="262"/>
      <c r="AI51" s="2148">
        <v>1.2</v>
      </c>
      <c r="AJ51" s="320"/>
      <c r="AK51" s="2151"/>
      <c r="AL51" s="320">
        <f t="shared" si="0"/>
        <v>0</v>
      </c>
      <c r="AM51" s="658"/>
      <c r="AN51" s="2828">
        <f t="shared" si="3"/>
        <v>0</v>
      </c>
    </row>
    <row r="52" spans="1:43" ht="15.75">
      <c r="A52" s="223"/>
      <c r="B52" s="1837" t="s">
        <v>1441</v>
      </c>
      <c r="C52" s="1365"/>
      <c r="D52" s="223"/>
      <c r="E52" s="2148"/>
      <c r="F52" s="319"/>
      <c r="G52" s="2148"/>
      <c r="H52" s="319"/>
      <c r="I52" s="2148"/>
      <c r="J52" s="319"/>
      <c r="K52" s="2148"/>
      <c r="L52" s="261"/>
      <c r="M52" s="261"/>
      <c r="N52" s="261"/>
      <c r="O52" s="518"/>
      <c r="P52" s="261"/>
      <c r="Q52" s="518"/>
      <c r="R52" s="261"/>
      <c r="S52" s="518"/>
      <c r="T52" s="261"/>
      <c r="U52" s="518"/>
      <c r="V52" s="261"/>
      <c r="W52" s="518"/>
      <c r="X52" s="261"/>
      <c r="Y52" s="518"/>
      <c r="Z52" s="261"/>
      <c r="AA52" s="518"/>
      <c r="AB52" s="518"/>
      <c r="AC52" s="518"/>
      <c r="AD52" s="319"/>
      <c r="AE52" s="1290"/>
      <c r="AF52" s="320"/>
      <c r="AG52" s="2154"/>
      <c r="AH52" s="262"/>
      <c r="AI52" s="2148"/>
      <c r="AJ52" s="320"/>
      <c r="AK52" s="2151"/>
      <c r="AL52" s="320"/>
      <c r="AM52" s="658"/>
      <c r="AN52" s="2880"/>
    </row>
    <row r="53" spans="1:43" ht="15.75">
      <c r="A53" s="223"/>
      <c r="B53" s="1837" t="s">
        <v>1359</v>
      </c>
      <c r="C53" s="1365"/>
      <c r="D53" s="223"/>
      <c r="E53" s="2148">
        <v>0</v>
      </c>
      <c r="F53" s="2148">
        <v>0</v>
      </c>
      <c r="G53" s="2148">
        <v>0</v>
      </c>
      <c r="H53" s="319"/>
      <c r="I53" s="2148"/>
      <c r="J53" s="319"/>
      <c r="K53" s="2148"/>
      <c r="L53" s="261"/>
      <c r="M53" s="261"/>
      <c r="N53" s="261"/>
      <c r="O53" s="518"/>
      <c r="P53" s="261"/>
      <c r="Q53" s="518"/>
      <c r="R53" s="261"/>
      <c r="S53" s="518"/>
      <c r="T53" s="261"/>
      <c r="U53" s="518"/>
      <c r="V53" s="261"/>
      <c r="W53" s="518"/>
      <c r="X53" s="261"/>
      <c r="Y53" s="518"/>
      <c r="Z53" s="261"/>
      <c r="AA53" s="518"/>
      <c r="AB53" s="518"/>
      <c r="AC53" s="1208">
        <v>0</v>
      </c>
      <c r="AD53" s="319"/>
      <c r="AE53" s="1290"/>
      <c r="AF53" s="320">
        <f>ROUND(SUM(E53:AC53),1)</f>
        <v>0</v>
      </c>
      <c r="AG53" s="2154"/>
      <c r="AH53" s="262"/>
      <c r="AI53" s="3211">
        <v>0</v>
      </c>
      <c r="AJ53" s="320"/>
      <c r="AK53" s="2151"/>
      <c r="AL53" s="320">
        <f t="shared" si="0"/>
        <v>0</v>
      </c>
      <c r="AM53" s="658"/>
      <c r="AN53" s="2828">
        <f t="shared" si="3"/>
        <v>0</v>
      </c>
    </row>
    <row r="54" spans="1:43" ht="15.75">
      <c r="A54" s="223"/>
      <c r="B54" s="1837" t="s">
        <v>1361</v>
      </c>
      <c r="C54" s="1365"/>
      <c r="D54" s="223"/>
      <c r="E54" s="2148">
        <v>0</v>
      </c>
      <c r="F54" s="2148">
        <v>0</v>
      </c>
      <c r="G54" s="2148">
        <v>0</v>
      </c>
      <c r="H54" s="319"/>
      <c r="I54" s="2148"/>
      <c r="J54" s="319"/>
      <c r="K54" s="2148"/>
      <c r="L54" s="261"/>
      <c r="M54" s="261"/>
      <c r="N54" s="261"/>
      <c r="O54" s="518"/>
      <c r="P54" s="261"/>
      <c r="Q54" s="518"/>
      <c r="R54" s="261"/>
      <c r="S54" s="518"/>
      <c r="T54" s="261"/>
      <c r="U54" s="518"/>
      <c r="V54" s="261"/>
      <c r="W54" s="518"/>
      <c r="X54" s="261"/>
      <c r="Y54" s="518"/>
      <c r="Z54" s="261"/>
      <c r="AA54" s="518"/>
      <c r="AB54" s="518"/>
      <c r="AC54" s="1208">
        <v>0</v>
      </c>
      <c r="AD54" s="319"/>
      <c r="AE54" s="1290"/>
      <c r="AF54" s="320">
        <f>ROUND(SUM(E54:AC54),1)</f>
        <v>0</v>
      </c>
      <c r="AG54" s="2154"/>
      <c r="AH54" s="262"/>
      <c r="AI54" s="2148">
        <v>0</v>
      </c>
      <c r="AJ54" s="320"/>
      <c r="AK54" s="2151"/>
      <c r="AL54" s="320">
        <f t="shared" si="0"/>
        <v>0</v>
      </c>
      <c r="AM54" s="658"/>
      <c r="AN54" s="2828">
        <f t="shared" si="3"/>
        <v>0</v>
      </c>
    </row>
    <row r="55" spans="1:43" ht="15.75">
      <c r="A55" s="223"/>
      <c r="B55" s="1837" t="s">
        <v>1365</v>
      </c>
      <c r="C55" s="1365"/>
      <c r="D55" s="223"/>
      <c r="E55" s="2148">
        <v>0.6</v>
      </c>
      <c r="F55" s="2148">
        <v>0</v>
      </c>
      <c r="G55" s="2148">
        <v>0.2</v>
      </c>
      <c r="H55" s="319"/>
      <c r="I55" s="2148"/>
      <c r="J55" s="319"/>
      <c r="K55" s="2148"/>
      <c r="L55" s="261"/>
      <c r="M55" s="261"/>
      <c r="N55" s="261"/>
      <c r="O55" s="518"/>
      <c r="P55" s="261"/>
      <c r="Q55" s="518"/>
      <c r="R55" s="261"/>
      <c r="S55" s="518"/>
      <c r="T55" s="261"/>
      <c r="U55" s="518"/>
      <c r="V55" s="261"/>
      <c r="W55" s="518"/>
      <c r="X55" s="261"/>
      <c r="Y55" s="518"/>
      <c r="Z55" s="261"/>
      <c r="AA55" s="518"/>
      <c r="AB55" s="518"/>
      <c r="AC55" s="1208">
        <v>0</v>
      </c>
      <c r="AD55" s="319"/>
      <c r="AE55" s="1290"/>
      <c r="AF55" s="320">
        <f>ROUND(SUM(E55:AC55),1)</f>
        <v>0.8</v>
      </c>
      <c r="AG55" s="2154"/>
      <c r="AH55" s="262"/>
      <c r="AI55" s="2148">
        <v>1.1000000000000001</v>
      </c>
      <c r="AJ55" s="320"/>
      <c r="AK55" s="2151"/>
      <c r="AL55" s="320">
        <f t="shared" si="0"/>
        <v>-0.3</v>
      </c>
      <c r="AM55" s="658"/>
      <c r="AN55" s="2843">
        <f>ROUND(IF(AI55=0,1,AL55/(AI55)),3)</f>
        <v>-0.27300000000000002</v>
      </c>
    </row>
    <row r="56" spans="1:43" ht="15.75">
      <c r="A56" s="223"/>
      <c r="B56" s="1837" t="s">
        <v>1367</v>
      </c>
      <c r="C56" s="1365"/>
      <c r="D56" s="223"/>
      <c r="E56" s="2148">
        <v>1.2</v>
      </c>
      <c r="F56" s="2148">
        <v>0</v>
      </c>
      <c r="G56" s="2148">
        <v>0.6</v>
      </c>
      <c r="H56" s="319"/>
      <c r="I56" s="2148"/>
      <c r="J56" s="319"/>
      <c r="K56" s="2148"/>
      <c r="L56" s="261"/>
      <c r="M56" s="261"/>
      <c r="N56" s="261"/>
      <c r="O56" s="518"/>
      <c r="P56" s="261"/>
      <c r="Q56" s="518"/>
      <c r="R56" s="261"/>
      <c r="S56" s="518"/>
      <c r="T56" s="261"/>
      <c r="U56" s="518"/>
      <c r="V56" s="261"/>
      <c r="W56" s="518"/>
      <c r="X56" s="261"/>
      <c r="Y56" s="518"/>
      <c r="Z56" s="261"/>
      <c r="AA56" s="518"/>
      <c r="AB56" s="518"/>
      <c r="AC56" s="1208">
        <v>0</v>
      </c>
      <c r="AD56" s="319"/>
      <c r="AE56" s="1290"/>
      <c r="AF56" s="320">
        <f>ROUND(SUM(E56:AC56),1)</f>
        <v>1.8</v>
      </c>
      <c r="AG56" s="2154"/>
      <c r="AH56" s="262"/>
      <c r="AI56" s="2148">
        <v>1.8</v>
      </c>
      <c r="AJ56" s="320"/>
      <c r="AK56" s="2151"/>
      <c r="AL56" s="320">
        <f t="shared" si="0"/>
        <v>0</v>
      </c>
      <c r="AM56" s="658"/>
      <c r="AN56" s="2879">
        <f t="shared" si="3"/>
        <v>0</v>
      </c>
    </row>
    <row r="57" spans="1:43" ht="15.75">
      <c r="A57" s="223"/>
      <c r="B57" s="1837" t="s">
        <v>1339</v>
      </c>
      <c r="C57" s="1365"/>
      <c r="D57" s="223"/>
      <c r="E57" s="2148">
        <v>0</v>
      </c>
      <c r="F57" s="2148">
        <v>0</v>
      </c>
      <c r="G57" s="2148">
        <v>0.1</v>
      </c>
      <c r="H57" s="319"/>
      <c r="I57" s="2148"/>
      <c r="J57" s="319"/>
      <c r="K57" s="2148"/>
      <c r="L57" s="261"/>
      <c r="M57" s="261"/>
      <c r="N57" s="261"/>
      <c r="O57" s="518"/>
      <c r="P57" s="261"/>
      <c r="Q57" s="518"/>
      <c r="R57" s="261"/>
      <c r="S57" s="518"/>
      <c r="T57" s="261"/>
      <c r="U57" s="518"/>
      <c r="V57" s="261"/>
      <c r="W57" s="518"/>
      <c r="X57" s="261"/>
      <c r="Y57" s="518"/>
      <c r="Z57" s="261"/>
      <c r="AA57" s="518"/>
      <c r="AB57" s="518"/>
      <c r="AC57" s="1208">
        <v>0</v>
      </c>
      <c r="AD57" s="319"/>
      <c r="AE57" s="1290"/>
      <c r="AF57" s="320">
        <f>ROUND(SUM(E57:AC57),1)</f>
        <v>0.1</v>
      </c>
      <c r="AG57" s="2154"/>
      <c r="AH57" s="262"/>
      <c r="AI57" s="2148">
        <v>0.1</v>
      </c>
      <c r="AJ57" s="320"/>
      <c r="AK57" s="2151"/>
      <c r="AL57" s="320">
        <f t="shared" si="0"/>
        <v>0</v>
      </c>
      <c r="AM57" s="658"/>
      <c r="AN57" s="2879">
        <f t="shared" si="3"/>
        <v>0</v>
      </c>
    </row>
    <row r="58" spans="1:43" s="653" customFormat="1" ht="15.75" collapsed="1">
      <c r="A58" s="221"/>
      <c r="B58" s="590" t="s">
        <v>1504</v>
      </c>
      <c r="C58" s="221"/>
      <c r="D58" s="221"/>
      <c r="E58" s="1289">
        <f>ROUND(SUM(E34:E57),1)</f>
        <v>83.8</v>
      </c>
      <c r="F58" s="313"/>
      <c r="G58" s="1289">
        <f>ROUND(SUM(G34:G57),1)</f>
        <v>132.30000000000001</v>
      </c>
      <c r="H58" s="2174"/>
      <c r="I58" s="1289">
        <f>ROUND(SUM(I34:I57),1)</f>
        <v>0</v>
      </c>
      <c r="J58" s="313"/>
      <c r="K58" s="1289">
        <f>ROUND(SUM(K34:K57),1)</f>
        <v>0</v>
      </c>
      <c r="L58" s="1899"/>
      <c r="M58" s="485">
        <f>ROUND(SUM(M34:M57),1)</f>
        <v>0</v>
      </c>
      <c r="N58" s="1899"/>
      <c r="O58" s="485">
        <f>ROUND(SUM(O34:O57),1)</f>
        <v>0</v>
      </c>
      <c r="P58" s="1899"/>
      <c r="Q58" s="485">
        <f>ROUND(SUM(Q34:Q57),1)</f>
        <v>0</v>
      </c>
      <c r="R58" s="1899"/>
      <c r="S58" s="485">
        <f>ROUND(SUM(S34:S57),1)</f>
        <v>0</v>
      </c>
      <c r="T58" s="1899"/>
      <c r="U58" s="485">
        <f>ROUND(SUM(U34:U57),1)</f>
        <v>0</v>
      </c>
      <c r="V58" s="1899"/>
      <c r="W58" s="485">
        <f>ROUND(SUM(W34:W57),1)</f>
        <v>0</v>
      </c>
      <c r="X58" s="1899"/>
      <c r="Y58" s="485">
        <f>ROUND(SUM(Y34:Y57),1)</f>
        <v>0</v>
      </c>
      <c r="Z58" s="1899"/>
      <c r="AA58" s="485">
        <f>ROUND(SUM(AA34:AA57),1)</f>
        <v>0</v>
      </c>
      <c r="AB58" s="273"/>
      <c r="AC58" s="485">
        <f>ROUND(SUM(AC34:AC57),1)</f>
        <v>0</v>
      </c>
      <c r="AD58" s="313"/>
      <c r="AE58" s="1291"/>
      <c r="AF58" s="1289">
        <f>ROUND(SUM(AF34:AF57),1)</f>
        <v>216.1</v>
      </c>
      <c r="AG58" s="2155"/>
      <c r="AH58" s="316"/>
      <c r="AI58" s="1289">
        <f>ROUND(SUM(AI34:AI57),1)</f>
        <v>341.9</v>
      </c>
      <c r="AJ58" s="2199"/>
      <c r="AK58" s="2151"/>
      <c r="AL58" s="1289">
        <f>ROUND(SUM(AL34:AL57),1)</f>
        <v>-125.8</v>
      </c>
      <c r="AM58" s="2111"/>
      <c r="AN58" s="2847">
        <f>ROUND(IF(AI58=0,0,AL58/(AI58)),3)</f>
        <v>-0.36799999999999999</v>
      </c>
    </row>
    <row r="59" spans="1:43" s="653" customFormat="1" ht="15.75">
      <c r="A59" s="221"/>
      <c r="B59" s="590"/>
      <c r="C59" s="221"/>
      <c r="D59" s="221"/>
      <c r="E59" s="316"/>
      <c r="F59" s="313"/>
      <c r="G59" s="316"/>
      <c r="H59" s="2174"/>
      <c r="I59" s="316"/>
      <c r="J59" s="313"/>
      <c r="K59" s="316"/>
      <c r="L59" s="1899"/>
      <c r="M59" s="273"/>
      <c r="N59" s="1899"/>
      <c r="O59" s="273"/>
      <c r="P59" s="1899"/>
      <c r="Q59" s="273"/>
      <c r="R59" s="1899"/>
      <c r="S59" s="273"/>
      <c r="T59" s="1899"/>
      <c r="U59" s="273"/>
      <c r="V59" s="1899"/>
      <c r="W59" s="273"/>
      <c r="X59" s="1899"/>
      <c r="Y59" s="273"/>
      <c r="Z59" s="1899"/>
      <c r="AA59" s="273"/>
      <c r="AB59" s="273"/>
      <c r="AC59" s="273"/>
      <c r="AD59" s="313"/>
      <c r="AE59" s="1291"/>
      <c r="AF59" s="316"/>
      <c r="AG59" s="2201"/>
      <c r="AH59" s="316"/>
      <c r="AI59" s="316"/>
      <c r="AJ59" s="2199"/>
      <c r="AK59" s="2151"/>
      <c r="AL59" s="316"/>
      <c r="AM59" s="2111"/>
      <c r="AN59" s="652"/>
    </row>
    <row r="60" spans="1:43" ht="15.75">
      <c r="A60" s="223"/>
      <c r="B60" s="223" t="s">
        <v>155</v>
      </c>
      <c r="C60" s="223"/>
      <c r="D60" s="223"/>
      <c r="E60" s="689">
        <v>0</v>
      </c>
      <c r="F60" s="319"/>
      <c r="G60" s="689">
        <v>0</v>
      </c>
      <c r="H60" s="319"/>
      <c r="I60" s="689"/>
      <c r="J60" s="319"/>
      <c r="K60" s="689"/>
      <c r="L60" s="261"/>
      <c r="M60" s="373"/>
      <c r="N60" s="261"/>
      <c r="O60" s="518"/>
      <c r="P60" s="261"/>
      <c r="Q60" s="373"/>
      <c r="R60" s="261"/>
      <c r="S60" s="373"/>
      <c r="T60" s="261"/>
      <c r="U60" s="373"/>
      <c r="V60" s="261"/>
      <c r="W60" s="373"/>
      <c r="X60" s="261"/>
      <c r="Y60" s="518"/>
      <c r="Z60" s="261"/>
      <c r="AA60" s="518"/>
      <c r="AB60" s="518"/>
      <c r="AC60" s="1208">
        <v>0</v>
      </c>
      <c r="AD60" s="319"/>
      <c r="AE60" s="1290"/>
      <c r="AF60" s="320">
        <f>ROUND(SUM(E60:AC60),1)</f>
        <v>0</v>
      </c>
      <c r="AG60" s="2150"/>
      <c r="AH60" s="262"/>
      <c r="AI60" s="320">
        <v>0</v>
      </c>
      <c r="AJ60" s="320"/>
      <c r="AK60" s="2195"/>
      <c r="AL60" s="320">
        <f>ROUND(AF60-AI60,1)</f>
        <v>0</v>
      </c>
      <c r="AM60" s="658"/>
      <c r="AN60" s="45">
        <f>ROUND(IF(AI60=0,0,AL60/(AI60)),3)</f>
        <v>0</v>
      </c>
    </row>
    <row r="61" spans="1:43" ht="15.75">
      <c r="A61" s="223"/>
      <c r="B61" s="223"/>
      <c r="C61" s="223"/>
      <c r="D61" s="223"/>
      <c r="E61" s="328"/>
      <c r="F61" s="319"/>
      <c r="G61" s="328"/>
      <c r="H61" s="319"/>
      <c r="I61" s="328"/>
      <c r="J61" s="319"/>
      <c r="K61" s="2175"/>
      <c r="L61" s="261"/>
      <c r="M61" s="289"/>
      <c r="N61" s="261"/>
      <c r="O61" s="289"/>
      <c r="P61" s="261"/>
      <c r="Q61" s="289"/>
      <c r="R61" s="261"/>
      <c r="S61" s="289"/>
      <c r="T61" s="261"/>
      <c r="U61" s="289"/>
      <c r="V61" s="261"/>
      <c r="W61" s="289"/>
      <c r="X61" s="261"/>
      <c r="Y61" s="289"/>
      <c r="Z61" s="261"/>
      <c r="AA61" s="289"/>
      <c r="AB61" s="249"/>
      <c r="AC61" s="289"/>
      <c r="AD61" s="319"/>
      <c r="AE61" s="1290"/>
      <c r="AF61" s="328"/>
      <c r="AG61" s="2150"/>
      <c r="AH61" s="262"/>
      <c r="AI61" s="328"/>
      <c r="AJ61" s="262"/>
      <c r="AK61" s="2195"/>
      <c r="AL61" s="328"/>
      <c r="AM61" s="648"/>
      <c r="AN61" s="371"/>
    </row>
    <row r="62" spans="1:43" ht="15.75">
      <c r="A62" s="223"/>
      <c r="B62" s="221" t="s">
        <v>204</v>
      </c>
      <c r="C62" s="223"/>
      <c r="D62" s="223"/>
      <c r="E62" s="2926">
        <f>ROUND(SUM(E32+E58+E60),1)</f>
        <v>183.7</v>
      </c>
      <c r="F62" s="313"/>
      <c r="G62" s="2926">
        <f>ROUND(SUM(G32+G58+G60),1)</f>
        <v>225.6</v>
      </c>
      <c r="H62" s="313"/>
      <c r="I62" s="2926">
        <f>ROUND(SUM(I32+I58+I60),1)</f>
        <v>0</v>
      </c>
      <c r="J62" s="313"/>
      <c r="K62" s="2926">
        <f>ROUND(SUM(K32+K58+K60),1)</f>
        <v>0</v>
      </c>
      <c r="L62" s="257"/>
      <c r="M62" s="2927">
        <f>ROUND(SUM(M32+M58+M60),1)</f>
        <v>0</v>
      </c>
      <c r="N62" s="257"/>
      <c r="O62" s="2927">
        <f>ROUND(SUM(O32+O58+O60),1)</f>
        <v>0</v>
      </c>
      <c r="P62" s="257"/>
      <c r="Q62" s="2927">
        <f>ROUND(SUM(Q32+Q58+Q60),1)</f>
        <v>0</v>
      </c>
      <c r="R62" s="257"/>
      <c r="S62" s="2927">
        <f>ROUND(SUM(S32+S58+S60),1)</f>
        <v>0</v>
      </c>
      <c r="T62" s="257"/>
      <c r="U62" s="2927">
        <f>ROUND(SUM(U32+U58+U60),1)</f>
        <v>0</v>
      </c>
      <c r="V62" s="257"/>
      <c r="W62" s="2927">
        <f>ROUND(SUM(W32+W58+W60),1)</f>
        <v>0</v>
      </c>
      <c r="X62" s="257"/>
      <c r="Y62" s="2927">
        <f>ROUND(SUM(Y32+Y58+Y60),1)</f>
        <v>0</v>
      </c>
      <c r="Z62" s="257"/>
      <c r="AA62" s="2927">
        <f>ROUND(SUM(AA32+AA58+AA60),1)</f>
        <v>0</v>
      </c>
      <c r="AB62" s="1899"/>
      <c r="AC62" s="2927">
        <f>ROUND(SUM(AC32+AC58+AC60),1)</f>
        <v>0</v>
      </c>
      <c r="AD62" s="313"/>
      <c r="AE62" s="1291"/>
      <c r="AF62" s="2926">
        <f>ROUND(SUM(AF32+AF58+AF60),1)</f>
        <v>409.3</v>
      </c>
      <c r="AG62" s="2155"/>
      <c r="AH62" s="316"/>
      <c r="AI62" s="2926">
        <f>ROUND(SUM(AI32+AI58+AI60),1)</f>
        <v>542.5</v>
      </c>
      <c r="AJ62" s="2199"/>
      <c r="AK62" s="2195"/>
      <c r="AL62" s="2202">
        <f>ROUND(SUM(AL32+AL58+AL60),1)</f>
        <v>-133.19999999999999</v>
      </c>
      <c r="AM62" s="369"/>
      <c r="AN62" s="1974">
        <f>ROUND(IF(AI62=0,0,AL62/(AI62)),3)</f>
        <v>-0.246</v>
      </c>
      <c r="AO62" s="653"/>
      <c r="AQ62" s="370"/>
    </row>
    <row r="63" spans="1:43" ht="15.75">
      <c r="A63" s="223"/>
      <c r="B63" s="223"/>
      <c r="C63" s="223"/>
      <c r="D63" s="223"/>
      <c r="E63" s="328"/>
      <c r="F63" s="319"/>
      <c r="G63" s="328"/>
      <c r="H63" s="319"/>
      <c r="I63" s="328"/>
      <c r="J63" s="319"/>
      <c r="K63" s="328"/>
      <c r="L63" s="261"/>
      <c r="M63" s="289"/>
      <c r="N63" s="261"/>
      <c r="O63" s="289"/>
      <c r="P63" s="261"/>
      <c r="Q63" s="289"/>
      <c r="R63" s="261"/>
      <c r="S63" s="289"/>
      <c r="T63" s="261"/>
      <c r="U63" s="289"/>
      <c r="V63" s="261"/>
      <c r="W63" s="289"/>
      <c r="X63" s="261"/>
      <c r="Y63" s="289"/>
      <c r="Z63" s="261"/>
      <c r="AA63" s="289"/>
      <c r="AB63" s="249"/>
      <c r="AC63" s="289"/>
      <c r="AD63" s="262"/>
      <c r="AE63" s="262"/>
      <c r="AF63" s="328"/>
      <c r="AG63" s="262"/>
      <c r="AH63" s="262"/>
      <c r="AI63" s="328"/>
      <c r="AJ63" s="262"/>
      <c r="AK63" s="316"/>
      <c r="AL63" s="690"/>
      <c r="AM63" s="648"/>
      <c r="AN63" s="656"/>
    </row>
    <row r="64" spans="1:43" ht="15.75">
      <c r="A64" s="223"/>
      <c r="B64" s="221" t="s">
        <v>24</v>
      </c>
      <c r="C64" s="223"/>
      <c r="D64" s="223"/>
      <c r="E64" s="319"/>
      <c r="F64" s="319"/>
      <c r="G64" s="319"/>
      <c r="H64" s="319"/>
      <c r="I64" s="319"/>
      <c r="J64" s="319"/>
      <c r="K64" s="319"/>
      <c r="L64" s="261"/>
      <c r="M64" s="261"/>
      <c r="N64" s="261"/>
      <c r="O64" s="261"/>
      <c r="P64" s="261"/>
      <c r="Q64" s="261"/>
      <c r="R64" s="261"/>
      <c r="S64" s="261"/>
      <c r="T64" s="261"/>
      <c r="U64" s="261"/>
      <c r="V64" s="261"/>
      <c r="W64" s="261"/>
      <c r="X64" s="261"/>
      <c r="Y64" s="261"/>
      <c r="Z64" s="261"/>
      <c r="AA64" s="261"/>
      <c r="AB64" s="261"/>
      <c r="AC64" s="261"/>
      <c r="AD64" s="319"/>
      <c r="AE64" s="1290"/>
      <c r="AF64" s="319"/>
      <c r="AG64" s="2150"/>
      <c r="AH64" s="262"/>
      <c r="AI64" s="319"/>
      <c r="AJ64" s="319"/>
      <c r="AK64" s="2195"/>
      <c r="AL64" s="690"/>
      <c r="AM64" s="648"/>
      <c r="AN64" s="656"/>
    </row>
    <row r="65" spans="1:43" ht="15.75">
      <c r="A65" s="223"/>
      <c r="B65" s="223" t="s">
        <v>157</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90"/>
      <c r="AF65" s="320"/>
      <c r="AG65" s="2150"/>
      <c r="AH65" s="262"/>
      <c r="AI65" s="319"/>
      <c r="AJ65" s="319"/>
      <c r="AK65" s="2195"/>
      <c r="AL65" s="690"/>
      <c r="AM65" s="648"/>
      <c r="AN65" s="656"/>
    </row>
    <row r="66" spans="1:43" ht="15.75">
      <c r="A66" s="223"/>
      <c r="B66" s="223" t="s">
        <v>26</v>
      </c>
      <c r="C66" s="223"/>
      <c r="D66" s="223"/>
      <c r="E66" s="2148">
        <v>0.1</v>
      </c>
      <c r="F66" s="319"/>
      <c r="G66" s="2148">
        <v>0.1</v>
      </c>
      <c r="H66" s="319"/>
      <c r="I66" s="2148"/>
      <c r="J66" s="319"/>
      <c r="K66" s="2148"/>
      <c r="L66" s="261"/>
      <c r="M66" s="518"/>
      <c r="N66" s="261"/>
      <c r="O66" s="518"/>
      <c r="P66" s="261"/>
      <c r="Q66" s="518"/>
      <c r="R66" s="261"/>
      <c r="S66" s="518"/>
      <c r="T66" s="261"/>
      <c r="U66" s="518"/>
      <c r="V66" s="261"/>
      <c r="W66" s="518"/>
      <c r="X66" s="261"/>
      <c r="Y66" s="518"/>
      <c r="Z66" s="261"/>
      <c r="AA66" s="518"/>
      <c r="AB66" s="518"/>
      <c r="AC66" s="1208">
        <v>0</v>
      </c>
      <c r="AD66" s="319"/>
      <c r="AE66" s="1290"/>
      <c r="AF66" s="320">
        <f>ROUND(SUM(E66:AC66),1)</f>
        <v>0.2</v>
      </c>
      <c r="AG66" s="2150"/>
      <c r="AH66" s="262"/>
      <c r="AI66" s="319">
        <v>0.7</v>
      </c>
      <c r="AJ66" s="320"/>
      <c r="AK66" s="2151"/>
      <c r="AL66" s="320">
        <f t="shared" ref="AL66:AL75" si="4">ROUND(AF66-AI66,1)</f>
        <v>-0.5</v>
      </c>
      <c r="AM66" s="658"/>
      <c r="AN66" s="45">
        <f>ROUND(IF(AI66=0,0,AL66/(AI66)),3)</f>
        <v>-0.71399999999999997</v>
      </c>
    </row>
    <row r="67" spans="1:43" ht="15.75">
      <c r="A67" s="223"/>
      <c r="B67" s="223" t="s">
        <v>27</v>
      </c>
      <c r="C67" s="223"/>
      <c r="D67" s="223"/>
      <c r="E67" s="1283">
        <v>2.7</v>
      </c>
      <c r="F67" s="319"/>
      <c r="G67" s="2148">
        <v>2.6</v>
      </c>
      <c r="H67" s="319"/>
      <c r="I67" s="2148"/>
      <c r="J67" s="319"/>
      <c r="K67" s="2148"/>
      <c r="L67" s="261"/>
      <c r="M67" s="518"/>
      <c r="N67" s="261"/>
      <c r="O67" s="518"/>
      <c r="P67" s="261"/>
      <c r="Q67" s="518"/>
      <c r="R67" s="261"/>
      <c r="S67" s="518"/>
      <c r="T67" s="261"/>
      <c r="U67" s="518"/>
      <c r="V67" s="261"/>
      <c r="W67" s="518"/>
      <c r="X67" s="261"/>
      <c r="Y67" s="518"/>
      <c r="Z67" s="261"/>
      <c r="AA67" s="373"/>
      <c r="AB67" s="373"/>
      <c r="AC67" s="1208">
        <v>0</v>
      </c>
      <c r="AD67" s="319"/>
      <c r="AE67" s="1290"/>
      <c r="AF67" s="320">
        <f>ROUND(SUM(E67:AC67),1)</f>
        <v>5.3</v>
      </c>
      <c r="AG67" s="2150"/>
      <c r="AH67" s="262"/>
      <c r="AI67" s="319">
        <v>6.4</v>
      </c>
      <c r="AJ67" s="320"/>
      <c r="AK67" s="2151"/>
      <c r="AL67" s="320">
        <f t="shared" si="4"/>
        <v>-1.1000000000000001</v>
      </c>
      <c r="AM67" s="658"/>
      <c r="AN67" s="45">
        <f>ROUND(IF(AI67=0,0,AL67/(AI67)),3)</f>
        <v>-0.17199999999999999</v>
      </c>
    </row>
    <row r="68" spans="1:43" ht="15.75">
      <c r="A68" s="223"/>
      <c r="B68" s="223" t="s">
        <v>28</v>
      </c>
      <c r="C68" s="223"/>
      <c r="D68" s="223"/>
      <c r="E68" s="2148">
        <v>9.1</v>
      </c>
      <c r="F68" s="319"/>
      <c r="G68" s="2148">
        <v>4.2</v>
      </c>
      <c r="H68" s="319"/>
      <c r="I68" s="2148"/>
      <c r="J68" s="319"/>
      <c r="K68" s="2148"/>
      <c r="L68" s="261"/>
      <c r="M68" s="518"/>
      <c r="N68" s="261"/>
      <c r="O68" s="518"/>
      <c r="P68" s="261"/>
      <c r="Q68" s="518"/>
      <c r="R68" s="261"/>
      <c r="S68" s="518"/>
      <c r="T68" s="261"/>
      <c r="U68" s="518"/>
      <c r="V68" s="261"/>
      <c r="W68" s="518"/>
      <c r="X68" s="261"/>
      <c r="Y68" s="518"/>
      <c r="Z68" s="261"/>
      <c r="AA68" s="518"/>
      <c r="AB68" s="518"/>
      <c r="AC68" s="1208">
        <v>0</v>
      </c>
      <c r="AD68" s="319"/>
      <c r="AE68" s="1290"/>
      <c r="AF68" s="320">
        <f>ROUND(SUM(E68:AC68),1)</f>
        <v>13.3</v>
      </c>
      <c r="AG68" s="2150"/>
      <c r="AH68" s="262"/>
      <c r="AI68" s="319">
        <v>1.5</v>
      </c>
      <c r="AJ68" s="320"/>
      <c r="AK68" s="2151"/>
      <c r="AL68" s="320">
        <f t="shared" si="4"/>
        <v>11.8</v>
      </c>
      <c r="AM68" s="658"/>
      <c r="AN68" s="45">
        <f>ROUND(IF(AI68=0,0,AL68/(AI68)),3)</f>
        <v>7.867</v>
      </c>
      <c r="AO68" s="648"/>
    </row>
    <row r="69" spans="1:43" ht="15.75">
      <c r="A69" s="223"/>
      <c r="B69" s="223" t="s">
        <v>29</v>
      </c>
      <c r="C69" s="223"/>
      <c r="D69" s="223"/>
      <c r="E69" s="329"/>
      <c r="F69" s="319"/>
      <c r="G69" s="2148"/>
      <c r="H69" s="319"/>
      <c r="I69" s="319"/>
      <c r="J69" s="319"/>
      <c r="K69" s="2148"/>
      <c r="L69" s="261"/>
      <c r="M69" s="518"/>
      <c r="N69" s="261"/>
      <c r="O69" s="518"/>
      <c r="P69" s="261"/>
      <c r="Q69" s="518"/>
      <c r="R69" s="261"/>
      <c r="S69" s="518"/>
      <c r="T69" s="261"/>
      <c r="U69" s="518"/>
      <c r="V69" s="261"/>
      <c r="W69" s="518"/>
      <c r="X69" s="261"/>
      <c r="Y69" s="518"/>
      <c r="Z69" s="261"/>
      <c r="AA69" s="518"/>
      <c r="AB69" s="518"/>
      <c r="AC69" s="518"/>
      <c r="AD69" s="319"/>
      <c r="AE69" s="1290"/>
      <c r="AF69" s="320"/>
      <c r="AG69" s="2150"/>
      <c r="AH69" s="262"/>
      <c r="AI69" s="319"/>
      <c r="AJ69" s="319"/>
      <c r="AK69" s="2195"/>
      <c r="AL69" s="1358"/>
      <c r="AM69" s="658"/>
      <c r="AN69" s="656"/>
      <c r="AO69" s="648"/>
    </row>
    <row r="70" spans="1:43" ht="15.75">
      <c r="A70" s="223"/>
      <c r="B70" s="223" t="s">
        <v>30</v>
      </c>
      <c r="C70" s="221"/>
      <c r="D70" s="223"/>
      <c r="E70" s="329">
        <v>0</v>
      </c>
      <c r="F70" s="319"/>
      <c r="G70" s="329">
        <v>0</v>
      </c>
      <c r="H70" s="319"/>
      <c r="I70" s="329"/>
      <c r="J70" s="319"/>
      <c r="K70" s="329"/>
      <c r="L70" s="261"/>
      <c r="M70" s="266"/>
      <c r="N70" s="261"/>
      <c r="O70" s="266"/>
      <c r="P70" s="261"/>
      <c r="Q70" s="266"/>
      <c r="R70" s="261"/>
      <c r="S70" s="266"/>
      <c r="T70" s="261"/>
      <c r="U70" s="266"/>
      <c r="V70" s="261"/>
      <c r="W70" s="266"/>
      <c r="X70" s="261"/>
      <c r="Y70" s="518"/>
      <c r="Z70" s="261"/>
      <c r="AA70" s="518"/>
      <c r="AB70" s="518"/>
      <c r="AC70" s="1208">
        <v>0</v>
      </c>
      <c r="AD70" s="319"/>
      <c r="AE70" s="1290"/>
      <c r="AF70" s="320">
        <f t="shared" ref="AF70:AF75" si="5">ROUND(SUM(E70:AC70),1)</f>
        <v>0</v>
      </c>
      <c r="AG70" s="2150"/>
      <c r="AH70" s="262"/>
      <c r="AI70" s="329">
        <v>0</v>
      </c>
      <c r="AJ70" s="319"/>
      <c r="AK70" s="2195"/>
      <c r="AL70" s="320">
        <f t="shared" si="4"/>
        <v>0</v>
      </c>
      <c r="AM70" s="648"/>
      <c r="AN70" s="45">
        <f t="shared" ref="AN70:AN75" si="6">ROUND(IF(AI70=0,0,AL70/(AI70)),3)</f>
        <v>0</v>
      </c>
      <c r="AO70" s="648"/>
    </row>
    <row r="71" spans="1:43" ht="15.75">
      <c r="A71" s="223"/>
      <c r="B71" s="223" t="s">
        <v>31</v>
      </c>
      <c r="C71" s="223"/>
      <c r="D71" s="223"/>
      <c r="E71" s="1283">
        <v>3.6</v>
      </c>
      <c r="F71" s="319"/>
      <c r="G71" s="2148">
        <v>4.9000000000000004</v>
      </c>
      <c r="H71" s="319"/>
      <c r="I71" s="2148"/>
      <c r="J71" s="319"/>
      <c r="K71" s="2148"/>
      <c r="L71" s="261"/>
      <c r="M71" s="518"/>
      <c r="N71" s="261"/>
      <c r="O71" s="518"/>
      <c r="P71" s="261"/>
      <c r="Q71" s="518"/>
      <c r="R71" s="261"/>
      <c r="S71" s="518"/>
      <c r="T71" s="261"/>
      <c r="U71" s="518"/>
      <c r="V71" s="261"/>
      <c r="W71" s="518"/>
      <c r="X71" s="261"/>
      <c r="Y71" s="518"/>
      <c r="Z71" s="261"/>
      <c r="AA71" s="373"/>
      <c r="AB71" s="373"/>
      <c r="AC71" s="1208">
        <v>0</v>
      </c>
      <c r="AD71" s="319"/>
      <c r="AE71" s="1290"/>
      <c r="AF71" s="320">
        <f t="shared" si="5"/>
        <v>8.5</v>
      </c>
      <c r="AG71" s="2150"/>
      <c r="AH71" s="262"/>
      <c r="AI71" s="319">
        <v>6.6</v>
      </c>
      <c r="AJ71" s="320"/>
      <c r="AK71" s="2151"/>
      <c r="AL71" s="320">
        <f t="shared" si="4"/>
        <v>1.9</v>
      </c>
      <c r="AM71" s="658"/>
      <c r="AN71" s="45">
        <f t="shared" si="6"/>
        <v>0.28799999999999998</v>
      </c>
    </row>
    <row r="72" spans="1:43" ht="15.75">
      <c r="A72" s="223"/>
      <c r="B72" s="223" t="s">
        <v>32</v>
      </c>
      <c r="C72" s="223"/>
      <c r="D72" s="223"/>
      <c r="E72" s="329">
        <v>0</v>
      </c>
      <c r="F72" s="319"/>
      <c r="G72" s="329">
        <v>0</v>
      </c>
      <c r="H72" s="319"/>
      <c r="I72" s="329"/>
      <c r="J72" s="319"/>
      <c r="K72" s="329"/>
      <c r="L72" s="261"/>
      <c r="M72" s="266"/>
      <c r="N72" s="261"/>
      <c r="O72" s="266"/>
      <c r="P72" s="261"/>
      <c r="Q72" s="266"/>
      <c r="R72" s="261"/>
      <c r="S72" s="266"/>
      <c r="T72" s="261"/>
      <c r="U72" s="266"/>
      <c r="V72" s="261"/>
      <c r="W72" s="266"/>
      <c r="X72" s="261"/>
      <c r="Y72" s="518"/>
      <c r="Z72" s="261"/>
      <c r="AA72" s="518"/>
      <c r="AB72" s="518"/>
      <c r="AC72" s="1208">
        <v>0</v>
      </c>
      <c r="AD72" s="319"/>
      <c r="AE72" s="1290"/>
      <c r="AF72" s="320">
        <f>ROUND(SUM(E72:AC72),1)</f>
        <v>0</v>
      </c>
      <c r="AG72" s="2150"/>
      <c r="AH72" s="262"/>
      <c r="AI72" s="329">
        <v>0</v>
      </c>
      <c r="AJ72" s="320"/>
      <c r="AK72" s="2151"/>
      <c r="AL72" s="320">
        <f t="shared" si="4"/>
        <v>0</v>
      </c>
      <c r="AM72" s="658"/>
      <c r="AN72" s="2843">
        <f t="shared" si="6"/>
        <v>0</v>
      </c>
      <c r="AO72" s="648"/>
    </row>
    <row r="73" spans="1:43" ht="15.75">
      <c r="A73" s="223"/>
      <c r="B73" s="223" t="s">
        <v>33</v>
      </c>
      <c r="C73" s="223"/>
      <c r="D73" s="223"/>
      <c r="E73" s="329">
        <v>0</v>
      </c>
      <c r="F73" s="319"/>
      <c r="G73" s="2148">
        <v>0</v>
      </c>
      <c r="H73" s="319"/>
      <c r="I73" s="329"/>
      <c r="J73" s="319"/>
      <c r="K73" s="2148"/>
      <c r="L73" s="261"/>
      <c r="M73" s="518"/>
      <c r="N73" s="261"/>
      <c r="O73" s="518"/>
      <c r="P73" s="261"/>
      <c r="Q73" s="266"/>
      <c r="R73" s="261"/>
      <c r="S73" s="266"/>
      <c r="T73" s="261"/>
      <c r="U73" s="1362"/>
      <c r="V73" s="261"/>
      <c r="W73" s="518"/>
      <c r="X73" s="261"/>
      <c r="Y73" s="518"/>
      <c r="Z73" s="261"/>
      <c r="AA73" s="518"/>
      <c r="AB73" s="518"/>
      <c r="AC73" s="1208">
        <v>0</v>
      </c>
      <c r="AD73" s="319"/>
      <c r="AE73" s="1290"/>
      <c r="AF73" s="320">
        <f t="shared" si="5"/>
        <v>0</v>
      </c>
      <c r="AG73" s="2150"/>
      <c r="AH73" s="262"/>
      <c r="AI73" s="319">
        <v>5.5</v>
      </c>
      <c r="AJ73" s="319"/>
      <c r="AK73" s="2195"/>
      <c r="AL73" s="320">
        <f t="shared" si="4"/>
        <v>-5.5</v>
      </c>
      <c r="AM73" s="658"/>
      <c r="AN73" s="45">
        <f t="shared" si="6"/>
        <v>-1</v>
      </c>
      <c r="AO73" s="648"/>
    </row>
    <row r="74" spans="1:43" ht="15.75">
      <c r="A74" s="223"/>
      <c r="B74" s="223" t="s">
        <v>34</v>
      </c>
      <c r="C74" s="221"/>
      <c r="D74" s="223"/>
      <c r="E74" s="319">
        <v>21.2</v>
      </c>
      <c r="F74" s="319"/>
      <c r="G74" s="2148">
        <v>60</v>
      </c>
      <c r="H74" s="319"/>
      <c r="I74" s="2148"/>
      <c r="J74" s="319"/>
      <c r="K74" s="2148"/>
      <c r="L74" s="261"/>
      <c r="M74" s="518"/>
      <c r="N74" s="261"/>
      <c r="O74" s="518"/>
      <c r="P74" s="261"/>
      <c r="Q74" s="518"/>
      <c r="R74" s="261"/>
      <c r="S74" s="518"/>
      <c r="T74" s="261"/>
      <c r="U74" s="1362"/>
      <c r="V74" s="261"/>
      <c r="W74" s="518"/>
      <c r="X74" s="261"/>
      <c r="Y74" s="518"/>
      <c r="Z74" s="261"/>
      <c r="AA74" s="518"/>
      <c r="AB74" s="518"/>
      <c r="AC74" s="1208">
        <v>0</v>
      </c>
      <c r="AD74" s="319"/>
      <c r="AE74" s="1290"/>
      <c r="AF74" s="320">
        <f t="shared" si="5"/>
        <v>81.2</v>
      </c>
      <c r="AG74" s="2150"/>
      <c r="AH74" s="262"/>
      <c r="AI74" s="319">
        <v>6</v>
      </c>
      <c r="AJ74" s="319"/>
      <c r="AK74" s="2195"/>
      <c r="AL74" s="320">
        <f t="shared" si="4"/>
        <v>75.2</v>
      </c>
      <c r="AM74" s="648"/>
      <c r="AN74" s="3482">
        <f>ROUND(IF(AI74=0,0,AL74/(AI74)),3)</f>
        <v>12.532999999999999</v>
      </c>
      <c r="AO74" s="648"/>
    </row>
    <row r="75" spans="1:43" ht="15.75">
      <c r="A75" s="223"/>
      <c r="B75" s="223" t="s">
        <v>35</v>
      </c>
      <c r="C75" s="223"/>
      <c r="D75" s="223"/>
      <c r="E75" s="2148">
        <v>4.4000000000000004</v>
      </c>
      <c r="F75" s="319"/>
      <c r="G75" s="2176">
        <v>3.2</v>
      </c>
      <c r="H75" s="319"/>
      <c r="I75" s="527"/>
      <c r="J75" s="319"/>
      <c r="K75" s="2148"/>
      <c r="L75" s="261"/>
      <c r="M75" s="518"/>
      <c r="N75" s="261"/>
      <c r="O75" s="518"/>
      <c r="P75" s="261"/>
      <c r="Q75" s="518"/>
      <c r="R75" s="261"/>
      <c r="S75" s="518"/>
      <c r="T75" s="261"/>
      <c r="U75" s="1362"/>
      <c r="V75" s="261"/>
      <c r="W75" s="280"/>
      <c r="X75" s="261"/>
      <c r="Y75" s="518"/>
      <c r="Z75" s="261"/>
      <c r="AA75" s="280"/>
      <c r="AB75" s="254"/>
      <c r="AC75" s="1208">
        <v>0</v>
      </c>
      <c r="AD75" s="319"/>
      <c r="AE75" s="1290"/>
      <c r="AF75" s="320">
        <f t="shared" si="5"/>
        <v>7.6</v>
      </c>
      <c r="AG75" s="2150"/>
      <c r="AH75" s="262"/>
      <c r="AI75" s="1840">
        <v>5.6</v>
      </c>
      <c r="AJ75" s="262"/>
      <c r="AK75" s="2195"/>
      <c r="AL75" s="320">
        <f t="shared" si="4"/>
        <v>2</v>
      </c>
      <c r="AM75" s="658"/>
      <c r="AN75" s="45">
        <f t="shared" si="6"/>
        <v>0.35699999999999998</v>
      </c>
      <c r="AO75" s="648"/>
    </row>
    <row r="76" spans="1:43" ht="15.75">
      <c r="A76" s="223"/>
      <c r="B76" s="221" t="s">
        <v>205</v>
      </c>
      <c r="C76" s="223"/>
      <c r="D76" s="223"/>
      <c r="E76" s="2177">
        <f>ROUND(SUM(E66:E75),1)</f>
        <v>41.1</v>
      </c>
      <c r="F76" s="313"/>
      <c r="G76" s="2177">
        <f>ROUND(SUM(G66:G75),1)</f>
        <v>75</v>
      </c>
      <c r="H76" s="313"/>
      <c r="I76" s="2177">
        <f>ROUND(SUM(I66:I75),1)</f>
        <v>0</v>
      </c>
      <c r="J76" s="316"/>
      <c r="K76" s="2177">
        <f>ROUND(SUM(K66:K75),1)</f>
        <v>0</v>
      </c>
      <c r="L76" s="257"/>
      <c r="M76" s="546">
        <f>ROUND(SUM(M66:M75),1)</f>
        <v>0</v>
      </c>
      <c r="N76" s="273"/>
      <c r="O76" s="546">
        <f>ROUND(SUM(O66:O75),1)</f>
        <v>0</v>
      </c>
      <c r="P76" s="257"/>
      <c r="Q76" s="546">
        <f>ROUND(SUM(Q66:Q75),1)</f>
        <v>0</v>
      </c>
      <c r="R76" s="257"/>
      <c r="S76" s="546">
        <f>ROUND(SUM(S66:S75),1)</f>
        <v>0</v>
      </c>
      <c r="T76" s="257"/>
      <c r="U76" s="546">
        <f>ROUND(SUM(U66:U75),1)</f>
        <v>0</v>
      </c>
      <c r="V76" s="257"/>
      <c r="W76" s="546">
        <f>ROUND(SUM(W66:W75),1)</f>
        <v>0</v>
      </c>
      <c r="X76" s="257"/>
      <c r="Y76" s="546">
        <f>ROUND(SUM(Y66:Y75),1)</f>
        <v>0</v>
      </c>
      <c r="Z76" s="257"/>
      <c r="AA76" s="546">
        <f>ROUND(SUM(AA66:AA75),1)</f>
        <v>0</v>
      </c>
      <c r="AB76" s="273"/>
      <c r="AC76" s="546">
        <f>ROUND(SUM(AC66:AC75),1)</f>
        <v>0</v>
      </c>
      <c r="AD76" s="313"/>
      <c r="AE76" s="1291"/>
      <c r="AF76" s="2177">
        <f>ROUND(SUM(AF66:AF75),1)</f>
        <v>116.1</v>
      </c>
      <c r="AG76" s="2155"/>
      <c r="AH76" s="316"/>
      <c r="AI76" s="2177">
        <f>ROUND(SUM(AI66:AI75),1)</f>
        <v>32.299999999999997</v>
      </c>
      <c r="AJ76" s="316"/>
      <c r="AK76" s="2195"/>
      <c r="AL76" s="2177">
        <f>ROUND(SUM(AL66:AL75),1)</f>
        <v>83.8</v>
      </c>
      <c r="AM76" s="666"/>
      <c r="AN76" s="72">
        <f>ROUND(IF(AI76=0,0,AL76/(AI76)),3)</f>
        <v>2.5939999999999999</v>
      </c>
      <c r="AQ76" s="370"/>
    </row>
    <row r="77" spans="1:43" ht="15.75">
      <c r="A77" s="223"/>
      <c r="B77" s="223" t="s">
        <v>206</v>
      </c>
      <c r="C77" s="223"/>
      <c r="D77" s="223"/>
      <c r="E77" s="319"/>
      <c r="F77" s="319"/>
      <c r="G77" s="319"/>
      <c r="H77" s="319"/>
      <c r="I77" s="319"/>
      <c r="J77" s="319"/>
      <c r="K77" s="319"/>
      <c r="L77" s="261"/>
      <c r="M77" s="261"/>
      <c r="N77" s="261"/>
      <c r="O77" s="261"/>
      <c r="P77" s="261"/>
      <c r="Q77" s="261"/>
      <c r="R77" s="261"/>
      <c r="S77" s="261"/>
      <c r="T77" s="261"/>
      <c r="U77" s="261"/>
      <c r="V77" s="261"/>
      <c r="W77" s="261"/>
      <c r="X77" s="261"/>
      <c r="Y77" s="261"/>
      <c r="Z77" s="261"/>
      <c r="AA77" s="261"/>
      <c r="AB77" s="261"/>
      <c r="AC77" s="261"/>
      <c r="AD77" s="319"/>
      <c r="AE77" s="1290"/>
      <c r="AF77" s="319"/>
      <c r="AG77" s="2150"/>
      <c r="AH77" s="262"/>
      <c r="AI77" s="319"/>
      <c r="AJ77" s="319"/>
      <c r="AK77" s="2195"/>
      <c r="AL77" s="690"/>
      <c r="AM77" s="648"/>
      <c r="AN77" s="656"/>
    </row>
    <row r="78" spans="1:43" ht="15.75">
      <c r="A78" s="223"/>
      <c r="B78" s="223" t="s">
        <v>207</v>
      </c>
      <c r="C78" s="223"/>
      <c r="D78" s="223"/>
      <c r="E78" s="689">
        <v>0</v>
      </c>
      <c r="F78" s="319"/>
      <c r="G78" s="689">
        <v>0</v>
      </c>
      <c r="H78" s="319"/>
      <c r="I78" s="689"/>
      <c r="J78" s="319"/>
      <c r="K78" s="689"/>
      <c r="L78" s="261"/>
      <c r="M78" s="373"/>
      <c r="N78" s="261"/>
      <c r="O78" s="373"/>
      <c r="P78" s="261"/>
      <c r="Q78" s="373"/>
      <c r="R78" s="261"/>
      <c r="S78" s="373"/>
      <c r="T78" s="261"/>
      <c r="U78" s="373"/>
      <c r="V78" s="261"/>
      <c r="W78" s="373"/>
      <c r="X78" s="261"/>
      <c r="Y78" s="373"/>
      <c r="Z78" s="261"/>
      <c r="AA78" s="373"/>
      <c r="AB78" s="373"/>
      <c r="AC78" s="1208">
        <v>0</v>
      </c>
      <c r="AD78" s="319"/>
      <c r="AE78" s="1290"/>
      <c r="AF78" s="320">
        <f>ROUND(SUM(E78:AC78),1)</f>
        <v>0</v>
      </c>
      <c r="AG78" s="2150"/>
      <c r="AH78" s="262"/>
      <c r="AI78" s="689">
        <v>0</v>
      </c>
      <c r="AJ78" s="329"/>
      <c r="AK78" s="2203"/>
      <c r="AL78" s="320">
        <f>ROUND(AF78-AI78,1)</f>
        <v>0</v>
      </c>
      <c r="AM78" s="648"/>
      <c r="AN78" s="45">
        <f>ROUND(IF(AI78=0,0,AL78/(AI78)),3)</f>
        <v>0</v>
      </c>
    </row>
    <row r="79" spans="1:43" ht="15.75">
      <c r="A79" s="223"/>
      <c r="B79" s="223" t="s">
        <v>208</v>
      </c>
      <c r="C79" s="223"/>
      <c r="D79" s="223"/>
      <c r="E79" s="689">
        <v>0</v>
      </c>
      <c r="F79" s="319"/>
      <c r="G79" s="689">
        <v>0</v>
      </c>
      <c r="H79" s="319"/>
      <c r="I79" s="689"/>
      <c r="J79" s="319"/>
      <c r="K79" s="689"/>
      <c r="L79" s="261"/>
      <c r="M79" s="373"/>
      <c r="N79" s="261"/>
      <c r="O79" s="373"/>
      <c r="P79" s="261"/>
      <c r="Q79" s="373"/>
      <c r="R79" s="261"/>
      <c r="S79" s="373"/>
      <c r="T79" s="261"/>
      <c r="U79" s="373"/>
      <c r="V79" s="261"/>
      <c r="W79" s="373"/>
      <c r="X79" s="261"/>
      <c r="Y79" s="373"/>
      <c r="Z79" s="261"/>
      <c r="AA79" s="373"/>
      <c r="AB79" s="373"/>
      <c r="AC79" s="1208">
        <v>0</v>
      </c>
      <c r="AD79" s="319"/>
      <c r="AE79" s="1290"/>
      <c r="AF79" s="320">
        <f>ROUND(SUM(E79:AC79),1)</f>
        <v>0</v>
      </c>
      <c r="AG79" s="2150"/>
      <c r="AH79" s="262"/>
      <c r="AI79" s="689">
        <v>0</v>
      </c>
      <c r="AJ79" s="329"/>
      <c r="AK79" s="2203"/>
      <c r="AL79" s="320">
        <f>ROUND(AF79-AI79,1)</f>
        <v>0</v>
      </c>
      <c r="AM79" s="648"/>
      <c r="AN79" s="45">
        <f>ROUND(IF(AI79=0,0,AL79/(AI79)),3)</f>
        <v>0</v>
      </c>
    </row>
    <row r="80" spans="1:43" ht="15.75">
      <c r="A80" s="223"/>
      <c r="B80" s="223" t="s">
        <v>209</v>
      </c>
      <c r="C80" s="223"/>
      <c r="D80" s="223"/>
      <c r="E80" s="689">
        <v>0</v>
      </c>
      <c r="F80" s="319"/>
      <c r="G80" s="689">
        <v>0</v>
      </c>
      <c r="H80" s="319"/>
      <c r="I80" s="689"/>
      <c r="J80" s="319"/>
      <c r="K80" s="689"/>
      <c r="L80" s="261"/>
      <c r="M80" s="373"/>
      <c r="N80" s="261"/>
      <c r="O80" s="373"/>
      <c r="P80" s="261"/>
      <c r="Q80" s="373"/>
      <c r="R80" s="261"/>
      <c r="S80" s="373"/>
      <c r="T80" s="261"/>
      <c r="U80" s="373"/>
      <c r="V80" s="261"/>
      <c r="W80" s="373"/>
      <c r="X80" s="261"/>
      <c r="Y80" s="373"/>
      <c r="Z80" s="669"/>
      <c r="AA80" s="373"/>
      <c r="AB80" s="373"/>
      <c r="AC80" s="1208">
        <v>0</v>
      </c>
      <c r="AD80" s="2204"/>
      <c r="AE80" s="2205"/>
      <c r="AF80" s="320">
        <f>ROUND(SUM(E80:AC80),1)</f>
        <v>0</v>
      </c>
      <c r="AG80" s="2150"/>
      <c r="AH80" s="262"/>
      <c r="AI80" s="689">
        <v>0</v>
      </c>
      <c r="AJ80" s="329"/>
      <c r="AK80" s="2203"/>
      <c r="AL80" s="320">
        <f>ROUND(AF80-AI80,1)</f>
        <v>0</v>
      </c>
      <c r="AM80" s="648"/>
      <c r="AN80" s="45">
        <f>ROUND(IF(AI80=0,0,AL80/(AI80)),3)</f>
        <v>0</v>
      </c>
    </row>
    <row r="81" spans="1:43" ht="15.75">
      <c r="A81" s="223"/>
      <c r="B81" s="247" t="s">
        <v>179</v>
      </c>
      <c r="C81" s="223"/>
      <c r="D81" s="223"/>
      <c r="E81" s="320">
        <v>212.3</v>
      </c>
      <c r="F81" s="319"/>
      <c r="G81" s="527">
        <v>338.5</v>
      </c>
      <c r="H81" s="319"/>
      <c r="I81" s="527"/>
      <c r="J81" s="319"/>
      <c r="K81" s="2176"/>
      <c r="L81" s="261"/>
      <c r="M81" s="280"/>
      <c r="N81" s="261"/>
      <c r="O81" s="280"/>
      <c r="P81" s="261"/>
      <c r="Q81" s="280"/>
      <c r="R81" s="261"/>
      <c r="S81" s="280"/>
      <c r="T81" s="261"/>
      <c r="U81" s="280"/>
      <c r="V81" s="261"/>
      <c r="W81" s="280"/>
      <c r="X81" s="261"/>
      <c r="Y81" s="373"/>
      <c r="Z81" s="261"/>
      <c r="AA81" s="280"/>
      <c r="AB81" s="254"/>
      <c r="AC81" s="1208">
        <v>0</v>
      </c>
      <c r="AD81" s="319"/>
      <c r="AE81" s="1290"/>
      <c r="AF81" s="320">
        <f>ROUND(SUM(E81:AC81),1)</f>
        <v>550.79999999999995</v>
      </c>
      <c r="AG81" s="2150"/>
      <c r="AH81" s="262"/>
      <c r="AI81" s="1869">
        <v>491.1</v>
      </c>
      <c r="AJ81" s="267"/>
      <c r="AK81" s="2151"/>
      <c r="AL81" s="2206">
        <f>ROUND(AF81-AI81,1)</f>
        <v>59.7</v>
      </c>
      <c r="AM81" s="648"/>
      <c r="AN81" s="1854">
        <f>ROUND(IF(AI81=0,0,AL81/(AI81)),3)</f>
        <v>0.122</v>
      </c>
    </row>
    <row r="82" spans="1:43" ht="15.75">
      <c r="A82" s="223"/>
      <c r="B82" s="223"/>
      <c r="C82" s="223"/>
      <c r="D82" s="223"/>
      <c r="E82" s="328"/>
      <c r="F82" s="319"/>
      <c r="G82" s="328"/>
      <c r="H82" s="319"/>
      <c r="I82" s="328"/>
      <c r="J82" s="319"/>
      <c r="K82" s="328"/>
      <c r="L82" s="261"/>
      <c r="M82" s="289"/>
      <c r="N82" s="261"/>
      <c r="O82" s="289"/>
      <c r="P82" s="261"/>
      <c r="Q82" s="289"/>
      <c r="R82" s="261"/>
      <c r="S82" s="289"/>
      <c r="T82" s="261"/>
      <c r="U82" s="289"/>
      <c r="V82" s="261"/>
      <c r="W82" s="289"/>
      <c r="X82" s="261"/>
      <c r="Y82" s="289"/>
      <c r="Z82" s="261"/>
      <c r="AA82" s="289"/>
      <c r="AB82" s="249"/>
      <c r="AC82" s="289"/>
      <c r="AD82" s="319"/>
      <c r="AE82" s="1290"/>
      <c r="AF82" s="328"/>
      <c r="AG82" s="2150"/>
      <c r="AH82" s="262"/>
      <c r="AI82" s="690"/>
      <c r="AJ82" s="690"/>
      <c r="AK82" s="2207"/>
      <c r="AL82" s="690"/>
      <c r="AM82" s="648"/>
      <c r="AN82" s="656"/>
    </row>
    <row r="83" spans="1:43" ht="15.75">
      <c r="A83" s="223"/>
      <c r="B83" s="221" t="s">
        <v>210</v>
      </c>
      <c r="C83" s="223"/>
      <c r="D83" s="223"/>
      <c r="E83" s="313">
        <f>ROUND(SUM(E76:E81),1)</f>
        <v>253.4</v>
      </c>
      <c r="F83" s="313"/>
      <c r="G83" s="313">
        <f>ROUND(SUM(G76:G81),1)</f>
        <v>413.5</v>
      </c>
      <c r="H83" s="313"/>
      <c r="I83" s="313">
        <f>ROUND(SUM(I76:I81),1)</f>
        <v>0</v>
      </c>
      <c r="J83" s="313"/>
      <c r="K83" s="313">
        <f>ROUND(SUM(K76:K81),1)</f>
        <v>0</v>
      </c>
      <c r="L83" s="257"/>
      <c r="M83" s="257">
        <f>ROUND(SUM(M76:M81),1)</f>
        <v>0</v>
      </c>
      <c r="N83" s="257"/>
      <c r="O83" s="257">
        <f>ROUND(SUM(O76:O81),1)</f>
        <v>0</v>
      </c>
      <c r="P83" s="257"/>
      <c r="Q83" s="257">
        <f>ROUND(SUM(Q76:Q81),1)</f>
        <v>0</v>
      </c>
      <c r="R83" s="257"/>
      <c r="S83" s="257">
        <f>ROUND(SUM(S76:S81),1)</f>
        <v>0</v>
      </c>
      <c r="T83" s="257"/>
      <c r="U83" s="257">
        <f>ROUND(SUM(U76:U81),1)</f>
        <v>0</v>
      </c>
      <c r="V83" s="257"/>
      <c r="W83" s="257">
        <f>ROUND(SUM(W76:W81),1)</f>
        <v>0</v>
      </c>
      <c r="X83" s="257"/>
      <c r="Y83" s="257">
        <f>ROUND(SUM(Y76:Y81),1)</f>
        <v>0</v>
      </c>
      <c r="Z83" s="257"/>
      <c r="AA83" s="257">
        <f>ROUND(SUM(AA76:AA81),1)</f>
        <v>0</v>
      </c>
      <c r="AB83" s="1899"/>
      <c r="AC83" s="1899">
        <f>ROUND(SUM(AC76:AC81),1)</f>
        <v>0</v>
      </c>
      <c r="AD83" s="313"/>
      <c r="AE83" s="1291"/>
      <c r="AF83" s="313">
        <f>ROUND(SUM(AF76:AF81),1)</f>
        <v>666.9</v>
      </c>
      <c r="AG83" s="2155"/>
      <c r="AH83" s="316"/>
      <c r="AI83" s="313">
        <f>ROUND(SUM(AI76:AI81),1)</f>
        <v>523.4</v>
      </c>
      <c r="AJ83" s="316"/>
      <c r="AK83" s="2195"/>
      <c r="AL83" s="314">
        <f>ROUND(AF83-AI83,1)</f>
        <v>143.5</v>
      </c>
      <c r="AM83" s="666"/>
      <c r="AN83" s="1974">
        <f>ROUND(IF(AI83=0,0,AL83/(AI83)),3)</f>
        <v>0.27400000000000002</v>
      </c>
      <c r="AO83" s="653"/>
      <c r="AP83" s="653"/>
      <c r="AQ83" s="653"/>
    </row>
    <row r="84" spans="1:43" ht="15.75">
      <c r="A84" s="223"/>
      <c r="B84" s="223"/>
      <c r="C84" s="223"/>
      <c r="D84" s="223"/>
      <c r="E84" s="328"/>
      <c r="F84" s="319"/>
      <c r="G84" s="328"/>
      <c r="H84" s="319"/>
      <c r="I84" s="328"/>
      <c r="J84" s="319"/>
      <c r="K84" s="328"/>
      <c r="L84" s="261"/>
      <c r="M84" s="289"/>
      <c r="N84" s="261"/>
      <c r="O84" s="289"/>
      <c r="P84" s="261"/>
      <c r="Q84" s="289"/>
      <c r="R84" s="261"/>
      <c r="S84" s="289"/>
      <c r="T84" s="261"/>
      <c r="U84" s="289"/>
      <c r="V84" s="261"/>
      <c r="W84" s="289"/>
      <c r="X84" s="261"/>
      <c r="Y84" s="289"/>
      <c r="Z84" s="261"/>
      <c r="AA84" s="289"/>
      <c r="AB84" s="249"/>
      <c r="AC84" s="289"/>
      <c r="AD84" s="319"/>
      <c r="AE84" s="1290"/>
      <c r="AF84" s="328"/>
      <c r="AG84" s="2150"/>
      <c r="AH84" s="262"/>
      <c r="AI84" s="328"/>
      <c r="AJ84" s="262"/>
      <c r="AK84" s="2195"/>
      <c r="AL84" s="690"/>
      <c r="AM84" s="648"/>
      <c r="AN84" s="656"/>
    </row>
    <row r="85" spans="1:43" ht="15.75">
      <c r="A85" s="223"/>
      <c r="B85" s="221" t="s">
        <v>211</v>
      </c>
      <c r="C85" s="223"/>
      <c r="D85" s="223"/>
      <c r="E85" s="319"/>
      <c r="F85" s="319"/>
      <c r="G85" s="319"/>
      <c r="H85" s="319"/>
      <c r="I85" s="319"/>
      <c r="J85" s="319"/>
      <c r="K85" s="319"/>
      <c r="L85" s="261"/>
      <c r="M85" s="261"/>
      <c r="N85" s="261"/>
      <c r="O85" s="261"/>
      <c r="P85" s="261"/>
      <c r="Q85" s="261"/>
      <c r="R85" s="261"/>
      <c r="S85" s="261"/>
      <c r="T85" s="261"/>
      <c r="U85" s="373"/>
      <c r="V85" s="261"/>
      <c r="W85" s="261"/>
      <c r="X85" s="261"/>
      <c r="Y85" s="261"/>
      <c r="Z85" s="261"/>
      <c r="AA85" s="261"/>
      <c r="AB85" s="261"/>
      <c r="AC85" s="261"/>
      <c r="AD85" s="319"/>
      <c r="AE85" s="1290"/>
      <c r="AF85" s="690"/>
      <c r="AG85" s="2150"/>
      <c r="AH85" s="262"/>
      <c r="AI85" s="690"/>
      <c r="AJ85" s="690"/>
      <c r="AK85" s="2207"/>
      <c r="AL85" s="690"/>
      <c r="AM85" s="648"/>
      <c r="AN85" s="656"/>
    </row>
    <row r="86" spans="1:43" ht="15.75">
      <c r="A86" s="223"/>
      <c r="B86" s="221" t="s">
        <v>212</v>
      </c>
      <c r="C86" s="223"/>
      <c r="D86" s="223"/>
      <c r="E86" s="313">
        <f>ROUND(SUM(E62-E83),1)</f>
        <v>-69.7</v>
      </c>
      <c r="F86" s="313"/>
      <c r="G86" s="313">
        <f>ROUND(SUM(G62-G83),1)</f>
        <v>-187.9</v>
      </c>
      <c r="H86" s="313"/>
      <c r="I86" s="313">
        <f>ROUND(SUM(I62-I83),1)</f>
        <v>0</v>
      </c>
      <c r="J86" s="313"/>
      <c r="K86" s="313">
        <f>ROUND(SUM(K62-K83),1)</f>
        <v>0</v>
      </c>
      <c r="L86" s="257"/>
      <c r="M86" s="257">
        <f>ROUND(SUM(M62-M83),1)</f>
        <v>0</v>
      </c>
      <c r="N86" s="257"/>
      <c r="O86" s="257">
        <f>ROUND(SUM(O62-O83),1)</f>
        <v>0</v>
      </c>
      <c r="P86" s="257"/>
      <c r="Q86" s="257">
        <f>ROUND(SUM(Q62-Q83),1)</f>
        <v>0</v>
      </c>
      <c r="R86" s="257"/>
      <c r="S86" s="257">
        <f>ROUND(SUM(S62-S83),1)</f>
        <v>0</v>
      </c>
      <c r="T86" s="257"/>
      <c r="U86" s="257">
        <f>ROUND(SUM(U62-U83),1)</f>
        <v>0</v>
      </c>
      <c r="V86" s="257"/>
      <c r="W86" s="257">
        <f>ROUND(SUM(W62-W83),1)</f>
        <v>0</v>
      </c>
      <c r="X86" s="257"/>
      <c r="Y86" s="257">
        <f>ROUND(SUM(Y62-Y83),1)</f>
        <v>0</v>
      </c>
      <c r="Z86" s="257"/>
      <c r="AA86" s="257">
        <f>ROUND(SUM(AA62-AA83),1)</f>
        <v>0</v>
      </c>
      <c r="AB86" s="1899"/>
      <c r="AC86" s="1899">
        <f>ROUND(SUM(AC62-AC83),1)</f>
        <v>0</v>
      </c>
      <c r="AD86" s="313"/>
      <c r="AE86" s="1291"/>
      <c r="AF86" s="313">
        <f>ROUND(SUM(AF62-AF83),1)</f>
        <v>-257.60000000000002</v>
      </c>
      <c r="AG86" s="2155"/>
      <c r="AH86" s="316"/>
      <c r="AI86" s="313">
        <f>ROUND(SUM(AI62-AI83),1)</f>
        <v>19.100000000000001</v>
      </c>
      <c r="AJ86" s="316"/>
      <c r="AK86" s="2195"/>
      <c r="AL86" s="314">
        <f>ROUND(AF86-AI86,1)</f>
        <v>-276.7</v>
      </c>
      <c r="AM86" s="666"/>
      <c r="AN86" s="2881">
        <f>ROUND(IF(AI86=0,0,AL86/(AI86)),3)</f>
        <v>-14.487</v>
      </c>
      <c r="AO86" s="653"/>
      <c r="AP86" s="663"/>
    </row>
    <row r="87" spans="1:43" ht="15.75">
      <c r="A87" s="223"/>
      <c r="B87" s="223"/>
      <c r="C87" s="223"/>
      <c r="D87" s="223"/>
      <c r="E87" s="328"/>
      <c r="F87" s="319"/>
      <c r="G87" s="328"/>
      <c r="H87" s="319"/>
      <c r="I87" s="328"/>
      <c r="J87" s="319"/>
      <c r="K87" s="328"/>
      <c r="L87" s="261"/>
      <c r="M87" s="289"/>
      <c r="N87" s="261"/>
      <c r="O87" s="289"/>
      <c r="P87" s="261"/>
      <c r="Q87" s="289"/>
      <c r="R87" s="261"/>
      <c r="S87" s="289"/>
      <c r="T87" s="261"/>
      <c r="U87" s="289"/>
      <c r="V87" s="261"/>
      <c r="W87" s="289"/>
      <c r="X87" s="261"/>
      <c r="Y87" s="289"/>
      <c r="Z87" s="261"/>
      <c r="AA87" s="289"/>
      <c r="AB87" s="249"/>
      <c r="AC87" s="289"/>
      <c r="AD87" s="319"/>
      <c r="AE87" s="1290"/>
      <c r="AF87" s="328"/>
      <c r="AG87" s="2150"/>
      <c r="AH87" s="262"/>
      <c r="AI87" s="328"/>
      <c r="AJ87" s="262"/>
      <c r="AK87" s="2195"/>
      <c r="AL87" s="690"/>
      <c r="AM87" s="648"/>
      <c r="AN87" s="656"/>
    </row>
    <row r="88" spans="1:43" ht="15.75">
      <c r="A88" s="223"/>
      <c r="B88" s="221" t="s">
        <v>213</v>
      </c>
      <c r="C88" s="223"/>
      <c r="D88" s="223"/>
      <c r="E88" s="319"/>
      <c r="F88" s="319"/>
      <c r="G88" s="319"/>
      <c r="H88" s="319"/>
      <c r="I88" s="319"/>
      <c r="J88" s="319"/>
      <c r="K88" s="319"/>
      <c r="L88" s="261"/>
      <c r="M88" s="261"/>
      <c r="N88" s="261"/>
      <c r="O88" s="261"/>
      <c r="P88" s="261"/>
      <c r="Q88" s="261"/>
      <c r="R88" s="261"/>
      <c r="S88" s="261"/>
      <c r="T88" s="261"/>
      <c r="U88" s="261"/>
      <c r="V88" s="261"/>
      <c r="W88" s="261"/>
      <c r="X88" s="261"/>
      <c r="Y88" s="261"/>
      <c r="Z88" s="261"/>
      <c r="AA88" s="261"/>
      <c r="AB88" s="261"/>
      <c r="AC88" s="261"/>
      <c r="AD88" s="319"/>
      <c r="AE88" s="1290"/>
      <c r="AF88" s="319"/>
      <c r="AG88" s="2150"/>
      <c r="AH88" s="262"/>
      <c r="AI88" s="329"/>
      <c r="AJ88" s="329"/>
      <c r="AK88" s="2203"/>
      <c r="AL88" s="690"/>
      <c r="AM88" s="648"/>
      <c r="AN88" s="656"/>
    </row>
    <row r="89" spans="1:43" ht="15.75">
      <c r="A89" s="223"/>
      <c r="B89" s="223" t="s">
        <v>214</v>
      </c>
      <c r="C89" s="223"/>
      <c r="D89" s="223"/>
      <c r="E89" s="689">
        <v>0</v>
      </c>
      <c r="F89" s="319"/>
      <c r="G89" s="689">
        <v>0</v>
      </c>
      <c r="H89" s="319"/>
      <c r="I89" s="689"/>
      <c r="J89" s="319"/>
      <c r="K89" s="689"/>
      <c r="L89" s="261"/>
      <c r="M89" s="373"/>
      <c r="N89" s="373"/>
      <c r="O89" s="373"/>
      <c r="P89" s="261"/>
      <c r="Q89" s="373"/>
      <c r="R89" s="261"/>
      <c r="S89" s="373"/>
      <c r="T89" s="261"/>
      <c r="U89" s="373"/>
      <c r="V89" s="261"/>
      <c r="W89" s="373"/>
      <c r="X89" s="261"/>
      <c r="Y89" s="373"/>
      <c r="Z89" s="261"/>
      <c r="AA89" s="517"/>
      <c r="AB89" s="517"/>
      <c r="AC89" s="517">
        <v>0</v>
      </c>
      <c r="AD89" s="319"/>
      <c r="AE89" s="1290"/>
      <c r="AF89" s="320">
        <f>ROUND(SUM(E89:AC89),1)</f>
        <v>0</v>
      </c>
      <c r="AG89" s="2150"/>
      <c r="AH89" s="262"/>
      <c r="AI89" s="329">
        <v>0</v>
      </c>
      <c r="AJ89" s="329"/>
      <c r="AK89" s="2203"/>
      <c r="AL89" s="320">
        <f>ROUND(AF89-AI89,1)</f>
        <v>0</v>
      </c>
      <c r="AM89" s="658"/>
      <c r="AN89" s="2843">
        <f t="shared" ref="AN89" si="7">ROUND(IF(AI89=0,0,AL89/(AI89)),3)</f>
        <v>0</v>
      </c>
    </row>
    <row r="90" spans="1:43" ht="15.75">
      <c r="A90" s="223"/>
      <c r="B90" s="247" t="s">
        <v>180</v>
      </c>
      <c r="C90" s="223"/>
      <c r="D90" s="223"/>
      <c r="E90" s="2148">
        <v>77.8</v>
      </c>
      <c r="F90" s="319"/>
      <c r="G90" s="2148">
        <v>148</v>
      </c>
      <c r="H90" s="319"/>
      <c r="I90" s="2148"/>
      <c r="J90" s="319"/>
      <c r="K90" s="2148"/>
      <c r="L90" s="261"/>
      <c r="M90" s="518"/>
      <c r="N90" s="261"/>
      <c r="O90" s="518"/>
      <c r="P90" s="261"/>
      <c r="Q90" s="518"/>
      <c r="R90" s="261"/>
      <c r="S90" s="518"/>
      <c r="T90" s="261"/>
      <c r="U90" s="1362"/>
      <c r="V90" s="261"/>
      <c r="W90" s="518"/>
      <c r="X90" s="261"/>
      <c r="Y90" s="373"/>
      <c r="Z90" s="261"/>
      <c r="AA90" s="518"/>
      <c r="AB90" s="518"/>
      <c r="AC90" s="518">
        <v>0</v>
      </c>
      <c r="AD90" s="319"/>
      <c r="AE90" s="1290"/>
      <c r="AF90" s="320">
        <f>ROUND(SUM(E90:AC90),1)</f>
        <v>225.8</v>
      </c>
      <c r="AG90" s="2150"/>
      <c r="AH90" s="262"/>
      <c r="AI90" s="319">
        <v>108.7</v>
      </c>
      <c r="AJ90" s="320"/>
      <c r="AK90" s="2151"/>
      <c r="AL90" s="320">
        <f>ROUND(AF90-AI90,1)</f>
        <v>117.1</v>
      </c>
      <c r="AM90" s="648"/>
      <c r="AN90" s="45">
        <f>ROUND(IF(AI90=0,0,AL90/(AI90)),3)</f>
        <v>1.077</v>
      </c>
      <c r="AO90" s="648"/>
    </row>
    <row r="91" spans="1:43" ht="15.75">
      <c r="A91" s="223"/>
      <c r="B91" s="247" t="s">
        <v>215</v>
      </c>
      <c r="C91" s="223"/>
      <c r="D91" s="223"/>
      <c r="E91" s="2148">
        <v>-74.7</v>
      </c>
      <c r="F91" s="319"/>
      <c r="G91" s="319">
        <v>-75.2</v>
      </c>
      <c r="H91" s="319"/>
      <c r="I91" s="2148"/>
      <c r="J91" s="319"/>
      <c r="K91" s="2148"/>
      <c r="L91" s="261"/>
      <c r="M91" s="518"/>
      <c r="N91" s="261"/>
      <c r="O91" s="518"/>
      <c r="P91" s="261"/>
      <c r="Q91" s="518"/>
      <c r="R91" s="261"/>
      <c r="S91" s="518"/>
      <c r="T91" s="261"/>
      <c r="U91" s="518"/>
      <c r="V91" s="261"/>
      <c r="W91" s="518"/>
      <c r="X91" s="261"/>
      <c r="Y91" s="373"/>
      <c r="Z91" s="261"/>
      <c r="AA91" s="518"/>
      <c r="AB91" s="518"/>
      <c r="AC91" s="1208">
        <v>0</v>
      </c>
      <c r="AD91" s="319"/>
      <c r="AE91" s="1290"/>
      <c r="AF91" s="320">
        <f>ROUND(SUM(E91:AC91),1)</f>
        <v>-149.9</v>
      </c>
      <c r="AG91" s="2150"/>
      <c r="AH91" s="262"/>
      <c r="AI91" s="2644">
        <v>-156.80000000000001</v>
      </c>
      <c r="AJ91" s="262"/>
      <c r="AK91" s="2195"/>
      <c r="AL91" s="2206">
        <f>ROUND(-AF91+AI91,1)</f>
        <v>-6.9</v>
      </c>
      <c r="AM91" s="648"/>
      <c r="AN91" s="1854">
        <f>-ROUND(IF(AI91=0,0,AL91/(AI91)),3)</f>
        <v>-4.3999999999999997E-2</v>
      </c>
      <c r="AO91" s="648"/>
    </row>
    <row r="92" spans="1:43" ht="15.75">
      <c r="A92" s="223"/>
      <c r="B92" s="223"/>
      <c r="C92" s="223"/>
      <c r="D92" s="223"/>
      <c r="E92" s="328"/>
      <c r="F92" s="319"/>
      <c r="G92" s="328"/>
      <c r="H92" s="319"/>
      <c r="I92" s="328"/>
      <c r="J92" s="319"/>
      <c r="K92" s="328"/>
      <c r="L92" s="261"/>
      <c r="M92" s="289"/>
      <c r="N92" s="261"/>
      <c r="O92" s="289"/>
      <c r="P92" s="261"/>
      <c r="Q92" s="289"/>
      <c r="R92" s="261"/>
      <c r="S92" s="289"/>
      <c r="T92" s="261"/>
      <c r="U92" s="289"/>
      <c r="V92" s="261"/>
      <c r="W92" s="289"/>
      <c r="X92" s="261"/>
      <c r="Y92" s="289"/>
      <c r="Z92" s="261"/>
      <c r="AA92" s="289"/>
      <c r="AB92" s="249"/>
      <c r="AC92" s="289"/>
      <c r="AD92" s="319"/>
      <c r="AE92" s="1290"/>
      <c r="AF92" s="328"/>
      <c r="AG92" s="2150"/>
      <c r="AH92" s="262"/>
      <c r="AI92" s="690"/>
      <c r="AJ92" s="690"/>
      <c r="AK92" s="2207"/>
      <c r="AL92" s="690"/>
      <c r="AM92" s="648"/>
      <c r="AN92" s="656"/>
    </row>
    <row r="93" spans="1:43" ht="15.75">
      <c r="A93" s="223"/>
      <c r="B93" s="221" t="s">
        <v>1508</v>
      </c>
      <c r="C93" s="223"/>
      <c r="D93" s="223"/>
      <c r="E93" s="313">
        <f>ROUND(SUM(E89:E91),1)</f>
        <v>3.1</v>
      </c>
      <c r="F93" s="313"/>
      <c r="G93" s="313">
        <f>ROUND(SUM(G89:G91),1)</f>
        <v>72.8</v>
      </c>
      <c r="H93" s="313"/>
      <c r="I93" s="313">
        <f>ROUND(SUM(I89:I91),1)</f>
        <v>0</v>
      </c>
      <c r="J93" s="313"/>
      <c r="K93" s="313">
        <f>ROUND(SUM(K89:K91),1)</f>
        <v>0</v>
      </c>
      <c r="L93" s="257"/>
      <c r="M93" s="257">
        <f>ROUND(SUM(M89:M91),1)</f>
        <v>0</v>
      </c>
      <c r="N93" s="257"/>
      <c r="O93" s="257">
        <f>ROUND(SUM(O89:O91),1)</f>
        <v>0</v>
      </c>
      <c r="P93" s="257"/>
      <c r="Q93" s="257">
        <f>ROUND(SUM(Q89:Q91),1)</f>
        <v>0</v>
      </c>
      <c r="R93" s="257"/>
      <c r="S93" s="257">
        <f>ROUND(SUM(S89:S91),1)</f>
        <v>0</v>
      </c>
      <c r="T93" s="257"/>
      <c r="U93" s="257">
        <f>ROUND(SUM(U89:U91),1)</f>
        <v>0</v>
      </c>
      <c r="V93" s="257"/>
      <c r="W93" s="257">
        <f>ROUND(SUM(W89:W91),1)</f>
        <v>0</v>
      </c>
      <c r="X93" s="257"/>
      <c r="Y93" s="257">
        <f>ROUND(SUM(Y89:Y91),1)</f>
        <v>0</v>
      </c>
      <c r="Z93" s="257"/>
      <c r="AA93" s="257">
        <f>ROUND(SUM(AA89:AA91),1)</f>
        <v>0</v>
      </c>
      <c r="AB93" s="1899"/>
      <c r="AC93" s="1899">
        <f>ROUND(SUM(AC89:AC91),1)</f>
        <v>0</v>
      </c>
      <c r="AD93" s="313"/>
      <c r="AE93" s="1291"/>
      <c r="AF93" s="313">
        <f>ROUND(SUM(AF89:AF91),1)</f>
        <v>75.900000000000006</v>
      </c>
      <c r="AG93" s="2155"/>
      <c r="AH93" s="316"/>
      <c r="AI93" s="316">
        <f>ROUND(SUM(AI89:AI91),1)</f>
        <v>-48.1</v>
      </c>
      <c r="AJ93" s="316"/>
      <c r="AK93" s="2195"/>
      <c r="AL93" s="314">
        <f>ROUND(AF93-AI93,1)</f>
        <v>124</v>
      </c>
      <c r="AM93" s="666"/>
      <c r="AN93" s="2881">
        <f>ROUND(IF(AI93=0,0,AL93/ABS(AI93)),3)</f>
        <v>2.5779999999999998</v>
      </c>
      <c r="AO93" s="653"/>
      <c r="AP93" s="653"/>
      <c r="AQ93" s="663"/>
    </row>
    <row r="94" spans="1:43" ht="15.75">
      <c r="A94" s="223"/>
      <c r="B94" s="223"/>
      <c r="C94" s="223"/>
      <c r="D94" s="223"/>
      <c r="E94" s="328"/>
      <c r="F94" s="319"/>
      <c r="G94" s="328"/>
      <c r="H94" s="319"/>
      <c r="I94" s="328"/>
      <c r="J94" s="319"/>
      <c r="K94" s="328"/>
      <c r="L94" s="261"/>
      <c r="M94" s="289"/>
      <c r="N94" s="261"/>
      <c r="O94" s="289"/>
      <c r="P94" s="261"/>
      <c r="Q94" s="289"/>
      <c r="R94" s="261"/>
      <c r="S94" s="289"/>
      <c r="T94" s="261"/>
      <c r="U94" s="289"/>
      <c r="V94" s="261"/>
      <c r="W94" s="289"/>
      <c r="X94" s="261"/>
      <c r="Y94" s="289"/>
      <c r="Z94" s="261"/>
      <c r="AA94" s="289"/>
      <c r="AB94" s="249"/>
      <c r="AC94" s="289"/>
      <c r="AD94" s="319"/>
      <c r="AE94" s="1290"/>
      <c r="AF94" s="328"/>
      <c r="AG94" s="2150"/>
      <c r="AH94" s="262"/>
      <c r="AI94" s="328"/>
      <c r="AJ94" s="262"/>
      <c r="AK94" s="2195"/>
      <c r="AL94" s="690"/>
      <c r="AM94" s="648"/>
      <c r="AN94" s="656"/>
      <c r="AQ94" s="370"/>
    </row>
    <row r="95" spans="1:43" ht="15.75">
      <c r="A95" s="223"/>
      <c r="B95" s="223"/>
      <c r="C95" s="223"/>
      <c r="D95" s="223"/>
      <c r="E95" s="319" t="s">
        <v>16</v>
      </c>
      <c r="F95" s="319" t="s">
        <v>16</v>
      </c>
      <c r="G95" s="319" t="s">
        <v>16</v>
      </c>
      <c r="H95" s="319"/>
      <c r="I95" s="319" t="s">
        <v>16</v>
      </c>
      <c r="J95" s="319"/>
      <c r="K95" s="319" t="s">
        <v>16</v>
      </c>
      <c r="L95" s="261"/>
      <c r="M95" s="261" t="s">
        <v>16</v>
      </c>
      <c r="N95" s="261"/>
      <c r="O95" s="261" t="s">
        <v>16</v>
      </c>
      <c r="P95" s="261"/>
      <c r="Q95" s="261" t="s">
        <v>16</v>
      </c>
      <c r="R95" s="261"/>
      <c r="S95" s="261" t="s">
        <v>16</v>
      </c>
      <c r="T95" s="261"/>
      <c r="U95" s="261" t="s">
        <v>16</v>
      </c>
      <c r="V95" s="261"/>
      <c r="W95" s="261" t="s">
        <v>16</v>
      </c>
      <c r="X95" s="261"/>
      <c r="Y95" s="261" t="s">
        <v>16</v>
      </c>
      <c r="Z95" s="261"/>
      <c r="AA95" s="261" t="s">
        <v>16</v>
      </c>
      <c r="AB95" s="261"/>
      <c r="AC95" s="261" t="s">
        <v>16</v>
      </c>
      <c r="AD95" s="319"/>
      <c r="AE95" s="1290"/>
      <c r="AF95" s="319" t="s">
        <v>16</v>
      </c>
      <c r="AG95" s="2150"/>
      <c r="AH95" s="262"/>
      <c r="AI95" s="319"/>
      <c r="AJ95" s="319"/>
      <c r="AK95" s="2195"/>
      <c r="AL95" s="690" t="s">
        <v>16</v>
      </c>
      <c r="AM95" s="648"/>
      <c r="AN95" s="656"/>
    </row>
    <row r="96" spans="1:43" ht="15.75">
      <c r="A96" s="223"/>
      <c r="B96" s="221" t="s">
        <v>217</v>
      </c>
      <c r="C96" s="223"/>
      <c r="D96" s="223"/>
      <c r="E96" s="319"/>
      <c r="F96" s="319"/>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90"/>
      <c r="AF96" s="319"/>
      <c r="AG96" s="2150"/>
      <c r="AH96" s="262"/>
      <c r="AI96" s="319"/>
      <c r="AJ96" s="319"/>
      <c r="AK96" s="2195"/>
      <c r="AL96" s="690"/>
      <c r="AM96" s="648"/>
      <c r="AN96" s="656"/>
    </row>
    <row r="97" spans="1:43" ht="15.75">
      <c r="A97" s="223"/>
      <c r="B97" s="221" t="s">
        <v>218</v>
      </c>
      <c r="C97" s="223"/>
      <c r="D97" s="223"/>
      <c r="E97" s="319" t="s">
        <v>16</v>
      </c>
      <c r="F97" s="319"/>
      <c r="G97" s="319"/>
      <c r="H97" s="319"/>
      <c r="I97" s="319"/>
      <c r="J97" s="319"/>
      <c r="K97" s="319"/>
      <c r="L97" s="261"/>
      <c r="M97" s="261"/>
      <c r="N97" s="261"/>
      <c r="O97" s="261"/>
      <c r="P97" s="261"/>
      <c r="Q97" s="261"/>
      <c r="R97" s="261"/>
      <c r="S97" s="261"/>
      <c r="T97" s="261"/>
      <c r="U97" s="261"/>
      <c r="V97" s="261"/>
      <c r="W97" s="261"/>
      <c r="X97" s="261"/>
      <c r="Y97" s="261"/>
      <c r="Z97" s="261"/>
      <c r="AA97" s="261"/>
      <c r="AB97" s="261"/>
      <c r="AC97" s="261"/>
      <c r="AD97" s="319"/>
      <c r="AE97" s="1290"/>
      <c r="AF97" s="2208" t="s">
        <v>16</v>
      </c>
      <c r="AG97" s="2150"/>
      <c r="AH97" s="262"/>
      <c r="AI97" s="690"/>
      <c r="AJ97" s="690"/>
      <c r="AK97" s="2207"/>
      <c r="AL97" s="690"/>
      <c r="AM97" s="648"/>
      <c r="AN97" s="656"/>
      <c r="AQ97" s="684"/>
    </row>
    <row r="98" spans="1:43" ht="16.5" thickBot="1">
      <c r="A98" s="223"/>
      <c r="B98" s="221" t="s">
        <v>1509</v>
      </c>
      <c r="C98" s="223"/>
      <c r="D98" s="223"/>
      <c r="E98" s="2179">
        <f>ROUND(SUM(E86+E93),1)</f>
        <v>-66.599999999999994</v>
      </c>
      <c r="F98" s="2178"/>
      <c r="G98" s="2179">
        <f>ROUND(SUM(G86+G93),1)</f>
        <v>-115.1</v>
      </c>
      <c r="H98" s="2178"/>
      <c r="I98" s="2179">
        <f>ROUND(SUM(I86+I93),1)</f>
        <v>0</v>
      </c>
      <c r="J98" s="2178"/>
      <c r="K98" s="2179">
        <f>ROUND(SUM(K86+K93),1)</f>
        <v>0</v>
      </c>
      <c r="L98" s="685"/>
      <c r="M98" s="2179">
        <f>ROUND(SUM(M86+M93),1)</f>
        <v>0</v>
      </c>
      <c r="N98" s="685"/>
      <c r="O98" s="2179">
        <f>ROUND(SUM(O86+O93),1)</f>
        <v>0</v>
      </c>
      <c r="P98" s="685"/>
      <c r="Q98" s="2179">
        <f>ROUND(SUM(Q86+Q93),1)</f>
        <v>0</v>
      </c>
      <c r="R98" s="685"/>
      <c r="S98" s="2179">
        <f>ROUND(SUM(S86+S93),1)</f>
        <v>0</v>
      </c>
      <c r="T98" s="685"/>
      <c r="U98" s="2179">
        <f>ROUND(SUM(U86+U93),1)</f>
        <v>0</v>
      </c>
      <c r="V98" s="685"/>
      <c r="W98" s="2179">
        <f>ROUND(SUM(W86+W93),1)</f>
        <v>0</v>
      </c>
      <c r="X98" s="686"/>
      <c r="Y98" s="2179">
        <f>ROUND(SUM(Y86+Y93),1)</f>
        <v>0</v>
      </c>
      <c r="Z98" s="685"/>
      <c r="AA98" s="2179">
        <f>ROUND(SUM(AA86+AA93),1)</f>
        <v>0</v>
      </c>
      <c r="AB98" s="2703"/>
      <c r="AC98" s="2179">
        <f>ROUND(SUM(AC86+AC93),1)</f>
        <v>0</v>
      </c>
      <c r="AD98" s="2178"/>
      <c r="AE98" s="2209"/>
      <c r="AF98" s="2179">
        <f>ROUND(SUM(AF86+AF93),1)</f>
        <v>-181.7</v>
      </c>
      <c r="AG98" s="2210"/>
      <c r="AH98" s="341"/>
      <c r="AI98" s="2179">
        <f>ROUND(SUM(AI86+AI93),1)</f>
        <v>-29</v>
      </c>
      <c r="AJ98" s="2211"/>
      <c r="AK98" s="2212"/>
      <c r="AL98" s="2179">
        <f>ROUND(SUM(AL86+AL93),1)</f>
        <v>-152.69999999999999</v>
      </c>
      <c r="AM98" s="666"/>
      <c r="AN98" s="3483">
        <f>-ROUND(IF(AI98=0,0,AL98/(AI98)),3)</f>
        <v>-5.266</v>
      </c>
      <c r="AO98" s="653"/>
    </row>
    <row r="99" spans="1:43" ht="15.75" thickTop="1">
      <c r="B99" s="426"/>
      <c r="X99" s="687"/>
    </row>
    <row r="100" spans="1:43">
      <c r="B100" s="677"/>
      <c r="C100" s="678"/>
      <c r="D100" s="678"/>
      <c r="E100" s="2180"/>
      <c r="F100" s="2180"/>
      <c r="G100" s="2180"/>
    </row>
    <row r="101" spans="1:43">
      <c r="B101" s="2902" t="s">
        <v>1520</v>
      </c>
      <c r="C101" s="678"/>
      <c r="D101" s="678"/>
      <c r="E101" s="2180"/>
      <c r="F101" s="2180"/>
      <c r="G101" s="2180"/>
      <c r="AI101" s="2260"/>
      <c r="AL101" s="2194"/>
    </row>
    <row r="102" spans="1:43">
      <c r="B102" s="681"/>
    </row>
    <row r="103" spans="1:43">
      <c r="B103" s="681"/>
    </row>
    <row r="104" spans="1:43">
      <c r="B104" s="677"/>
    </row>
    <row r="105" spans="1:43">
      <c r="B105" s="681"/>
    </row>
    <row r="106" spans="1:43">
      <c r="B106" s="681"/>
    </row>
    <row r="107" spans="1:43">
      <c r="B107" s="677"/>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3" min="1" max="39" man="1"/>
  </rowBreaks>
  <ignoredErrors>
    <ignoredError sqref="AN19 AN56:AN57 AN42 AN40 AN39 AN32 AN30 AN27 AN28:AN29 AN31 AN33:AN35 AN37:AN38 AN26 AN20:AN21 AN24 AN60 AN78:AN80 AN22:AN23 AN81:AN85 AN61:AN71 AN58:AN59 AN92 AN94:AN97 AN73 AN90:AN91 AN87:AN88 AN75:AN77" unlockedFormula="1"/>
    <ignoredError sqref="AN46:AN47 AN49:AN53" formula="1" unlockedFormula="1"/>
    <ignoredError sqref="AN55 AN25" formula="1"/>
  </ignoredErrors>
</worksheet>
</file>

<file path=xl/worksheets/sheet25.xml><?xml version="1.0" encoding="utf-8"?>
<worksheet xmlns="http://schemas.openxmlformats.org/spreadsheetml/2006/main" xmlns:r="http://schemas.openxmlformats.org/officeDocument/2006/relationships">
  <sheetPr codeName="Sheet23"/>
  <dimension ref="A1:AQ81"/>
  <sheetViews>
    <sheetView showGridLines="0" zoomScale="70" zoomScaleNormal="70" zoomScaleSheetLayoutView="70" workbookViewId="0"/>
  </sheetViews>
  <sheetFormatPr defaultRowHeight="15"/>
  <cols>
    <col min="1" max="1" width="2.5546875" style="302" customWidth="1"/>
    <col min="2" max="2" width="14.33203125" style="302" customWidth="1"/>
    <col min="3" max="3" width="32" style="302" customWidth="1"/>
    <col min="4" max="4" width="4.5546875" style="2166" customWidth="1"/>
    <col min="5" max="5" width="9.77734375" style="2166" bestFit="1" customWidth="1"/>
    <col min="6" max="6" width="1.77734375" style="2166" customWidth="1"/>
    <col min="7" max="7" width="11" style="2166" bestFit="1" customWidth="1"/>
    <col min="8" max="8" width="1.77734375" style="2166" customWidth="1"/>
    <col min="9" max="9" width="11" style="2166" bestFit="1" customWidth="1"/>
    <col min="10" max="10" width="1.77734375" style="2166" customWidth="1"/>
    <col min="11" max="11" width="12.21875" style="2166" customWidth="1"/>
    <col min="12" max="12" width="1.77734375" style="302" customWidth="1"/>
    <col min="13" max="13" width="8.88671875" style="302"/>
    <col min="14" max="14" width="1.77734375" style="302" customWidth="1"/>
    <col min="15" max="15" width="13.88671875" style="302" customWidth="1"/>
    <col min="16" max="16" width="1.77734375" style="302" customWidth="1"/>
    <col min="17" max="17" width="12.44140625" style="302" customWidth="1"/>
    <col min="18" max="18" width="1.77734375" style="302" customWidth="1"/>
    <col min="19" max="19" width="12.5546875" style="302" customWidth="1"/>
    <col min="20" max="20" width="1.77734375" style="302" customWidth="1"/>
    <col min="21" max="21" width="10.77734375" style="302" customWidth="1"/>
    <col min="22" max="22" width="1.77734375" style="302" customWidth="1"/>
    <col min="23" max="23" width="10.5546875" style="302" customWidth="1"/>
    <col min="24" max="24" width="1.77734375" style="302" customWidth="1"/>
    <col min="25" max="25" width="10.77734375" style="302" customWidth="1"/>
    <col min="26" max="26" width="1.77734375" style="302" customWidth="1"/>
    <col min="27" max="27" width="11.88671875" style="2166" customWidth="1"/>
    <col min="28" max="28" width="2.109375" style="2166" customWidth="1"/>
    <col min="29" max="29" width="15.5546875" style="2166" customWidth="1"/>
    <col min="30" max="31" width="1.77734375" style="2166" customWidth="1"/>
    <col min="32" max="32" width="10.5546875" style="2166" customWidth="1"/>
    <col min="33" max="34" width="1" style="2166" customWidth="1"/>
    <col min="35" max="35" width="12.88671875" style="2166" customWidth="1"/>
    <col min="36" max="37" width="1" style="2166" customWidth="1"/>
    <col min="38" max="38" width="13.109375" style="2166" bestFit="1" customWidth="1"/>
    <col min="39" max="39" width="1.33203125" style="302" customWidth="1"/>
    <col min="40" max="40" width="11.33203125" style="302" customWidth="1"/>
    <col min="41" max="16384" width="8.88671875" style="302"/>
  </cols>
  <sheetData>
    <row r="1" spans="1:41">
      <c r="B1" s="1190" t="s">
        <v>1231</v>
      </c>
    </row>
    <row r="2" spans="1:41">
      <c r="B2" s="1740"/>
    </row>
    <row r="3" spans="1:41" ht="19.5" customHeight="1">
      <c r="A3" s="637"/>
      <c r="B3" s="539" t="s">
        <v>0</v>
      </c>
      <c r="C3" s="638"/>
      <c r="D3" s="2167"/>
      <c r="E3" s="2167"/>
      <c r="F3" s="2168"/>
      <c r="G3" s="2168"/>
      <c r="H3" s="2168"/>
      <c r="I3" s="2168"/>
      <c r="J3" s="2168"/>
      <c r="K3" s="2168"/>
      <c r="L3" s="639"/>
      <c r="M3" s="639"/>
      <c r="N3" s="639"/>
      <c r="O3" s="639"/>
      <c r="P3" s="639"/>
      <c r="Q3" s="639"/>
      <c r="R3" s="639"/>
      <c r="S3" s="688"/>
      <c r="T3" s="639"/>
      <c r="U3" s="639"/>
      <c r="V3" s="639"/>
      <c r="W3" s="639"/>
      <c r="X3" s="639"/>
      <c r="Y3" s="639"/>
      <c r="Z3" s="639"/>
      <c r="AA3" s="2168"/>
      <c r="AB3" s="2168"/>
      <c r="AC3" s="2168"/>
      <c r="AD3" s="2168"/>
      <c r="AE3" s="2168"/>
      <c r="AF3" s="2168"/>
      <c r="AG3" s="2168"/>
      <c r="AH3" s="2168"/>
      <c r="AI3" s="2168"/>
      <c r="AJ3" s="2168"/>
      <c r="AK3" s="2168"/>
      <c r="AN3" s="508" t="s">
        <v>202</v>
      </c>
    </row>
    <row r="4" spans="1:41" ht="19.5" customHeight="1">
      <c r="A4" s="637"/>
      <c r="B4" s="539" t="s">
        <v>220</v>
      </c>
      <c r="C4" s="638"/>
      <c r="D4" s="2167"/>
      <c r="E4" s="2167"/>
      <c r="F4" s="2168"/>
      <c r="G4" s="2168"/>
      <c r="H4" s="2168"/>
      <c r="I4" s="2168"/>
      <c r="J4" s="2168"/>
      <c r="K4" s="2168"/>
      <c r="L4" s="639"/>
      <c r="M4" s="639"/>
      <c r="N4" s="639"/>
      <c r="O4" s="639"/>
      <c r="P4" s="639"/>
      <c r="Q4" s="639"/>
      <c r="R4" s="639"/>
      <c r="S4" s="639"/>
      <c r="T4" s="639"/>
      <c r="U4" s="639"/>
      <c r="V4" s="639"/>
      <c r="W4" s="639"/>
      <c r="X4" s="639"/>
      <c r="Y4" s="639"/>
      <c r="Z4" s="639"/>
      <c r="AA4" s="2168"/>
      <c r="AB4" s="2168"/>
      <c r="AC4" s="2168"/>
      <c r="AD4" s="2168"/>
      <c r="AE4" s="2168"/>
      <c r="AG4" s="2181"/>
      <c r="AH4" s="2181"/>
    </row>
    <row r="5" spans="1:41" ht="19.5" customHeight="1">
      <c r="A5" s="637"/>
      <c r="B5" s="506" t="s">
        <v>1281</v>
      </c>
      <c r="C5" s="638"/>
      <c r="D5" s="2167"/>
      <c r="E5" s="2167"/>
      <c r="F5" s="2168"/>
      <c r="G5" s="2168"/>
      <c r="H5" s="2168"/>
      <c r="I5" s="2168"/>
      <c r="J5" s="2168"/>
      <c r="K5" s="2168"/>
      <c r="L5" s="639"/>
      <c r="M5" s="639"/>
      <c r="N5" s="639"/>
      <c r="O5" s="639"/>
      <c r="P5" s="639"/>
      <c r="Q5" s="639"/>
      <c r="R5" s="639"/>
      <c r="S5" s="639"/>
      <c r="T5" s="639"/>
      <c r="U5" s="639"/>
      <c r="V5" s="639"/>
      <c r="W5" s="639"/>
      <c r="X5" s="639"/>
      <c r="Y5" s="639"/>
      <c r="Z5" s="639"/>
      <c r="AA5" s="2168"/>
      <c r="AB5" s="2168"/>
      <c r="AC5" s="2168"/>
      <c r="AD5" s="2168"/>
      <c r="AE5" s="2168"/>
      <c r="AF5" s="2168"/>
      <c r="AG5" s="2168"/>
      <c r="AH5" s="2168"/>
      <c r="AI5" s="2168"/>
      <c r="AJ5" s="2168"/>
      <c r="AK5" s="2168"/>
      <c r="AN5" s="508"/>
    </row>
    <row r="6" spans="1:41" ht="19.5" customHeight="1">
      <c r="A6" s="637"/>
      <c r="B6" s="3198" t="s">
        <v>1548</v>
      </c>
      <c r="C6" s="1824"/>
      <c r="D6" s="2167"/>
      <c r="E6" s="2167"/>
      <c r="F6" s="2168"/>
      <c r="G6" s="2168"/>
      <c r="H6" s="2169"/>
      <c r="I6" s="2168"/>
      <c r="J6" s="2168"/>
      <c r="K6" s="2168"/>
      <c r="L6" s="639"/>
      <c r="M6" s="639"/>
      <c r="N6" s="639"/>
      <c r="O6" s="639"/>
      <c r="P6" s="639"/>
      <c r="Q6" s="639"/>
      <c r="R6" s="639"/>
      <c r="S6" s="639"/>
      <c r="T6" s="639"/>
      <c r="U6" s="639"/>
      <c r="V6" s="639"/>
      <c r="W6" s="639"/>
      <c r="X6" s="639"/>
      <c r="Y6" s="639"/>
      <c r="Z6" s="639"/>
      <c r="AA6" s="2168"/>
      <c r="AB6" s="2168"/>
      <c r="AC6" s="2168"/>
      <c r="AD6" s="2168"/>
      <c r="AE6" s="2168"/>
      <c r="AF6" s="2168"/>
      <c r="AG6" s="2182"/>
      <c r="AH6" s="2182"/>
      <c r="AI6" s="2182"/>
      <c r="AJ6" s="2182"/>
      <c r="AK6" s="2182"/>
    </row>
    <row r="7" spans="1:41" ht="19.5" customHeight="1">
      <c r="A7" s="637"/>
      <c r="B7" s="643" t="s">
        <v>1117</v>
      </c>
      <c r="C7" s="638"/>
      <c r="D7" s="2167"/>
      <c r="E7" s="2167"/>
      <c r="F7" s="2168"/>
      <c r="G7" s="2168"/>
      <c r="H7" s="2169"/>
      <c r="I7" s="2168"/>
      <c r="J7" s="2168"/>
      <c r="K7" s="2168"/>
      <c r="L7" s="639"/>
      <c r="M7" s="639"/>
      <c r="N7" s="639"/>
      <c r="O7" s="639"/>
      <c r="P7" s="639"/>
      <c r="Q7" s="639"/>
      <c r="R7" s="639"/>
      <c r="S7" s="639"/>
      <c r="T7" s="639"/>
      <c r="U7" s="639"/>
      <c r="V7" s="639"/>
      <c r="W7" s="639"/>
      <c r="X7" s="639"/>
      <c r="Y7" s="639"/>
      <c r="Z7" s="639"/>
      <c r="AA7" s="2168"/>
      <c r="AB7" s="2168"/>
      <c r="AC7" s="2168"/>
      <c r="AD7" s="2168"/>
      <c r="AE7" s="2168"/>
      <c r="AF7" s="2168"/>
      <c r="AG7" s="2182"/>
      <c r="AH7" s="2182"/>
      <c r="AI7" s="2182"/>
      <c r="AJ7" s="2182"/>
      <c r="AK7" s="2182"/>
    </row>
    <row r="8" spans="1:41" ht="19.5" customHeight="1">
      <c r="A8" s="637"/>
      <c r="B8" s="506"/>
      <c r="C8" s="638"/>
      <c r="D8" s="2167"/>
      <c r="E8" s="2167"/>
      <c r="F8" s="2168"/>
      <c r="G8" s="2168"/>
      <c r="H8" s="2169"/>
      <c r="I8" s="2168"/>
      <c r="J8" s="2168"/>
      <c r="K8" s="2168"/>
      <c r="L8" s="639"/>
      <c r="M8" s="639"/>
      <c r="N8" s="639"/>
      <c r="O8" s="639"/>
      <c r="P8" s="639"/>
      <c r="Q8" s="639"/>
      <c r="R8" s="639"/>
      <c r="S8" s="639"/>
      <c r="T8" s="639"/>
      <c r="U8" s="639"/>
      <c r="V8" s="639"/>
      <c r="W8" s="639"/>
      <c r="X8" s="639"/>
      <c r="Y8" s="639"/>
      <c r="Z8" s="639"/>
      <c r="AA8" s="2168"/>
      <c r="AB8" s="2168"/>
      <c r="AC8" s="2168"/>
      <c r="AD8" s="2168"/>
      <c r="AE8" s="2168"/>
      <c r="AF8" s="2168"/>
      <c r="AG8" s="2182"/>
      <c r="AH8" s="2182"/>
      <c r="AI8" s="2182"/>
      <c r="AJ8" s="2182"/>
      <c r="AK8" s="2182"/>
    </row>
    <row r="9" spans="1:41" ht="15.75" customHeight="1">
      <c r="A9" s="637"/>
      <c r="B9" s="643"/>
      <c r="C9" s="638"/>
      <c r="D9" s="2167"/>
      <c r="E9" s="2167"/>
      <c r="F9" s="2168"/>
      <c r="G9" s="2168"/>
      <c r="H9" s="2168"/>
      <c r="I9" s="2168"/>
      <c r="J9" s="2168"/>
      <c r="K9" s="2168"/>
      <c r="L9" s="639"/>
      <c r="M9" s="639"/>
      <c r="N9" s="639"/>
      <c r="O9" s="639"/>
      <c r="P9" s="639"/>
      <c r="Q9" s="639"/>
      <c r="R9" s="639"/>
      <c r="S9" s="639"/>
      <c r="T9" s="639"/>
      <c r="U9" s="639"/>
      <c r="V9" s="639"/>
      <c r="W9" s="639"/>
      <c r="X9" s="639"/>
      <c r="Y9" s="639"/>
      <c r="Z9" s="639"/>
      <c r="AA9" s="2168"/>
      <c r="AB9" s="2168"/>
      <c r="AC9" s="2168"/>
      <c r="AD9" s="2168"/>
      <c r="AE9" s="2183"/>
    </row>
    <row r="10" spans="1:41" ht="15.75" customHeight="1">
      <c r="A10" s="637"/>
      <c r="B10" s="643"/>
      <c r="C10" s="638"/>
      <c r="D10" s="2167"/>
      <c r="E10" s="2167"/>
      <c r="F10" s="2168"/>
      <c r="G10" s="2168"/>
      <c r="H10" s="2168"/>
      <c r="I10" s="2168"/>
      <c r="J10" s="2168"/>
      <c r="K10" s="2168"/>
      <c r="L10" s="639"/>
      <c r="M10" s="639"/>
      <c r="N10" s="639"/>
      <c r="O10" s="639"/>
      <c r="P10" s="639"/>
      <c r="Q10" s="639"/>
      <c r="R10" s="639"/>
      <c r="S10" s="639"/>
      <c r="T10" s="639"/>
      <c r="U10" s="639"/>
      <c r="V10" s="639"/>
      <c r="W10" s="639"/>
      <c r="X10" s="639"/>
      <c r="Y10" s="639"/>
      <c r="Z10" s="639"/>
      <c r="AA10" s="2168"/>
      <c r="AB10" s="2168"/>
      <c r="AC10" s="2168"/>
      <c r="AD10" s="2168"/>
      <c r="AE10" s="2183"/>
      <c r="AF10" s="3517" t="s">
        <v>1593</v>
      </c>
      <c r="AG10" s="3524"/>
      <c r="AH10" s="3524"/>
      <c r="AI10" s="3524"/>
      <c r="AJ10" s="3524"/>
      <c r="AK10" s="3524"/>
      <c r="AL10" s="3524"/>
      <c r="AM10" s="3524"/>
      <c r="AN10" s="3524"/>
    </row>
    <row r="11" spans="1:41" ht="15.75" customHeight="1">
      <c r="A11" s="637"/>
      <c r="B11" s="645"/>
      <c r="C11" s="638"/>
      <c r="D11" s="2167"/>
      <c r="E11" s="2170"/>
      <c r="F11" s="2171"/>
      <c r="G11" s="2171"/>
      <c r="H11" s="2171"/>
      <c r="I11" s="2171"/>
      <c r="J11" s="2171"/>
      <c r="K11" s="2171"/>
      <c r="L11" s="1548"/>
      <c r="M11" s="1548"/>
      <c r="N11" s="1548"/>
      <c r="O11" s="1548"/>
      <c r="P11" s="1548"/>
      <c r="Q11" s="1548"/>
      <c r="R11" s="1548"/>
      <c r="S11" s="1548"/>
      <c r="T11" s="1548"/>
      <c r="U11" s="1548"/>
      <c r="V11" s="1548"/>
      <c r="W11" s="1548"/>
      <c r="X11" s="1548"/>
      <c r="Y11" s="1548"/>
      <c r="Z11" s="1548"/>
      <c r="AA11" s="2171"/>
      <c r="AB11" s="2171"/>
      <c r="AC11" s="1526" t="s">
        <v>1468</v>
      </c>
      <c r="AD11" s="2171"/>
      <c r="AE11" s="2184"/>
      <c r="AF11" s="2216"/>
      <c r="AG11" s="2216"/>
      <c r="AH11" s="2216"/>
      <c r="AI11" s="2216"/>
      <c r="AJ11" s="2216"/>
      <c r="AK11" s="2216"/>
      <c r="AL11" s="2216"/>
      <c r="AM11" s="1555"/>
      <c r="AN11" s="1555"/>
      <c r="AO11" s="1555"/>
    </row>
    <row r="12" spans="1:41" ht="15.75" customHeight="1">
      <c r="A12" s="646"/>
      <c r="B12" s="646"/>
      <c r="C12" s="646"/>
      <c r="D12" s="2213"/>
      <c r="E12" s="1509">
        <v>2015</v>
      </c>
      <c r="F12" s="2172"/>
      <c r="G12" s="2172"/>
      <c r="H12" s="2172"/>
      <c r="I12" s="2172"/>
      <c r="J12" s="2172"/>
      <c r="K12" s="2172"/>
      <c r="L12" s="1551"/>
      <c r="M12" s="1551"/>
      <c r="N12" s="1551"/>
      <c r="O12" s="1551"/>
      <c r="P12" s="1551"/>
      <c r="Q12" s="1551"/>
      <c r="R12" s="1551"/>
      <c r="S12" s="1551"/>
      <c r="T12" s="1551"/>
      <c r="U12" s="1551"/>
      <c r="V12" s="1551"/>
      <c r="W12" s="1519">
        <v>2016</v>
      </c>
      <c r="X12" s="1551"/>
      <c r="Y12" s="1551"/>
      <c r="Z12" s="1551"/>
      <c r="AA12" s="2172"/>
      <c r="AB12" s="2172"/>
      <c r="AC12" s="1526" t="s">
        <v>1469</v>
      </c>
      <c r="AD12" s="2172"/>
      <c r="AE12" s="2172"/>
      <c r="AF12" s="2187"/>
      <c r="AG12" s="2187"/>
      <c r="AH12" s="2187"/>
      <c r="AI12" s="2187"/>
      <c r="AJ12" s="2187"/>
      <c r="AK12" s="2187"/>
      <c r="AL12" s="2188" t="s">
        <v>8</v>
      </c>
      <c r="AM12" s="1526"/>
      <c r="AN12" s="1521" t="s">
        <v>9</v>
      </c>
      <c r="AO12" s="1555"/>
    </row>
    <row r="13" spans="1:41" ht="15.75">
      <c r="A13" s="223"/>
      <c r="B13" s="223"/>
      <c r="C13" s="223"/>
      <c r="D13" s="308"/>
      <c r="E13" s="1553" t="s">
        <v>129</v>
      </c>
      <c r="F13" s="306"/>
      <c r="G13" s="1553" t="s">
        <v>130</v>
      </c>
      <c r="H13" s="306"/>
      <c r="I13" s="1553" t="s">
        <v>131</v>
      </c>
      <c r="J13" s="306"/>
      <c r="K13" s="1553" t="s">
        <v>132</v>
      </c>
      <c r="L13" s="221"/>
      <c r="M13" s="1501" t="s">
        <v>133</v>
      </c>
      <c r="N13" s="221"/>
      <c r="O13" s="1501" t="s">
        <v>134</v>
      </c>
      <c r="P13" s="221"/>
      <c r="Q13" s="1501" t="s">
        <v>135</v>
      </c>
      <c r="R13" s="221"/>
      <c r="S13" s="1501" t="s">
        <v>136</v>
      </c>
      <c r="T13" s="221"/>
      <c r="U13" s="1501" t="s">
        <v>137</v>
      </c>
      <c r="V13" s="221"/>
      <c r="W13" s="1501" t="s">
        <v>154</v>
      </c>
      <c r="X13" s="221"/>
      <c r="Y13" s="1501" t="s">
        <v>139</v>
      </c>
      <c r="Z13" s="221"/>
      <c r="AA13" s="1553" t="s">
        <v>140</v>
      </c>
      <c r="AB13" s="1554"/>
      <c r="AC13" s="2106" t="s">
        <v>1470</v>
      </c>
      <c r="AD13" s="306"/>
      <c r="AE13" s="306"/>
      <c r="AF13" s="1553">
        <v>2015</v>
      </c>
      <c r="AG13" s="306" t="s">
        <v>16</v>
      </c>
      <c r="AH13" s="306"/>
      <c r="AI13" s="1553">
        <v>2014</v>
      </c>
      <c r="AJ13" s="1554"/>
      <c r="AK13" s="1554"/>
      <c r="AL13" s="2189" t="s">
        <v>13</v>
      </c>
      <c r="AM13" s="1524"/>
      <c r="AN13" s="1534" t="s">
        <v>14</v>
      </c>
      <c r="AO13" s="1555"/>
    </row>
    <row r="14" spans="1:41" ht="15.75">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18"/>
      <c r="AF14" s="342"/>
      <c r="AG14" s="342"/>
      <c r="AH14" s="2118"/>
      <c r="AI14" s="342"/>
      <c r="AJ14" s="342"/>
      <c r="AK14" s="2022"/>
      <c r="AL14" s="2192"/>
      <c r="AM14" s="648"/>
      <c r="AN14" s="648"/>
    </row>
    <row r="15" spans="1:41" ht="15.75">
      <c r="A15" s="223"/>
      <c r="B15" s="221" t="s">
        <v>203</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18"/>
      <c r="AF15" s="342"/>
      <c r="AG15" s="318"/>
      <c r="AH15" s="2217"/>
      <c r="AI15" s="342"/>
      <c r="AJ15" s="342"/>
      <c r="AK15" s="2022"/>
      <c r="AL15" s="2192"/>
      <c r="AM15" s="648"/>
      <c r="AN15" s="648"/>
    </row>
    <row r="16" spans="1:41" ht="15.75">
      <c r="A16" s="223"/>
      <c r="B16" s="1837" t="s">
        <v>1308</v>
      </c>
      <c r="C16" s="223"/>
      <c r="D16" s="308"/>
      <c r="E16" s="2148"/>
      <c r="F16" s="319"/>
      <c r="G16" s="2148"/>
      <c r="H16" s="319"/>
      <c r="I16" s="2148"/>
      <c r="J16" s="319"/>
      <c r="K16" s="2148"/>
      <c r="L16" s="319"/>
      <c r="M16" s="319"/>
      <c r="N16" s="319"/>
      <c r="O16" s="2148"/>
      <c r="P16" s="319"/>
      <c r="Q16" s="2148"/>
      <c r="R16" s="319"/>
      <c r="S16" s="2148"/>
      <c r="T16" s="319"/>
      <c r="U16" s="2148"/>
      <c r="V16" s="319"/>
      <c r="W16" s="2148"/>
      <c r="X16" s="319"/>
      <c r="Y16" s="2148"/>
      <c r="Z16" s="319"/>
      <c r="AA16" s="2148"/>
      <c r="AB16" s="2148"/>
      <c r="AC16" s="2148"/>
      <c r="AD16" s="319"/>
      <c r="AE16" s="1290"/>
      <c r="AF16" s="2149"/>
      <c r="AG16" s="2150"/>
      <c r="AH16" s="262"/>
      <c r="AI16" s="319"/>
      <c r="AJ16" s="320"/>
      <c r="AK16" s="2151"/>
      <c r="AL16" s="320"/>
      <c r="AM16" s="2152"/>
      <c r="AN16" s="2153"/>
    </row>
    <row r="17" spans="1:40" ht="15.75">
      <c r="A17" s="223"/>
      <c r="B17" s="1837" t="s">
        <v>1436</v>
      </c>
      <c r="C17" s="223"/>
      <c r="D17" s="308"/>
      <c r="E17" s="2148"/>
      <c r="F17" s="319"/>
      <c r="G17" s="2148"/>
      <c r="H17" s="319"/>
      <c r="I17" s="2148"/>
      <c r="J17" s="319"/>
      <c r="K17" s="2148"/>
      <c r="L17" s="261"/>
      <c r="M17" s="261"/>
      <c r="N17" s="261"/>
      <c r="O17" s="518"/>
      <c r="P17" s="261"/>
      <c r="Q17" s="518"/>
      <c r="R17" s="261"/>
      <c r="S17" s="518"/>
      <c r="T17" s="261"/>
      <c r="U17" s="518"/>
      <c r="V17" s="261"/>
      <c r="W17" s="518"/>
      <c r="X17" s="261"/>
      <c r="Y17" s="518"/>
      <c r="Z17" s="261"/>
      <c r="AA17" s="2148"/>
      <c r="AB17" s="2148"/>
      <c r="AC17" s="2148"/>
      <c r="AD17" s="319"/>
      <c r="AE17" s="1290"/>
      <c r="AF17" s="2149"/>
      <c r="AG17" s="2154"/>
      <c r="AH17" s="262"/>
      <c r="AI17" s="319"/>
      <c r="AJ17" s="320"/>
      <c r="AK17" s="2151"/>
      <c r="AL17" s="320"/>
      <c r="AM17" s="658"/>
      <c r="AN17" s="45"/>
    </row>
    <row r="18" spans="1:40">
      <c r="A18" s="223"/>
      <c r="B18" s="1837" t="s">
        <v>1342</v>
      </c>
      <c r="C18" s="223"/>
      <c r="D18" s="308"/>
      <c r="E18" s="2792">
        <v>0</v>
      </c>
      <c r="F18" s="1839"/>
      <c r="G18" s="2792">
        <v>0</v>
      </c>
      <c r="H18" s="1839"/>
      <c r="I18" s="2792"/>
      <c r="J18" s="1839"/>
      <c r="K18" s="2792"/>
      <c r="L18" s="1177"/>
      <c r="M18" s="1258"/>
      <c r="N18" s="1177"/>
      <c r="O18" s="1258"/>
      <c r="P18" s="1177"/>
      <c r="Q18" s="1933"/>
      <c r="R18" s="1177"/>
      <c r="S18" s="1933"/>
      <c r="T18" s="1933"/>
      <c r="U18" s="1933"/>
      <c r="V18" s="1177"/>
      <c r="W18" s="1933"/>
      <c r="X18" s="1177"/>
      <c r="Y18" s="1933"/>
      <c r="Z18" s="1177"/>
      <c r="AA18" s="1933"/>
      <c r="AB18" s="1841"/>
      <c r="AC18" s="2818">
        <v>0</v>
      </c>
      <c r="AD18" s="1840"/>
      <c r="AE18" s="2793"/>
      <c r="AF18" s="1838">
        <f>ROUND(SUM(E18:AC18),1)</f>
        <v>0</v>
      </c>
      <c r="AG18" s="2794"/>
      <c r="AH18" s="2048"/>
      <c r="AI18" s="1839">
        <v>0</v>
      </c>
      <c r="AJ18" s="1838"/>
      <c r="AK18" s="2795"/>
      <c r="AL18" s="1838">
        <f t="shared" ref="AL18:AL39" si="0">ROUND(AF18-AI18,1)</f>
        <v>0</v>
      </c>
      <c r="AM18" s="1911"/>
      <c r="AN18" s="2843">
        <f>ROUND(IF(AI18=0,0,AL18/(AI18)),3)</f>
        <v>0</v>
      </c>
    </row>
    <row r="19" spans="1:40" ht="15.75">
      <c r="A19" s="223"/>
      <c r="B19" s="1837" t="s">
        <v>1437</v>
      </c>
      <c r="C19" s="223"/>
      <c r="D19" s="308"/>
      <c r="E19" s="2148"/>
      <c r="F19" s="319"/>
      <c r="G19" s="2148"/>
      <c r="H19" s="319"/>
      <c r="I19" s="2148"/>
      <c r="J19" s="319"/>
      <c r="K19" s="2148"/>
      <c r="L19" s="261"/>
      <c r="M19" s="261"/>
      <c r="N19" s="261"/>
      <c r="O19" s="518"/>
      <c r="P19" s="261"/>
      <c r="Q19" s="518"/>
      <c r="R19" s="261"/>
      <c r="S19" s="518"/>
      <c r="T19" s="261"/>
      <c r="U19" s="518"/>
      <c r="V19" s="261"/>
      <c r="W19" s="518"/>
      <c r="X19" s="261"/>
      <c r="Y19" s="518"/>
      <c r="Z19" s="261"/>
      <c r="AA19" s="2148"/>
      <c r="AB19" s="2148"/>
      <c r="AC19" s="2148"/>
      <c r="AD19" s="319"/>
      <c r="AE19" s="1290"/>
      <c r="AF19" s="2149"/>
      <c r="AG19" s="2154"/>
      <c r="AH19" s="262"/>
      <c r="AI19" s="319"/>
      <c r="AJ19" s="320"/>
      <c r="AK19" s="2151"/>
      <c r="AL19" s="1358" t="s">
        <v>16</v>
      </c>
      <c r="AM19" s="658"/>
      <c r="AN19" s="1871" t="s">
        <v>16</v>
      </c>
    </row>
    <row r="20" spans="1:40" ht="15.75">
      <c r="A20" s="223"/>
      <c r="B20" s="1837" t="s">
        <v>1343</v>
      </c>
      <c r="C20" s="223"/>
      <c r="D20" s="308"/>
      <c r="E20" s="2148">
        <v>0</v>
      </c>
      <c r="F20" s="319"/>
      <c r="G20" s="2148">
        <v>0</v>
      </c>
      <c r="H20" s="319"/>
      <c r="I20" s="2148"/>
      <c r="J20" s="319"/>
      <c r="K20" s="2148"/>
      <c r="L20" s="261"/>
      <c r="M20" s="2148"/>
      <c r="N20" s="261"/>
      <c r="O20" s="2148"/>
      <c r="P20" s="261"/>
      <c r="Q20" s="518"/>
      <c r="R20" s="261"/>
      <c r="S20" s="518"/>
      <c r="T20" s="261"/>
      <c r="U20" s="518"/>
      <c r="V20" s="261"/>
      <c r="W20" s="518"/>
      <c r="X20" s="261"/>
      <c r="Y20" s="518"/>
      <c r="Z20" s="261"/>
      <c r="AA20" s="2148"/>
      <c r="AB20" s="2148"/>
      <c r="AC20" s="1208">
        <v>0</v>
      </c>
      <c r="AD20" s="319"/>
      <c r="AE20" s="1290"/>
      <c r="AF20" s="320">
        <f>ROUND(SUM(E20:AC20),1)</f>
        <v>0</v>
      </c>
      <c r="AG20" s="2154"/>
      <c r="AH20" s="262"/>
      <c r="AI20" s="319">
        <v>0</v>
      </c>
      <c r="AJ20" s="320"/>
      <c r="AK20" s="2151"/>
      <c r="AL20" s="320">
        <f t="shared" si="0"/>
        <v>0</v>
      </c>
      <c r="AM20" s="658"/>
      <c r="AN20" s="45">
        <f t="shared" ref="AN20:AN40" si="1">ROUND(IF(AI20=0,0,AL20/(AI20)),3)</f>
        <v>0</v>
      </c>
    </row>
    <row r="21" spans="1:40" ht="15.75">
      <c r="A21" s="223"/>
      <c r="B21" s="1837" t="s">
        <v>1442</v>
      </c>
      <c r="C21" s="223"/>
      <c r="D21" s="308"/>
      <c r="E21" s="2148"/>
      <c r="F21" s="319"/>
      <c r="G21" s="2148"/>
      <c r="H21" s="319"/>
      <c r="I21" s="2148"/>
      <c r="J21" s="319"/>
      <c r="K21" s="2148"/>
      <c r="L21" s="261"/>
      <c r="M21" s="2148"/>
      <c r="N21" s="261"/>
      <c r="O21" s="2148"/>
      <c r="P21" s="261"/>
      <c r="Q21" s="518"/>
      <c r="R21" s="261"/>
      <c r="S21" s="518"/>
      <c r="T21" s="261"/>
      <c r="U21" s="518"/>
      <c r="V21" s="261"/>
      <c r="W21" s="518"/>
      <c r="X21" s="261"/>
      <c r="Y21" s="518"/>
      <c r="Z21" s="261"/>
      <c r="AA21" s="2148"/>
      <c r="AB21" s="2148"/>
      <c r="AC21" s="2148"/>
      <c r="AD21" s="319"/>
      <c r="AE21" s="1290"/>
      <c r="AF21" s="320"/>
      <c r="AG21" s="2154"/>
      <c r="AH21" s="262"/>
      <c r="AI21" s="319"/>
      <c r="AJ21" s="320"/>
      <c r="AK21" s="2151"/>
      <c r="AL21" s="1358" t="s">
        <v>16</v>
      </c>
      <c r="AM21" s="658"/>
      <c r="AN21" s="1871" t="s">
        <v>16</v>
      </c>
    </row>
    <row r="22" spans="1:40" ht="15.75">
      <c r="A22" s="223"/>
      <c r="B22" s="1837" t="s">
        <v>1347</v>
      </c>
      <c r="C22" s="223"/>
      <c r="D22" s="308"/>
      <c r="E22" s="2148">
        <v>0</v>
      </c>
      <c r="F22" s="319"/>
      <c r="G22" s="2148">
        <v>0</v>
      </c>
      <c r="H22" s="319"/>
      <c r="I22" s="2148"/>
      <c r="J22" s="319"/>
      <c r="K22" s="2148"/>
      <c r="L22" s="261"/>
      <c r="M22" s="2148"/>
      <c r="N22" s="261"/>
      <c r="O22" s="2148"/>
      <c r="P22" s="261"/>
      <c r="Q22" s="518"/>
      <c r="R22" s="261"/>
      <c r="S22" s="518"/>
      <c r="T22" s="261"/>
      <c r="U22" s="518"/>
      <c r="V22" s="261"/>
      <c r="W22" s="518"/>
      <c r="X22" s="261"/>
      <c r="Y22" s="518"/>
      <c r="Z22" s="261"/>
      <c r="AA22" s="2148"/>
      <c r="AB22" s="2148"/>
      <c r="AC22" s="1208">
        <v>0</v>
      </c>
      <c r="AD22" s="319"/>
      <c r="AE22" s="1290"/>
      <c r="AF22" s="320">
        <f t="shared" ref="AF22:AF27" si="2">ROUND(SUM(E22:AC22),1)</f>
        <v>0</v>
      </c>
      <c r="AG22" s="2154"/>
      <c r="AH22" s="262"/>
      <c r="AI22" s="319">
        <v>0</v>
      </c>
      <c r="AJ22" s="320"/>
      <c r="AK22" s="2151"/>
      <c r="AL22" s="320">
        <f t="shared" si="0"/>
        <v>0</v>
      </c>
      <c r="AM22" s="658"/>
      <c r="AN22" s="45">
        <f t="shared" si="1"/>
        <v>0</v>
      </c>
    </row>
    <row r="23" spans="1:40" ht="15.75">
      <c r="A23" s="223"/>
      <c r="B23" s="1837" t="s">
        <v>1529</v>
      </c>
      <c r="C23" s="223"/>
      <c r="D23" s="308"/>
      <c r="E23" s="2148">
        <v>0</v>
      </c>
      <c r="F23" s="319"/>
      <c r="G23" s="2148">
        <v>0</v>
      </c>
      <c r="H23" s="319"/>
      <c r="I23" s="2148"/>
      <c r="J23" s="319"/>
      <c r="K23" s="2148"/>
      <c r="L23" s="261"/>
      <c r="M23" s="2148"/>
      <c r="N23" s="261"/>
      <c r="O23" s="2148"/>
      <c r="P23" s="261"/>
      <c r="Q23" s="518"/>
      <c r="R23" s="261"/>
      <c r="S23" s="518"/>
      <c r="T23" s="261"/>
      <c r="U23" s="518"/>
      <c r="V23" s="261"/>
      <c r="W23" s="518"/>
      <c r="X23" s="261"/>
      <c r="Y23" s="518"/>
      <c r="Z23" s="261"/>
      <c r="AA23" s="2148"/>
      <c r="AB23" s="2148"/>
      <c r="AC23" s="1208">
        <v>0</v>
      </c>
      <c r="AD23" s="319"/>
      <c r="AE23" s="1290"/>
      <c r="AF23" s="320">
        <f t="shared" si="2"/>
        <v>0</v>
      </c>
      <c r="AG23" s="2916"/>
      <c r="AH23" s="262"/>
      <c r="AI23" s="319">
        <v>0</v>
      </c>
      <c r="AJ23" s="320"/>
      <c r="AK23" s="2151"/>
      <c r="AL23" s="320">
        <f t="shared" ref="AL23" si="3">ROUND(AF23-AI23,1)</f>
        <v>0</v>
      </c>
      <c r="AM23" s="658"/>
      <c r="AN23" s="2828">
        <f t="shared" ref="AN23" si="4">ROUND(IF(AI23=0,0,AL23/(AI23)),3)</f>
        <v>0</v>
      </c>
    </row>
    <row r="24" spans="1:40" ht="15.75">
      <c r="A24" s="223"/>
      <c r="B24" s="1837" t="s">
        <v>1350</v>
      </c>
      <c r="C24" s="223"/>
      <c r="D24" s="308"/>
      <c r="E24" s="2148">
        <v>0</v>
      </c>
      <c r="F24" s="319"/>
      <c r="G24" s="2148">
        <v>0</v>
      </c>
      <c r="H24" s="319"/>
      <c r="I24" s="2148"/>
      <c r="J24" s="319"/>
      <c r="K24" s="2148"/>
      <c r="L24" s="261"/>
      <c r="M24" s="2148"/>
      <c r="N24" s="261"/>
      <c r="O24" s="2148"/>
      <c r="P24" s="261"/>
      <c r="Q24" s="518"/>
      <c r="R24" s="261"/>
      <c r="S24" s="518"/>
      <c r="T24" s="261"/>
      <c r="U24" s="518"/>
      <c r="V24" s="261"/>
      <c r="W24" s="518"/>
      <c r="X24" s="261"/>
      <c r="Y24" s="518"/>
      <c r="Z24" s="261"/>
      <c r="AA24" s="2148"/>
      <c r="AB24" s="2148"/>
      <c r="AC24" s="1208">
        <v>0</v>
      </c>
      <c r="AD24" s="319"/>
      <c r="AE24" s="1290"/>
      <c r="AF24" s="320">
        <f t="shared" si="2"/>
        <v>0</v>
      </c>
      <c r="AG24" s="2154"/>
      <c r="AH24" s="262"/>
      <c r="AI24" s="319">
        <v>0</v>
      </c>
      <c r="AJ24" s="320"/>
      <c r="AK24" s="2151"/>
      <c r="AL24" s="320">
        <f t="shared" si="0"/>
        <v>0</v>
      </c>
      <c r="AM24" s="658"/>
      <c r="AN24" s="45">
        <f t="shared" si="1"/>
        <v>0</v>
      </c>
    </row>
    <row r="25" spans="1:40" ht="15.75">
      <c r="A25" s="223"/>
      <c r="B25" s="1837" t="s">
        <v>1351</v>
      </c>
      <c r="C25" s="223"/>
      <c r="D25" s="308"/>
      <c r="E25" s="2148">
        <v>0</v>
      </c>
      <c r="F25" s="319"/>
      <c r="G25" s="2148">
        <v>0</v>
      </c>
      <c r="H25" s="319"/>
      <c r="I25" s="2148"/>
      <c r="J25" s="319"/>
      <c r="K25" s="2148"/>
      <c r="L25" s="261"/>
      <c r="M25" s="2148"/>
      <c r="N25" s="261"/>
      <c r="O25" s="2148"/>
      <c r="P25" s="261"/>
      <c r="Q25" s="518"/>
      <c r="R25" s="261"/>
      <c r="S25" s="518"/>
      <c r="T25" s="261"/>
      <c r="U25" s="518"/>
      <c r="V25" s="261"/>
      <c r="W25" s="518"/>
      <c r="X25" s="261"/>
      <c r="Y25" s="518"/>
      <c r="Z25" s="261"/>
      <c r="AA25" s="2148"/>
      <c r="AB25" s="2148"/>
      <c r="AC25" s="1208">
        <v>0</v>
      </c>
      <c r="AD25" s="319"/>
      <c r="AE25" s="1290"/>
      <c r="AF25" s="320">
        <f t="shared" si="2"/>
        <v>0</v>
      </c>
      <c r="AG25" s="2154"/>
      <c r="AH25" s="262"/>
      <c r="AI25" s="319">
        <v>0</v>
      </c>
      <c r="AJ25" s="320"/>
      <c r="AK25" s="2151"/>
      <c r="AL25" s="320">
        <f t="shared" si="0"/>
        <v>0</v>
      </c>
      <c r="AM25" s="658"/>
      <c r="AN25" s="45">
        <f t="shared" si="1"/>
        <v>0</v>
      </c>
    </row>
    <row r="26" spans="1:40" ht="15.75">
      <c r="A26" s="223"/>
      <c r="B26" s="1837" t="s">
        <v>1309</v>
      </c>
      <c r="C26" s="223"/>
      <c r="D26" s="308"/>
      <c r="E26" s="2148">
        <v>0</v>
      </c>
      <c r="F26" s="319"/>
      <c r="G26" s="2148">
        <v>0</v>
      </c>
      <c r="H26" s="319"/>
      <c r="I26" s="2148"/>
      <c r="J26" s="319"/>
      <c r="K26" s="2148"/>
      <c r="L26" s="261"/>
      <c r="M26" s="2148"/>
      <c r="N26" s="261"/>
      <c r="O26" s="2148"/>
      <c r="P26" s="261"/>
      <c r="Q26" s="518"/>
      <c r="R26" s="261"/>
      <c r="S26" s="518"/>
      <c r="T26" s="261"/>
      <c r="U26" s="518"/>
      <c r="V26" s="261"/>
      <c r="W26" s="518"/>
      <c r="X26" s="261"/>
      <c r="Y26" s="518"/>
      <c r="Z26" s="261"/>
      <c r="AA26" s="2148"/>
      <c r="AB26" s="2148"/>
      <c r="AC26" s="1208">
        <v>0</v>
      </c>
      <c r="AD26" s="319"/>
      <c r="AE26" s="1290"/>
      <c r="AF26" s="320">
        <f t="shared" si="2"/>
        <v>0</v>
      </c>
      <c r="AG26" s="2154"/>
      <c r="AH26" s="262"/>
      <c r="AI26" s="319">
        <v>0</v>
      </c>
      <c r="AJ26" s="320"/>
      <c r="AK26" s="2151"/>
      <c r="AL26" s="320">
        <f t="shared" si="0"/>
        <v>0</v>
      </c>
      <c r="AM26" s="658"/>
      <c r="AN26" s="45">
        <f t="shared" si="1"/>
        <v>0</v>
      </c>
    </row>
    <row r="27" spans="1:40" ht="15.75">
      <c r="A27" s="223"/>
      <c r="B27" s="1837" t="s">
        <v>1310</v>
      </c>
      <c r="C27" s="223"/>
      <c r="D27" s="308"/>
      <c r="E27" s="2148">
        <v>0</v>
      </c>
      <c r="F27" s="319"/>
      <c r="G27" s="2148">
        <v>0</v>
      </c>
      <c r="H27" s="319"/>
      <c r="I27" s="2148"/>
      <c r="J27" s="319"/>
      <c r="K27" s="2148"/>
      <c r="L27" s="261"/>
      <c r="M27" s="2148"/>
      <c r="N27" s="261"/>
      <c r="O27" s="2148"/>
      <c r="P27" s="261"/>
      <c r="Q27" s="518"/>
      <c r="R27" s="261"/>
      <c r="S27" s="518"/>
      <c r="T27" s="261"/>
      <c r="U27" s="518"/>
      <c r="V27" s="261"/>
      <c r="W27" s="518"/>
      <c r="X27" s="261"/>
      <c r="Y27" s="518"/>
      <c r="Z27" s="261"/>
      <c r="AA27" s="2148"/>
      <c r="AB27" s="2148"/>
      <c r="AC27" s="1208">
        <v>0</v>
      </c>
      <c r="AD27" s="319"/>
      <c r="AE27" s="1290"/>
      <c r="AF27" s="320">
        <f t="shared" si="2"/>
        <v>0</v>
      </c>
      <c r="AG27" s="2154"/>
      <c r="AH27" s="262"/>
      <c r="AI27" s="319">
        <v>0</v>
      </c>
      <c r="AJ27" s="320"/>
      <c r="AK27" s="2151"/>
      <c r="AL27" s="320">
        <f t="shared" si="0"/>
        <v>0</v>
      </c>
      <c r="AM27" s="658"/>
      <c r="AN27" s="45">
        <f t="shared" si="1"/>
        <v>0</v>
      </c>
    </row>
    <row r="28" spans="1:40" ht="15.75">
      <c r="A28" s="223"/>
      <c r="B28" s="1837" t="s">
        <v>1440</v>
      </c>
      <c r="C28" s="223"/>
      <c r="D28" s="308"/>
      <c r="E28" s="2148"/>
      <c r="F28" s="319"/>
      <c r="G28" s="2148"/>
      <c r="H28" s="319"/>
      <c r="I28" s="2148"/>
      <c r="J28" s="319"/>
      <c r="K28" s="2148"/>
      <c r="L28" s="261"/>
      <c r="M28" s="2148"/>
      <c r="N28" s="261"/>
      <c r="O28" s="2148"/>
      <c r="P28" s="261"/>
      <c r="Q28" s="518"/>
      <c r="R28" s="261"/>
      <c r="S28" s="518"/>
      <c r="T28" s="261"/>
      <c r="U28" s="518"/>
      <c r="V28" s="261"/>
      <c r="W28" s="518"/>
      <c r="X28" s="261"/>
      <c r="Y28" s="518"/>
      <c r="Z28" s="261"/>
      <c r="AA28" s="2148"/>
      <c r="AB28" s="2148"/>
      <c r="AC28" s="1208"/>
      <c r="AD28" s="319"/>
      <c r="AE28" s="1290"/>
      <c r="AF28" s="320"/>
      <c r="AG28" s="2154"/>
      <c r="AH28" s="262"/>
      <c r="AI28" s="319"/>
      <c r="AJ28" s="320"/>
      <c r="AK28" s="2151"/>
      <c r="AL28" s="1358" t="s">
        <v>16</v>
      </c>
      <c r="AM28" s="658"/>
      <c r="AN28" s="1871" t="s">
        <v>16</v>
      </c>
    </row>
    <row r="29" spans="1:40" ht="15.75">
      <c r="A29" s="223"/>
      <c r="B29" s="1837" t="s">
        <v>1355</v>
      </c>
      <c r="C29" s="223"/>
      <c r="D29" s="308"/>
      <c r="E29" s="2148">
        <v>0</v>
      </c>
      <c r="F29" s="319"/>
      <c r="G29" s="2148">
        <v>0</v>
      </c>
      <c r="H29" s="319"/>
      <c r="I29" s="2148"/>
      <c r="J29" s="319"/>
      <c r="K29" s="2148"/>
      <c r="L29" s="261"/>
      <c r="M29" s="2148"/>
      <c r="N29" s="261"/>
      <c r="O29" s="2148"/>
      <c r="P29" s="261"/>
      <c r="Q29" s="518"/>
      <c r="R29" s="261"/>
      <c r="S29" s="518"/>
      <c r="T29" s="261"/>
      <c r="U29" s="518"/>
      <c r="V29" s="261"/>
      <c r="W29" s="518"/>
      <c r="X29" s="261"/>
      <c r="Y29" s="518"/>
      <c r="Z29" s="261"/>
      <c r="AA29" s="2148"/>
      <c r="AB29" s="2148"/>
      <c r="AC29" s="1208">
        <v>0</v>
      </c>
      <c r="AD29" s="319"/>
      <c r="AE29" s="1290"/>
      <c r="AF29" s="320">
        <f>ROUND(SUM(E29:AC29),1)</f>
        <v>0</v>
      </c>
      <c r="AG29" s="2154"/>
      <c r="AH29" s="262"/>
      <c r="AI29" s="319">
        <v>0</v>
      </c>
      <c r="AJ29" s="320"/>
      <c r="AK29" s="2151"/>
      <c r="AL29" s="320">
        <f t="shared" si="0"/>
        <v>0</v>
      </c>
      <c r="AM29" s="658"/>
      <c r="AN29" s="45">
        <f t="shared" si="1"/>
        <v>0</v>
      </c>
    </row>
    <row r="30" spans="1:40" ht="15.75">
      <c r="A30" s="223"/>
      <c r="B30" s="1837" t="s">
        <v>1357</v>
      </c>
      <c r="C30" s="223"/>
      <c r="D30" s="308"/>
      <c r="E30" s="2148">
        <v>0</v>
      </c>
      <c r="F30" s="2148">
        <v>0</v>
      </c>
      <c r="G30" s="2148">
        <v>0</v>
      </c>
      <c r="H30" s="2148"/>
      <c r="I30" s="2148"/>
      <c r="J30" s="2148"/>
      <c r="K30" s="2148"/>
      <c r="L30" s="2148"/>
      <c r="M30" s="2148"/>
      <c r="N30" s="2148"/>
      <c r="O30" s="2148"/>
      <c r="P30" s="2148"/>
      <c r="Q30" s="2148"/>
      <c r="R30" s="2148"/>
      <c r="S30" s="2148"/>
      <c r="T30" s="261"/>
      <c r="U30" s="518"/>
      <c r="V30" s="261"/>
      <c r="W30" s="518"/>
      <c r="X30" s="261"/>
      <c r="Y30" s="518"/>
      <c r="Z30" s="261"/>
      <c r="AA30" s="2148"/>
      <c r="AB30" s="2148"/>
      <c r="AC30" s="1208">
        <v>0</v>
      </c>
      <c r="AD30" s="319"/>
      <c r="AE30" s="1290"/>
      <c r="AF30" s="320">
        <f>ROUND(SUM(E30:AC30),1)</f>
        <v>0</v>
      </c>
      <c r="AG30" s="2916"/>
      <c r="AH30" s="262"/>
      <c r="AI30" s="319">
        <v>0</v>
      </c>
      <c r="AJ30" s="320"/>
      <c r="AK30" s="2151"/>
      <c r="AL30" s="320">
        <f t="shared" si="0"/>
        <v>0</v>
      </c>
      <c r="AM30" s="658"/>
      <c r="AN30" s="2828">
        <f t="shared" si="1"/>
        <v>0</v>
      </c>
    </row>
    <row r="31" spans="1:40" ht="15.75">
      <c r="A31" s="223"/>
      <c r="B31" s="1837" t="s">
        <v>1358</v>
      </c>
      <c r="C31" s="223"/>
      <c r="D31" s="308"/>
      <c r="E31" s="2148">
        <v>0</v>
      </c>
      <c r="F31" s="319"/>
      <c r="G31" s="2148">
        <v>0</v>
      </c>
      <c r="H31" s="319"/>
      <c r="I31" s="2148"/>
      <c r="J31" s="319"/>
      <c r="K31" s="2148"/>
      <c r="L31" s="261"/>
      <c r="M31" s="2148"/>
      <c r="N31" s="261"/>
      <c r="O31" s="2148"/>
      <c r="P31" s="261"/>
      <c r="Q31" s="518"/>
      <c r="R31" s="261"/>
      <c r="S31" s="518"/>
      <c r="T31" s="261"/>
      <c r="U31" s="518"/>
      <c r="V31" s="261"/>
      <c r="W31" s="518"/>
      <c r="X31" s="261"/>
      <c r="Y31" s="518"/>
      <c r="Z31" s="261"/>
      <c r="AA31" s="2148"/>
      <c r="AB31" s="2148"/>
      <c r="AC31" s="1208">
        <v>0</v>
      </c>
      <c r="AD31" s="319"/>
      <c r="AE31" s="1290"/>
      <c r="AF31" s="320">
        <f>ROUND(SUM(E31:AC31),1)</f>
        <v>0</v>
      </c>
      <c r="AG31" s="2154"/>
      <c r="AH31" s="262"/>
      <c r="AI31" s="319">
        <v>0</v>
      </c>
      <c r="AJ31" s="320"/>
      <c r="AK31" s="2151"/>
      <c r="AL31" s="320">
        <f t="shared" si="0"/>
        <v>0</v>
      </c>
      <c r="AM31" s="658"/>
      <c r="AN31" s="45">
        <f t="shared" si="1"/>
        <v>0</v>
      </c>
    </row>
    <row r="32" spans="1:40" ht="15.75">
      <c r="A32" s="223"/>
      <c r="B32" s="1837" t="s">
        <v>1328</v>
      </c>
      <c r="C32" s="223"/>
      <c r="D32" s="308"/>
      <c r="E32" s="2148">
        <v>0</v>
      </c>
      <c r="F32" s="319"/>
      <c r="G32" s="2148">
        <v>0</v>
      </c>
      <c r="H32" s="319"/>
      <c r="I32" s="2148"/>
      <c r="J32" s="319"/>
      <c r="K32" s="2148"/>
      <c r="L32" s="261"/>
      <c r="M32" s="2148"/>
      <c r="N32" s="261"/>
      <c r="O32" s="2148"/>
      <c r="P32" s="261"/>
      <c r="Q32" s="518"/>
      <c r="R32" s="261"/>
      <c r="S32" s="518"/>
      <c r="T32" s="261"/>
      <c r="U32" s="518"/>
      <c r="V32" s="261"/>
      <c r="W32" s="518"/>
      <c r="X32" s="261"/>
      <c r="Y32" s="518"/>
      <c r="Z32" s="261"/>
      <c r="AA32" s="2148"/>
      <c r="AB32" s="2148"/>
      <c r="AC32" s="1208">
        <v>0</v>
      </c>
      <c r="AD32" s="319"/>
      <c r="AE32" s="1290"/>
      <c r="AF32" s="320">
        <f>ROUND(SUM(E32:AC32),1)</f>
        <v>0</v>
      </c>
      <c r="AG32" s="2154"/>
      <c r="AH32" s="262"/>
      <c r="AI32" s="319">
        <v>0</v>
      </c>
      <c r="AJ32" s="320"/>
      <c r="AK32" s="2151"/>
      <c r="AL32" s="320">
        <f t="shared" si="0"/>
        <v>0</v>
      </c>
      <c r="AM32" s="658"/>
      <c r="AN32" s="45">
        <f t="shared" si="1"/>
        <v>0</v>
      </c>
    </row>
    <row r="33" spans="1:41" ht="15.75">
      <c r="A33" s="223"/>
      <c r="B33" s="1837" t="s">
        <v>1329</v>
      </c>
      <c r="C33" s="223"/>
      <c r="D33" s="308"/>
      <c r="E33" s="2148">
        <v>0.1</v>
      </c>
      <c r="F33" s="319"/>
      <c r="G33" s="2148">
        <v>0</v>
      </c>
      <c r="H33" s="319"/>
      <c r="I33" s="2148"/>
      <c r="J33" s="319"/>
      <c r="K33" s="2148"/>
      <c r="L33" s="261"/>
      <c r="M33" s="2148"/>
      <c r="N33" s="261"/>
      <c r="O33" s="518"/>
      <c r="P33" s="261"/>
      <c r="Q33" s="518"/>
      <c r="R33" s="261"/>
      <c r="S33" s="518"/>
      <c r="T33" s="261"/>
      <c r="U33" s="518"/>
      <c r="V33" s="261"/>
      <c r="W33" s="518"/>
      <c r="X33" s="261"/>
      <c r="Y33" s="518"/>
      <c r="Z33" s="261"/>
      <c r="AA33" s="2148"/>
      <c r="AB33" s="2148"/>
      <c r="AC33" s="1208">
        <v>0</v>
      </c>
      <c r="AD33" s="319"/>
      <c r="AE33" s="1290"/>
      <c r="AF33" s="320">
        <f>ROUND(SUM(E33:AC33),1)</f>
        <v>0.1</v>
      </c>
      <c r="AG33" s="2154"/>
      <c r="AH33" s="262"/>
      <c r="AI33" s="319">
        <v>0.1</v>
      </c>
      <c r="AJ33" s="320"/>
      <c r="AK33" s="2151"/>
      <c r="AL33" s="320">
        <f t="shared" si="0"/>
        <v>0</v>
      </c>
      <c r="AM33" s="658"/>
      <c r="AN33" s="45">
        <f t="shared" si="1"/>
        <v>0</v>
      </c>
    </row>
    <row r="34" spans="1:41" ht="15.75">
      <c r="A34" s="223"/>
      <c r="B34" s="1837" t="s">
        <v>1441</v>
      </c>
      <c r="C34" s="223"/>
      <c r="D34" s="308"/>
      <c r="E34" s="2148"/>
      <c r="F34" s="319"/>
      <c r="G34" s="2148"/>
      <c r="H34" s="319"/>
      <c r="I34" s="2148"/>
      <c r="J34" s="319"/>
      <c r="K34" s="2148"/>
      <c r="L34" s="261"/>
      <c r="M34" s="2148"/>
      <c r="N34" s="261"/>
      <c r="O34" s="518"/>
      <c r="P34" s="261"/>
      <c r="Q34" s="518"/>
      <c r="R34" s="261"/>
      <c r="S34" s="518"/>
      <c r="T34" s="261"/>
      <c r="U34" s="518"/>
      <c r="V34" s="261"/>
      <c r="W34" s="518"/>
      <c r="X34" s="261"/>
      <c r="Y34" s="518"/>
      <c r="Z34" s="261"/>
      <c r="AA34" s="2148"/>
      <c r="AB34" s="2148"/>
      <c r="AC34" s="2148"/>
      <c r="AD34" s="319"/>
      <c r="AE34" s="1290"/>
      <c r="AF34" s="320"/>
      <c r="AG34" s="2154"/>
      <c r="AH34" s="262"/>
      <c r="AI34" s="319"/>
      <c r="AJ34" s="320"/>
      <c r="AK34" s="2151"/>
      <c r="AL34" s="1358" t="s">
        <v>16</v>
      </c>
      <c r="AM34" s="658"/>
      <c r="AN34" s="1871" t="s">
        <v>16</v>
      </c>
    </row>
    <row r="35" spans="1:41" ht="15.75">
      <c r="A35" s="223"/>
      <c r="B35" s="1837" t="s">
        <v>1359</v>
      </c>
      <c r="C35" s="223"/>
      <c r="D35" s="308"/>
      <c r="E35" s="2148">
        <v>0</v>
      </c>
      <c r="F35" s="319"/>
      <c r="G35" s="2148">
        <v>0</v>
      </c>
      <c r="H35" s="319"/>
      <c r="I35" s="2148"/>
      <c r="J35" s="319"/>
      <c r="K35" s="2148"/>
      <c r="L35" s="261"/>
      <c r="M35" s="2148"/>
      <c r="N35" s="261"/>
      <c r="O35" s="518"/>
      <c r="P35" s="261"/>
      <c r="Q35" s="518"/>
      <c r="R35" s="261"/>
      <c r="S35" s="518"/>
      <c r="T35" s="261"/>
      <c r="U35" s="518"/>
      <c r="V35" s="261"/>
      <c r="W35" s="518"/>
      <c r="X35" s="261"/>
      <c r="Y35" s="518"/>
      <c r="Z35" s="261"/>
      <c r="AA35" s="2148"/>
      <c r="AB35" s="2148"/>
      <c r="AC35" s="1208">
        <v>0</v>
      </c>
      <c r="AD35" s="319"/>
      <c r="AE35" s="1290"/>
      <c r="AF35" s="320">
        <f>ROUND(SUM(E35:AC35),1)</f>
        <v>0</v>
      </c>
      <c r="AG35" s="2154"/>
      <c r="AH35" s="262"/>
      <c r="AI35" s="319">
        <v>0</v>
      </c>
      <c r="AJ35" s="320"/>
      <c r="AK35" s="2151"/>
      <c r="AL35" s="320">
        <f t="shared" si="0"/>
        <v>0</v>
      </c>
      <c r="AM35" s="658"/>
      <c r="AN35" s="45">
        <f t="shared" si="1"/>
        <v>0</v>
      </c>
    </row>
    <row r="36" spans="1:41" ht="15.75">
      <c r="A36" s="223"/>
      <c r="B36" s="1837" t="s">
        <v>1361</v>
      </c>
      <c r="C36" s="223"/>
      <c r="D36" s="308"/>
      <c r="E36" s="2148">
        <v>0</v>
      </c>
      <c r="F36" s="319"/>
      <c r="G36" s="2148">
        <v>0</v>
      </c>
      <c r="H36" s="319"/>
      <c r="I36" s="2148"/>
      <c r="J36" s="319"/>
      <c r="K36" s="2148"/>
      <c r="L36" s="261"/>
      <c r="M36" s="2148"/>
      <c r="N36" s="261"/>
      <c r="O36" s="518"/>
      <c r="P36" s="261"/>
      <c r="Q36" s="518"/>
      <c r="R36" s="261"/>
      <c r="S36" s="518"/>
      <c r="T36" s="261"/>
      <c r="U36" s="518"/>
      <c r="V36" s="261"/>
      <c r="W36" s="518"/>
      <c r="X36" s="261"/>
      <c r="Y36" s="518"/>
      <c r="Z36" s="261"/>
      <c r="AA36" s="2148"/>
      <c r="AB36" s="2148"/>
      <c r="AC36" s="1208">
        <v>0</v>
      </c>
      <c r="AD36" s="319"/>
      <c r="AE36" s="1290"/>
      <c r="AF36" s="320">
        <f>ROUND(SUM(E36:AC36),1)</f>
        <v>0</v>
      </c>
      <c r="AG36" s="2154"/>
      <c r="AH36" s="262"/>
      <c r="AI36" s="319">
        <v>0</v>
      </c>
      <c r="AJ36" s="320"/>
      <c r="AK36" s="2151"/>
      <c r="AL36" s="320">
        <f t="shared" si="0"/>
        <v>0</v>
      </c>
      <c r="AM36" s="658"/>
      <c r="AN36" s="45">
        <f t="shared" si="1"/>
        <v>0</v>
      </c>
    </row>
    <row r="37" spans="1:41" ht="15.75">
      <c r="A37" s="223"/>
      <c r="B37" s="1837" t="s">
        <v>1365</v>
      </c>
      <c r="C37" s="223"/>
      <c r="D37" s="308"/>
      <c r="E37" s="2148">
        <v>0</v>
      </c>
      <c r="F37" s="319"/>
      <c r="G37" s="2148">
        <v>0</v>
      </c>
      <c r="H37" s="319"/>
      <c r="I37" s="2148"/>
      <c r="J37" s="319"/>
      <c r="K37" s="2148"/>
      <c r="L37" s="261"/>
      <c r="M37" s="2148"/>
      <c r="N37" s="261"/>
      <c r="O37" s="518"/>
      <c r="P37" s="261"/>
      <c r="Q37" s="518"/>
      <c r="R37" s="261"/>
      <c r="S37" s="518"/>
      <c r="T37" s="261"/>
      <c r="U37" s="518"/>
      <c r="V37" s="261"/>
      <c r="W37" s="518"/>
      <c r="X37" s="261"/>
      <c r="Y37" s="518"/>
      <c r="Z37" s="261"/>
      <c r="AA37" s="2148"/>
      <c r="AB37" s="2148"/>
      <c r="AC37" s="1208">
        <v>0</v>
      </c>
      <c r="AD37" s="319"/>
      <c r="AE37" s="1290"/>
      <c r="AF37" s="320">
        <f>ROUND(SUM(E37:AC37),1)</f>
        <v>0</v>
      </c>
      <c r="AG37" s="2154"/>
      <c r="AH37" s="262"/>
      <c r="AI37" s="319">
        <v>0</v>
      </c>
      <c r="AJ37" s="320"/>
      <c r="AK37" s="2151"/>
      <c r="AL37" s="320">
        <f t="shared" si="0"/>
        <v>0</v>
      </c>
      <c r="AM37" s="658"/>
      <c r="AN37" s="45">
        <f t="shared" si="1"/>
        <v>0</v>
      </c>
    </row>
    <row r="38" spans="1:41" ht="15.75">
      <c r="A38" s="223"/>
      <c r="B38" s="1837" t="s">
        <v>1367</v>
      </c>
      <c r="C38" s="223"/>
      <c r="D38" s="308"/>
      <c r="E38" s="2148">
        <v>0</v>
      </c>
      <c r="F38" s="319"/>
      <c r="G38" s="2148">
        <v>0</v>
      </c>
      <c r="H38" s="319"/>
      <c r="I38" s="2148"/>
      <c r="J38" s="319"/>
      <c r="K38" s="2148"/>
      <c r="L38" s="261"/>
      <c r="M38" s="2148"/>
      <c r="N38" s="261"/>
      <c r="O38" s="518"/>
      <c r="P38" s="261"/>
      <c r="Q38" s="518"/>
      <c r="R38" s="261"/>
      <c r="S38" s="518"/>
      <c r="T38" s="261"/>
      <c r="U38" s="518"/>
      <c r="V38" s="261"/>
      <c r="W38" s="518"/>
      <c r="X38" s="261"/>
      <c r="Y38" s="518"/>
      <c r="Z38" s="261"/>
      <c r="AA38" s="2148"/>
      <c r="AB38" s="2148"/>
      <c r="AC38" s="1208">
        <v>0</v>
      </c>
      <c r="AD38" s="319"/>
      <c r="AE38" s="1290"/>
      <c r="AF38" s="320">
        <f>ROUND(SUM(E38:AC38),1)</f>
        <v>0</v>
      </c>
      <c r="AG38" s="2154"/>
      <c r="AH38" s="262"/>
      <c r="AI38" s="319">
        <v>0</v>
      </c>
      <c r="AJ38" s="320"/>
      <c r="AK38" s="2151"/>
      <c r="AL38" s="320">
        <f t="shared" si="0"/>
        <v>0</v>
      </c>
      <c r="AM38" s="658"/>
      <c r="AN38" s="45">
        <f t="shared" si="1"/>
        <v>0</v>
      </c>
    </row>
    <row r="39" spans="1:41" ht="15.75">
      <c r="A39" s="223"/>
      <c r="B39" s="1837" t="s">
        <v>1339</v>
      </c>
      <c r="C39" s="223"/>
      <c r="D39" s="308"/>
      <c r="E39" s="2148">
        <v>0.1</v>
      </c>
      <c r="F39" s="319"/>
      <c r="G39" s="2148">
        <v>0.1</v>
      </c>
      <c r="H39" s="319"/>
      <c r="I39" s="2148"/>
      <c r="J39" s="319"/>
      <c r="K39" s="2148"/>
      <c r="L39" s="261"/>
      <c r="M39" s="2148"/>
      <c r="N39" s="261"/>
      <c r="O39" s="518"/>
      <c r="P39" s="261"/>
      <c r="Q39" s="518"/>
      <c r="R39" s="261"/>
      <c r="S39" s="518"/>
      <c r="T39" s="261"/>
      <c r="U39" s="518"/>
      <c r="V39" s="261"/>
      <c r="W39" s="518"/>
      <c r="X39" s="261"/>
      <c r="Y39" s="518"/>
      <c r="Z39" s="261"/>
      <c r="AA39" s="2148"/>
      <c r="AB39" s="2148"/>
      <c r="AC39" s="1208">
        <v>0</v>
      </c>
      <c r="AD39" s="319"/>
      <c r="AE39" s="1290"/>
      <c r="AF39" s="320">
        <f>ROUND(SUM(E39:AC39),1)</f>
        <v>0.2</v>
      </c>
      <c r="AG39" s="2154"/>
      <c r="AH39" s="262"/>
      <c r="AI39" s="319">
        <v>0</v>
      </c>
      <c r="AJ39" s="320"/>
      <c r="AK39" s="2151"/>
      <c r="AL39" s="320">
        <f t="shared" si="0"/>
        <v>0.2</v>
      </c>
      <c r="AM39" s="658"/>
      <c r="AN39" s="2843">
        <f>ROUND(IF(AI39=0,1,AL39/(AI39)),3)</f>
        <v>1</v>
      </c>
    </row>
    <row r="40" spans="1:41" s="653" customFormat="1" ht="15.75" collapsed="1">
      <c r="A40" s="221"/>
      <c r="B40" s="590" t="s">
        <v>1377</v>
      </c>
      <c r="C40" s="221"/>
      <c r="D40" s="306"/>
      <c r="E40" s="1289">
        <f>ROUND(SUM(E18:E39),1)</f>
        <v>0.2</v>
      </c>
      <c r="F40" s="313"/>
      <c r="G40" s="1289">
        <f>ROUND(SUM(G18:G39),1)</f>
        <v>0.1</v>
      </c>
      <c r="H40" s="2174"/>
      <c r="I40" s="1289">
        <f>ROUND(SUM(I18:I39),1)</f>
        <v>0</v>
      </c>
      <c r="J40" s="313"/>
      <c r="K40" s="1289">
        <f>ROUND(SUM(K18:K39),1)</f>
        <v>0</v>
      </c>
      <c r="L40" s="1899"/>
      <c r="M40" s="1289">
        <f>ROUND(SUM(M18:M39),1)</f>
        <v>0</v>
      </c>
      <c r="N40" s="1899"/>
      <c r="O40" s="1289">
        <f>ROUND(SUM(O18:O39),1)</f>
        <v>0</v>
      </c>
      <c r="P40" s="1899"/>
      <c r="Q40" s="1289">
        <f>ROUND(SUM(Q18:Q39),1)</f>
        <v>0</v>
      </c>
      <c r="R40" s="1899"/>
      <c r="S40" s="1289">
        <f>ROUND(SUM(S18:S39),1)</f>
        <v>0</v>
      </c>
      <c r="T40" s="1899"/>
      <c r="U40" s="1289">
        <f>ROUND(SUM(U18:U39),1)</f>
        <v>0</v>
      </c>
      <c r="V40" s="1899"/>
      <c r="W40" s="1289">
        <f>ROUND(SUM(W18:W39),1)</f>
        <v>0</v>
      </c>
      <c r="X40" s="1899"/>
      <c r="Y40" s="1289">
        <f>ROUND(SUM(Y18:Y39),1)</f>
        <v>0</v>
      </c>
      <c r="Z40" s="1899"/>
      <c r="AA40" s="1289">
        <f>ROUND(SUM(AA18:AA39),1)</f>
        <v>0</v>
      </c>
      <c r="AB40" s="316"/>
      <c r="AC40" s="1289">
        <f>ROUND(SUM(AC18:AC39),1)</f>
        <v>0</v>
      </c>
      <c r="AD40" s="313"/>
      <c r="AE40" s="1291"/>
      <c r="AF40" s="1289">
        <f>ROUND(SUM(AF18:AF39),1)</f>
        <v>0.3</v>
      </c>
      <c r="AG40" s="2155"/>
      <c r="AH40" s="316"/>
      <c r="AI40" s="1289">
        <f>ROUND(SUM(AI18:AI39),1)</f>
        <v>0.1</v>
      </c>
      <c r="AJ40" s="2199"/>
      <c r="AK40" s="2151"/>
      <c r="AL40" s="1289">
        <f>ROUND(SUM(AL18:AL39),1)</f>
        <v>0.2</v>
      </c>
      <c r="AM40" s="2111"/>
      <c r="AN40" s="72">
        <f t="shared" si="1"/>
        <v>2</v>
      </c>
    </row>
    <row r="41" spans="1:41" s="682" customFormat="1" ht="15.75">
      <c r="A41" s="261"/>
      <c r="B41" s="2090"/>
      <c r="C41" s="261"/>
      <c r="D41" s="319"/>
      <c r="E41" s="2148"/>
      <c r="F41" s="319"/>
      <c r="G41" s="689"/>
      <c r="H41" s="319"/>
      <c r="I41" s="2148"/>
      <c r="J41" s="319"/>
      <c r="K41" s="689"/>
      <c r="L41" s="261"/>
      <c r="M41" s="518"/>
      <c r="N41" s="261"/>
      <c r="O41" s="517"/>
      <c r="P41" s="261"/>
      <c r="Q41" s="518"/>
      <c r="R41" s="261"/>
      <c r="S41" s="517"/>
      <c r="T41" s="261"/>
      <c r="U41" s="517"/>
      <c r="V41" s="261"/>
      <c r="W41" s="518"/>
      <c r="X41" s="261"/>
      <c r="Y41" s="518"/>
      <c r="Z41" s="261"/>
      <c r="AA41" s="2148"/>
      <c r="AB41" s="2148"/>
      <c r="AC41" s="2148"/>
      <c r="AD41" s="319"/>
      <c r="AE41" s="1290"/>
      <c r="AF41" s="320"/>
      <c r="AG41" s="2150"/>
      <c r="AH41" s="1290"/>
      <c r="AI41" s="2148"/>
      <c r="AJ41" s="320"/>
      <c r="AK41" s="2151"/>
      <c r="AL41" s="690"/>
      <c r="AM41" s="251"/>
      <c r="AN41" s="656"/>
      <c r="AO41" s="251"/>
    </row>
    <row r="42" spans="1:41" ht="15.75">
      <c r="A42" s="223"/>
      <c r="B42" s="223" t="s">
        <v>155</v>
      </c>
      <c r="C42" s="223"/>
      <c r="D42" s="308"/>
      <c r="E42" s="319">
        <v>101</v>
      </c>
      <c r="F42" s="319"/>
      <c r="G42" s="2148">
        <v>69.7</v>
      </c>
      <c r="H42" s="319"/>
      <c r="I42" s="2148"/>
      <c r="J42" s="319"/>
      <c r="K42" s="2148"/>
      <c r="L42" s="261"/>
      <c r="M42" s="518"/>
      <c r="N42" s="261"/>
      <c r="O42" s="517"/>
      <c r="P42" s="261"/>
      <c r="Q42" s="518"/>
      <c r="R42" s="261"/>
      <c r="S42" s="517"/>
      <c r="T42" s="261"/>
      <c r="U42" s="261"/>
      <c r="V42" s="261"/>
      <c r="W42" s="261"/>
      <c r="X42" s="261"/>
      <c r="Y42" s="518"/>
      <c r="Z42" s="261"/>
      <c r="AA42" s="319"/>
      <c r="AB42" s="319"/>
      <c r="AC42" s="319">
        <v>0</v>
      </c>
      <c r="AD42" s="319"/>
      <c r="AE42" s="1290"/>
      <c r="AF42" s="320">
        <f>ROUND(SUM(E42:AC42),1)</f>
        <v>170.7</v>
      </c>
      <c r="AG42" s="2150"/>
      <c r="AH42" s="1290"/>
      <c r="AI42" s="319">
        <v>240.2</v>
      </c>
      <c r="AJ42" s="320"/>
      <c r="AK42" s="2195"/>
      <c r="AL42" s="2218">
        <f>ROUND(AF42-AI42,1)</f>
        <v>-69.5</v>
      </c>
      <c r="AM42" s="658"/>
      <c r="AN42" s="1854">
        <f>ROUND(IF(AI42=0,0,AL42/(AI42)),3)</f>
        <v>-0.28899999999999998</v>
      </c>
    </row>
    <row r="43" spans="1:41" ht="15.75">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90"/>
      <c r="AF43" s="328"/>
      <c r="AG43" s="2150"/>
      <c r="AH43" s="1290"/>
      <c r="AI43" s="328"/>
      <c r="AJ43" s="262"/>
      <c r="AK43" s="2195"/>
      <c r="AL43" s="690"/>
      <c r="AM43" s="648"/>
      <c r="AN43" s="656"/>
    </row>
    <row r="44" spans="1:41" ht="15.75">
      <c r="A44" s="223"/>
      <c r="B44" s="221" t="s">
        <v>204</v>
      </c>
      <c r="C44" s="223"/>
      <c r="D44" s="308"/>
      <c r="E44" s="313">
        <f>ROUND(SUM(E40+E42),1)</f>
        <v>101.2</v>
      </c>
      <c r="F44" s="313"/>
      <c r="G44" s="313">
        <f>ROUND(SUM(G40+G42),1)</f>
        <v>69.8</v>
      </c>
      <c r="H44" s="313"/>
      <c r="I44" s="313">
        <f>ROUND(SUM(I40+I42),1)</f>
        <v>0</v>
      </c>
      <c r="J44" s="313"/>
      <c r="K44" s="313">
        <f>ROUND(SUM(K40+K42),1)</f>
        <v>0</v>
      </c>
      <c r="L44" s="257"/>
      <c r="M44" s="1899">
        <f>ROUND(SUM(M40+M42),1)</f>
        <v>0</v>
      </c>
      <c r="N44" s="257"/>
      <c r="O44" s="1899">
        <f>ROUND(SUM(O40+O42),1)</f>
        <v>0</v>
      </c>
      <c r="P44" s="257"/>
      <c r="Q44" s="1899">
        <f>ROUND(SUM(Q40+Q42),1)</f>
        <v>0</v>
      </c>
      <c r="R44" s="257"/>
      <c r="S44" s="1899">
        <f>ROUND(SUM(S40+S42),1)</f>
        <v>0</v>
      </c>
      <c r="T44" s="257"/>
      <c r="U44" s="1899">
        <f>ROUND(SUM(U40+U42),1)</f>
        <v>0</v>
      </c>
      <c r="V44" s="257"/>
      <c r="W44" s="1899">
        <f>ROUND(SUM(W40+W42),1)</f>
        <v>0</v>
      </c>
      <c r="X44" s="257"/>
      <c r="Y44" s="1899">
        <f>ROUND(SUM(Y40+Y42),1)</f>
        <v>0</v>
      </c>
      <c r="Z44" s="257"/>
      <c r="AA44" s="313">
        <f>ROUND(SUM(AA40+AA42),1)</f>
        <v>0</v>
      </c>
      <c r="AB44" s="313"/>
      <c r="AC44" s="313">
        <f>ROUND(SUM(AC40+AC42),1)</f>
        <v>0</v>
      </c>
      <c r="AD44" s="313"/>
      <c r="AE44" s="1291"/>
      <c r="AF44" s="313">
        <f>ROUND(SUM(AF40+AF42),1)</f>
        <v>171</v>
      </c>
      <c r="AG44" s="2155"/>
      <c r="AH44" s="1291"/>
      <c r="AI44" s="313">
        <f>ROUND(SUM(AI40+AI42),1)</f>
        <v>240.3</v>
      </c>
      <c r="AJ44" s="2199"/>
      <c r="AK44" s="2195"/>
      <c r="AL44" s="2202">
        <f>ROUND(SUM(AL40+AL42),1)</f>
        <v>-69.3</v>
      </c>
      <c r="AM44" s="369"/>
      <c r="AN44" s="556">
        <f>ROUND(SUM(AF44-AI44)/AI44,3)</f>
        <v>-0.28799999999999998</v>
      </c>
      <c r="AO44" s="653"/>
    </row>
    <row r="45" spans="1:41" ht="15.75">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90"/>
      <c r="AF45" s="328"/>
      <c r="AG45" s="2150"/>
      <c r="AH45" s="1290"/>
      <c r="AI45" s="328"/>
      <c r="AJ45" s="262"/>
      <c r="AK45" s="2195"/>
      <c r="AL45" s="690"/>
      <c r="AM45" s="648"/>
      <c r="AN45" s="656"/>
    </row>
    <row r="46" spans="1:41" ht="15.75">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90"/>
      <c r="AF46" s="319"/>
      <c r="AG46" s="2150"/>
      <c r="AH46" s="1290"/>
      <c r="AI46" s="319"/>
      <c r="AJ46" s="319"/>
      <c r="AK46" s="2195"/>
      <c r="AL46" s="690"/>
      <c r="AM46" s="648"/>
      <c r="AN46" s="656"/>
    </row>
    <row r="47" spans="1:41" ht="15.75">
      <c r="A47" s="223"/>
      <c r="B47" s="223" t="s">
        <v>157</v>
      </c>
      <c r="C47" s="223"/>
      <c r="D47" s="308"/>
      <c r="E47" s="2148"/>
      <c r="F47" s="319"/>
      <c r="G47" s="319"/>
      <c r="H47" s="319"/>
      <c r="I47" s="319"/>
      <c r="J47" s="319"/>
      <c r="K47" s="319"/>
      <c r="L47" s="261"/>
      <c r="M47" s="261"/>
      <c r="N47" s="261"/>
      <c r="O47" s="261"/>
      <c r="P47" s="261"/>
      <c r="Q47" s="518"/>
      <c r="R47" s="261"/>
      <c r="S47" s="261"/>
      <c r="T47" s="261"/>
      <c r="U47" s="274"/>
      <c r="V47" s="261"/>
      <c r="W47" s="261"/>
      <c r="X47" s="261"/>
      <c r="Y47" s="261"/>
      <c r="Z47" s="261"/>
      <c r="AA47" s="319"/>
      <c r="AB47" s="319"/>
      <c r="AC47" s="319"/>
      <c r="AD47" s="319"/>
      <c r="AE47" s="1290"/>
      <c r="AF47" s="2148"/>
      <c r="AG47" s="2150"/>
      <c r="AH47" s="1290"/>
      <c r="AI47" s="319"/>
      <c r="AJ47" s="319"/>
      <c r="AK47" s="2195"/>
      <c r="AL47" s="690"/>
      <c r="AM47" s="658"/>
      <c r="AN47" s="656"/>
    </row>
    <row r="48" spans="1:41" ht="15.75">
      <c r="A48" s="223"/>
      <c r="B48" s="223" t="s">
        <v>26</v>
      </c>
      <c r="C48" s="223"/>
      <c r="D48" s="308"/>
      <c r="E48" s="689">
        <v>0</v>
      </c>
      <c r="F48" s="319"/>
      <c r="G48" s="689">
        <v>0</v>
      </c>
      <c r="H48" s="319"/>
      <c r="I48" s="689"/>
      <c r="J48" s="319"/>
      <c r="K48" s="689"/>
      <c r="L48" s="261"/>
      <c r="M48" s="373"/>
      <c r="N48" s="261"/>
      <c r="O48" s="373"/>
      <c r="P48" s="261"/>
      <c r="Q48" s="373"/>
      <c r="R48" s="261"/>
      <c r="S48" s="373"/>
      <c r="T48" s="261"/>
      <c r="U48" s="373"/>
      <c r="V48" s="261"/>
      <c r="W48" s="373"/>
      <c r="X48" s="261"/>
      <c r="Y48" s="373"/>
      <c r="Z48" s="261"/>
      <c r="AA48" s="689"/>
      <c r="AB48" s="689"/>
      <c r="AC48" s="1208">
        <v>0</v>
      </c>
      <c r="AD48" s="319"/>
      <c r="AE48" s="1290"/>
      <c r="AF48" s="320">
        <f>ROUND(SUM(E48:AC48),1)</f>
        <v>0</v>
      </c>
      <c r="AG48" s="2150"/>
      <c r="AH48" s="1290"/>
      <c r="AI48" s="689">
        <v>0</v>
      </c>
      <c r="AJ48" s="320"/>
      <c r="AK48" s="2151"/>
      <c r="AL48" s="2219">
        <f>ROUND(AF48-AI48,1)</f>
        <v>0</v>
      </c>
      <c r="AM48" s="658"/>
      <c r="AN48" s="45">
        <f>ROUND(IF(AI48=0,0,AL48/(AI48)),3)</f>
        <v>0</v>
      </c>
    </row>
    <row r="49" spans="1:43" ht="15.75">
      <c r="A49" s="223"/>
      <c r="B49" s="223" t="s">
        <v>27</v>
      </c>
      <c r="C49" s="223"/>
      <c r="D49" s="308"/>
      <c r="E49" s="2214">
        <v>0</v>
      </c>
      <c r="F49" s="319"/>
      <c r="G49" s="689">
        <v>0</v>
      </c>
      <c r="H49" s="319"/>
      <c r="I49" s="2148"/>
      <c r="J49" s="319"/>
      <c r="K49" s="689"/>
      <c r="L49" s="261"/>
      <c r="M49" s="517"/>
      <c r="N49" s="261"/>
      <c r="O49" s="517"/>
      <c r="P49" s="261"/>
      <c r="Q49" s="517"/>
      <c r="R49" s="261"/>
      <c r="S49" s="373"/>
      <c r="T49" s="261"/>
      <c r="U49" s="517"/>
      <c r="V49" s="261"/>
      <c r="W49" s="373"/>
      <c r="X49" s="261"/>
      <c r="Y49" s="373"/>
      <c r="Z49" s="261"/>
      <c r="AA49" s="689"/>
      <c r="AB49" s="689"/>
      <c r="AC49" s="1208">
        <v>0</v>
      </c>
      <c r="AD49" s="319"/>
      <c r="AE49" s="1290"/>
      <c r="AF49" s="320">
        <f>ROUND(SUM(E49:AC49),1)</f>
        <v>0</v>
      </c>
      <c r="AG49" s="2150"/>
      <c r="AH49" s="1290"/>
      <c r="AI49" s="2214">
        <v>0</v>
      </c>
      <c r="AJ49" s="320"/>
      <c r="AK49" s="2151"/>
      <c r="AL49" s="2219">
        <f>ROUND(AF49-AI49,1)</f>
        <v>0</v>
      </c>
      <c r="AM49" s="658"/>
      <c r="AN49" s="45">
        <f>ROUND(IF(AI49=0,0,AL49/(AI49)),3)</f>
        <v>0</v>
      </c>
    </row>
    <row r="50" spans="1:43" ht="15.75">
      <c r="A50" s="223"/>
      <c r="B50" s="223" t="s">
        <v>28</v>
      </c>
      <c r="C50" s="223"/>
      <c r="D50" s="308"/>
      <c r="E50" s="689">
        <v>0</v>
      </c>
      <c r="F50" s="319"/>
      <c r="G50" s="689">
        <v>0</v>
      </c>
      <c r="H50" s="319"/>
      <c r="I50" s="689"/>
      <c r="J50" s="319"/>
      <c r="K50" s="689"/>
      <c r="L50" s="261"/>
      <c r="M50" s="373"/>
      <c r="N50" s="261"/>
      <c r="O50" s="373"/>
      <c r="P50" s="261"/>
      <c r="Q50" s="373"/>
      <c r="R50" s="261"/>
      <c r="S50" s="373"/>
      <c r="T50" s="261"/>
      <c r="U50" s="373"/>
      <c r="V50" s="261"/>
      <c r="W50" s="373"/>
      <c r="X50" s="261"/>
      <c r="Y50" s="373"/>
      <c r="Z50" s="261"/>
      <c r="AA50" s="319"/>
      <c r="AB50" s="319"/>
      <c r="AC50" s="1208">
        <v>0</v>
      </c>
      <c r="AD50" s="319"/>
      <c r="AE50" s="1290"/>
      <c r="AF50" s="320">
        <f>ROUND(SUM(E50:AC50),1)</f>
        <v>0</v>
      </c>
      <c r="AG50" s="2150"/>
      <c r="AH50" s="1290"/>
      <c r="AI50" s="689">
        <v>0</v>
      </c>
      <c r="AJ50" s="320"/>
      <c r="AK50" s="2151"/>
      <c r="AL50" s="2219">
        <f>ROUND(AF50-AI50,1)</f>
        <v>0</v>
      </c>
      <c r="AM50" s="648"/>
      <c r="AN50" s="45">
        <f>ROUND(IF(AI50=0,0,AL50/(AI50)),3)</f>
        <v>0</v>
      </c>
    </row>
    <row r="51" spans="1:43" ht="15.75">
      <c r="A51" s="223"/>
      <c r="B51" s="223" t="s">
        <v>29</v>
      </c>
      <c r="C51" s="223"/>
      <c r="D51" s="308"/>
      <c r="E51" s="689"/>
      <c r="F51" s="319"/>
      <c r="G51" s="689"/>
      <c r="H51" s="319"/>
      <c r="I51" s="689"/>
      <c r="J51" s="319"/>
      <c r="K51" s="689"/>
      <c r="L51" s="261"/>
      <c r="M51" s="373"/>
      <c r="N51" s="261"/>
      <c r="O51" s="373"/>
      <c r="P51" s="261"/>
      <c r="Q51" s="373"/>
      <c r="R51" s="261"/>
      <c r="S51" s="373"/>
      <c r="T51" s="261"/>
      <c r="U51" s="517"/>
      <c r="V51" s="261"/>
      <c r="W51" s="373"/>
      <c r="X51" s="261"/>
      <c r="Y51" s="373"/>
      <c r="Z51" s="261"/>
      <c r="AA51" s="689"/>
      <c r="AB51" s="689"/>
      <c r="AC51" s="689"/>
      <c r="AD51" s="319"/>
      <c r="AE51" s="1290"/>
      <c r="AF51" s="320"/>
      <c r="AG51" s="2150"/>
      <c r="AH51" s="1290"/>
      <c r="AI51" s="689"/>
      <c r="AJ51" s="319"/>
      <c r="AK51" s="2195"/>
      <c r="AL51" s="2220" t="s">
        <v>16</v>
      </c>
      <c r="AM51" s="658"/>
      <c r="AN51" s="1181" t="s">
        <v>16</v>
      </c>
    </row>
    <row r="52" spans="1:43" ht="15.75">
      <c r="A52" s="223"/>
      <c r="B52" s="223" t="s">
        <v>30</v>
      </c>
      <c r="C52" s="221"/>
      <c r="D52" s="308"/>
      <c r="E52" s="689">
        <v>0</v>
      </c>
      <c r="F52" s="319"/>
      <c r="G52" s="689">
        <v>0</v>
      </c>
      <c r="H52" s="319"/>
      <c r="I52" s="689"/>
      <c r="J52" s="319"/>
      <c r="K52" s="689"/>
      <c r="L52" s="261"/>
      <c r="M52" s="373"/>
      <c r="N52" s="261"/>
      <c r="O52" s="373"/>
      <c r="P52" s="261"/>
      <c r="Q52" s="373"/>
      <c r="R52" s="261"/>
      <c r="S52" s="373"/>
      <c r="T52" s="261"/>
      <c r="U52" s="373"/>
      <c r="V52" s="261"/>
      <c r="W52" s="373"/>
      <c r="X52" s="261"/>
      <c r="Y52" s="373"/>
      <c r="Z52" s="261"/>
      <c r="AA52" s="319"/>
      <c r="AB52" s="319"/>
      <c r="AC52" s="1208">
        <v>0</v>
      </c>
      <c r="AD52" s="319"/>
      <c r="AE52" s="1290"/>
      <c r="AF52" s="320">
        <f t="shared" ref="AF52:AF57" si="5">ROUND(SUM(E52:AC52),1)</f>
        <v>0</v>
      </c>
      <c r="AG52" s="2150"/>
      <c r="AH52" s="1290"/>
      <c r="AI52" s="689">
        <v>0</v>
      </c>
      <c r="AJ52" s="319"/>
      <c r="AK52" s="2195"/>
      <c r="AL52" s="2219">
        <f t="shared" ref="AL52:AL57" si="6">ROUND(AF52-AI52,1)</f>
        <v>0</v>
      </c>
      <c r="AM52" s="648"/>
      <c r="AN52" s="45">
        <f>ROUND(IF(AI52=0,0,AL52/(AI52)),3)</f>
        <v>0</v>
      </c>
      <c r="AO52" s="648"/>
    </row>
    <row r="53" spans="1:43" ht="15.75">
      <c r="A53" s="223"/>
      <c r="B53" s="223" t="s">
        <v>31</v>
      </c>
      <c r="C53" s="223"/>
      <c r="D53" s="308"/>
      <c r="E53" s="689">
        <v>0</v>
      </c>
      <c r="F53" s="319"/>
      <c r="G53" s="689">
        <v>0</v>
      </c>
      <c r="H53" s="319"/>
      <c r="I53" s="689"/>
      <c r="J53" s="319"/>
      <c r="K53" s="689"/>
      <c r="L53" s="261"/>
      <c r="M53" s="373"/>
      <c r="N53" s="261"/>
      <c r="O53" s="517"/>
      <c r="P53" s="261"/>
      <c r="Q53" s="517"/>
      <c r="R53" s="261"/>
      <c r="S53" s="373"/>
      <c r="T53" s="261"/>
      <c r="U53" s="373"/>
      <c r="V53" s="261"/>
      <c r="W53" s="373"/>
      <c r="X53" s="261"/>
      <c r="Y53" s="373"/>
      <c r="Z53" s="261"/>
      <c r="AA53" s="689"/>
      <c r="AB53" s="689"/>
      <c r="AC53" s="1208">
        <v>0</v>
      </c>
      <c r="AD53" s="319"/>
      <c r="AE53" s="1290"/>
      <c r="AF53" s="320">
        <f t="shared" si="5"/>
        <v>0</v>
      </c>
      <c r="AG53" s="2150"/>
      <c r="AH53" s="1290"/>
      <c r="AI53" s="2214">
        <v>0</v>
      </c>
      <c r="AJ53" s="320"/>
      <c r="AK53" s="2151"/>
      <c r="AL53" s="2219">
        <f t="shared" si="6"/>
        <v>0</v>
      </c>
      <c r="AM53" s="658"/>
      <c r="AN53" s="2700">
        <f>ROUND(IF(AI53=0,0,AL53/(AI53)),3)</f>
        <v>0</v>
      </c>
    </row>
    <row r="54" spans="1:43" ht="15.75">
      <c r="A54" s="223"/>
      <c r="B54" s="223" t="s">
        <v>32</v>
      </c>
      <c r="C54" s="223"/>
      <c r="D54" s="308"/>
      <c r="E54" s="689">
        <v>0</v>
      </c>
      <c r="F54" s="319"/>
      <c r="G54" s="689">
        <v>0</v>
      </c>
      <c r="H54" s="319"/>
      <c r="I54" s="689"/>
      <c r="J54" s="319"/>
      <c r="K54" s="689"/>
      <c r="L54" s="261"/>
      <c r="M54" s="373"/>
      <c r="N54" s="261"/>
      <c r="O54" s="373"/>
      <c r="P54" s="261"/>
      <c r="Q54" s="373"/>
      <c r="R54" s="261"/>
      <c r="S54" s="373"/>
      <c r="T54" s="261"/>
      <c r="U54" s="373"/>
      <c r="V54" s="261"/>
      <c r="W54" s="373"/>
      <c r="X54" s="261"/>
      <c r="Y54" s="373"/>
      <c r="Z54" s="261"/>
      <c r="AA54" s="319"/>
      <c r="AB54" s="319"/>
      <c r="AC54" s="1208">
        <v>0</v>
      </c>
      <c r="AD54" s="319"/>
      <c r="AE54" s="1290"/>
      <c r="AF54" s="320">
        <f t="shared" si="5"/>
        <v>0</v>
      </c>
      <c r="AG54" s="2150"/>
      <c r="AH54" s="1290"/>
      <c r="AI54" s="689">
        <v>0</v>
      </c>
      <c r="AJ54" s="320"/>
      <c r="AK54" s="2151"/>
      <c r="AL54" s="2219">
        <f t="shared" si="6"/>
        <v>0</v>
      </c>
      <c r="AM54" s="648"/>
      <c r="AN54" s="45">
        <f>ROUND(IF(AI54=0,0,AL54/(AI54)),3)</f>
        <v>0</v>
      </c>
    </row>
    <row r="55" spans="1:43" ht="15.75">
      <c r="A55" s="223"/>
      <c r="B55" s="223" t="s">
        <v>33</v>
      </c>
      <c r="C55" s="223"/>
      <c r="D55" s="308"/>
      <c r="E55" s="689">
        <v>0</v>
      </c>
      <c r="F55" s="319"/>
      <c r="G55" s="689">
        <v>0</v>
      </c>
      <c r="H55" s="319"/>
      <c r="I55" s="689"/>
      <c r="J55" s="319"/>
      <c r="K55" s="689"/>
      <c r="L55" s="261"/>
      <c r="M55" s="373"/>
      <c r="N55" s="261"/>
      <c r="O55" s="373"/>
      <c r="P55" s="261"/>
      <c r="Q55" s="373"/>
      <c r="R55" s="261"/>
      <c r="S55" s="373"/>
      <c r="T55" s="261"/>
      <c r="U55" s="373"/>
      <c r="V55" s="261"/>
      <c r="W55" s="373"/>
      <c r="X55" s="261"/>
      <c r="Y55" s="373"/>
      <c r="Z55" s="261"/>
      <c r="AA55" s="689"/>
      <c r="AB55" s="689"/>
      <c r="AC55" s="1208">
        <v>0</v>
      </c>
      <c r="AD55" s="319"/>
      <c r="AE55" s="1290"/>
      <c r="AF55" s="320">
        <f t="shared" si="5"/>
        <v>0</v>
      </c>
      <c r="AG55" s="2150"/>
      <c r="AH55" s="1290"/>
      <c r="AI55" s="689">
        <v>0</v>
      </c>
      <c r="AJ55" s="319"/>
      <c r="AK55" s="2195"/>
      <c r="AL55" s="2219">
        <f t="shared" si="6"/>
        <v>0</v>
      </c>
      <c r="AM55" s="658"/>
      <c r="AN55" s="45">
        <f>ROUND(IF(AI55=0,0,AL55/(AI55)),3)</f>
        <v>0</v>
      </c>
    </row>
    <row r="56" spans="1:43" ht="15.75">
      <c r="A56" s="223"/>
      <c r="B56" s="223" t="s">
        <v>34</v>
      </c>
      <c r="C56" s="221"/>
      <c r="D56" s="308"/>
      <c r="E56" s="689">
        <v>0</v>
      </c>
      <c r="F56" s="319"/>
      <c r="G56" s="689">
        <v>0</v>
      </c>
      <c r="H56" s="319"/>
      <c r="I56" s="689"/>
      <c r="J56" s="319"/>
      <c r="K56" s="689"/>
      <c r="L56" s="261"/>
      <c r="M56" s="373"/>
      <c r="N56" s="261"/>
      <c r="O56" s="373"/>
      <c r="P56" s="261"/>
      <c r="Q56" s="373"/>
      <c r="R56" s="261"/>
      <c r="S56" s="373"/>
      <c r="T56" s="261"/>
      <c r="U56" s="373"/>
      <c r="V56" s="261"/>
      <c r="W56" s="373"/>
      <c r="X56" s="261"/>
      <c r="Y56" s="373"/>
      <c r="Z56" s="261"/>
      <c r="AA56" s="319"/>
      <c r="AB56" s="319"/>
      <c r="AC56" s="1208">
        <v>0</v>
      </c>
      <c r="AD56" s="319"/>
      <c r="AE56" s="1290"/>
      <c r="AF56" s="320">
        <f t="shared" si="5"/>
        <v>0</v>
      </c>
      <c r="AG56" s="2150"/>
      <c r="AH56" s="1290"/>
      <c r="AI56" s="689">
        <v>0</v>
      </c>
      <c r="AJ56" s="319"/>
      <c r="AK56" s="2195"/>
      <c r="AL56" s="2219">
        <f t="shared" si="6"/>
        <v>0</v>
      </c>
      <c r="AM56" s="648"/>
      <c r="AN56" s="45">
        <f>ROUND(IF(AI56=0,0,AL56/(AI56)),3)</f>
        <v>0</v>
      </c>
      <c r="AO56" s="648"/>
    </row>
    <row r="57" spans="1:43" ht="15.75">
      <c r="A57" s="223"/>
      <c r="B57" s="223" t="s">
        <v>35</v>
      </c>
      <c r="C57" s="223"/>
      <c r="D57" s="308"/>
      <c r="E57" s="2214">
        <v>26.6</v>
      </c>
      <c r="F57" s="319"/>
      <c r="G57" s="2148">
        <v>27.9</v>
      </c>
      <c r="H57" s="319"/>
      <c r="I57" s="2148"/>
      <c r="J57" s="319"/>
      <c r="K57" s="1283"/>
      <c r="L57" s="261"/>
      <c r="M57" s="517"/>
      <c r="N57" s="261"/>
      <c r="O57" s="517"/>
      <c r="P57" s="261"/>
      <c r="Q57" s="517"/>
      <c r="R57" s="261"/>
      <c r="S57" s="517"/>
      <c r="T57" s="261"/>
      <c r="U57" s="517"/>
      <c r="V57" s="261"/>
      <c r="W57" s="373"/>
      <c r="X57" s="261"/>
      <c r="Y57" s="373"/>
      <c r="Z57" s="261"/>
      <c r="AA57" s="689"/>
      <c r="AB57" s="689"/>
      <c r="AC57" s="1208">
        <v>0</v>
      </c>
      <c r="AD57" s="319"/>
      <c r="AE57" s="1290"/>
      <c r="AF57" s="320">
        <f t="shared" si="5"/>
        <v>54.5</v>
      </c>
      <c r="AG57" s="2150"/>
      <c r="AH57" s="1290"/>
      <c r="AI57" s="1868">
        <v>81.900000000000006</v>
      </c>
      <c r="AJ57" s="262"/>
      <c r="AK57" s="2195"/>
      <c r="AL57" s="2219">
        <f t="shared" si="6"/>
        <v>-27.4</v>
      </c>
      <c r="AM57" s="648"/>
      <c r="AN57" s="1500">
        <f>ROUND((AF57-AI57)/AI57,3)</f>
        <v>-0.33500000000000002</v>
      </c>
    </row>
    <row r="58" spans="1:43" ht="15.75">
      <c r="A58" s="223"/>
      <c r="B58" s="221" t="s">
        <v>205</v>
      </c>
      <c r="C58" s="223"/>
      <c r="D58" s="308"/>
      <c r="E58" s="2177">
        <f>ROUND(SUM(E48:E57),1)</f>
        <v>26.6</v>
      </c>
      <c r="F58" s="313"/>
      <c r="G58" s="2177">
        <f>ROUND(SUM(G48:G57),1)</f>
        <v>27.9</v>
      </c>
      <c r="H58" s="313"/>
      <c r="I58" s="2177">
        <f>ROUND(SUM(I48:I57),1)</f>
        <v>0</v>
      </c>
      <c r="J58" s="313"/>
      <c r="K58" s="2177">
        <f>ROUND(SUM(K48:K57),1)</f>
        <v>0</v>
      </c>
      <c r="L58" s="257"/>
      <c r="M58" s="546">
        <f>ROUND(SUM(M48:M57),1)</f>
        <v>0</v>
      </c>
      <c r="N58" s="257"/>
      <c r="O58" s="546">
        <f>ROUND(SUM(O48:O57),1)</f>
        <v>0</v>
      </c>
      <c r="P58" s="257"/>
      <c r="Q58" s="546">
        <f>ROUND(SUM(Q48:Q57),1)</f>
        <v>0</v>
      </c>
      <c r="R58" s="257"/>
      <c r="S58" s="546">
        <f>ROUND(SUM(S48:S57),1)</f>
        <v>0</v>
      </c>
      <c r="T58" s="257"/>
      <c r="U58" s="546">
        <f>ROUND(SUM(U48:U57),1)</f>
        <v>0</v>
      </c>
      <c r="V58" s="257"/>
      <c r="W58" s="546">
        <f>ROUND(SUM(W48:W57),1)</f>
        <v>0</v>
      </c>
      <c r="X58" s="257"/>
      <c r="Y58" s="546">
        <f>ROUND(SUM(Y48:Y57),1)</f>
        <v>0</v>
      </c>
      <c r="Z58" s="257"/>
      <c r="AA58" s="2177">
        <f>ROUND(SUM(AA48:AA57),1)</f>
        <v>0</v>
      </c>
      <c r="AB58" s="316"/>
      <c r="AC58" s="2177">
        <f>ROUND(SUM(AC48:AC57),1)</f>
        <v>0</v>
      </c>
      <c r="AD58" s="313"/>
      <c r="AE58" s="1291"/>
      <c r="AF58" s="2177">
        <f>ROUND(SUM(AF48:AF57),1)</f>
        <v>54.5</v>
      </c>
      <c r="AG58" s="2155"/>
      <c r="AH58" s="1291"/>
      <c r="AI58" s="2177">
        <f>ROUND(SUM(AI48:AI57),1)</f>
        <v>81.900000000000006</v>
      </c>
      <c r="AJ58" s="316"/>
      <c r="AK58" s="2195"/>
      <c r="AL58" s="2177">
        <f>ROUND(SUM(AL48:AL57),1)</f>
        <v>-27.4</v>
      </c>
      <c r="AM58" s="666"/>
      <c r="AN58" s="667">
        <f>ROUND(SUM(AF58-AI58)/AI58,3)</f>
        <v>-0.33500000000000002</v>
      </c>
      <c r="AO58" s="666"/>
      <c r="AP58" s="653"/>
      <c r="AQ58" s="653"/>
    </row>
    <row r="59" spans="1:43" ht="15.75">
      <c r="A59" s="223"/>
      <c r="B59" s="223" t="s">
        <v>206</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90"/>
      <c r="AF59" s="329"/>
      <c r="AG59" s="2150"/>
      <c r="AH59" s="1290"/>
      <c r="AI59" s="319"/>
      <c r="AJ59" s="319"/>
      <c r="AK59" s="2195"/>
      <c r="AL59" s="690"/>
      <c r="AM59" s="648"/>
      <c r="AN59" s="656"/>
    </row>
    <row r="60" spans="1:43" ht="15.75">
      <c r="A60" s="223"/>
      <c r="B60" s="223" t="s">
        <v>207</v>
      </c>
      <c r="C60" s="223"/>
      <c r="D60" s="308"/>
      <c r="E60" s="689">
        <v>0</v>
      </c>
      <c r="F60" s="319"/>
      <c r="G60" s="689">
        <v>0</v>
      </c>
      <c r="H60" s="319"/>
      <c r="I60" s="689"/>
      <c r="J60" s="319"/>
      <c r="K60" s="689"/>
      <c r="L60" s="261"/>
      <c r="M60" s="373"/>
      <c r="N60" s="261"/>
      <c r="O60" s="373"/>
      <c r="P60" s="261"/>
      <c r="Q60" s="373"/>
      <c r="R60" s="261"/>
      <c r="S60" s="373"/>
      <c r="T60" s="261"/>
      <c r="U60" s="373"/>
      <c r="V60" s="261"/>
      <c r="W60" s="373"/>
      <c r="X60" s="261"/>
      <c r="Y60" s="373"/>
      <c r="Z60" s="261"/>
      <c r="AA60" s="689"/>
      <c r="AB60" s="689"/>
      <c r="AC60" s="1208">
        <v>0</v>
      </c>
      <c r="AD60" s="319"/>
      <c r="AE60" s="1290"/>
      <c r="AF60" s="320">
        <f>ROUND(SUM(E60:AC60),1)</f>
        <v>0</v>
      </c>
      <c r="AG60" s="2150"/>
      <c r="AH60" s="1290"/>
      <c r="AI60" s="689">
        <v>0</v>
      </c>
      <c r="AJ60" s="329"/>
      <c r="AK60" s="2203"/>
      <c r="AL60" s="2219">
        <f>ROUND(AF60-AI60,1)</f>
        <v>0</v>
      </c>
      <c r="AM60" s="648"/>
      <c r="AN60" s="45">
        <f>ROUND(IF(AI60=0,0,AL60/(AI60)),3)</f>
        <v>0</v>
      </c>
      <c r="AO60" s="370"/>
    </row>
    <row r="61" spans="1:43" ht="15.75">
      <c r="A61" s="223"/>
      <c r="B61" s="223" t="s">
        <v>208</v>
      </c>
      <c r="C61" s="223"/>
      <c r="D61" s="308"/>
      <c r="E61" s="689">
        <v>0</v>
      </c>
      <c r="F61" s="319"/>
      <c r="G61" s="689">
        <v>0</v>
      </c>
      <c r="H61" s="319"/>
      <c r="I61" s="689"/>
      <c r="J61" s="319"/>
      <c r="K61" s="689"/>
      <c r="L61" s="261"/>
      <c r="M61" s="373"/>
      <c r="N61" s="261"/>
      <c r="O61" s="373"/>
      <c r="P61" s="261"/>
      <c r="Q61" s="373"/>
      <c r="R61" s="261"/>
      <c r="S61" s="373"/>
      <c r="T61" s="261"/>
      <c r="U61" s="373"/>
      <c r="V61" s="261"/>
      <c r="W61" s="373"/>
      <c r="X61" s="261"/>
      <c r="Y61" s="373"/>
      <c r="Z61" s="261"/>
      <c r="AA61" s="689"/>
      <c r="AB61" s="689"/>
      <c r="AC61" s="1208">
        <v>0</v>
      </c>
      <c r="AD61" s="319"/>
      <c r="AE61" s="1290"/>
      <c r="AF61" s="320">
        <f>ROUND(SUM(E61:AC61),1)</f>
        <v>0</v>
      </c>
      <c r="AG61" s="2150"/>
      <c r="AH61" s="1290"/>
      <c r="AI61" s="689">
        <v>0</v>
      </c>
      <c r="AJ61" s="329"/>
      <c r="AK61" s="2203"/>
      <c r="AL61" s="2219">
        <f>ROUND(AF61-AI61,1)</f>
        <v>0</v>
      </c>
      <c r="AM61" s="648"/>
      <c r="AN61" s="45">
        <f>ROUND(IF(AI61=0,0,AL61/(AI61)),3)</f>
        <v>0</v>
      </c>
    </row>
    <row r="62" spans="1:43" ht="15.75">
      <c r="A62" s="223"/>
      <c r="B62" s="223" t="s">
        <v>209</v>
      </c>
      <c r="C62" s="223"/>
      <c r="D62" s="308"/>
      <c r="E62" s="689">
        <v>0</v>
      </c>
      <c r="F62" s="319"/>
      <c r="G62" s="689">
        <v>0</v>
      </c>
      <c r="H62" s="319"/>
      <c r="I62" s="689"/>
      <c r="J62" s="319"/>
      <c r="K62" s="689"/>
      <c r="L62" s="261"/>
      <c r="M62" s="373"/>
      <c r="N62" s="261"/>
      <c r="O62" s="373"/>
      <c r="P62" s="261"/>
      <c r="Q62" s="373"/>
      <c r="R62" s="261"/>
      <c r="S62" s="373"/>
      <c r="T62" s="261"/>
      <c r="U62" s="373"/>
      <c r="V62" s="261"/>
      <c r="W62" s="373"/>
      <c r="X62" s="261"/>
      <c r="Y62" s="373"/>
      <c r="Z62" s="669"/>
      <c r="AA62" s="689"/>
      <c r="AB62" s="689"/>
      <c r="AC62" s="1208">
        <v>0</v>
      </c>
      <c r="AD62" s="2204"/>
      <c r="AE62" s="2205"/>
      <c r="AF62" s="320">
        <f>ROUND(SUM(E62:AC62),1)</f>
        <v>0</v>
      </c>
      <c r="AG62" s="2150"/>
      <c r="AH62" s="1290"/>
      <c r="AI62" s="689">
        <v>0</v>
      </c>
      <c r="AJ62" s="329"/>
      <c r="AK62" s="2203"/>
      <c r="AL62" s="2219">
        <f>ROUND(AF62-AI62,1)</f>
        <v>0</v>
      </c>
      <c r="AM62" s="648"/>
      <c r="AN62" s="45">
        <f>ROUND(IF(AI62=0,0,AL62/(AI62)),3)</f>
        <v>0</v>
      </c>
    </row>
    <row r="63" spans="1:43" ht="15.75">
      <c r="A63" s="223"/>
      <c r="B63" s="247" t="s">
        <v>221</v>
      </c>
      <c r="C63" s="223"/>
      <c r="D63" s="308"/>
      <c r="E63" s="320">
        <v>76.599999999999994</v>
      </c>
      <c r="F63" s="319"/>
      <c r="G63" s="2176">
        <v>87.6</v>
      </c>
      <c r="H63" s="319"/>
      <c r="I63" s="2176"/>
      <c r="J63" s="319"/>
      <c r="K63" s="2176"/>
      <c r="L63" s="261"/>
      <c r="M63" s="280"/>
      <c r="N63" s="261"/>
      <c r="O63" s="280"/>
      <c r="P63" s="261"/>
      <c r="Q63" s="490"/>
      <c r="R63" s="261"/>
      <c r="S63" s="490"/>
      <c r="T63" s="261"/>
      <c r="U63" s="490"/>
      <c r="V63" s="261"/>
      <c r="W63" s="490"/>
      <c r="X63" s="261"/>
      <c r="Y63" s="373"/>
      <c r="Z63" s="261"/>
      <c r="AA63" s="527"/>
      <c r="AB63" s="262"/>
      <c r="AC63" s="1208">
        <v>0</v>
      </c>
      <c r="AD63" s="319"/>
      <c r="AE63" s="1290"/>
      <c r="AF63" s="320">
        <f>ROUND(SUM(E63:AC63),1)</f>
        <v>164.2</v>
      </c>
      <c r="AG63" s="2150"/>
      <c r="AH63" s="1290"/>
      <c r="AI63" s="1869">
        <v>145.1</v>
      </c>
      <c r="AJ63" s="267"/>
      <c r="AK63" s="2151"/>
      <c r="AL63" s="2221">
        <f>ROUND(AF63-AI63,1)</f>
        <v>19.100000000000001</v>
      </c>
      <c r="AM63" s="648"/>
      <c r="AN63" s="1854">
        <f>ROUND(IF(AI63=0,0,AL63/(AI63)),3)</f>
        <v>0.13200000000000001</v>
      </c>
    </row>
    <row r="64" spans="1:43" ht="15.75">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90"/>
      <c r="AF64" s="328"/>
      <c r="AG64" s="2150"/>
      <c r="AH64" s="1290"/>
      <c r="AI64" s="690"/>
      <c r="AJ64" s="690"/>
      <c r="AK64" s="2207"/>
      <c r="AL64" s="690"/>
      <c r="AM64" s="648"/>
      <c r="AN64" s="656"/>
    </row>
    <row r="65" spans="1:41" ht="15.75">
      <c r="A65" s="223"/>
      <c r="B65" s="221" t="s">
        <v>210</v>
      </c>
      <c r="C65" s="223"/>
      <c r="D65" s="308"/>
      <c r="E65" s="313">
        <f>ROUND(SUM(E58:E63),1)</f>
        <v>103.2</v>
      </c>
      <c r="F65" s="313"/>
      <c r="G65" s="313">
        <f>ROUND(SUM(G58:G63),1)</f>
        <v>115.5</v>
      </c>
      <c r="H65" s="313"/>
      <c r="I65" s="313">
        <f>ROUND(SUM(I58:I63),1)</f>
        <v>0</v>
      </c>
      <c r="J65" s="313"/>
      <c r="K65" s="313">
        <f>ROUND(SUM(K58:K63),1)</f>
        <v>0</v>
      </c>
      <c r="L65" s="257"/>
      <c r="M65" s="257">
        <f>ROUND(SUM(M58:M63),1)</f>
        <v>0</v>
      </c>
      <c r="N65" s="257"/>
      <c r="O65" s="257">
        <f>ROUND(SUM(O58:O63),1)</f>
        <v>0</v>
      </c>
      <c r="P65" s="257"/>
      <c r="Q65" s="257">
        <f>ROUND(SUM(Q58:Q63),1)</f>
        <v>0</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91"/>
      <c r="AF65" s="313">
        <f>ROUND(SUM(AF58:AF63),1)</f>
        <v>218.7</v>
      </c>
      <c r="AG65" s="2155"/>
      <c r="AH65" s="1291"/>
      <c r="AI65" s="313">
        <f>SUM(AI58:AI63)</f>
        <v>227</v>
      </c>
      <c r="AJ65" s="316"/>
      <c r="AK65" s="2195"/>
      <c r="AL65" s="314">
        <f>ROUND(AF65-AI65,1)</f>
        <v>-8.3000000000000007</v>
      </c>
      <c r="AM65" s="666"/>
      <c r="AN65" s="556">
        <f>ROUND(SUM(AF65-AI65)/AI65,3)</f>
        <v>-3.6999999999999998E-2</v>
      </c>
    </row>
    <row r="66" spans="1:41" ht="15.75">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90"/>
      <c r="AF66" s="328"/>
      <c r="AG66" s="2150"/>
      <c r="AH66" s="1290"/>
      <c r="AI66" s="328"/>
      <c r="AJ66" s="262"/>
      <c r="AK66" s="2195"/>
      <c r="AL66" s="690"/>
      <c r="AM66" s="648"/>
      <c r="AN66" s="656"/>
    </row>
    <row r="67" spans="1:41" ht="15.75">
      <c r="A67" s="223"/>
      <c r="B67" s="221" t="s">
        <v>211</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90"/>
      <c r="AF67" s="690"/>
      <c r="AG67" s="2150"/>
      <c r="AH67" s="262"/>
      <c r="AI67" s="690"/>
      <c r="AJ67" s="690"/>
      <c r="AK67" s="2207"/>
      <c r="AL67" s="690"/>
      <c r="AM67" s="648"/>
      <c r="AN67" s="656"/>
    </row>
    <row r="68" spans="1:41" ht="15.75">
      <c r="A68" s="223"/>
      <c r="B68" s="221" t="s">
        <v>212</v>
      </c>
      <c r="C68" s="223"/>
      <c r="D68" s="308"/>
      <c r="E68" s="313">
        <f>ROUND(E44-E65,1)</f>
        <v>-2</v>
      </c>
      <c r="F68" s="313"/>
      <c r="G68" s="313">
        <f>ROUND(G44-G65,1)</f>
        <v>-45.7</v>
      </c>
      <c r="H68" s="313"/>
      <c r="I68" s="313">
        <f>ROUND(I44-I65,1)</f>
        <v>0</v>
      </c>
      <c r="J68" s="313"/>
      <c r="K68" s="313">
        <f>ROUND(K44-K65,1)</f>
        <v>0</v>
      </c>
      <c r="L68" s="257"/>
      <c r="M68" s="257">
        <f>ROUND(M44-M65,1)</f>
        <v>0</v>
      </c>
      <c r="N68" s="257"/>
      <c r="O68" s="257">
        <f>ROUND(O44-O65,1)</f>
        <v>0</v>
      </c>
      <c r="P68" s="257"/>
      <c r="Q68" s="257">
        <f>ROUND(Q44-Q65,1)</f>
        <v>0</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91"/>
      <c r="AF68" s="313">
        <f>ROUND(AF44-AF65,1)</f>
        <v>-47.7</v>
      </c>
      <c r="AG68" s="2155"/>
      <c r="AH68" s="1291"/>
      <c r="AI68" s="313">
        <f>ROUND(SUM(AI44-AI65),1)</f>
        <v>13.3</v>
      </c>
      <c r="AJ68" s="316"/>
      <c r="AK68" s="2195"/>
      <c r="AL68" s="314">
        <f>ROUND(AF68-AI68,1)</f>
        <v>-61</v>
      </c>
      <c r="AM68" s="666"/>
      <c r="AN68" s="556">
        <f>ROUND(SUM(AF68-AI68)/AI68,3)</f>
        <v>-4.5860000000000003</v>
      </c>
    </row>
    <row r="69" spans="1:41" ht="15.75">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90"/>
      <c r="AF69" s="328"/>
      <c r="AG69" s="2150"/>
      <c r="AH69" s="1290"/>
      <c r="AI69" s="328"/>
      <c r="AJ69" s="262"/>
      <c r="AK69" s="2195"/>
      <c r="AL69" s="690"/>
      <c r="AM69" s="648"/>
      <c r="AN69" s="656"/>
    </row>
    <row r="70" spans="1:41" ht="15.75">
      <c r="A70" s="223"/>
      <c r="B70" s="221" t="s">
        <v>213</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90"/>
      <c r="AF70" s="319"/>
      <c r="AG70" s="2150"/>
      <c r="AH70" s="1290"/>
      <c r="AI70" s="329"/>
      <c r="AJ70" s="329"/>
      <c r="AK70" s="2203"/>
      <c r="AL70" s="690"/>
      <c r="AM70" s="648"/>
      <c r="AN70" s="656"/>
    </row>
    <row r="71" spans="1:41" ht="15.75">
      <c r="A71" s="223"/>
      <c r="B71" s="247" t="s">
        <v>222</v>
      </c>
      <c r="C71" s="223"/>
      <c r="D71" s="308"/>
      <c r="E71" s="689">
        <v>0</v>
      </c>
      <c r="F71" s="319"/>
      <c r="G71" s="689">
        <v>0</v>
      </c>
      <c r="H71" s="319"/>
      <c r="I71" s="689"/>
      <c r="J71" s="319"/>
      <c r="K71" s="689"/>
      <c r="L71" s="261"/>
      <c r="M71" s="373"/>
      <c r="N71" s="261"/>
      <c r="O71" s="373"/>
      <c r="P71" s="261"/>
      <c r="Q71" s="373"/>
      <c r="R71" s="261"/>
      <c r="S71" s="373"/>
      <c r="T71" s="261"/>
      <c r="U71" s="373"/>
      <c r="V71" s="261"/>
      <c r="W71" s="373"/>
      <c r="X71" s="261"/>
      <c r="Y71" s="373"/>
      <c r="Z71" s="261"/>
      <c r="AA71" s="689"/>
      <c r="AB71" s="689"/>
      <c r="AC71" s="1208">
        <v>0</v>
      </c>
      <c r="AD71" s="319"/>
      <c r="AE71" s="1290"/>
      <c r="AF71" s="320">
        <f>ROUND(SUM(E71:AC71),1)</f>
        <v>0</v>
      </c>
      <c r="AG71" s="2150"/>
      <c r="AH71" s="1290"/>
      <c r="AI71" s="689">
        <v>0</v>
      </c>
      <c r="AJ71" s="320"/>
      <c r="AK71" s="2151"/>
      <c r="AL71" s="2219">
        <v>0</v>
      </c>
      <c r="AM71" s="648"/>
      <c r="AN71" s="45">
        <f>ROUND(IF(AI71=0,0,AL71/(AI71)),3)</f>
        <v>0</v>
      </c>
      <c r="AO71" s="648"/>
    </row>
    <row r="72" spans="1:41" ht="15.75">
      <c r="A72" s="223"/>
      <c r="B72" s="247" t="s">
        <v>223</v>
      </c>
      <c r="C72" s="223"/>
      <c r="D72" s="308"/>
      <c r="E72" s="689">
        <v>-2</v>
      </c>
      <c r="F72" s="319"/>
      <c r="G72" s="689">
        <v>0</v>
      </c>
      <c r="H72" s="319"/>
      <c r="I72" s="689"/>
      <c r="J72" s="319"/>
      <c r="K72" s="689"/>
      <c r="L72" s="261"/>
      <c r="M72" s="373"/>
      <c r="N72" s="261"/>
      <c r="O72" s="373"/>
      <c r="P72" s="261"/>
      <c r="Q72" s="373"/>
      <c r="R72" s="261"/>
      <c r="S72" s="373"/>
      <c r="T72" s="261"/>
      <c r="U72" s="373"/>
      <c r="V72" s="261"/>
      <c r="W72" s="373"/>
      <c r="X72" s="261"/>
      <c r="Y72" s="373"/>
      <c r="Z72" s="261"/>
      <c r="AA72" s="319"/>
      <c r="AB72" s="319"/>
      <c r="AC72" s="319">
        <v>0</v>
      </c>
      <c r="AD72" s="319"/>
      <c r="AE72" s="1290"/>
      <c r="AF72" s="320">
        <f>ROUND(SUM(E72:AC72),1)</f>
        <v>-2</v>
      </c>
      <c r="AG72" s="2150"/>
      <c r="AH72" s="1290"/>
      <c r="AI72" s="2643">
        <v>-5.7</v>
      </c>
      <c r="AJ72" s="262"/>
      <c r="AK72" s="2195"/>
      <c r="AL72" s="2221">
        <f>ROUND(AF72-AI72,1)</f>
        <v>3.7</v>
      </c>
      <c r="AM72" s="648"/>
      <c r="AN72" s="2843">
        <f>-ROUND(IF(AI72=0,1,AL72/(AI72)),3)</f>
        <v>0.64900000000000002</v>
      </c>
    </row>
    <row r="73" spans="1:41" ht="15.75">
      <c r="A73" s="223"/>
      <c r="B73" s="223"/>
      <c r="C73" s="223"/>
      <c r="D73" s="308"/>
      <c r="E73" s="328"/>
      <c r="F73" s="319"/>
      <c r="G73" s="328"/>
      <c r="H73" s="319"/>
      <c r="I73" s="328"/>
      <c r="J73" s="319"/>
      <c r="K73" s="328"/>
      <c r="L73" s="261"/>
      <c r="M73" s="289"/>
      <c r="N73" s="261"/>
      <c r="O73" s="289"/>
      <c r="P73" s="261"/>
      <c r="Q73" s="289"/>
      <c r="R73" s="261"/>
      <c r="S73" s="289"/>
      <c r="T73" s="261"/>
      <c r="U73" s="289"/>
      <c r="V73" s="261"/>
      <c r="W73" s="421"/>
      <c r="X73" s="261"/>
      <c r="Y73" s="289"/>
      <c r="Z73" s="261"/>
      <c r="AA73" s="328"/>
      <c r="AB73" s="262"/>
      <c r="AC73" s="328"/>
      <c r="AD73" s="319"/>
      <c r="AE73" s="1290"/>
      <c r="AF73" s="328"/>
      <c r="AG73" s="2150"/>
      <c r="AH73" s="1290"/>
      <c r="AI73" s="690"/>
      <c r="AJ73" s="690"/>
      <c r="AK73" s="2207"/>
      <c r="AL73" s="2222"/>
      <c r="AM73" s="691"/>
      <c r="AN73" s="2882"/>
      <c r="AO73" s="648"/>
    </row>
    <row r="74" spans="1:41" ht="15.75">
      <c r="A74" s="223"/>
      <c r="B74" s="221" t="s">
        <v>216</v>
      </c>
      <c r="C74" s="223"/>
      <c r="D74" s="308"/>
      <c r="E74" s="2215">
        <f>ROUND(SUM(E71:E73),1)</f>
        <v>-2</v>
      </c>
      <c r="F74" s="319"/>
      <c r="G74" s="2215">
        <f>ROUND(SUM(G71:G73),1)</f>
        <v>0</v>
      </c>
      <c r="H74" s="319"/>
      <c r="I74" s="2215">
        <f>ROUND(SUM(I71:I73),1)</f>
        <v>0</v>
      </c>
      <c r="J74" s="319"/>
      <c r="K74" s="2215">
        <f>ROUND(SUM(K71:K73),1)</f>
        <v>0</v>
      </c>
      <c r="L74" s="261"/>
      <c r="M74" s="545">
        <f>ROUND(SUM(M71:M73),1)</f>
        <v>0</v>
      </c>
      <c r="N74" s="261"/>
      <c r="O74" s="545">
        <f>ROUND(SUM(O71:O73),1)</f>
        <v>0</v>
      </c>
      <c r="P74" s="261"/>
      <c r="Q74" s="545">
        <f>ROUND(SUM(Q71:Q73),1)</f>
        <v>0</v>
      </c>
      <c r="R74" s="266"/>
      <c r="S74" s="545">
        <f>ROUND(SUM(S71:S73),1)</f>
        <v>0</v>
      </c>
      <c r="T74" s="261"/>
      <c r="U74" s="545">
        <f>ROUND(SUM(U71:U73),1)</f>
        <v>0</v>
      </c>
      <c r="V74" s="261"/>
      <c r="W74" s="545">
        <f>ROUND(SUM(W71:W73),1)</f>
        <v>0</v>
      </c>
      <c r="X74" s="261"/>
      <c r="Y74" s="545">
        <f>ROUND(SUM(Y71:Y73),1)</f>
        <v>0</v>
      </c>
      <c r="Z74" s="274"/>
      <c r="AA74" s="2215">
        <f>ROUND(SUM(AA71:AA73),1)</f>
        <v>0</v>
      </c>
      <c r="AB74" s="2215"/>
      <c r="AC74" s="2215">
        <f>ROUND(SUM(AC71:AC73),1)</f>
        <v>0</v>
      </c>
      <c r="AD74" s="319"/>
      <c r="AE74" s="1290"/>
      <c r="AF74" s="2215">
        <f>ROUND(SUM(AF71:AF73),1)</f>
        <v>-2</v>
      </c>
      <c r="AG74" s="2150"/>
      <c r="AH74" s="1290"/>
      <c r="AI74" s="2215">
        <f>ROUND(SUM(AI71:AI73),1)</f>
        <v>-5.7</v>
      </c>
      <c r="AJ74" s="262"/>
      <c r="AK74" s="2195"/>
      <c r="AL74" s="2215">
        <f>ROUND(SUM(AL71:AL73),1)</f>
        <v>3.7</v>
      </c>
      <c r="AM74" s="691"/>
      <c r="AN74" s="2833">
        <f>-ROUND(IF(AI74=0,1,AL74/(AI74)),3)</f>
        <v>0.64900000000000002</v>
      </c>
    </row>
    <row r="75" spans="1:41" ht="15.75">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90"/>
      <c r="AF75" s="328"/>
      <c r="AG75" s="2150"/>
      <c r="AH75" s="1290"/>
      <c r="AI75" s="328"/>
      <c r="AJ75" s="262"/>
      <c r="AK75" s="2195"/>
      <c r="AL75" s="328"/>
      <c r="AM75" s="648"/>
      <c r="AN75" s="2883"/>
    </row>
    <row r="76" spans="1:41" ht="15.75">
      <c r="A76" s="223"/>
      <c r="B76" s="221" t="s">
        <v>217</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90"/>
      <c r="AF76" s="319"/>
      <c r="AG76" s="2150"/>
      <c r="AH76" s="1290"/>
      <c r="AI76" s="319"/>
      <c r="AJ76" s="319"/>
      <c r="AK76" s="2195"/>
      <c r="AL76" s="690"/>
      <c r="AM76" s="648"/>
      <c r="AN76" s="656"/>
    </row>
    <row r="77" spans="1:41" ht="15.75">
      <c r="A77" s="223"/>
      <c r="B77" s="221" t="s">
        <v>218</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90"/>
      <c r="AF77" s="319"/>
      <c r="AG77" s="2150"/>
      <c r="AH77" s="1290"/>
      <c r="AI77" s="319"/>
      <c r="AJ77" s="319"/>
      <c r="AK77" s="2195"/>
      <c r="AL77" s="690"/>
      <c r="AM77" s="648"/>
      <c r="AN77" s="656"/>
    </row>
    <row r="78" spans="1:41" ht="16.5" thickBot="1">
      <c r="A78" s="223"/>
      <c r="B78" s="221" t="s">
        <v>174</v>
      </c>
      <c r="C78" s="223"/>
      <c r="D78" s="308"/>
      <c r="E78" s="492">
        <f>ROUND(E68+E74,1)</f>
        <v>-4</v>
      </c>
      <c r="F78" s="319"/>
      <c r="G78" s="492">
        <f>ROUND(G68+G74,1)</f>
        <v>-45.7</v>
      </c>
      <c r="H78" s="319"/>
      <c r="I78" s="492">
        <f>ROUND(I68+I74,1)</f>
        <v>0</v>
      </c>
      <c r="J78" s="319"/>
      <c r="K78" s="492">
        <f>ROUND(K68+K74,1)</f>
        <v>0</v>
      </c>
      <c r="L78" s="261"/>
      <c r="M78" s="492">
        <f>ROUND(M68+M74,1)</f>
        <v>0</v>
      </c>
      <c r="N78" s="261"/>
      <c r="O78" s="492">
        <f>ROUND(O68+O74,1)</f>
        <v>0</v>
      </c>
      <c r="P78" s="261"/>
      <c r="Q78" s="492">
        <f>ROUND(Q68+Q74,1)</f>
        <v>0</v>
      </c>
      <c r="R78" s="261"/>
      <c r="S78" s="492">
        <f>ROUND(S68+S74,1)</f>
        <v>0</v>
      </c>
      <c r="T78" s="261"/>
      <c r="U78" s="492">
        <f>ROUND(U68+U74,1)</f>
        <v>0</v>
      </c>
      <c r="V78" s="261"/>
      <c r="W78" s="492">
        <f>ROUND(W68+W74,1)</f>
        <v>0</v>
      </c>
      <c r="X78" s="261"/>
      <c r="Y78" s="492">
        <f>ROUND(Y68+Y74,1)</f>
        <v>0</v>
      </c>
      <c r="Z78" s="261"/>
      <c r="AA78" s="492">
        <f>ROUND(AA68+AA74,1)</f>
        <v>0</v>
      </c>
      <c r="AB78" s="341"/>
      <c r="AC78" s="492">
        <f>ROUND(AC68+AC74,1)</f>
        <v>0</v>
      </c>
      <c r="AD78" s="319"/>
      <c r="AE78" s="1290"/>
      <c r="AF78" s="492">
        <f>ROUND(AF68+AF74,1)</f>
        <v>-49.7</v>
      </c>
      <c r="AG78" s="2730"/>
      <c r="AH78" s="2731"/>
      <c r="AI78" s="492">
        <f>ROUND(AI68+AI74,1)</f>
        <v>7.6</v>
      </c>
      <c r="AJ78" s="2732"/>
      <c r="AK78" s="2733"/>
      <c r="AL78" s="492">
        <f>ROUND(AF78-AI78,1)</f>
        <v>-57.3</v>
      </c>
      <c r="AM78" s="666"/>
      <c r="AN78" s="652">
        <f>ROUND(SUM(AF78-AI78)/AI78,3)</f>
        <v>-7.5389999999999997</v>
      </c>
      <c r="AO78" s="1862"/>
    </row>
    <row r="79" spans="1:41" ht="16.5"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23"/>
      <c r="AL79" s="2192"/>
      <c r="AM79" s="648"/>
      <c r="AN79" s="3486"/>
    </row>
    <row r="80" spans="1:41">
      <c r="A80" s="223"/>
      <c r="B80" s="2915" t="s">
        <v>1521</v>
      </c>
      <c r="C80" s="223"/>
      <c r="D80" s="308"/>
      <c r="E80" s="310"/>
      <c r="F80" s="308"/>
      <c r="G80" s="310"/>
      <c r="H80" s="308"/>
      <c r="I80" s="310"/>
      <c r="J80" s="308"/>
      <c r="K80" s="310"/>
      <c r="L80" s="223"/>
      <c r="M80" s="228"/>
      <c r="N80" s="223"/>
      <c r="O80" s="228"/>
      <c r="P80" s="223"/>
      <c r="Q80" s="228"/>
      <c r="R80" s="223"/>
      <c r="S80" s="534" t="s">
        <v>16</v>
      </c>
      <c r="T80" s="223"/>
      <c r="U80" s="534" t="s">
        <v>16</v>
      </c>
      <c r="V80" s="223"/>
      <c r="W80" s="228"/>
      <c r="X80" s="223"/>
      <c r="Y80" s="228"/>
      <c r="Z80" s="223"/>
      <c r="AA80" s="310"/>
      <c r="AB80" s="310"/>
      <c r="AC80" s="310"/>
      <c r="AD80" s="308"/>
      <c r="AE80" s="308"/>
      <c r="AF80" s="310"/>
      <c r="AG80" s="308"/>
      <c r="AH80" s="308"/>
      <c r="AI80" s="310"/>
      <c r="AJ80" s="310"/>
      <c r="AK80" s="310"/>
      <c r="AL80" s="2192"/>
      <c r="AM80" s="648"/>
      <c r="AN80" s="656"/>
    </row>
    <row r="81" spans="2:40">
      <c r="B81" s="223"/>
      <c r="Y81" s="680" t="s">
        <v>16</v>
      </c>
      <c r="AK81" s="2192"/>
      <c r="AL81" s="2166" t="s">
        <v>16</v>
      </c>
      <c r="AM81" s="648"/>
      <c r="AN81" s="692"/>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N51 AN39" formula="1"/>
    <ignoredError sqref="AN52:AN56" formula="1" unlockedFormula="1"/>
    <ignoredError sqref="AN60:AN63 AN71 AN48:AN50 AN22 AN24:AN26 AN27 AN31:AN33 AN36 AN37:AN38 AN41:AN42 AN20 AN29 AN35 AN40"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3" customWidth="1"/>
    <col min="2" max="2" width="1.6640625" style="303" customWidth="1"/>
    <col min="3" max="3" width="9.88671875" style="303" customWidth="1"/>
    <col min="4" max="4" width="1.6640625" style="303" customWidth="1"/>
    <col min="5" max="5" width="8.88671875" style="303" customWidth="1"/>
    <col min="6" max="6" width="1.6640625" style="303" customWidth="1"/>
    <col min="7" max="7" width="8.88671875" style="303" customWidth="1"/>
    <col min="8" max="8" width="1.6640625" style="303" customWidth="1"/>
    <col min="9" max="9" width="8.88671875" style="303" customWidth="1"/>
    <col min="10" max="10" width="1.5546875" style="303" customWidth="1"/>
    <col min="11" max="11" width="9.44140625" style="303" customWidth="1"/>
    <col min="12" max="12" width="1.5546875" style="303" customWidth="1"/>
    <col min="13" max="13" width="13.33203125" style="303" customWidth="1"/>
    <col min="14" max="14" width="1.6640625" style="303" customWidth="1"/>
    <col min="15" max="15" width="11.77734375" style="303" customWidth="1"/>
    <col min="16" max="16" width="1.6640625" style="303" customWidth="1"/>
    <col min="17" max="17" width="11.77734375" style="303" customWidth="1"/>
    <col min="18" max="18" width="1.6640625" style="303" customWidth="1"/>
    <col min="19" max="19" width="12.44140625" style="303" customWidth="1"/>
    <col min="20" max="20" width="1.6640625" style="303" customWidth="1"/>
    <col min="21" max="21" width="10.5546875" style="303" customWidth="1"/>
    <col min="22" max="22" width="1.6640625" style="303" customWidth="1"/>
    <col min="23" max="23" width="10.88671875" style="303" customWidth="1"/>
    <col min="24" max="24" width="1.6640625" style="303" customWidth="1"/>
    <col min="25" max="25" width="9.33203125" style="303" customWidth="1"/>
    <col min="26" max="27" width="1.6640625" style="303" customWidth="1"/>
    <col min="28" max="28" width="11.5546875" style="303" customWidth="1"/>
    <col min="29" max="30" width="1.6640625" style="303" customWidth="1"/>
    <col min="31" max="31" width="12.44140625" style="303" customWidth="1"/>
    <col min="32" max="32" width="1.77734375" style="741" customWidth="1"/>
    <col min="33" max="33" width="2.44140625" style="2273" customWidth="1"/>
    <col min="34" max="34" width="10.33203125" style="2274" bestFit="1" customWidth="1"/>
    <col min="35" max="35" width="1.6640625" style="2274" customWidth="1"/>
    <col min="36" max="36" width="14.21875" style="2273" bestFit="1" customWidth="1"/>
    <col min="37" max="16384" width="8.88671875" style="303"/>
  </cols>
  <sheetData>
    <row r="1" spans="1:254" ht="16.5" customHeight="1">
      <c r="A1" s="1190" t="s">
        <v>1231</v>
      </c>
    </row>
    <row r="2" spans="1:254" ht="16.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row>
    <row r="3" spans="1:254" ht="20.25" customHeight="1">
      <c r="A3" s="428"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223"/>
      <c r="AJ3" s="2326" t="s">
        <v>1372</v>
      </c>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row>
    <row r="4" spans="1:254" ht="20.25" customHeight="1">
      <c r="A4" s="428" t="s">
        <v>224</v>
      </c>
      <c r="B4" s="427"/>
      <c r="C4" s="427"/>
      <c r="D4" s="427"/>
      <c r="E4" s="427"/>
      <c r="F4" s="427"/>
      <c r="G4" s="427"/>
      <c r="H4" s="427"/>
      <c r="I4" s="427" t="s">
        <v>16</v>
      </c>
      <c r="J4" s="427"/>
      <c r="K4" s="427"/>
      <c r="L4" s="427"/>
      <c r="M4" s="427"/>
      <c r="N4" s="427"/>
      <c r="O4" s="427"/>
      <c r="P4" s="427"/>
      <c r="Q4" s="427"/>
      <c r="R4" s="427"/>
      <c r="S4" s="427"/>
      <c r="T4" s="427"/>
      <c r="U4" s="427"/>
      <c r="V4" s="427"/>
      <c r="W4" s="427"/>
      <c r="X4" s="427"/>
      <c r="Y4" s="427" t="s">
        <v>16</v>
      </c>
      <c r="Z4" s="427"/>
      <c r="AA4" s="427"/>
      <c r="AB4" s="427"/>
      <c r="AC4" s="427"/>
      <c r="AD4" s="427"/>
      <c r="AE4" s="427"/>
      <c r="AF4" s="223"/>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row>
    <row r="5" spans="1:254" ht="20.25" customHeight="1">
      <c r="A5" s="430" t="s">
        <v>128</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F5" s="1746"/>
      <c r="AK5" s="428"/>
      <c r="AL5" s="428"/>
      <c r="AM5" s="428"/>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row>
    <row r="6" spans="1:254" ht="20.25" customHeight="1">
      <c r="A6" s="430" t="s">
        <v>1547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223"/>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row>
    <row r="7" spans="1:254" ht="20.25" customHeight="1">
      <c r="A7" s="428" t="s">
        <v>1116</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223"/>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row>
    <row r="8" spans="1:254"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223"/>
    </row>
    <row r="9" spans="1:254"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11"/>
      <c r="AG9" s="2275"/>
    </row>
    <row r="10" spans="1:254"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303"/>
      <c r="AG10" s="2276"/>
    </row>
    <row r="11" spans="1:254"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2003"/>
      <c r="AG11" s="2263"/>
      <c r="AH11" s="2275"/>
      <c r="AI11" s="2275"/>
      <c r="AJ11" s="2275"/>
    </row>
    <row r="12" spans="1:254" ht="16.5" customHeight="1">
      <c r="A12" s="427"/>
      <c r="B12" s="427"/>
      <c r="C12" s="436"/>
      <c r="D12" s="436"/>
      <c r="E12" s="436"/>
      <c r="F12" s="436"/>
      <c r="G12" s="436"/>
      <c r="H12" s="436"/>
      <c r="I12" s="436"/>
      <c r="J12" s="436"/>
      <c r="K12" s="436"/>
      <c r="L12" s="436"/>
      <c r="M12" s="436"/>
      <c r="N12" s="436"/>
      <c r="O12" s="436"/>
      <c r="P12" s="436"/>
      <c r="Q12" s="436"/>
      <c r="R12" s="436"/>
      <c r="S12" s="436"/>
      <c r="T12" s="436"/>
      <c r="U12" s="436"/>
      <c r="V12" s="436"/>
      <c r="W12" s="436"/>
      <c r="X12" s="436"/>
      <c r="Y12" s="1556"/>
      <c r="Z12" s="1556"/>
      <c r="AA12" s="436"/>
      <c r="AB12" s="3525" t="s">
        <v>1593</v>
      </c>
      <c r="AC12" s="3525"/>
      <c r="AD12" s="3525"/>
      <c r="AE12" s="3525"/>
      <c r="AF12" s="3525"/>
      <c r="AG12" s="3525"/>
      <c r="AH12" s="3525"/>
      <c r="AI12" s="3525"/>
      <c r="AJ12" s="3525"/>
    </row>
    <row r="13" spans="1:254" ht="16.5" customHeight="1">
      <c r="A13" s="427"/>
      <c r="B13" s="427"/>
      <c r="C13" s="1557" t="s">
        <v>1092</v>
      </c>
      <c r="D13" s="436"/>
      <c r="E13" s="436"/>
      <c r="F13" s="436"/>
      <c r="G13" s="436"/>
      <c r="H13" s="436"/>
      <c r="I13" s="436"/>
      <c r="J13" s="436"/>
      <c r="K13" s="436"/>
      <c r="L13" s="436"/>
      <c r="M13" s="436"/>
      <c r="N13" s="436"/>
      <c r="O13" s="436"/>
      <c r="P13" s="436"/>
      <c r="Q13" s="436"/>
      <c r="R13" s="436"/>
      <c r="S13" s="436"/>
      <c r="T13" s="436"/>
      <c r="U13" s="1866">
        <v>2016</v>
      </c>
      <c r="V13" s="436"/>
      <c r="W13" s="436"/>
      <c r="X13" s="436"/>
      <c r="Y13" s="436"/>
      <c r="Z13" s="436"/>
      <c r="AA13" s="436"/>
      <c r="AB13" s="986"/>
      <c r="AC13" s="2021"/>
      <c r="AD13" s="2021"/>
      <c r="AE13" s="2021"/>
      <c r="AF13" s="2004"/>
      <c r="AG13" s="2264"/>
      <c r="AH13" s="2277" t="s">
        <v>8</v>
      </c>
      <c r="AI13" s="2277"/>
      <c r="AJ13" s="2278" t="s">
        <v>9</v>
      </c>
    </row>
    <row r="14" spans="1:254" ht="16.5" customHeight="1">
      <c r="A14" s="427"/>
      <c r="B14" s="427"/>
      <c r="C14" s="1558" t="s">
        <v>129</v>
      </c>
      <c r="D14" s="436"/>
      <c r="E14" s="1558" t="s">
        <v>130</v>
      </c>
      <c r="F14" s="436"/>
      <c r="G14" s="1558" t="s">
        <v>131</v>
      </c>
      <c r="H14" s="436"/>
      <c r="I14" s="1558" t="s">
        <v>132</v>
      </c>
      <c r="J14" s="436"/>
      <c r="K14" s="1558" t="s">
        <v>133</v>
      </c>
      <c r="L14" s="436"/>
      <c r="M14" s="1558" t="s">
        <v>134</v>
      </c>
      <c r="N14" s="436"/>
      <c r="O14" s="1558" t="s">
        <v>135</v>
      </c>
      <c r="P14" s="436"/>
      <c r="Q14" s="1558" t="s">
        <v>136</v>
      </c>
      <c r="R14" s="436"/>
      <c r="S14" s="1558" t="s">
        <v>137</v>
      </c>
      <c r="T14" s="436"/>
      <c r="U14" s="1558" t="s">
        <v>138</v>
      </c>
      <c r="V14" s="436"/>
      <c r="W14" s="1558" t="s">
        <v>139</v>
      </c>
      <c r="X14" s="436"/>
      <c r="Y14" s="1558" t="s">
        <v>140</v>
      </c>
      <c r="Z14" s="436"/>
      <c r="AA14" s="436"/>
      <c r="AB14" s="1866">
        <v>2015</v>
      </c>
      <c r="AC14" s="436" t="s">
        <v>16</v>
      </c>
      <c r="AD14" s="436"/>
      <c r="AE14" s="1866">
        <v>2014</v>
      </c>
      <c r="AF14" s="722"/>
      <c r="AG14" s="2265"/>
      <c r="AH14" s="2279" t="s">
        <v>13</v>
      </c>
      <c r="AI14" s="2280"/>
      <c r="AJ14" s="2279" t="s">
        <v>14</v>
      </c>
    </row>
    <row r="15" spans="1:254" ht="4.5" customHeight="1">
      <c r="A15" s="427"/>
      <c r="B15" s="427"/>
      <c r="C15" s="432"/>
      <c r="D15" s="427"/>
      <c r="E15" s="432"/>
      <c r="F15" s="427"/>
      <c r="G15" s="432"/>
      <c r="H15" s="427"/>
      <c r="I15" s="432"/>
      <c r="J15" s="427"/>
      <c r="K15" s="432"/>
      <c r="L15" s="427"/>
      <c r="M15" s="432"/>
      <c r="N15" s="427"/>
      <c r="O15" s="432" t="s">
        <v>16</v>
      </c>
      <c r="P15" s="427"/>
      <c r="Q15" s="432"/>
      <c r="R15" s="427"/>
      <c r="S15" s="432"/>
      <c r="T15" s="427"/>
      <c r="U15" s="432" t="s">
        <v>16</v>
      </c>
      <c r="V15" s="427"/>
      <c r="W15" s="432"/>
      <c r="X15" s="427"/>
      <c r="Y15" s="432"/>
      <c r="Z15" s="427"/>
      <c r="AA15" s="427"/>
      <c r="AB15" s="432"/>
      <c r="AC15" s="427"/>
      <c r="AD15" s="427"/>
      <c r="AE15" s="432"/>
      <c r="AF15" s="722"/>
      <c r="AG15" s="2265"/>
    </row>
    <row r="16" spans="1:254" ht="16.5" customHeight="1">
      <c r="A16" s="433" t="s">
        <v>141</v>
      </c>
      <c r="B16" s="427"/>
      <c r="C16" s="434">
        <v>50.6</v>
      </c>
      <c r="D16" s="434"/>
      <c r="E16" s="434">
        <f>+C55</f>
        <v>77.099999999999994</v>
      </c>
      <c r="F16" s="693"/>
      <c r="G16" s="434"/>
      <c r="H16" s="693"/>
      <c r="I16" s="434"/>
      <c r="J16" s="693"/>
      <c r="K16" s="434"/>
      <c r="L16" s="693"/>
      <c r="M16" s="434"/>
      <c r="N16" s="693"/>
      <c r="O16" s="434"/>
      <c r="P16" s="693"/>
      <c r="Q16" s="434"/>
      <c r="R16" s="693"/>
      <c r="S16" s="693"/>
      <c r="T16" s="693"/>
      <c r="U16" s="434"/>
      <c r="V16" s="693"/>
      <c r="W16" s="434"/>
      <c r="X16" s="693"/>
      <c r="Y16" s="434"/>
      <c r="Z16" s="434"/>
      <c r="AA16" s="435"/>
      <c r="AB16" s="434">
        <f>C16</f>
        <v>50.6</v>
      </c>
      <c r="AC16" s="434"/>
      <c r="AD16" s="435"/>
      <c r="AE16" s="434">
        <v>62.5</v>
      </c>
      <c r="AF16" s="1784"/>
      <c r="AG16" s="2266"/>
      <c r="AH16" s="2281">
        <f>ROUND(SUM(AB16-AE16),1)</f>
        <v>-11.9</v>
      </c>
      <c r="AJ16" s="2282">
        <f>ROUND(IF(AH16=0,0,AH16/(AE16)),3)</f>
        <v>-0.19</v>
      </c>
    </row>
    <row r="17" spans="1:38" ht="16.5" customHeight="1">
      <c r="A17" s="427"/>
      <c r="B17" s="427"/>
      <c r="C17" s="427" t="s">
        <v>16</v>
      </c>
      <c r="D17" s="427"/>
      <c r="E17" s="437"/>
      <c r="F17" s="437"/>
      <c r="G17" s="437"/>
      <c r="H17" s="437"/>
      <c r="I17" s="437"/>
      <c r="J17" s="437"/>
      <c r="K17" s="437"/>
      <c r="L17" s="437"/>
      <c r="M17" s="437"/>
      <c r="N17" s="437"/>
      <c r="O17" s="437"/>
      <c r="P17" s="437"/>
      <c r="Q17" s="437"/>
      <c r="R17" s="437"/>
      <c r="S17" s="437"/>
      <c r="T17" s="437"/>
      <c r="U17" s="437"/>
      <c r="V17" s="437"/>
      <c r="W17" s="437"/>
      <c r="X17" s="437"/>
      <c r="Y17" s="437"/>
      <c r="Z17" s="427"/>
      <c r="AA17" s="438"/>
      <c r="AB17" s="427" t="s">
        <v>16</v>
      </c>
      <c r="AC17" s="427"/>
      <c r="AD17" s="438"/>
      <c r="AE17" s="427" t="s">
        <v>16</v>
      </c>
      <c r="AF17" s="1786"/>
      <c r="AG17" s="2266"/>
      <c r="AH17" s="2283"/>
      <c r="AJ17" s="2274"/>
    </row>
    <row r="18" spans="1:38" ht="16.5" customHeight="1">
      <c r="A18" s="436" t="s">
        <v>15</v>
      </c>
      <c r="B18" s="427"/>
      <c r="C18" s="427"/>
      <c r="D18" s="427"/>
      <c r="E18" s="437"/>
      <c r="F18" s="437"/>
      <c r="G18" s="437"/>
      <c r="H18" s="437"/>
      <c r="I18" s="437"/>
      <c r="J18" s="437"/>
      <c r="K18" s="437"/>
      <c r="L18" s="437"/>
      <c r="M18" s="437"/>
      <c r="N18" s="437"/>
      <c r="O18" s="437"/>
      <c r="P18" s="437"/>
      <c r="Q18" s="437"/>
      <c r="R18" s="437"/>
      <c r="S18" s="437"/>
      <c r="T18" s="437"/>
      <c r="U18" s="437"/>
      <c r="V18" s="437"/>
      <c r="W18" s="437"/>
      <c r="X18" s="437"/>
      <c r="Y18" s="437"/>
      <c r="Z18" s="427"/>
      <c r="AA18" s="438"/>
      <c r="AB18" s="427"/>
      <c r="AC18" s="427"/>
      <c r="AD18" s="438"/>
      <c r="AE18" s="427"/>
      <c r="AF18" s="450"/>
      <c r="AG18" s="2266"/>
      <c r="AH18" s="2283"/>
      <c r="AJ18" s="2274"/>
    </row>
    <row r="19" spans="1:38" ht="18.75" customHeight="1">
      <c r="A19" s="427" t="s">
        <v>185</v>
      </c>
      <c r="B19" s="427"/>
      <c r="C19" s="439">
        <v>4.5999999999999996</v>
      </c>
      <c r="D19" s="439"/>
      <c r="E19" s="444">
        <v>4.5</v>
      </c>
      <c r="F19" s="453"/>
      <c r="G19" s="444"/>
      <c r="H19" s="453"/>
      <c r="I19" s="444"/>
      <c r="J19" s="453"/>
      <c r="K19" s="695"/>
      <c r="L19" s="453"/>
      <c r="M19" s="444"/>
      <c r="N19" s="453"/>
      <c r="O19" s="444"/>
      <c r="P19" s="453"/>
      <c r="Q19" s="443"/>
      <c r="R19" s="453"/>
      <c r="S19" s="444"/>
      <c r="T19" s="453"/>
      <c r="U19" s="444"/>
      <c r="V19" s="453"/>
      <c r="W19" s="443"/>
      <c r="X19" s="453"/>
      <c r="Y19" s="443"/>
      <c r="Z19" s="439"/>
      <c r="AA19" s="440"/>
      <c r="AB19" s="439">
        <f>ROUND(SUM(C19:Y19),1)</f>
        <v>9.1</v>
      </c>
      <c r="AC19" s="439"/>
      <c r="AD19" s="440"/>
      <c r="AE19" s="696">
        <v>10.1</v>
      </c>
      <c r="AF19" s="443"/>
      <c r="AG19" s="2266"/>
      <c r="AH19" s="2284">
        <f>ROUND(AB19-AE19,1)</f>
        <v>-1</v>
      </c>
      <c r="AI19" s="2285"/>
      <c r="AJ19" s="2286">
        <f>ROUND(IF(AE19=0,0,AH19/(AE19)),3)</f>
        <v>-9.9000000000000005E-2</v>
      </c>
    </row>
    <row r="20" spans="1:38" ht="17.25" customHeight="1">
      <c r="A20" s="433" t="s">
        <v>225</v>
      </c>
      <c r="B20" s="427"/>
      <c r="C20" s="439">
        <v>2.5</v>
      </c>
      <c r="D20" s="439"/>
      <c r="E20" s="444">
        <v>2.1</v>
      </c>
      <c r="F20" s="453"/>
      <c r="G20" s="444"/>
      <c r="H20" s="453"/>
      <c r="I20" s="444"/>
      <c r="J20" s="453"/>
      <c r="K20" s="444"/>
      <c r="L20" s="697"/>
      <c r="M20" s="444"/>
      <c r="N20" s="453"/>
      <c r="O20" s="444"/>
      <c r="P20" s="453"/>
      <c r="Q20" s="443"/>
      <c r="R20" s="453"/>
      <c r="S20" s="444"/>
      <c r="T20" s="453"/>
      <c r="U20" s="444"/>
      <c r="V20" s="453"/>
      <c r="W20" s="443"/>
      <c r="X20" s="453"/>
      <c r="Y20" s="443"/>
      <c r="Z20" s="439"/>
      <c r="AA20" s="440"/>
      <c r="AB20" s="439">
        <f>ROUND(SUM(C20:Y20),1)</f>
        <v>4.5999999999999996</v>
      </c>
      <c r="AC20" s="439"/>
      <c r="AD20" s="440"/>
      <c r="AE20" s="696">
        <v>12</v>
      </c>
      <c r="AF20" s="443"/>
      <c r="AG20" s="2266"/>
      <c r="AH20" s="2284">
        <f>ROUND(AB20-AE20,1)</f>
        <v>-7.4</v>
      </c>
      <c r="AI20" s="2285"/>
      <c r="AJ20" s="3439">
        <f>ROUND(IF(AE20=0,0,AH20/(AE20)),3)</f>
        <v>-0.61699999999999999</v>
      </c>
    </row>
    <row r="21" spans="1:38" ht="17.25" customHeight="1">
      <c r="A21" s="455" t="s">
        <v>226</v>
      </c>
      <c r="B21" s="427"/>
      <c r="C21" s="698">
        <v>222.9</v>
      </c>
      <c r="D21" s="439"/>
      <c r="E21" s="698">
        <v>161.1</v>
      </c>
      <c r="F21" s="453"/>
      <c r="G21" s="698"/>
      <c r="H21" s="453"/>
      <c r="I21" s="695"/>
      <c r="J21" s="453"/>
      <c r="K21" s="695"/>
      <c r="L21" s="453"/>
      <c r="M21" s="695"/>
      <c r="N21" s="453"/>
      <c r="O21" s="695"/>
      <c r="P21" s="453"/>
      <c r="Q21" s="695"/>
      <c r="R21" s="453"/>
      <c r="S21" s="444"/>
      <c r="T21" s="453"/>
      <c r="U21" s="695"/>
      <c r="V21" s="453"/>
      <c r="W21" s="699"/>
      <c r="X21" s="453"/>
      <c r="Y21" s="443"/>
      <c r="Z21" s="439"/>
      <c r="AA21" s="440"/>
      <c r="AB21" s="439">
        <f>ROUND(SUM(C21:Y21),1)</f>
        <v>384</v>
      </c>
      <c r="AC21" s="439"/>
      <c r="AD21" s="440"/>
      <c r="AE21" s="696">
        <v>430.7</v>
      </c>
      <c r="AF21" s="445"/>
      <c r="AG21" s="2267"/>
      <c r="AH21" s="2287">
        <f>ROUND(AB21-AE21,1)</f>
        <v>-46.7</v>
      </c>
      <c r="AI21" s="2285"/>
      <c r="AJ21" s="2288">
        <f>ROUND(IF(AE21=0,0,AH21/(AE21)),3)</f>
        <v>-0.108</v>
      </c>
    </row>
    <row r="22" spans="1:38" ht="16.5" customHeight="1">
      <c r="A22" s="427"/>
      <c r="B22" s="427"/>
      <c r="C22" s="700"/>
      <c r="D22" s="439"/>
      <c r="E22" s="701"/>
      <c r="F22" s="453"/>
      <c r="G22" s="701"/>
      <c r="H22" s="453"/>
      <c r="I22" s="701"/>
      <c r="J22" s="453"/>
      <c r="K22" s="701"/>
      <c r="L22" s="453"/>
      <c r="M22" s="701"/>
      <c r="N22" s="453"/>
      <c r="O22" s="701"/>
      <c r="P22" s="453"/>
      <c r="Q22" s="701"/>
      <c r="R22" s="453"/>
      <c r="S22" s="701"/>
      <c r="T22" s="453"/>
      <c r="U22" s="701"/>
      <c r="V22" s="453"/>
      <c r="W22" s="448"/>
      <c r="X22" s="453"/>
      <c r="Y22" s="701"/>
      <c r="Z22" s="439"/>
      <c r="AA22" s="440"/>
      <c r="AB22" s="700"/>
      <c r="AC22" s="439"/>
      <c r="AD22" s="440"/>
      <c r="AE22" s="700"/>
      <c r="AF22" s="695"/>
      <c r="AG22" s="2267"/>
      <c r="AH22" s="2289"/>
      <c r="AJ22" s="2274"/>
    </row>
    <row r="23" spans="1:38" ht="16.5" customHeight="1">
      <c r="A23" s="436" t="s">
        <v>156</v>
      </c>
      <c r="B23" s="427"/>
      <c r="C23" s="454">
        <f>ROUND(SUM(C19:C22),1)</f>
        <v>230</v>
      </c>
      <c r="D23" s="441"/>
      <c r="E23" s="454">
        <f>ROUND(SUM(E19:E22),1)</f>
        <v>167.7</v>
      </c>
      <c r="F23" s="454"/>
      <c r="G23" s="454">
        <v>0</v>
      </c>
      <c r="H23" s="454"/>
      <c r="I23" s="454">
        <f>ROUND(SUM(I19:I22),1)</f>
        <v>0</v>
      </c>
      <c r="J23" s="454"/>
      <c r="K23" s="454">
        <f>ROUND(SUM(K19:K22),1)</f>
        <v>0</v>
      </c>
      <c r="L23" s="454"/>
      <c r="M23" s="454">
        <f>ROUND(SUM(M19:M22),1)</f>
        <v>0</v>
      </c>
      <c r="N23" s="454"/>
      <c r="O23" s="454">
        <f>ROUND(SUM(O19:O22),1)</f>
        <v>0</v>
      </c>
      <c r="P23" s="454"/>
      <c r="Q23" s="454">
        <f>ROUND(SUM(Q19:Q22),1)</f>
        <v>0</v>
      </c>
      <c r="R23" s="454"/>
      <c r="S23" s="454">
        <f>ROUND(SUM(S19:S22),1)</f>
        <v>0</v>
      </c>
      <c r="T23" s="454"/>
      <c r="U23" s="454">
        <f>ROUND(SUM(U19:U22),1)</f>
        <v>0</v>
      </c>
      <c r="V23" s="454"/>
      <c r="W23" s="454">
        <f>ROUND(SUM(W19:W22),1)</f>
        <v>0</v>
      </c>
      <c r="X23" s="454"/>
      <c r="Y23" s="454">
        <f>ROUND(SUM(Y19:Y22),1)</f>
        <v>0</v>
      </c>
      <c r="Z23" s="441"/>
      <c r="AA23" s="442"/>
      <c r="AB23" s="454">
        <f>ROUND(SUM(AB19:AB22),1)</f>
        <v>397.7</v>
      </c>
      <c r="AC23" s="702"/>
      <c r="AD23" s="441"/>
      <c r="AE23" s="454">
        <f>ROUND(SUM(AE19:AE22),1)</f>
        <v>452.8</v>
      </c>
      <c r="AF23" s="445"/>
      <c r="AG23" s="2267"/>
      <c r="AH23" s="2290">
        <f>ROUND(SUM(AH19:AH21),1)</f>
        <v>-55.1</v>
      </c>
      <c r="AI23" s="2291"/>
      <c r="AJ23" s="2292">
        <f>ROUND(IF(AH23=0,0,AH23/(AE23)),3)</f>
        <v>-0.122</v>
      </c>
      <c r="AK23" s="694"/>
      <c r="AL23" s="694"/>
    </row>
    <row r="24" spans="1:38" ht="16.5" customHeight="1">
      <c r="A24" s="427"/>
      <c r="B24" s="427"/>
      <c r="C24" s="700"/>
      <c r="D24" s="439"/>
      <c r="E24" s="701"/>
      <c r="F24" s="453"/>
      <c r="G24" s="701"/>
      <c r="H24" s="453"/>
      <c r="I24" s="701"/>
      <c r="J24" s="453"/>
      <c r="K24" s="701"/>
      <c r="L24" s="453"/>
      <c r="M24" s="701"/>
      <c r="N24" s="453"/>
      <c r="O24" s="701"/>
      <c r="P24" s="453"/>
      <c r="Q24" s="701"/>
      <c r="R24" s="453"/>
      <c r="S24" s="701"/>
      <c r="T24" s="453"/>
      <c r="U24" s="701"/>
      <c r="V24" s="453"/>
      <c r="W24" s="701"/>
      <c r="X24" s="453"/>
      <c r="Y24" s="701"/>
      <c r="Z24" s="439"/>
      <c r="AA24" s="440"/>
      <c r="AB24" s="700"/>
      <c r="AC24" s="439"/>
      <c r="AD24" s="440"/>
      <c r="AE24" s="700"/>
      <c r="AF24" s="1806"/>
      <c r="AG24" s="2267"/>
      <c r="AH24" s="2289"/>
      <c r="AJ24" s="2274"/>
    </row>
    <row r="25" spans="1:38" ht="16.5" customHeight="1">
      <c r="A25" s="427"/>
      <c r="B25" s="427"/>
      <c r="C25" s="439"/>
      <c r="D25" s="439"/>
      <c r="E25" s="453"/>
      <c r="F25" s="453"/>
      <c r="G25" s="453"/>
      <c r="H25" s="453"/>
      <c r="I25" s="453"/>
      <c r="J25" s="453"/>
      <c r="K25" s="453"/>
      <c r="L25" s="453"/>
      <c r="M25" s="453"/>
      <c r="N25" s="453"/>
      <c r="O25" s="453"/>
      <c r="P25" s="453"/>
      <c r="Q25" s="453"/>
      <c r="R25" s="453"/>
      <c r="S25" s="453"/>
      <c r="T25" s="453"/>
      <c r="U25" s="453"/>
      <c r="V25" s="453"/>
      <c r="W25" s="453"/>
      <c r="X25" s="453"/>
      <c r="Y25" s="453"/>
      <c r="Z25" s="439"/>
      <c r="AA25" s="440"/>
      <c r="AB25" s="439"/>
      <c r="AC25" s="439"/>
      <c r="AD25" s="440"/>
      <c r="AE25" s="439"/>
      <c r="AF25" s="1807"/>
      <c r="AG25" s="2267"/>
      <c r="AH25" s="2289"/>
      <c r="AJ25" s="2274"/>
    </row>
    <row r="26" spans="1:38" ht="16.5" customHeight="1">
      <c r="A26" s="427"/>
      <c r="B26" s="427"/>
      <c r="C26" s="439"/>
      <c r="D26" s="439"/>
      <c r="E26" s="453"/>
      <c r="F26" s="453"/>
      <c r="G26" s="453"/>
      <c r="H26" s="453"/>
      <c r="I26" s="453"/>
      <c r="J26" s="453"/>
      <c r="K26" s="453"/>
      <c r="L26" s="453"/>
      <c r="M26" s="453"/>
      <c r="N26" s="453"/>
      <c r="O26" s="453"/>
      <c r="P26" s="453"/>
      <c r="Q26" s="453"/>
      <c r="R26" s="453"/>
      <c r="S26" s="453"/>
      <c r="T26" s="453"/>
      <c r="U26" s="453"/>
      <c r="V26" s="453"/>
      <c r="W26" s="453"/>
      <c r="X26" s="453"/>
      <c r="Y26" s="453"/>
      <c r="Z26" s="439"/>
      <c r="AA26" s="440"/>
      <c r="AB26" s="439"/>
      <c r="AC26" s="439"/>
      <c r="AD26" s="440"/>
      <c r="AE26" s="439"/>
      <c r="AF26" s="450"/>
      <c r="AG26" s="2266"/>
      <c r="AH26" s="2289"/>
      <c r="AJ26" s="2293"/>
    </row>
    <row r="27" spans="1:38" ht="16.5" customHeight="1">
      <c r="A27" s="436" t="s">
        <v>24</v>
      </c>
      <c r="B27" s="427"/>
      <c r="C27" s="439"/>
      <c r="D27" s="439"/>
      <c r="E27" s="453"/>
      <c r="F27" s="453"/>
      <c r="G27" s="453"/>
      <c r="H27" s="453"/>
      <c r="I27" s="453"/>
      <c r="J27" s="453"/>
      <c r="K27" s="453"/>
      <c r="L27" s="453"/>
      <c r="M27" s="453"/>
      <c r="N27" s="453"/>
      <c r="O27" s="453"/>
      <c r="P27" s="453"/>
      <c r="Q27" s="453"/>
      <c r="R27" s="453"/>
      <c r="S27" s="453"/>
      <c r="T27" s="453"/>
      <c r="U27" s="453"/>
      <c r="V27" s="453"/>
      <c r="W27" s="453"/>
      <c r="X27" s="453"/>
      <c r="Y27" s="453"/>
      <c r="Z27" s="439"/>
      <c r="AA27" s="440"/>
      <c r="AB27" s="439"/>
      <c r="AC27" s="439"/>
      <c r="AD27" s="440"/>
      <c r="AE27" s="439"/>
      <c r="AF27" s="443"/>
      <c r="AG27" s="2266"/>
      <c r="AH27" s="2289"/>
      <c r="AI27" s="2294"/>
      <c r="AJ27" s="2293"/>
    </row>
    <row r="28" spans="1:38" ht="16.5" customHeight="1">
      <c r="A28" s="427" t="s">
        <v>158</v>
      </c>
      <c r="B28" s="427"/>
      <c r="C28" s="439"/>
      <c r="D28" s="439"/>
      <c r="E28" s="453"/>
      <c r="F28" s="453"/>
      <c r="G28" s="453"/>
      <c r="H28" s="453"/>
      <c r="I28" s="453"/>
      <c r="J28" s="453"/>
      <c r="K28" s="453"/>
      <c r="L28" s="453"/>
      <c r="M28" s="453"/>
      <c r="N28" s="453"/>
      <c r="O28" s="453"/>
      <c r="P28" s="453"/>
      <c r="Q28" s="453"/>
      <c r="R28" s="453"/>
      <c r="S28" s="453"/>
      <c r="T28" s="453"/>
      <c r="U28" s="453"/>
      <c r="V28" s="453"/>
      <c r="W28" s="453"/>
      <c r="X28" s="453"/>
      <c r="Y28" s="453"/>
      <c r="Z28" s="439"/>
      <c r="AA28" s="440"/>
      <c r="AB28" s="439"/>
      <c r="AC28" s="439"/>
      <c r="AD28" s="440"/>
      <c r="AE28" s="439"/>
      <c r="AF28" s="1796"/>
      <c r="AG28" s="2267"/>
      <c r="AH28" s="2289"/>
      <c r="AJ28" s="2293"/>
    </row>
    <row r="29" spans="1:38" ht="16.5" customHeight="1">
      <c r="A29" s="427" t="s">
        <v>227</v>
      </c>
      <c r="B29" s="427"/>
      <c r="C29" s="439">
        <v>0.4</v>
      </c>
      <c r="D29" s="439"/>
      <c r="E29" s="444">
        <v>0.3</v>
      </c>
      <c r="F29" s="453"/>
      <c r="G29" s="444"/>
      <c r="H29" s="453"/>
      <c r="I29" s="444"/>
      <c r="J29" s="453"/>
      <c r="K29" s="444"/>
      <c r="L29" s="453"/>
      <c r="M29" s="444"/>
      <c r="N29" s="453"/>
      <c r="O29" s="444"/>
      <c r="P29" s="453"/>
      <c r="Q29" s="443"/>
      <c r="R29" s="453"/>
      <c r="S29" s="444"/>
      <c r="T29" s="453"/>
      <c r="U29" s="444"/>
      <c r="V29" s="453"/>
      <c r="W29" s="444"/>
      <c r="X29" s="453"/>
      <c r="Y29" s="443"/>
      <c r="Z29" s="439"/>
      <c r="AA29" s="440"/>
      <c r="AB29" s="439">
        <f>ROUND(SUM(C29:Y29),1)</f>
        <v>0.7</v>
      </c>
      <c r="AC29" s="439"/>
      <c r="AD29" s="440"/>
      <c r="AE29" s="439">
        <v>0.8</v>
      </c>
      <c r="AF29" s="450"/>
      <c r="AG29" s="2268"/>
      <c r="AH29" s="2289">
        <f>ROUND(SUM(AB29-AE29),1)</f>
        <v>-0.1</v>
      </c>
      <c r="AJ29" s="2295">
        <f>ROUND(IF(AH29=0,0,AH29/(AE29)),3)</f>
        <v>-0.125</v>
      </c>
    </row>
    <row r="30" spans="1:38" ht="16.5" customHeight="1">
      <c r="A30" s="427" t="s">
        <v>186</v>
      </c>
      <c r="B30" s="427"/>
      <c r="C30" s="439">
        <v>2.5</v>
      </c>
      <c r="D30" s="439"/>
      <c r="E30" s="444">
        <v>4.0999999999999996</v>
      </c>
      <c r="F30" s="453"/>
      <c r="G30" s="444"/>
      <c r="H30" s="453"/>
      <c r="I30" s="444"/>
      <c r="J30" s="453"/>
      <c r="K30" s="444"/>
      <c r="L30" s="453"/>
      <c r="M30" s="444"/>
      <c r="N30" s="453"/>
      <c r="O30" s="444"/>
      <c r="P30" s="453"/>
      <c r="Q30" s="443"/>
      <c r="R30" s="453"/>
      <c r="S30" s="444"/>
      <c r="T30" s="453"/>
      <c r="U30" s="444"/>
      <c r="V30" s="453"/>
      <c r="W30" s="443"/>
      <c r="X30" s="453"/>
      <c r="Y30" s="443"/>
      <c r="Z30" s="439"/>
      <c r="AA30" s="440"/>
      <c r="AB30" s="439">
        <f>ROUND(SUM(C30:Y30),1)</f>
        <v>6.6</v>
      </c>
      <c r="AC30" s="439"/>
      <c r="AD30" s="440"/>
      <c r="AE30" s="439">
        <v>6.6</v>
      </c>
      <c r="AF30" s="443"/>
      <c r="AG30" s="2268"/>
      <c r="AH30" s="2289">
        <f>ROUND(SUM(AB30-AE30),1)</f>
        <v>0</v>
      </c>
      <c r="AJ30" s="2295">
        <f>ROUND(IF(AH30=0,0,AH30/(AE30)),3)</f>
        <v>0</v>
      </c>
    </row>
    <row r="31" spans="1:38" ht="16.5" customHeight="1">
      <c r="A31" s="427" t="s">
        <v>161</v>
      </c>
      <c r="B31" s="427"/>
      <c r="C31" s="445">
        <v>0</v>
      </c>
      <c r="D31" s="439"/>
      <c r="E31" s="445">
        <v>0</v>
      </c>
      <c r="F31" s="453"/>
      <c r="G31" s="444"/>
      <c r="H31" s="453"/>
      <c r="I31" s="445"/>
      <c r="J31" s="453"/>
      <c r="K31" s="445"/>
      <c r="L31" s="453"/>
      <c r="M31" s="443"/>
      <c r="N31" s="453"/>
      <c r="O31" s="443"/>
      <c r="P31" s="453"/>
      <c r="Q31" s="443"/>
      <c r="R31" s="453"/>
      <c r="S31" s="444"/>
      <c r="T31" s="453"/>
      <c r="U31" s="443"/>
      <c r="V31" s="453"/>
      <c r="W31" s="443"/>
      <c r="X31" s="453"/>
      <c r="Y31" s="445"/>
      <c r="Z31" s="439"/>
      <c r="AA31" s="440"/>
      <c r="AB31" s="439">
        <f>ROUND(SUM(C31:Y31),1)</f>
        <v>0</v>
      </c>
      <c r="AC31" s="439"/>
      <c r="AD31" s="440"/>
      <c r="AE31" s="439">
        <v>0</v>
      </c>
      <c r="AF31" s="445"/>
      <c r="AG31" s="2269"/>
      <c r="AH31" s="2289">
        <f>ROUND(SUM(AB31-AE31),1)</f>
        <v>0</v>
      </c>
      <c r="AJ31" s="2295">
        <f>ROUND(IF(AH31=0,0,AH31/(AE31)),3)</f>
        <v>0</v>
      </c>
    </row>
    <row r="32" spans="1:38" ht="16.5" customHeight="1">
      <c r="A32" s="455" t="s">
        <v>228</v>
      </c>
      <c r="B32" s="427"/>
      <c r="C32" s="439">
        <v>200.6</v>
      </c>
      <c r="D32" s="439"/>
      <c r="E32" s="444">
        <v>162.5</v>
      </c>
      <c r="F32" s="453"/>
      <c r="G32" s="444"/>
      <c r="H32" s="453"/>
      <c r="I32" s="444"/>
      <c r="J32" s="453"/>
      <c r="K32" s="444"/>
      <c r="L32" s="453"/>
      <c r="M32" s="444"/>
      <c r="N32" s="453"/>
      <c r="O32" s="444"/>
      <c r="P32" s="453"/>
      <c r="Q32" s="443"/>
      <c r="R32" s="453"/>
      <c r="S32" s="444"/>
      <c r="T32" s="453"/>
      <c r="U32" s="444"/>
      <c r="V32" s="453"/>
      <c r="W32" s="449"/>
      <c r="X32" s="453"/>
      <c r="Y32" s="443"/>
      <c r="Z32" s="439"/>
      <c r="AA32" s="440"/>
      <c r="AB32" s="439">
        <f>ROUND(SUM(C32:Y32),1)</f>
        <v>363.1</v>
      </c>
      <c r="AC32" s="439"/>
      <c r="AD32" s="440"/>
      <c r="AE32" s="696">
        <v>411.6</v>
      </c>
      <c r="AF32" s="445"/>
      <c r="AG32" s="2268"/>
      <c r="AH32" s="2296">
        <f>ROUND(SUM(AB32-AE32),1)</f>
        <v>-48.5</v>
      </c>
      <c r="AJ32" s="2297">
        <f>ROUND(IF(AH32=0,0,AH32/(AE32)),3)</f>
        <v>-0.11799999999999999</v>
      </c>
    </row>
    <row r="33" spans="1:37" ht="16.5" customHeight="1">
      <c r="A33" s="427"/>
      <c r="B33" s="427"/>
      <c r="C33" s="700"/>
      <c r="D33" s="439"/>
      <c r="E33" s="701"/>
      <c r="F33" s="453"/>
      <c r="G33" s="701"/>
      <c r="H33" s="453"/>
      <c r="I33" s="701"/>
      <c r="J33" s="453"/>
      <c r="K33" s="701"/>
      <c r="L33" s="453"/>
      <c r="M33" s="703"/>
      <c r="N33" s="453"/>
      <c r="O33" s="701"/>
      <c r="P33" s="453"/>
      <c r="Q33" s="701"/>
      <c r="R33" s="453"/>
      <c r="S33" s="701"/>
      <c r="T33" s="453"/>
      <c r="U33" s="701"/>
      <c r="V33" s="453"/>
      <c r="W33" s="448"/>
      <c r="X33" s="453"/>
      <c r="Y33" s="701"/>
      <c r="Z33" s="439"/>
      <c r="AA33" s="440"/>
      <c r="AB33" s="700"/>
      <c r="AC33" s="439"/>
      <c r="AD33" s="440"/>
      <c r="AE33" s="700"/>
      <c r="AF33" s="1812"/>
      <c r="AG33" s="2269"/>
      <c r="AH33" s="2289"/>
      <c r="AI33" s="2298"/>
      <c r="AJ33" s="2293"/>
    </row>
    <row r="34" spans="1:37" ht="16.5" customHeight="1">
      <c r="A34" s="436" t="s">
        <v>162</v>
      </c>
      <c r="B34" s="427"/>
      <c r="C34" s="454">
        <f>ROUND(SUM(C29:C33),1)</f>
        <v>203.5</v>
      </c>
      <c r="D34" s="441"/>
      <c r="E34" s="454">
        <f>ROUND(SUM(E29:E33),1)</f>
        <v>166.9</v>
      </c>
      <c r="F34" s="454"/>
      <c r="G34" s="454">
        <f>ROUND(SUM(G29:G33),1)</f>
        <v>0</v>
      </c>
      <c r="H34" s="454"/>
      <c r="I34" s="454">
        <f>ROUND(SUM(I29:I33),1)</f>
        <v>0</v>
      </c>
      <c r="J34" s="454"/>
      <c r="K34" s="1849">
        <f>ROUND(SUM(K29:K33),1)</f>
        <v>0</v>
      </c>
      <c r="L34" s="704"/>
      <c r="M34" s="454">
        <f>ROUND(SUM(M29:M33),1)</f>
        <v>0</v>
      </c>
      <c r="N34" s="454"/>
      <c r="O34" s="454">
        <f>ROUND(SUM(O29:O33),1)</f>
        <v>0</v>
      </c>
      <c r="P34" s="454"/>
      <c r="Q34" s="454">
        <f>ROUND(SUM(Q29:Q33),1)</f>
        <v>0</v>
      </c>
      <c r="R34" s="454"/>
      <c r="S34" s="454">
        <f>ROUND(SUM(S29:S33),1)</f>
        <v>0</v>
      </c>
      <c r="T34" s="454"/>
      <c r="U34" s="454">
        <f>ROUND(SUM(U29:U33),1)</f>
        <v>0</v>
      </c>
      <c r="V34" s="454"/>
      <c r="W34" s="454">
        <f>ROUND(SUM(W29:W33),1)</f>
        <v>0</v>
      </c>
      <c r="X34" s="454"/>
      <c r="Y34" s="454">
        <f>ROUND(SUM(Y29:Y33),1)</f>
        <v>0</v>
      </c>
      <c r="Z34" s="441"/>
      <c r="AA34" s="442"/>
      <c r="AB34" s="454">
        <f>ROUND(SUM(AB29:AB33),1)</f>
        <v>370.4</v>
      </c>
      <c r="AC34" s="702"/>
      <c r="AD34" s="441"/>
      <c r="AE34" s="454">
        <f>ROUND(SUM(AE29:AE33),1)</f>
        <v>419</v>
      </c>
      <c r="AF34" s="450"/>
      <c r="AG34" s="2266"/>
      <c r="AH34" s="2290">
        <f>ROUND(SUM(AH29:AH32),1)</f>
        <v>-48.6</v>
      </c>
      <c r="AI34" s="2291"/>
      <c r="AJ34" s="2292">
        <f>ROUND(IF(AH34=0,0,AH34/(AE34)),3)</f>
        <v>-0.11600000000000001</v>
      </c>
      <c r="AK34" s="694"/>
    </row>
    <row r="35" spans="1:37" ht="16.5" customHeight="1">
      <c r="A35" s="427"/>
      <c r="B35" s="427"/>
      <c r="C35" s="700"/>
      <c r="D35" s="439"/>
      <c r="E35" s="701"/>
      <c r="F35" s="453"/>
      <c r="G35" s="701"/>
      <c r="H35" s="453"/>
      <c r="I35" s="701"/>
      <c r="J35" s="453"/>
      <c r="K35" s="448"/>
      <c r="L35" s="453"/>
      <c r="M35" s="701"/>
      <c r="N35" s="453"/>
      <c r="O35" s="701"/>
      <c r="P35" s="453"/>
      <c r="Q35" s="701"/>
      <c r="R35" s="453"/>
      <c r="S35" s="701"/>
      <c r="T35" s="453"/>
      <c r="U35" s="701"/>
      <c r="V35" s="453"/>
      <c r="W35" s="701"/>
      <c r="X35" s="453"/>
      <c r="Y35" s="701"/>
      <c r="Z35" s="439"/>
      <c r="AA35" s="440"/>
      <c r="AB35" s="700"/>
      <c r="AC35" s="447"/>
      <c r="AD35" s="440"/>
      <c r="AE35" s="700"/>
      <c r="AF35" s="443"/>
      <c r="AG35" s="2266"/>
      <c r="AH35" s="2289"/>
      <c r="AJ35" s="2274"/>
    </row>
    <row r="36" spans="1:37" ht="16.5" customHeight="1">
      <c r="A36" s="427"/>
      <c r="B36" s="427"/>
      <c r="C36" s="439"/>
      <c r="D36" s="439"/>
      <c r="E36" s="453"/>
      <c r="F36" s="453"/>
      <c r="G36" s="453"/>
      <c r="H36" s="453"/>
      <c r="I36" s="453"/>
      <c r="J36" s="453"/>
      <c r="K36" s="453"/>
      <c r="L36" s="453"/>
      <c r="M36" s="453"/>
      <c r="N36" s="453"/>
      <c r="O36" s="453"/>
      <c r="P36" s="453"/>
      <c r="Q36" s="453"/>
      <c r="R36" s="453"/>
      <c r="S36" s="453"/>
      <c r="T36" s="453"/>
      <c r="U36" s="453"/>
      <c r="V36" s="453"/>
      <c r="W36" s="453"/>
      <c r="X36" s="453"/>
      <c r="Y36" s="453"/>
      <c r="Z36" s="439"/>
      <c r="AA36" s="440"/>
      <c r="AB36" s="439"/>
      <c r="AC36" s="447"/>
      <c r="AD36" s="440"/>
      <c r="AE36" s="439"/>
      <c r="AF36" s="736"/>
      <c r="AG36" s="2270"/>
      <c r="AH36" s="2289"/>
      <c r="AI36" s="2294"/>
      <c r="AJ36" s="2293"/>
    </row>
    <row r="37" spans="1:37" ht="16.5" customHeight="1">
      <c r="A37" s="427"/>
      <c r="B37" s="427"/>
      <c r="C37" s="439"/>
      <c r="D37" s="439"/>
      <c r="E37" s="453"/>
      <c r="F37" s="453"/>
      <c r="G37" s="453"/>
      <c r="H37" s="453"/>
      <c r="I37" s="453"/>
      <c r="J37" s="453"/>
      <c r="K37" s="453"/>
      <c r="L37" s="453"/>
      <c r="M37" s="453"/>
      <c r="N37" s="453"/>
      <c r="O37" s="453"/>
      <c r="P37" s="453"/>
      <c r="Q37" s="453"/>
      <c r="R37" s="453"/>
      <c r="S37" s="453"/>
      <c r="T37" s="453"/>
      <c r="U37" s="453"/>
      <c r="V37" s="453"/>
      <c r="W37" s="453"/>
      <c r="X37" s="453"/>
      <c r="Y37" s="453"/>
      <c r="Z37" s="439"/>
      <c r="AA37" s="440"/>
      <c r="AB37" s="439"/>
      <c r="AC37" s="447"/>
      <c r="AD37" s="440"/>
      <c r="AE37" s="439"/>
      <c r="AF37" s="1796"/>
      <c r="AG37" s="2271"/>
      <c r="AH37" s="2289"/>
      <c r="AI37" s="2294"/>
      <c r="AJ37" s="2293"/>
    </row>
    <row r="38" spans="1:37" ht="16.5" customHeight="1">
      <c r="A38" s="436" t="s">
        <v>163</v>
      </c>
      <c r="B38" s="427"/>
      <c r="C38" s="439"/>
      <c r="D38" s="439"/>
      <c r="E38" s="453"/>
      <c r="F38" s="453"/>
      <c r="G38" s="453"/>
      <c r="H38" s="453"/>
      <c r="I38" s="453"/>
      <c r="J38" s="453"/>
      <c r="K38" s="453"/>
      <c r="L38" s="453"/>
      <c r="M38" s="453"/>
      <c r="N38" s="453"/>
      <c r="O38" s="453"/>
      <c r="P38" s="453"/>
      <c r="Q38" s="453"/>
      <c r="R38" s="453"/>
      <c r="S38" s="453"/>
      <c r="T38" s="453"/>
      <c r="U38" s="453"/>
      <c r="V38" s="453"/>
      <c r="W38" s="453"/>
      <c r="X38" s="453"/>
      <c r="Y38" s="453"/>
      <c r="Z38" s="439"/>
      <c r="AA38" s="440"/>
      <c r="AB38" s="439"/>
      <c r="AC38" s="447"/>
      <c r="AD38" s="440"/>
      <c r="AE38" s="439"/>
      <c r="AF38" s="721"/>
      <c r="AG38" s="2272"/>
      <c r="AH38" s="2289"/>
      <c r="AI38" s="2294"/>
      <c r="AJ38" s="2293"/>
    </row>
    <row r="39" spans="1:37" ht="16.5" customHeight="1">
      <c r="A39" s="436" t="s">
        <v>46</v>
      </c>
      <c r="B39" s="427"/>
      <c r="C39" s="454">
        <f>ROUND(C23-C34,1)</f>
        <v>26.5</v>
      </c>
      <c r="D39" s="441"/>
      <c r="E39" s="454">
        <f>ROUND(E23-E34,1)</f>
        <v>0.8</v>
      </c>
      <c r="F39" s="454"/>
      <c r="G39" s="454">
        <f>ROUND(G23-G34,1)</f>
        <v>0</v>
      </c>
      <c r="H39" s="454"/>
      <c r="I39" s="454">
        <f>ROUND(I23-I34,1)</f>
        <v>0</v>
      </c>
      <c r="J39" s="454"/>
      <c r="K39" s="454">
        <f>ROUND(K23-K34,1)</f>
        <v>0</v>
      </c>
      <c r="L39" s="454"/>
      <c r="M39" s="454">
        <f>ROUND(M23-M34,1)</f>
        <v>0</v>
      </c>
      <c r="N39" s="454"/>
      <c r="O39" s="454">
        <f>ROUND(O23-O34,1)</f>
        <v>0</v>
      </c>
      <c r="P39" s="454"/>
      <c r="Q39" s="454">
        <f>ROUND(Q23-Q34,1)</f>
        <v>0</v>
      </c>
      <c r="R39" s="454"/>
      <c r="S39" s="454">
        <f>ROUND(S23-S34,1)</f>
        <v>0</v>
      </c>
      <c r="T39" s="454"/>
      <c r="U39" s="454">
        <f>ROUND(U23-U34,1)</f>
        <v>0</v>
      </c>
      <c r="V39" s="454"/>
      <c r="W39" s="454">
        <f>ROUND(W23-W34,1)</f>
        <v>0</v>
      </c>
      <c r="X39" s="454"/>
      <c r="Y39" s="454">
        <f>ROUND(Y23-Y34,1)</f>
        <v>0</v>
      </c>
      <c r="Z39" s="441"/>
      <c r="AA39" s="442"/>
      <c r="AB39" s="454">
        <f>ROUND(AB23-AB34,1)</f>
        <v>27.3</v>
      </c>
      <c r="AC39" s="702"/>
      <c r="AD39" s="441"/>
      <c r="AE39" s="454">
        <f>ROUND(AE23-AE34,1)</f>
        <v>33.799999999999997</v>
      </c>
      <c r="AF39" s="1803"/>
      <c r="AG39" s="2270"/>
      <c r="AH39" s="2290">
        <f>ROUND(SUM(AH23-AH34),1)</f>
        <v>-6.5</v>
      </c>
      <c r="AI39" s="2291"/>
      <c r="AJ39" s="2292">
        <f>ROUND(IF(AH39=0,0,AH39/ABS(AE39)),3)</f>
        <v>-0.192</v>
      </c>
    </row>
    <row r="40" spans="1:37" ht="16.5" customHeight="1">
      <c r="A40" s="427"/>
      <c r="B40" s="427"/>
      <c r="C40" s="700"/>
      <c r="D40" s="439"/>
      <c r="E40" s="701"/>
      <c r="F40" s="453"/>
      <c r="G40" s="701"/>
      <c r="H40" s="453"/>
      <c r="I40" s="701"/>
      <c r="J40" s="453"/>
      <c r="K40" s="701"/>
      <c r="L40" s="453"/>
      <c r="M40" s="701"/>
      <c r="N40" s="453"/>
      <c r="O40" s="701"/>
      <c r="P40" s="453"/>
      <c r="Q40" s="701"/>
      <c r="R40" s="453"/>
      <c r="S40" s="701"/>
      <c r="T40" s="453"/>
      <c r="U40" s="701"/>
      <c r="V40" s="453"/>
      <c r="W40" s="701"/>
      <c r="X40" s="453"/>
      <c r="Y40" s="701"/>
      <c r="Z40" s="439"/>
      <c r="AA40" s="440"/>
      <c r="AB40" s="700"/>
      <c r="AC40" s="447"/>
      <c r="AD40" s="440"/>
      <c r="AE40" s="700"/>
      <c r="AF40" s="253"/>
      <c r="AG40" s="2270"/>
      <c r="AH40" s="2289"/>
      <c r="AJ40" s="2274"/>
    </row>
    <row r="41" spans="1:37" ht="16.5" customHeight="1">
      <c r="A41" s="427"/>
      <c r="B41" s="427"/>
      <c r="C41" s="439"/>
      <c r="D41" s="439"/>
      <c r="E41" s="453"/>
      <c r="F41" s="453"/>
      <c r="G41" s="453"/>
      <c r="H41" s="453"/>
      <c r="I41" s="453"/>
      <c r="J41" s="453"/>
      <c r="K41" s="453"/>
      <c r="L41" s="453"/>
      <c r="M41" s="453"/>
      <c r="N41" s="453"/>
      <c r="O41" s="453"/>
      <c r="P41" s="453"/>
      <c r="Q41" s="453"/>
      <c r="R41" s="453"/>
      <c r="S41" s="453"/>
      <c r="T41" s="453"/>
      <c r="U41" s="453"/>
      <c r="V41" s="453"/>
      <c r="W41" s="453"/>
      <c r="X41" s="453"/>
      <c r="Y41" s="453"/>
      <c r="Z41" s="439"/>
      <c r="AA41" s="440"/>
      <c r="AB41" s="439"/>
      <c r="AC41" s="439"/>
      <c r="AD41" s="440"/>
      <c r="AE41" s="439"/>
      <c r="AF41" s="368"/>
      <c r="AG41" s="2270"/>
      <c r="AH41" s="2289"/>
      <c r="AJ41" s="2274"/>
    </row>
    <row r="42" spans="1:37" ht="16.5" customHeight="1">
      <c r="A42" s="427"/>
      <c r="B42" s="427"/>
      <c r="C42" s="439"/>
      <c r="D42" s="439"/>
      <c r="E42" s="453"/>
      <c r="F42" s="453"/>
      <c r="G42" s="453"/>
      <c r="H42" s="453"/>
      <c r="I42" s="453"/>
      <c r="J42" s="453"/>
      <c r="K42" s="453"/>
      <c r="L42" s="453"/>
      <c r="M42" s="453"/>
      <c r="N42" s="453"/>
      <c r="O42" s="453"/>
      <c r="P42" s="453"/>
      <c r="Q42" s="453"/>
      <c r="R42" s="453"/>
      <c r="S42" s="453"/>
      <c r="T42" s="453"/>
      <c r="U42" s="453"/>
      <c r="V42" s="453"/>
      <c r="W42" s="453"/>
      <c r="X42" s="453"/>
      <c r="Y42" s="453"/>
      <c r="Z42" s="439"/>
      <c r="AA42" s="440"/>
      <c r="AB42" s="439"/>
      <c r="AC42" s="439"/>
      <c r="AD42" s="440"/>
      <c r="AE42" s="439"/>
      <c r="AG42" s="2267"/>
      <c r="AH42" s="2289"/>
      <c r="AJ42" s="2293"/>
    </row>
    <row r="43" spans="1:37" ht="16.5" customHeight="1">
      <c r="A43" s="436" t="s">
        <v>47</v>
      </c>
      <c r="B43" s="427"/>
      <c r="C43" s="439"/>
      <c r="D43" s="439"/>
      <c r="E43" s="453"/>
      <c r="F43" s="453"/>
      <c r="G43" s="453"/>
      <c r="H43" s="453"/>
      <c r="I43" s="453"/>
      <c r="J43" s="453"/>
      <c r="K43" s="705"/>
      <c r="L43" s="453"/>
      <c r="M43" s="453"/>
      <c r="N43" s="453"/>
      <c r="O43" s="453"/>
      <c r="P43" s="453"/>
      <c r="Q43" s="453"/>
      <c r="R43" s="453"/>
      <c r="S43" s="453"/>
      <c r="T43" s="453"/>
      <c r="U43" s="453"/>
      <c r="V43" s="453"/>
      <c r="W43" s="453"/>
      <c r="X43" s="453"/>
      <c r="Y43" s="453"/>
      <c r="Z43" s="439"/>
      <c r="AA43" s="440"/>
      <c r="AB43" s="439"/>
      <c r="AC43" s="439"/>
      <c r="AD43" s="440"/>
      <c r="AE43" s="439"/>
      <c r="AF43" s="368"/>
      <c r="AG43" s="2270"/>
      <c r="AH43" s="2299"/>
      <c r="AI43" s="2300"/>
      <c r="AJ43" s="2293"/>
    </row>
    <row r="44" spans="1:37" ht="16.5" customHeight="1">
      <c r="A44" s="427" t="s">
        <v>188</v>
      </c>
      <c r="B44" s="427"/>
      <c r="C44" s="451">
        <v>0</v>
      </c>
      <c r="D44" s="439"/>
      <c r="E44" s="451">
        <v>0</v>
      </c>
      <c r="F44" s="453"/>
      <c r="G44" s="451"/>
      <c r="H44" s="444"/>
      <c r="I44" s="451"/>
      <c r="J44" s="453"/>
      <c r="K44" s="451"/>
      <c r="L44" s="453"/>
      <c r="M44" s="451"/>
      <c r="N44" s="453"/>
      <c r="O44" s="451"/>
      <c r="P44" s="453"/>
      <c r="Q44" s="451"/>
      <c r="R44" s="453"/>
      <c r="S44" s="451"/>
      <c r="T44" s="453"/>
      <c r="U44" s="451"/>
      <c r="V44" s="453"/>
      <c r="W44" s="451"/>
      <c r="X44" s="453"/>
      <c r="Y44" s="451"/>
      <c r="Z44" s="439"/>
      <c r="AA44" s="440"/>
      <c r="AB44" s="439">
        <f>ROUND(SUM(C44:Y44),1)</f>
        <v>0</v>
      </c>
      <c r="AC44" s="439"/>
      <c r="AD44" s="440"/>
      <c r="AE44" s="452">
        <v>0</v>
      </c>
      <c r="AF44" s="368"/>
      <c r="AG44" s="2270"/>
      <c r="AH44" s="2289">
        <f>ROUND(SUM(AB44-AE44),1)</f>
        <v>0</v>
      </c>
      <c r="AJ44" s="2787">
        <f>ROUND(IF(AH44=0,0,AH44/(AE44)),3)</f>
        <v>0</v>
      </c>
    </row>
    <row r="45" spans="1:37" ht="16.5" customHeight="1">
      <c r="A45" s="427" t="s">
        <v>189</v>
      </c>
      <c r="B45" s="427"/>
      <c r="C45" s="451">
        <v>0</v>
      </c>
      <c r="D45" s="439"/>
      <c r="E45" s="451">
        <v>0</v>
      </c>
      <c r="F45" s="453"/>
      <c r="G45" s="451"/>
      <c r="H45" s="444"/>
      <c r="I45" s="451"/>
      <c r="J45" s="453"/>
      <c r="K45" s="451"/>
      <c r="L45" s="453"/>
      <c r="M45" s="451"/>
      <c r="N45" s="453"/>
      <c r="O45" s="451"/>
      <c r="P45" s="453"/>
      <c r="Q45" s="451"/>
      <c r="R45" s="453"/>
      <c r="S45" s="451"/>
      <c r="T45" s="453"/>
      <c r="U45" s="451"/>
      <c r="V45" s="453"/>
      <c r="W45" s="451"/>
      <c r="X45" s="453"/>
      <c r="Y45" s="451"/>
      <c r="Z45" s="439"/>
      <c r="AA45" s="440"/>
      <c r="AB45" s="439">
        <f>ROUND(SUM(C45:Y45),1)</f>
        <v>0</v>
      </c>
      <c r="AC45" s="439"/>
      <c r="AD45" s="440"/>
      <c r="AE45" s="452">
        <v>0</v>
      </c>
      <c r="AF45" s="368"/>
      <c r="AG45" s="2270"/>
      <c r="AH45" s="2789">
        <f>-ROUND(SUM(AB45-AE45),1)</f>
        <v>0</v>
      </c>
      <c r="AJ45" s="3160">
        <f>ROUND(IF(AH45=0,0,AH45/(AE45)),3)</f>
        <v>0</v>
      </c>
    </row>
    <row r="46" spans="1:37" ht="16.5" customHeight="1">
      <c r="A46" s="427"/>
      <c r="B46" s="427"/>
      <c r="C46" s="700"/>
      <c r="D46" s="439"/>
      <c r="E46" s="700"/>
      <c r="F46" s="453"/>
      <c r="G46" s="700"/>
      <c r="H46" s="453"/>
      <c r="I46" s="700"/>
      <c r="J46" s="453"/>
      <c r="K46" s="700"/>
      <c r="L46" s="453"/>
      <c r="M46" s="700"/>
      <c r="N46" s="453"/>
      <c r="O46" s="700"/>
      <c r="P46" s="453"/>
      <c r="Q46" s="700"/>
      <c r="R46" s="453"/>
      <c r="S46" s="700"/>
      <c r="T46" s="453"/>
      <c r="U46" s="701"/>
      <c r="V46" s="453"/>
      <c r="W46" s="701"/>
      <c r="X46" s="453"/>
      <c r="Y46" s="701"/>
      <c r="Z46" s="439"/>
      <c r="AA46" s="440"/>
      <c r="AB46" s="700"/>
      <c r="AC46" s="439"/>
      <c r="AD46" s="440"/>
      <c r="AE46" s="700"/>
      <c r="AF46" s="368"/>
      <c r="AG46" s="2270"/>
      <c r="AH46" s="2283"/>
      <c r="AJ46" s="2884"/>
    </row>
    <row r="47" spans="1:37" ht="16.5" customHeight="1">
      <c r="A47" s="436" t="s">
        <v>216</v>
      </c>
      <c r="B47" s="427"/>
      <c r="C47" s="706">
        <f>ROUND(SUM(C44:C46),1)</f>
        <v>0</v>
      </c>
      <c r="D47" s="441"/>
      <c r="E47" s="706">
        <f>ROUND(SUM(E44:E46),1)</f>
        <v>0</v>
      </c>
      <c r="F47" s="454"/>
      <c r="G47" s="706">
        <f>ROUND(SUM(G44:G46),1)</f>
        <v>0</v>
      </c>
      <c r="H47" s="454"/>
      <c r="I47" s="706">
        <f>ROUND(SUM(I44:I46),1)</f>
        <v>0</v>
      </c>
      <c r="J47" s="454"/>
      <c r="K47" s="706">
        <f>ROUND(SUM(K44:K46),1)</f>
        <v>0</v>
      </c>
      <c r="L47" s="454"/>
      <c r="M47" s="706">
        <f>ROUND(SUM(M44:M46),1)</f>
        <v>0</v>
      </c>
      <c r="N47" s="454"/>
      <c r="O47" s="706">
        <f>ROUND(SUM(O44:O46),1)</f>
        <v>0</v>
      </c>
      <c r="P47" s="454"/>
      <c r="Q47" s="706">
        <f>ROUND(SUM(Q44:Q46),1)</f>
        <v>0</v>
      </c>
      <c r="R47" s="454"/>
      <c r="S47" s="706">
        <f>ROUND(SUM(S44:S46),1)</f>
        <v>0</v>
      </c>
      <c r="T47" s="454"/>
      <c r="U47" s="706">
        <f>ROUND(SUM(U44:U46),1)</f>
        <v>0</v>
      </c>
      <c r="V47" s="454"/>
      <c r="W47" s="706">
        <f>ROUND(SUM(W44:W46),1)</f>
        <v>0</v>
      </c>
      <c r="X47" s="454"/>
      <c r="Y47" s="706">
        <f>ROUND(SUM(Y44:Y46),1)</f>
        <v>0</v>
      </c>
      <c r="Z47" s="441"/>
      <c r="AA47" s="442"/>
      <c r="AB47" s="2788">
        <f>ROUND(SUM(AB44+AB45),1)</f>
        <v>0</v>
      </c>
      <c r="AC47" s="702"/>
      <c r="AD47" s="441"/>
      <c r="AE47" s="2788">
        <f>ROUND(SUM(AE44-AE45),1)</f>
        <v>0</v>
      </c>
      <c r="AF47" s="223"/>
      <c r="AG47" s="2267"/>
      <c r="AH47" s="2290">
        <f>ROUND(SUM(AH44:AH45),1)</f>
        <v>0</v>
      </c>
      <c r="AI47" s="2301"/>
      <c r="AJ47" s="2292">
        <f>ROUND(IF(AH47=0,0,AH47/ABS(AE47)),3)</f>
        <v>0</v>
      </c>
    </row>
    <row r="48" spans="1:37" ht="16.5" customHeight="1">
      <c r="A48" s="427"/>
      <c r="B48" s="427"/>
      <c r="C48" s="700"/>
      <c r="D48" s="439"/>
      <c r="E48" s="701"/>
      <c r="F48" s="453"/>
      <c r="G48" s="701"/>
      <c r="H48" s="453"/>
      <c r="I48" s="701"/>
      <c r="J48" s="453"/>
      <c r="K48" s="701"/>
      <c r="L48" s="453"/>
      <c r="M48" s="701"/>
      <c r="N48" s="453"/>
      <c r="O48" s="701"/>
      <c r="P48" s="453"/>
      <c r="Q48" s="701"/>
      <c r="R48" s="453"/>
      <c r="S48" s="701"/>
      <c r="T48" s="453"/>
      <c r="U48" s="701"/>
      <c r="V48" s="453"/>
      <c r="W48" s="701"/>
      <c r="X48" s="453"/>
      <c r="Y48" s="701"/>
      <c r="Z48" s="439"/>
      <c r="AA48" s="440"/>
      <c r="AB48" s="700"/>
      <c r="AC48" s="439"/>
      <c r="AD48" s="440"/>
      <c r="AE48" s="700"/>
      <c r="AG48" s="2267"/>
      <c r="AH48" s="2283"/>
    </row>
    <row r="49" spans="1:39" ht="16.5" customHeight="1">
      <c r="A49" s="427"/>
      <c r="B49" s="427"/>
      <c r="C49" s="439"/>
      <c r="D49" s="439"/>
      <c r="E49" s="453"/>
      <c r="F49" s="453"/>
      <c r="G49" s="453"/>
      <c r="H49" s="453"/>
      <c r="I49" s="453"/>
      <c r="J49" s="453"/>
      <c r="K49" s="453"/>
      <c r="L49" s="453"/>
      <c r="M49" s="453"/>
      <c r="N49" s="453"/>
      <c r="O49" s="453"/>
      <c r="P49" s="453"/>
      <c r="Q49" s="453"/>
      <c r="R49" s="453"/>
      <c r="S49" s="453"/>
      <c r="T49" s="453"/>
      <c r="U49" s="453"/>
      <c r="V49" s="453"/>
      <c r="W49" s="453"/>
      <c r="X49" s="453"/>
      <c r="Y49" s="453"/>
      <c r="Z49" s="439"/>
      <c r="AA49" s="440"/>
      <c r="AB49" s="439"/>
      <c r="AC49" s="439"/>
      <c r="AD49" s="440"/>
      <c r="AE49" s="439"/>
      <c r="AG49" s="2267"/>
      <c r="AH49" s="2283"/>
    </row>
    <row r="50" spans="1:39" ht="16.5" customHeight="1">
      <c r="A50" s="427"/>
      <c r="B50" s="427"/>
      <c r="C50" s="439"/>
      <c r="D50" s="439"/>
      <c r="E50" s="453"/>
      <c r="F50" s="453"/>
      <c r="G50" s="453"/>
      <c r="H50" s="453"/>
      <c r="I50" s="453"/>
      <c r="J50" s="453"/>
      <c r="K50" s="453"/>
      <c r="L50" s="453"/>
      <c r="M50" s="453"/>
      <c r="N50" s="453"/>
      <c r="O50" s="453"/>
      <c r="P50" s="453"/>
      <c r="Q50" s="453"/>
      <c r="R50" s="453"/>
      <c r="S50" s="453"/>
      <c r="T50" s="453"/>
      <c r="U50" s="453"/>
      <c r="V50" s="453"/>
      <c r="W50" s="453"/>
      <c r="X50" s="453"/>
      <c r="Y50" s="453"/>
      <c r="Z50" s="439"/>
      <c r="AA50" s="440"/>
      <c r="AB50" s="439"/>
      <c r="AC50" s="439"/>
      <c r="AD50" s="440"/>
      <c r="AE50" s="439"/>
      <c r="AG50" s="2267"/>
    </row>
    <row r="51" spans="1:39" ht="16.5" customHeight="1">
      <c r="A51" s="436" t="s">
        <v>172</v>
      </c>
      <c r="B51" s="427"/>
      <c r="C51" s="439"/>
      <c r="D51" s="439"/>
      <c r="E51" s="453"/>
      <c r="F51" s="453"/>
      <c r="G51" s="453"/>
      <c r="H51" s="453"/>
      <c r="I51" s="453"/>
      <c r="J51" s="453"/>
      <c r="K51" s="453"/>
      <c r="L51" s="453"/>
      <c r="M51" s="453"/>
      <c r="N51" s="453"/>
      <c r="O51" s="453"/>
      <c r="P51" s="453"/>
      <c r="Q51" s="453"/>
      <c r="R51" s="453"/>
      <c r="S51" s="453"/>
      <c r="T51" s="453"/>
      <c r="U51" s="453"/>
      <c r="V51" s="453"/>
      <c r="W51" s="453"/>
      <c r="X51" s="453"/>
      <c r="Y51" s="453"/>
      <c r="Z51" s="439"/>
      <c r="AA51" s="440"/>
      <c r="AB51" s="439"/>
      <c r="AC51" s="439"/>
      <c r="AD51" s="440"/>
      <c r="AE51" s="439"/>
      <c r="AG51" s="2267"/>
    </row>
    <row r="52" spans="1:39" ht="16.5" customHeight="1">
      <c r="A52" s="436" t="s">
        <v>235</v>
      </c>
      <c r="B52" s="427"/>
      <c r="C52" s="439"/>
      <c r="D52" s="439"/>
      <c r="E52" s="453"/>
      <c r="F52" s="453"/>
      <c r="G52" s="453"/>
      <c r="H52" s="453"/>
      <c r="I52" s="453"/>
      <c r="J52" s="453"/>
      <c r="K52" s="707"/>
      <c r="L52" s="453"/>
      <c r="M52" s="453"/>
      <c r="N52" s="453"/>
      <c r="O52" s="453"/>
      <c r="P52" s="453"/>
      <c r="Q52" s="453"/>
      <c r="R52" s="453"/>
      <c r="S52" s="453"/>
      <c r="T52" s="453"/>
      <c r="U52" s="453"/>
      <c r="V52" s="453"/>
      <c r="W52" s="453"/>
      <c r="X52" s="453"/>
      <c r="Y52" s="453"/>
      <c r="Z52" s="439"/>
      <c r="AA52" s="440"/>
      <c r="AB52" s="439"/>
      <c r="AC52" s="439"/>
      <c r="AD52" s="440"/>
      <c r="AE52" s="439"/>
      <c r="AG52" s="2267"/>
    </row>
    <row r="53" spans="1:39" ht="16.5" customHeight="1">
      <c r="A53" s="436" t="s">
        <v>174</v>
      </c>
      <c r="B53" s="427"/>
      <c r="C53" s="454">
        <f>ROUND(C39+C47,1)</f>
        <v>26.5</v>
      </c>
      <c r="D53" s="441"/>
      <c r="E53" s="454">
        <f>ROUND(E39+E47,1)</f>
        <v>0.8</v>
      </c>
      <c r="F53" s="454"/>
      <c r="G53" s="454">
        <f>ROUND(G39+G47,1)</f>
        <v>0</v>
      </c>
      <c r="H53" s="454"/>
      <c r="I53" s="454">
        <f>ROUND(I39+I47,1)</f>
        <v>0</v>
      </c>
      <c r="J53" s="454"/>
      <c r="K53" s="1849">
        <f>ROUND(K39+K47,1)</f>
        <v>0</v>
      </c>
      <c r="L53" s="454"/>
      <c r="M53" s="454">
        <f>ROUND(M39+M47,1)</f>
        <v>0</v>
      </c>
      <c r="N53" s="454"/>
      <c r="O53" s="454">
        <f>ROUND(O39+O47,1)</f>
        <v>0</v>
      </c>
      <c r="P53" s="454"/>
      <c r="Q53" s="454">
        <f>ROUND(Q39+Q47,1)</f>
        <v>0</v>
      </c>
      <c r="R53" s="454"/>
      <c r="S53" s="454">
        <f>ROUND(S39+S47,1)</f>
        <v>0</v>
      </c>
      <c r="T53" s="454"/>
      <c r="U53" s="454">
        <f>ROUND(U39+U47,1)</f>
        <v>0</v>
      </c>
      <c r="V53" s="454"/>
      <c r="W53" s="454">
        <f>ROUND(W39+W47,1)</f>
        <v>0</v>
      </c>
      <c r="X53" s="454"/>
      <c r="Y53" s="454">
        <f>ROUND(Y39+Y47,1)</f>
        <v>0</v>
      </c>
      <c r="Z53" s="441"/>
      <c r="AA53" s="442"/>
      <c r="AB53" s="454">
        <f>ROUND(AB39+AB47,1)</f>
        <v>27.3</v>
      </c>
      <c r="AC53" s="702"/>
      <c r="AD53" s="441"/>
      <c r="AE53" s="454">
        <f>ROUND(AE39+AE47,1)</f>
        <v>33.799999999999997</v>
      </c>
      <c r="AG53" s="2267"/>
      <c r="AH53" s="2290">
        <f>ROUND(SUM(AH39+AH47),1)</f>
        <v>-6.5</v>
      </c>
      <c r="AI53" s="2263"/>
      <c r="AJ53" s="2292">
        <f>ROUND(IF(AH53=0,0,AH53/ABS(AE53)),3)</f>
        <v>-0.192</v>
      </c>
      <c r="AK53" s="694"/>
      <c r="AL53" s="694"/>
      <c r="AM53" s="694"/>
    </row>
    <row r="54" spans="1:39" ht="16.5" customHeight="1">
      <c r="A54" s="427"/>
      <c r="B54" s="427"/>
      <c r="C54" s="708"/>
      <c r="D54" s="436"/>
      <c r="E54" s="709"/>
      <c r="F54" s="710"/>
      <c r="G54" s="709"/>
      <c r="H54" s="710"/>
      <c r="I54" s="709"/>
      <c r="J54" s="710"/>
      <c r="K54" s="711"/>
      <c r="L54" s="710"/>
      <c r="M54" s="709"/>
      <c r="N54" s="710"/>
      <c r="O54" s="709"/>
      <c r="P54" s="710"/>
      <c r="Q54" s="709"/>
      <c r="R54" s="710"/>
      <c r="S54" s="709"/>
      <c r="T54" s="710"/>
      <c r="U54" s="709"/>
      <c r="V54" s="710"/>
      <c r="W54" s="709"/>
      <c r="X54" s="710"/>
      <c r="Y54" s="709"/>
      <c r="Z54" s="436"/>
      <c r="AA54" s="712"/>
      <c r="AB54" s="708"/>
      <c r="AC54" s="436"/>
      <c r="AD54" s="712"/>
      <c r="AE54" s="708"/>
      <c r="AG54" s="2267"/>
      <c r="AJ54" s="2274"/>
      <c r="AK54" s="694"/>
      <c r="AL54" s="694"/>
      <c r="AM54" s="694"/>
    </row>
    <row r="55" spans="1:39" ht="16.5" customHeight="1" thickBot="1">
      <c r="A55" s="436" t="s">
        <v>146</v>
      </c>
      <c r="B55" s="427"/>
      <c r="C55" s="434">
        <f>ROUND(C16+C53,1)</f>
        <v>77.099999999999994</v>
      </c>
      <c r="D55" s="434"/>
      <c r="E55" s="434">
        <f>ROUND(E16+E53,1)</f>
        <v>77.900000000000006</v>
      </c>
      <c r="F55" s="693"/>
      <c r="G55" s="434">
        <f>ROUND(G16+G53,1)</f>
        <v>0</v>
      </c>
      <c r="H55" s="693"/>
      <c r="I55" s="1851">
        <f>ROUND(I16+I53,1)</f>
        <v>0</v>
      </c>
      <c r="J55" s="713"/>
      <c r="K55" s="434">
        <f>ROUND(K16+K53,1)</f>
        <v>0</v>
      </c>
      <c r="L55" s="713"/>
      <c r="M55" s="434">
        <f>ROUND(M16+M53,1)</f>
        <v>0</v>
      </c>
      <c r="N55" s="693"/>
      <c r="O55" s="434">
        <f>ROUND(O16+O53,1)</f>
        <v>0</v>
      </c>
      <c r="P55" s="693"/>
      <c r="Q55" s="434">
        <f>ROUND(Q16+Q53,1)</f>
        <v>0</v>
      </c>
      <c r="R55" s="693"/>
      <c r="S55" s="434">
        <f>ROUND(S16+S53,1)</f>
        <v>0</v>
      </c>
      <c r="T55" s="693"/>
      <c r="U55" s="434">
        <f>ROUND(U16+U53,1)</f>
        <v>0</v>
      </c>
      <c r="V55" s="693"/>
      <c r="W55" s="434">
        <f>ROUND(W16+W53,1)</f>
        <v>0</v>
      </c>
      <c r="X55" s="693"/>
      <c r="Y55" s="434">
        <f>ROUND(Y16+Y53,1)</f>
        <v>0</v>
      </c>
      <c r="Z55" s="434"/>
      <c r="AA55" s="435"/>
      <c r="AB55" s="434">
        <f>ROUND(AB16+AB53,1)</f>
        <v>77.900000000000006</v>
      </c>
      <c r="AC55" s="434"/>
      <c r="AD55" s="435"/>
      <c r="AE55" s="434">
        <f>ROUND(AE16+AE53,1)</f>
        <v>96.3</v>
      </c>
      <c r="AG55" s="2267"/>
      <c r="AH55" s="2302">
        <f>ROUND(SUM(AB55-AE55),1)</f>
        <v>-18.399999999999999</v>
      </c>
      <c r="AI55" s="2300"/>
      <c r="AJ55" s="2303">
        <f>ROUND(IF(AH55=0,0,AH55/(AE55)),3)</f>
        <v>-0.191</v>
      </c>
      <c r="AK55" s="694"/>
      <c r="AL55" s="694"/>
      <c r="AM55" s="694"/>
    </row>
    <row r="56" spans="1:39" ht="16.5" customHeight="1" thickTop="1">
      <c r="A56" s="429"/>
      <c r="B56" s="429"/>
      <c r="C56" s="714"/>
      <c r="D56" s="429"/>
      <c r="E56" s="714"/>
      <c r="F56" s="429"/>
      <c r="G56" s="714"/>
      <c r="H56" s="429"/>
      <c r="I56" s="446"/>
      <c r="J56" s="446"/>
      <c r="K56" s="714"/>
      <c r="L56" s="446"/>
      <c r="M56" s="714"/>
      <c r="N56" s="429"/>
      <c r="O56" s="714"/>
      <c r="P56" s="429"/>
      <c r="Q56" s="714"/>
      <c r="R56" s="429"/>
      <c r="S56" s="714"/>
      <c r="T56" s="429"/>
      <c r="U56" s="714"/>
      <c r="V56" s="429"/>
      <c r="W56" s="714"/>
      <c r="X56" s="429"/>
      <c r="Y56" s="714"/>
      <c r="Z56" s="429"/>
      <c r="AA56" s="429"/>
      <c r="AB56" s="714"/>
      <c r="AC56" s="429"/>
      <c r="AD56" s="429"/>
      <c r="AE56" s="714"/>
    </row>
    <row r="57" spans="1:39" ht="16.5" customHeight="1">
      <c r="A57" s="455"/>
    </row>
    <row r="58" spans="1:39" ht="16.5" customHeight="1">
      <c r="A58" s="455"/>
    </row>
    <row r="59" spans="1:39" ht="16.5" customHeight="1">
      <c r="A59" s="455"/>
    </row>
    <row r="60" spans="1:39" ht="16.5" customHeight="1">
      <c r="A60" s="455"/>
    </row>
    <row r="61" spans="1:39" ht="16.5" customHeight="1">
      <c r="A61" s="455"/>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19:AJ21" unlockedFormula="1"/>
    <ignoredError sqref="C13" numberStoredAsText="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1" customWidth="1"/>
    <col min="2" max="2" width="11" style="411" customWidth="1"/>
    <col min="3" max="3" width="1.6640625" style="411" customWidth="1"/>
    <col min="4" max="4" width="11" style="411" customWidth="1"/>
    <col min="5" max="5" width="1.6640625" style="411" customWidth="1"/>
    <col min="6" max="6" width="11.109375" style="411" customWidth="1"/>
    <col min="7" max="7" width="1.6640625" style="411" customWidth="1"/>
    <col min="8" max="8" width="11" style="411" customWidth="1"/>
    <col min="9" max="9" width="1.77734375" style="411" customWidth="1"/>
    <col min="10" max="10" width="9.77734375" style="411" customWidth="1"/>
    <col min="11" max="11" width="1.77734375" style="411" customWidth="1"/>
    <col min="12" max="12" width="13.33203125" style="411" customWidth="1"/>
    <col min="13" max="13" width="1.6640625" style="411" customWidth="1"/>
    <col min="14" max="14" width="11.109375" style="411" customWidth="1"/>
    <col min="15" max="15" width="1.6640625" style="411" customWidth="1"/>
    <col min="16" max="16" width="12.33203125" style="411" customWidth="1"/>
    <col min="17" max="17" width="1.6640625" style="411" customWidth="1"/>
    <col min="18" max="18" width="12" style="411" customWidth="1"/>
    <col min="19" max="19" width="1.6640625" style="411" customWidth="1"/>
    <col min="20" max="20" width="11.109375" style="411" customWidth="1"/>
    <col min="21" max="21" width="1.6640625" style="411" customWidth="1"/>
    <col min="22" max="22" width="11.77734375" style="411" customWidth="1"/>
    <col min="23" max="23" width="1.6640625" style="411" customWidth="1"/>
    <col min="24" max="24" width="11.109375" style="411" customWidth="1"/>
    <col min="25" max="26" width="1.6640625" style="411" customWidth="1"/>
    <col min="27" max="27" width="11.5546875" style="411" customWidth="1"/>
    <col min="28" max="29" width="1.6640625" style="411" customWidth="1"/>
    <col min="30" max="30" width="11.5546875" style="411" customWidth="1"/>
    <col min="31" max="31" width="1.77734375" style="741" customWidth="1"/>
    <col min="32" max="32" width="2.44140625" style="2273" customWidth="1"/>
    <col min="33" max="33" width="10.33203125" style="2274" bestFit="1" customWidth="1"/>
    <col min="34" max="34" width="1.6640625" style="2274" customWidth="1"/>
    <col min="35" max="35" width="11.109375" style="2273" customWidth="1"/>
    <col min="36" max="16384" width="8.88671875" style="411"/>
  </cols>
  <sheetData>
    <row r="1" spans="1:251" ht="16.5" customHeight="1">
      <c r="A1" s="1190" t="s">
        <v>1231</v>
      </c>
    </row>
    <row r="2" spans="1:251" ht="16.5" customHeight="1">
      <c r="A2" s="1738"/>
    </row>
    <row r="3" spans="1:251" ht="20.25" customHeight="1">
      <c r="A3" s="2006" t="s">
        <v>0</v>
      </c>
      <c r="B3" s="642"/>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223"/>
      <c r="AI3" s="2327" t="s">
        <v>231</v>
      </c>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5"/>
      <c r="DD3" s="715"/>
      <c r="DE3" s="715"/>
      <c r="DF3" s="715"/>
      <c r="DG3" s="715"/>
      <c r="DH3" s="715"/>
      <c r="DI3" s="715"/>
      <c r="DJ3" s="715"/>
      <c r="DK3" s="715"/>
      <c r="DL3" s="715"/>
      <c r="DM3" s="715"/>
      <c r="DN3" s="715"/>
      <c r="DO3" s="715"/>
      <c r="DP3" s="715"/>
      <c r="DQ3" s="715"/>
      <c r="DR3" s="715"/>
      <c r="DS3" s="715"/>
      <c r="DT3" s="715"/>
      <c r="DU3" s="715"/>
      <c r="DV3" s="715"/>
      <c r="DW3" s="715"/>
      <c r="DX3" s="715"/>
      <c r="DY3" s="715"/>
      <c r="DZ3" s="715"/>
      <c r="EA3" s="715"/>
      <c r="EB3" s="715"/>
      <c r="EC3" s="715"/>
      <c r="ED3" s="715"/>
      <c r="EE3" s="715"/>
      <c r="EF3" s="715"/>
      <c r="EG3" s="715"/>
      <c r="EH3" s="715"/>
      <c r="EI3" s="715"/>
      <c r="EJ3" s="715"/>
      <c r="EK3" s="715"/>
      <c r="EL3" s="715"/>
      <c r="EM3" s="715"/>
      <c r="EN3" s="715"/>
      <c r="EO3" s="715"/>
      <c r="EP3" s="715"/>
      <c r="EQ3" s="715"/>
      <c r="ER3" s="715"/>
      <c r="ES3" s="715"/>
      <c r="ET3" s="715"/>
      <c r="EU3" s="715"/>
      <c r="EV3" s="715"/>
      <c r="EW3" s="715"/>
      <c r="EX3" s="715"/>
      <c r="EY3" s="715"/>
      <c r="EZ3" s="715"/>
      <c r="FA3" s="715"/>
      <c r="FB3" s="715"/>
      <c r="FC3" s="715"/>
      <c r="FD3" s="715"/>
      <c r="FE3" s="715"/>
      <c r="FF3" s="715"/>
      <c r="FG3" s="715"/>
      <c r="FH3" s="715"/>
      <c r="FI3" s="715"/>
      <c r="FJ3" s="715"/>
      <c r="FK3" s="715"/>
      <c r="FL3" s="715"/>
      <c r="FM3" s="715"/>
      <c r="FN3" s="715"/>
      <c r="FO3" s="715"/>
      <c r="FP3" s="715"/>
      <c r="FQ3" s="715"/>
      <c r="FR3" s="715"/>
      <c r="FS3" s="715"/>
      <c r="FT3" s="715"/>
      <c r="FU3" s="715"/>
      <c r="FV3" s="715"/>
      <c r="FW3" s="715"/>
      <c r="FX3" s="715"/>
      <c r="FY3" s="715"/>
      <c r="FZ3" s="715"/>
      <c r="GA3" s="715"/>
      <c r="GB3" s="715"/>
      <c r="GC3" s="715"/>
      <c r="GD3" s="715"/>
      <c r="GE3" s="715"/>
      <c r="GF3" s="715"/>
      <c r="GG3" s="715"/>
      <c r="GH3" s="715"/>
      <c r="GI3" s="715"/>
      <c r="GJ3" s="715"/>
      <c r="GK3" s="715"/>
      <c r="GL3" s="715"/>
      <c r="GM3" s="715"/>
      <c r="GN3" s="715"/>
      <c r="GO3" s="715"/>
      <c r="GP3" s="715"/>
      <c r="GQ3" s="715"/>
      <c r="GR3" s="715"/>
      <c r="GS3" s="715"/>
      <c r="GT3" s="715"/>
      <c r="GU3" s="715"/>
      <c r="GV3" s="715"/>
      <c r="GW3" s="715"/>
      <c r="GX3" s="715"/>
      <c r="GY3" s="715"/>
      <c r="GZ3" s="715"/>
      <c r="HA3" s="715"/>
      <c r="HB3" s="715"/>
      <c r="HC3" s="715"/>
      <c r="HD3" s="715"/>
      <c r="HE3" s="715"/>
      <c r="HF3" s="715"/>
      <c r="HG3" s="715"/>
      <c r="HH3" s="715"/>
      <c r="HI3" s="715"/>
      <c r="HJ3" s="715"/>
      <c r="HK3" s="715"/>
      <c r="HL3" s="715"/>
      <c r="HM3" s="715"/>
      <c r="HN3" s="715"/>
      <c r="HO3" s="715"/>
      <c r="HP3" s="715"/>
      <c r="HQ3" s="715"/>
      <c r="HR3" s="715"/>
      <c r="HS3" s="715"/>
      <c r="HT3" s="715"/>
      <c r="HU3" s="715"/>
      <c r="HV3" s="715"/>
      <c r="HW3" s="715"/>
      <c r="HX3" s="715"/>
      <c r="HY3" s="715"/>
      <c r="HZ3" s="715"/>
      <c r="IA3" s="715"/>
      <c r="IB3" s="715"/>
      <c r="IC3" s="715"/>
      <c r="ID3" s="715"/>
      <c r="IE3" s="715"/>
      <c r="IF3" s="715"/>
      <c r="IG3" s="715"/>
      <c r="IH3" s="715"/>
      <c r="II3" s="715"/>
      <c r="IJ3" s="715"/>
      <c r="IK3" s="715"/>
      <c r="IL3" s="715"/>
      <c r="IM3" s="715"/>
      <c r="IN3" s="715"/>
      <c r="IO3" s="715"/>
      <c r="IP3" s="715"/>
      <c r="IQ3" s="715"/>
    </row>
    <row r="4" spans="1:251" ht="22.5" customHeight="1">
      <c r="A4" s="2006" t="s">
        <v>229</v>
      </c>
      <c r="B4" s="642"/>
      <c r="C4" s="715"/>
      <c r="D4" s="715"/>
      <c r="E4" s="715"/>
      <c r="F4" s="715"/>
      <c r="G4" s="715"/>
      <c r="H4" s="642" t="s">
        <v>16</v>
      </c>
      <c r="I4" s="715"/>
      <c r="J4" s="715"/>
      <c r="K4" s="715"/>
      <c r="L4" s="715"/>
      <c r="M4" s="715"/>
      <c r="N4" s="715"/>
      <c r="O4" s="715"/>
      <c r="P4" s="715"/>
      <c r="Q4" s="715"/>
      <c r="R4" s="715"/>
      <c r="S4" s="715"/>
      <c r="T4" s="715"/>
      <c r="U4" s="715"/>
      <c r="V4" s="715"/>
      <c r="W4" s="715"/>
      <c r="X4" s="715" t="s">
        <v>16</v>
      </c>
      <c r="Y4" s="715"/>
      <c r="Z4" s="715"/>
      <c r="AA4" s="715"/>
      <c r="AB4" s="715"/>
      <c r="AC4" s="715"/>
      <c r="AD4" s="715"/>
      <c r="AE4" s="223"/>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c r="HP4" s="715"/>
      <c r="HQ4" s="715"/>
      <c r="HR4" s="715"/>
      <c r="HS4" s="715"/>
      <c r="HT4" s="715"/>
      <c r="HU4" s="715"/>
      <c r="HV4" s="715"/>
      <c r="HW4" s="715"/>
      <c r="HX4" s="715"/>
      <c r="HY4" s="715"/>
      <c r="HZ4" s="715"/>
      <c r="IA4" s="715"/>
      <c r="IB4" s="715"/>
      <c r="IC4" s="715"/>
      <c r="ID4" s="715"/>
      <c r="IE4" s="715"/>
      <c r="IF4" s="715"/>
      <c r="IG4" s="715"/>
      <c r="IH4" s="715"/>
      <c r="II4" s="715"/>
      <c r="IJ4" s="715"/>
      <c r="IK4" s="715"/>
      <c r="IL4" s="715"/>
      <c r="IM4" s="715"/>
      <c r="IN4" s="715"/>
      <c r="IO4" s="715"/>
      <c r="IP4" s="715"/>
      <c r="IQ4" s="715"/>
    </row>
    <row r="5" spans="1:251" ht="20.25" customHeight="1">
      <c r="A5" s="2006" t="s">
        <v>230</v>
      </c>
      <c r="B5" s="642"/>
      <c r="C5" s="715"/>
      <c r="D5" s="715"/>
      <c r="E5" s="715"/>
      <c r="F5" s="715"/>
      <c r="G5" s="715"/>
      <c r="H5" s="715"/>
      <c r="I5" s="715"/>
      <c r="J5" s="715"/>
      <c r="K5" s="715"/>
      <c r="L5" s="715"/>
      <c r="M5" s="715"/>
      <c r="N5" s="715"/>
      <c r="O5" s="715"/>
      <c r="P5" s="715"/>
      <c r="Q5" s="715"/>
      <c r="R5" s="715"/>
      <c r="S5" s="715"/>
      <c r="T5" s="715"/>
      <c r="U5" s="715"/>
      <c r="V5" s="715"/>
      <c r="W5" s="715"/>
      <c r="X5" s="715"/>
      <c r="Y5" s="715"/>
      <c r="Z5" s="715"/>
      <c r="AB5" s="1997"/>
      <c r="AC5" s="1997"/>
      <c r="AD5" s="1997"/>
      <c r="AE5" s="1746"/>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c r="EC5" s="715"/>
      <c r="ED5" s="715"/>
      <c r="EE5" s="715"/>
      <c r="EF5" s="715"/>
      <c r="EG5" s="715"/>
      <c r="EH5" s="715"/>
      <c r="EI5" s="715"/>
      <c r="EJ5" s="715"/>
      <c r="EK5" s="715"/>
      <c r="EL5" s="715"/>
      <c r="EM5" s="715"/>
      <c r="EN5" s="715"/>
      <c r="EO5" s="715"/>
      <c r="EP5" s="715"/>
      <c r="EQ5" s="715"/>
      <c r="ER5" s="715"/>
      <c r="ES5" s="715"/>
      <c r="ET5" s="715"/>
      <c r="EU5" s="715"/>
      <c r="EV5" s="715"/>
      <c r="EW5" s="715"/>
      <c r="EX5" s="715"/>
      <c r="EY5" s="715"/>
      <c r="EZ5" s="715"/>
      <c r="FA5" s="715"/>
      <c r="FB5" s="715"/>
      <c r="FC5" s="715"/>
      <c r="FD5" s="715"/>
      <c r="FE5" s="715"/>
      <c r="FF5" s="715"/>
      <c r="FG5" s="715"/>
      <c r="FH5" s="715"/>
      <c r="FI5" s="715"/>
      <c r="FJ5" s="715"/>
      <c r="FK5" s="715"/>
      <c r="FL5" s="715"/>
      <c r="FM5" s="715"/>
      <c r="FN5" s="715"/>
      <c r="FO5" s="715"/>
      <c r="FP5" s="715"/>
      <c r="FQ5" s="715"/>
      <c r="FR5" s="715"/>
      <c r="FS5" s="715"/>
      <c r="FT5" s="715"/>
      <c r="FU5" s="715"/>
      <c r="FV5" s="715"/>
      <c r="FW5" s="715"/>
      <c r="FX5" s="715"/>
      <c r="FY5" s="715"/>
      <c r="FZ5" s="715"/>
      <c r="GA5" s="715"/>
      <c r="GB5" s="715"/>
      <c r="GC5" s="715"/>
      <c r="GD5" s="715"/>
      <c r="GE5" s="715"/>
      <c r="GF5" s="715"/>
      <c r="GG5" s="715"/>
      <c r="GH5" s="715"/>
      <c r="GI5" s="715"/>
      <c r="GJ5" s="715"/>
      <c r="GK5" s="715"/>
      <c r="GL5" s="715"/>
      <c r="GM5" s="715"/>
      <c r="GN5" s="715"/>
      <c r="GO5" s="715"/>
      <c r="GP5" s="715"/>
      <c r="GQ5" s="715"/>
      <c r="GR5" s="715"/>
      <c r="GS5" s="715"/>
      <c r="GT5" s="715"/>
      <c r="GU5" s="715"/>
      <c r="GV5" s="715"/>
      <c r="GW5" s="715"/>
      <c r="GX5" s="715"/>
      <c r="GY5" s="715"/>
      <c r="GZ5" s="715"/>
      <c r="HA5" s="715"/>
      <c r="HB5" s="715"/>
      <c r="HC5" s="715"/>
      <c r="HD5" s="715"/>
      <c r="HE5" s="715"/>
      <c r="HF5" s="715"/>
      <c r="HG5" s="715"/>
      <c r="HH5" s="715"/>
      <c r="HI5" s="715"/>
      <c r="HJ5" s="715"/>
      <c r="HK5" s="715"/>
      <c r="HL5" s="715"/>
      <c r="HM5" s="715"/>
      <c r="HN5" s="715"/>
      <c r="HO5" s="715"/>
      <c r="HP5" s="715"/>
      <c r="HQ5" s="715"/>
      <c r="HR5" s="715"/>
      <c r="HS5" s="715"/>
      <c r="HT5" s="715"/>
      <c r="HU5" s="715"/>
      <c r="HV5" s="715"/>
      <c r="HW5" s="715"/>
      <c r="HX5" s="715"/>
      <c r="HY5" s="715"/>
      <c r="HZ5" s="715"/>
      <c r="IA5" s="715"/>
      <c r="IB5" s="715"/>
      <c r="IC5" s="715"/>
      <c r="ID5" s="715"/>
      <c r="IE5" s="715"/>
      <c r="IF5" s="715"/>
      <c r="IG5" s="715"/>
      <c r="IH5" s="715"/>
      <c r="II5" s="715"/>
      <c r="IJ5" s="715"/>
      <c r="IK5" s="715"/>
      <c r="IL5" s="715"/>
      <c r="IM5" s="715"/>
      <c r="IN5" s="715"/>
      <c r="IO5" s="715"/>
      <c r="IP5" s="715"/>
      <c r="IQ5" s="715"/>
    </row>
    <row r="6" spans="1:251" ht="20.25" customHeight="1">
      <c r="A6" s="2007" t="s">
        <v>1547</v>
      </c>
      <c r="B6" s="642"/>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223"/>
      <c r="AJ6" s="715"/>
      <c r="AK6" s="715"/>
      <c r="AL6" s="715"/>
      <c r="AM6" s="715"/>
      <c r="AN6" s="715"/>
      <c r="AO6" s="715"/>
      <c r="AP6" s="715"/>
      <c r="AQ6" s="715"/>
      <c r="AR6" s="715"/>
      <c r="AS6" s="715"/>
      <c r="AT6" s="715"/>
      <c r="AU6" s="715"/>
      <c r="AV6" s="715"/>
      <c r="AW6" s="715"/>
      <c r="AX6" s="715"/>
      <c r="AY6" s="715"/>
      <c r="AZ6" s="715"/>
      <c r="BA6" s="715"/>
      <c r="BB6" s="715"/>
      <c r="BC6" s="715"/>
      <c r="BD6" s="715"/>
      <c r="BE6" s="715"/>
      <c r="BF6" s="715"/>
      <c r="BG6" s="715"/>
      <c r="BH6" s="715"/>
      <c r="BI6" s="715"/>
      <c r="BJ6" s="715"/>
      <c r="BK6" s="715"/>
      <c r="BL6" s="715"/>
      <c r="BM6" s="715"/>
      <c r="BN6" s="715"/>
      <c r="BO6" s="715"/>
      <c r="BP6" s="715"/>
      <c r="BQ6" s="715"/>
      <c r="BR6" s="715"/>
      <c r="BS6" s="715"/>
      <c r="BT6" s="715"/>
      <c r="BU6" s="715"/>
      <c r="BV6" s="715"/>
      <c r="BW6" s="715"/>
      <c r="BX6" s="715"/>
      <c r="BY6" s="715"/>
      <c r="BZ6" s="715"/>
      <c r="CA6" s="715"/>
      <c r="CB6" s="715"/>
      <c r="CC6" s="715"/>
      <c r="CD6" s="715"/>
      <c r="CE6" s="715"/>
      <c r="CF6" s="715"/>
      <c r="CG6" s="715"/>
      <c r="CH6" s="715"/>
      <c r="CI6" s="715"/>
      <c r="CJ6" s="715"/>
      <c r="CK6" s="715"/>
      <c r="CL6" s="715"/>
      <c r="CM6" s="715"/>
      <c r="CN6" s="715"/>
      <c r="CO6" s="715"/>
      <c r="CP6" s="715"/>
      <c r="CQ6" s="715"/>
      <c r="CR6" s="715"/>
      <c r="CS6" s="715"/>
      <c r="CT6" s="715"/>
      <c r="CU6" s="715"/>
      <c r="CV6" s="715"/>
      <c r="CW6" s="715"/>
      <c r="CX6" s="715"/>
      <c r="CY6" s="715"/>
      <c r="CZ6" s="715"/>
      <c r="DA6" s="715"/>
      <c r="DB6" s="715"/>
      <c r="DC6" s="715"/>
      <c r="DD6" s="715"/>
      <c r="DE6" s="715"/>
      <c r="DF6" s="715"/>
      <c r="DG6" s="715"/>
      <c r="DH6" s="715"/>
      <c r="DI6" s="715"/>
      <c r="DJ6" s="715"/>
      <c r="DK6" s="715"/>
      <c r="DL6" s="715"/>
      <c r="DM6" s="715"/>
      <c r="DN6" s="715"/>
      <c r="DO6" s="715"/>
      <c r="DP6" s="715"/>
      <c r="DQ6" s="715"/>
      <c r="DR6" s="715"/>
      <c r="DS6" s="715"/>
      <c r="DT6" s="715"/>
      <c r="DU6" s="715"/>
      <c r="DV6" s="715"/>
      <c r="DW6" s="715"/>
      <c r="DX6" s="715"/>
      <c r="DY6" s="715"/>
      <c r="DZ6" s="715"/>
      <c r="EA6" s="715"/>
      <c r="EB6" s="715"/>
      <c r="EC6" s="715"/>
      <c r="ED6" s="715"/>
      <c r="EE6" s="715"/>
      <c r="EF6" s="715"/>
      <c r="EG6" s="715"/>
      <c r="EH6" s="715"/>
      <c r="EI6" s="715"/>
      <c r="EJ6" s="715"/>
      <c r="EK6" s="715"/>
      <c r="EL6" s="715"/>
      <c r="EM6" s="715"/>
      <c r="EN6" s="715"/>
      <c r="EO6" s="715"/>
      <c r="EP6" s="715"/>
      <c r="EQ6" s="715"/>
      <c r="ER6" s="715"/>
      <c r="ES6" s="715"/>
      <c r="ET6" s="715"/>
      <c r="EU6" s="715"/>
      <c r="EV6" s="715"/>
      <c r="EW6" s="715"/>
      <c r="EX6" s="715"/>
      <c r="EY6" s="715"/>
      <c r="EZ6" s="715"/>
      <c r="FA6" s="715"/>
      <c r="FB6" s="715"/>
      <c r="FC6" s="715"/>
      <c r="FD6" s="715"/>
      <c r="FE6" s="715"/>
      <c r="FF6" s="715"/>
      <c r="FG6" s="715"/>
      <c r="FH6" s="715"/>
      <c r="FI6" s="715"/>
      <c r="FJ6" s="715"/>
      <c r="FK6" s="715"/>
      <c r="FL6" s="715"/>
      <c r="FM6" s="715"/>
      <c r="FN6" s="715"/>
      <c r="FO6" s="715"/>
      <c r="FP6" s="715"/>
      <c r="FQ6" s="715"/>
      <c r="FR6" s="715"/>
      <c r="FS6" s="715"/>
      <c r="FT6" s="715"/>
      <c r="FU6" s="715"/>
      <c r="FV6" s="715"/>
      <c r="FW6" s="715"/>
      <c r="FX6" s="715"/>
      <c r="FY6" s="715"/>
      <c r="FZ6" s="715"/>
      <c r="GA6" s="715"/>
      <c r="GB6" s="715"/>
      <c r="GC6" s="715"/>
      <c r="GD6" s="715"/>
      <c r="GE6" s="715"/>
      <c r="GF6" s="715"/>
      <c r="GG6" s="715"/>
      <c r="GH6" s="715"/>
      <c r="GI6" s="715"/>
      <c r="GJ6" s="715"/>
      <c r="GK6" s="715"/>
      <c r="GL6" s="715"/>
      <c r="GM6" s="715"/>
      <c r="GN6" s="715"/>
      <c r="GO6" s="715"/>
      <c r="GP6" s="715"/>
      <c r="GQ6" s="715"/>
      <c r="GR6" s="715"/>
      <c r="GS6" s="715"/>
      <c r="GT6" s="715"/>
      <c r="GU6" s="715"/>
      <c r="GV6" s="715"/>
      <c r="GW6" s="715"/>
      <c r="GX6" s="715"/>
      <c r="GY6" s="715"/>
      <c r="GZ6" s="715"/>
      <c r="HA6" s="715"/>
      <c r="HB6" s="715"/>
      <c r="HC6" s="715"/>
      <c r="HD6" s="715"/>
      <c r="HE6" s="715"/>
      <c r="HF6" s="715"/>
      <c r="HG6" s="715"/>
      <c r="HH6" s="715"/>
      <c r="HI6" s="715"/>
      <c r="HJ6" s="715"/>
      <c r="HK6" s="715"/>
      <c r="HL6" s="715"/>
      <c r="HM6" s="715"/>
      <c r="HN6" s="715"/>
      <c r="HO6" s="715"/>
      <c r="HP6" s="715"/>
      <c r="HQ6" s="715"/>
      <c r="HR6" s="715"/>
      <c r="HS6" s="715"/>
      <c r="HT6" s="715"/>
      <c r="HU6" s="715"/>
      <c r="HV6" s="715"/>
      <c r="HW6" s="715"/>
      <c r="HX6" s="715"/>
      <c r="HY6" s="715"/>
      <c r="HZ6" s="715"/>
      <c r="IA6" s="715"/>
      <c r="IB6" s="715"/>
      <c r="IC6" s="715"/>
      <c r="ID6" s="715"/>
      <c r="IE6" s="715"/>
      <c r="IF6" s="715"/>
      <c r="IG6" s="715"/>
      <c r="IH6" s="715"/>
      <c r="II6" s="715"/>
      <c r="IJ6" s="715"/>
      <c r="IK6" s="715"/>
      <c r="IL6" s="715"/>
      <c r="IM6" s="715"/>
      <c r="IN6" s="715"/>
      <c r="IO6" s="715"/>
      <c r="IP6" s="715"/>
      <c r="IQ6" s="715"/>
    </row>
    <row r="7" spans="1:251" ht="20.25" customHeight="1">
      <c r="A7" s="2006" t="s">
        <v>1116</v>
      </c>
      <c r="B7" s="642"/>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223"/>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c r="EC7" s="715"/>
      <c r="ED7" s="715"/>
      <c r="EE7" s="715"/>
      <c r="EF7" s="715"/>
      <c r="EG7" s="715"/>
      <c r="EH7" s="715"/>
      <c r="EI7" s="715"/>
      <c r="EJ7" s="715"/>
      <c r="EK7" s="715"/>
      <c r="EL7" s="715"/>
      <c r="EM7" s="715"/>
      <c r="EN7" s="715"/>
      <c r="EO7" s="715"/>
      <c r="EP7" s="715"/>
      <c r="EQ7" s="715"/>
      <c r="ER7" s="715"/>
      <c r="ES7" s="715"/>
      <c r="ET7" s="715"/>
      <c r="EU7" s="715"/>
      <c r="EV7" s="715"/>
      <c r="EW7" s="715"/>
      <c r="EX7" s="715"/>
      <c r="EY7" s="715"/>
      <c r="EZ7" s="715"/>
      <c r="FA7" s="715"/>
      <c r="FB7" s="715"/>
      <c r="FC7" s="715"/>
      <c r="FD7" s="715"/>
      <c r="FE7" s="715"/>
      <c r="FF7" s="715"/>
      <c r="FG7" s="715"/>
      <c r="FH7" s="715"/>
      <c r="FI7" s="715"/>
      <c r="FJ7" s="715"/>
      <c r="FK7" s="715"/>
      <c r="FL7" s="715"/>
      <c r="FM7" s="715"/>
      <c r="FN7" s="715"/>
      <c r="FO7" s="715"/>
      <c r="FP7" s="715"/>
      <c r="FQ7" s="715"/>
      <c r="FR7" s="715"/>
      <c r="FS7" s="715"/>
      <c r="FT7" s="715"/>
      <c r="FU7" s="715"/>
      <c r="FV7" s="715"/>
      <c r="FW7" s="715"/>
      <c r="FX7" s="715"/>
      <c r="FY7" s="715"/>
      <c r="FZ7" s="715"/>
      <c r="GA7" s="715"/>
      <c r="GB7" s="715"/>
      <c r="GC7" s="715"/>
      <c r="GD7" s="715"/>
      <c r="GE7" s="715"/>
      <c r="GF7" s="715"/>
      <c r="GG7" s="715"/>
      <c r="GH7" s="715"/>
      <c r="GI7" s="715"/>
      <c r="GJ7" s="715"/>
      <c r="GK7" s="715"/>
      <c r="GL7" s="715"/>
      <c r="GM7" s="715"/>
      <c r="GN7" s="715"/>
      <c r="GO7" s="715"/>
      <c r="GP7" s="715"/>
      <c r="GQ7" s="715"/>
      <c r="GR7" s="715"/>
      <c r="GS7" s="715"/>
      <c r="GT7" s="715"/>
      <c r="GU7" s="715"/>
      <c r="GV7" s="715"/>
      <c r="GW7" s="715"/>
      <c r="GX7" s="715"/>
      <c r="GY7" s="715"/>
      <c r="GZ7" s="715"/>
      <c r="HA7" s="715"/>
      <c r="HB7" s="715"/>
      <c r="HC7" s="715"/>
      <c r="HD7" s="715"/>
      <c r="HE7" s="715"/>
      <c r="HF7" s="715"/>
      <c r="HG7" s="715"/>
      <c r="HH7" s="715"/>
      <c r="HI7" s="715"/>
      <c r="HJ7" s="715"/>
      <c r="HK7" s="715"/>
      <c r="HL7" s="715"/>
      <c r="HM7" s="715"/>
      <c r="HN7" s="715"/>
      <c r="HO7" s="715"/>
      <c r="HP7" s="715"/>
      <c r="HQ7" s="715"/>
      <c r="HR7" s="715"/>
      <c r="HS7" s="715"/>
      <c r="HT7" s="715"/>
      <c r="HU7" s="715"/>
      <c r="HV7" s="715"/>
      <c r="HW7" s="715"/>
      <c r="HX7" s="715"/>
      <c r="HY7" s="715"/>
      <c r="HZ7" s="715"/>
      <c r="IA7" s="715"/>
      <c r="IB7" s="715"/>
      <c r="IC7" s="715"/>
      <c r="ID7" s="715"/>
      <c r="IE7" s="715"/>
      <c r="IF7" s="715"/>
      <c r="IG7" s="715"/>
      <c r="IH7" s="715"/>
      <c r="II7" s="715"/>
      <c r="IJ7" s="715"/>
      <c r="IK7" s="715"/>
      <c r="IL7" s="715"/>
      <c r="IM7" s="715"/>
      <c r="IN7" s="715"/>
      <c r="IO7" s="715"/>
      <c r="IP7" s="715"/>
      <c r="IQ7" s="715"/>
    </row>
    <row r="8" spans="1:251" ht="16.5" customHeight="1">
      <c r="AE8" s="223"/>
    </row>
    <row r="9" spans="1:251" ht="16.5" customHeight="1">
      <c r="A9" s="716"/>
      <c r="B9" s="423"/>
      <c r="C9" s="423"/>
      <c r="D9" s="423"/>
      <c r="E9" s="423"/>
      <c r="F9" s="423"/>
      <c r="G9" s="423"/>
      <c r="H9" s="503"/>
      <c r="I9" s="503"/>
      <c r="J9" s="503"/>
      <c r="K9" s="423"/>
      <c r="L9" s="423"/>
      <c r="M9" s="423"/>
      <c r="N9" s="423"/>
      <c r="O9" s="423"/>
      <c r="P9" s="423"/>
      <c r="Q9" s="423"/>
      <c r="R9" s="423"/>
      <c r="S9" s="423"/>
      <c r="T9" s="423"/>
      <c r="U9" s="423"/>
      <c r="V9" s="423"/>
      <c r="W9" s="423"/>
      <c r="X9" s="423"/>
      <c r="Y9" s="423"/>
      <c r="Z9" s="423"/>
      <c r="AA9" s="423"/>
      <c r="AB9" s="423"/>
      <c r="AC9" s="423"/>
      <c r="AD9" s="423"/>
      <c r="AE9" s="411"/>
      <c r="AF9" s="2275"/>
      <c r="AG9" s="2275"/>
      <c r="AH9" s="2275"/>
      <c r="AI9" s="2275"/>
    </row>
    <row r="10" spans="1:251" ht="16.5" customHeight="1">
      <c r="A10" s="456"/>
      <c r="B10" s="461"/>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1564"/>
      <c r="AA10" s="3526" t="s">
        <v>1593</v>
      </c>
      <c r="AB10" s="3526"/>
      <c r="AC10" s="3526"/>
      <c r="AD10" s="3526"/>
      <c r="AE10" s="3526"/>
      <c r="AF10" s="3526"/>
      <c r="AG10" s="3526"/>
      <c r="AH10" s="3526"/>
      <c r="AI10" s="3526"/>
    </row>
    <row r="11" spans="1:251" ht="16.5" customHeight="1">
      <c r="A11" s="456"/>
      <c r="B11" s="1563">
        <v>2015</v>
      </c>
      <c r="C11" s="462"/>
      <c r="D11" s="462"/>
      <c r="E11" s="462"/>
      <c r="F11" s="462"/>
      <c r="G11" s="462"/>
      <c r="H11" s="462"/>
      <c r="I11" s="462"/>
      <c r="J11" s="462"/>
      <c r="K11" s="462"/>
      <c r="L11" s="462"/>
      <c r="M11" s="462"/>
      <c r="N11" s="462"/>
      <c r="O11" s="462"/>
      <c r="P11" s="462"/>
      <c r="Q11" s="462"/>
      <c r="R11" s="462"/>
      <c r="S11" s="462"/>
      <c r="T11" s="1563">
        <v>2016</v>
      </c>
      <c r="U11" s="462"/>
      <c r="V11" s="462"/>
      <c r="W11" s="462"/>
      <c r="X11" s="462"/>
      <c r="Y11" s="462"/>
      <c r="Z11" s="1564"/>
      <c r="AA11" s="1564"/>
      <c r="AB11" s="1564"/>
      <c r="AC11" s="1564"/>
      <c r="AD11" s="1564"/>
      <c r="AE11" s="2003"/>
      <c r="AF11" s="2263"/>
      <c r="AG11" s="2277" t="s">
        <v>8</v>
      </c>
      <c r="AH11" s="2277"/>
      <c r="AI11" s="2278" t="s">
        <v>9</v>
      </c>
    </row>
    <row r="12" spans="1:251" ht="16.5" customHeight="1">
      <c r="A12" s="456"/>
      <c r="B12" s="1565" t="s">
        <v>129</v>
      </c>
      <c r="C12" s="462"/>
      <c r="D12" s="1565" t="s">
        <v>130</v>
      </c>
      <c r="E12" s="462"/>
      <c r="F12" s="1565" t="s">
        <v>131</v>
      </c>
      <c r="G12" s="462"/>
      <c r="H12" s="1565" t="s">
        <v>132</v>
      </c>
      <c r="I12" s="462"/>
      <c r="J12" s="1565" t="s">
        <v>133</v>
      </c>
      <c r="K12" s="462"/>
      <c r="L12" s="1563" t="s">
        <v>148</v>
      </c>
      <c r="M12" s="462"/>
      <c r="N12" s="1563" t="s">
        <v>149</v>
      </c>
      <c r="O12" s="462"/>
      <c r="P12" s="1565" t="s">
        <v>136</v>
      </c>
      <c r="Q12" s="462"/>
      <c r="R12" s="1565" t="s">
        <v>137</v>
      </c>
      <c r="S12" s="462"/>
      <c r="T12" s="1565" t="s">
        <v>138</v>
      </c>
      <c r="U12" s="462"/>
      <c r="V12" s="1565" t="s">
        <v>139</v>
      </c>
      <c r="W12" s="462"/>
      <c r="X12" s="1563" t="s">
        <v>192</v>
      </c>
      <c r="Y12" s="462"/>
      <c r="Z12" s="462"/>
      <c r="AA12" s="1565">
        <v>2015</v>
      </c>
      <c r="AB12" s="462" t="s">
        <v>16</v>
      </c>
      <c r="AC12" s="462"/>
      <c r="AD12" s="1565">
        <v>2014</v>
      </c>
      <c r="AE12" s="1756"/>
      <c r="AF12" s="2301"/>
      <c r="AG12" s="2279" t="s">
        <v>13</v>
      </c>
      <c r="AH12" s="2280"/>
      <c r="AI12" s="2279" t="s">
        <v>14</v>
      </c>
    </row>
    <row r="13" spans="1:251" ht="4.5" customHeight="1">
      <c r="A13" s="456"/>
      <c r="B13" s="717"/>
      <c r="C13" s="456"/>
      <c r="D13" s="717"/>
      <c r="E13" s="456"/>
      <c r="F13" s="717"/>
      <c r="G13" s="456"/>
      <c r="H13" s="717"/>
      <c r="I13" s="456"/>
      <c r="J13" s="717"/>
      <c r="K13" s="456"/>
      <c r="L13" s="717"/>
      <c r="M13" s="456"/>
      <c r="N13" s="717"/>
      <c r="O13" s="456"/>
      <c r="P13" s="717"/>
      <c r="Q13" s="456"/>
      <c r="R13" s="717"/>
      <c r="S13" s="456"/>
      <c r="T13" s="717"/>
      <c r="U13" s="456"/>
      <c r="V13" s="717"/>
      <c r="W13" s="456"/>
      <c r="X13" s="717"/>
      <c r="Y13" s="456"/>
      <c r="Z13" s="456"/>
      <c r="AA13" s="717"/>
      <c r="AB13" s="456"/>
      <c r="AC13" s="456"/>
      <c r="AD13" s="717"/>
      <c r="AE13" s="2004"/>
      <c r="AF13" s="2304"/>
    </row>
    <row r="14" spans="1:251" ht="16.5" customHeight="1">
      <c r="A14" s="643" t="s">
        <v>141</v>
      </c>
      <c r="B14" s="718">
        <v>-196.7</v>
      </c>
      <c r="C14" s="718"/>
      <c r="D14" s="718">
        <f>+B50</f>
        <v>-225.9</v>
      </c>
      <c r="E14" s="718"/>
      <c r="F14" s="718"/>
      <c r="G14" s="718"/>
      <c r="H14" s="718"/>
      <c r="I14" s="718"/>
      <c r="J14" s="718"/>
      <c r="K14" s="718"/>
      <c r="L14" s="718"/>
      <c r="M14" s="718"/>
      <c r="N14" s="718"/>
      <c r="O14" s="718"/>
      <c r="P14" s="718"/>
      <c r="Q14" s="718"/>
      <c r="R14" s="718"/>
      <c r="S14" s="718"/>
      <c r="T14" s="718"/>
      <c r="U14" s="718"/>
      <c r="V14" s="718"/>
      <c r="W14" s="718"/>
      <c r="X14" s="718"/>
      <c r="Y14" s="718"/>
      <c r="Z14" s="719"/>
      <c r="AA14" s="718">
        <f>B14</f>
        <v>-196.7</v>
      </c>
      <c r="AB14" s="720"/>
      <c r="AC14" s="721"/>
      <c r="AD14" s="718">
        <v>-72.7</v>
      </c>
      <c r="AE14" s="722"/>
      <c r="AF14" s="2305"/>
      <c r="AG14" s="2281">
        <f>ROUND(SUM(AA14-AD14),1)</f>
        <v>-124</v>
      </c>
      <c r="AI14" s="2704">
        <f>-ROUND(IF(AG14=0,0,AG14/(AD14)),3)</f>
        <v>-1.706</v>
      </c>
    </row>
    <row r="15" spans="1:251" ht="16.5" customHeight="1">
      <c r="A15" s="35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3"/>
      <c r="AA15" s="722"/>
      <c r="AB15" s="724"/>
      <c r="AC15" s="725"/>
      <c r="AD15" s="722"/>
      <c r="AE15" s="722"/>
      <c r="AF15" s="2305"/>
      <c r="AG15" s="2283"/>
      <c r="AI15" s="2274"/>
    </row>
    <row r="16" spans="1:251" ht="16.5" customHeight="1">
      <c r="A16" s="462" t="s">
        <v>15</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3"/>
      <c r="AA16" s="722"/>
      <c r="AB16" s="724"/>
      <c r="AC16" s="725"/>
      <c r="AD16" s="722"/>
      <c r="AE16" s="1784"/>
      <c r="AF16" s="2266"/>
      <c r="AG16" s="2289"/>
      <c r="AI16" s="2293"/>
    </row>
    <row r="17" spans="1:35" ht="16.5" customHeight="1">
      <c r="A17" s="352" t="s">
        <v>185</v>
      </c>
      <c r="B17" s="443">
        <v>16</v>
      </c>
      <c r="C17" s="443"/>
      <c r="D17" s="726">
        <v>40.6</v>
      </c>
      <c r="E17" s="443"/>
      <c r="F17" s="726"/>
      <c r="G17" s="443"/>
      <c r="H17" s="726"/>
      <c r="I17" s="443"/>
      <c r="J17" s="726"/>
      <c r="K17" s="443"/>
      <c r="L17" s="726"/>
      <c r="M17" s="443"/>
      <c r="N17" s="726"/>
      <c r="O17" s="443"/>
      <c r="P17" s="726"/>
      <c r="Q17" s="443"/>
      <c r="R17" s="726"/>
      <c r="S17" s="443"/>
      <c r="T17" s="726"/>
      <c r="U17" s="443"/>
      <c r="V17" s="695"/>
      <c r="W17" s="443"/>
      <c r="X17" s="695"/>
      <c r="Y17" s="443"/>
      <c r="Z17" s="727"/>
      <c r="AA17" s="443">
        <f>ROUND(SUM(B17:X17),1)</f>
        <v>56.6</v>
      </c>
      <c r="AB17" s="728"/>
      <c r="AC17" s="450"/>
      <c r="AD17" s="443">
        <v>58.4</v>
      </c>
      <c r="AE17" s="1786"/>
      <c r="AF17" s="2266"/>
      <c r="AG17" s="2296">
        <f>ROUND(SUM(AA17-AD17),1)</f>
        <v>-1.8</v>
      </c>
      <c r="AI17" s="2297">
        <f>ROUND(IF(AG17=0,0,AG17/(AD17)),3)</f>
        <v>-3.1E-2</v>
      </c>
    </row>
    <row r="18" spans="1:35" ht="16.5" customHeight="1">
      <c r="A18" s="352"/>
      <c r="B18" s="729"/>
      <c r="C18" s="443"/>
      <c r="D18" s="729"/>
      <c r="E18" s="443"/>
      <c r="F18" s="729"/>
      <c r="G18" s="443"/>
      <c r="H18" s="729"/>
      <c r="I18" s="443"/>
      <c r="J18" s="729"/>
      <c r="K18" s="443"/>
      <c r="L18" s="729"/>
      <c r="M18" s="443"/>
      <c r="N18" s="729"/>
      <c r="O18" s="443"/>
      <c r="P18" s="729"/>
      <c r="Q18" s="443"/>
      <c r="R18" s="729"/>
      <c r="S18" s="443"/>
      <c r="T18" s="729"/>
      <c r="U18" s="443"/>
      <c r="V18" s="729"/>
      <c r="W18" s="443"/>
      <c r="X18" s="729"/>
      <c r="Y18" s="443"/>
      <c r="Z18" s="727"/>
      <c r="AA18" s="729"/>
      <c r="AB18" s="728"/>
      <c r="AC18" s="450"/>
      <c r="AD18" s="729"/>
      <c r="AE18" s="450"/>
      <c r="AF18" s="2266"/>
      <c r="AG18" s="2289"/>
      <c r="AI18" s="2274"/>
    </row>
    <row r="19" spans="1:35" ht="16.5" customHeight="1">
      <c r="A19" s="462" t="s">
        <v>156</v>
      </c>
      <c r="B19" s="730">
        <f>ROUND(SUM(B17),1)</f>
        <v>16</v>
      </c>
      <c r="C19" s="730"/>
      <c r="D19" s="730">
        <f>ROUND(SUM(D17),1)</f>
        <v>40.6</v>
      </c>
      <c r="E19" s="730"/>
      <c r="F19" s="730">
        <f>ROUND(SUM(F17),1)</f>
        <v>0</v>
      </c>
      <c r="G19" s="730"/>
      <c r="H19" s="730">
        <f>ROUND(SUM(H17),1)</f>
        <v>0</v>
      </c>
      <c r="I19" s="730"/>
      <c r="J19" s="730">
        <f>ROUND(SUM(J17),1)</f>
        <v>0</v>
      </c>
      <c r="K19" s="730"/>
      <c r="L19" s="730">
        <f>ROUND(SUM(L17),1)</f>
        <v>0</v>
      </c>
      <c r="M19" s="730"/>
      <c r="N19" s="730">
        <f>ROUND(SUM(N17),1)</f>
        <v>0</v>
      </c>
      <c r="O19" s="730"/>
      <c r="P19" s="730">
        <f>ROUND(SUM(P17),1)</f>
        <v>0</v>
      </c>
      <c r="Q19" s="730"/>
      <c r="R19" s="730">
        <f>ROUND(SUM(R17),1)</f>
        <v>0</v>
      </c>
      <c r="S19" s="730"/>
      <c r="T19" s="730">
        <f>ROUND(SUM(T17),1)</f>
        <v>0</v>
      </c>
      <c r="U19" s="730"/>
      <c r="V19" s="730">
        <f>ROUND(SUM(V17),1)</f>
        <v>0</v>
      </c>
      <c r="W19" s="730"/>
      <c r="X19" s="730">
        <f>ROUND(SUM(X17),1)</f>
        <v>0</v>
      </c>
      <c r="Y19" s="730"/>
      <c r="Z19" s="731"/>
      <c r="AA19" s="730">
        <f>ROUND(SUM(AA17),1)</f>
        <v>56.6</v>
      </c>
      <c r="AB19" s="732"/>
      <c r="AC19" s="733"/>
      <c r="AD19" s="730">
        <f>ROUND(SUM(AD17),1)</f>
        <v>58.4</v>
      </c>
      <c r="AE19" s="443"/>
      <c r="AF19" s="2266"/>
      <c r="AG19" s="2290">
        <f>ROUND(SUM(AG17),1)</f>
        <v>-1.8</v>
      </c>
      <c r="AH19" s="2291"/>
      <c r="AI19" s="2292">
        <f>ROUND(IF(AG19=0,0,AG19/(AD19)),3)</f>
        <v>-3.1E-2</v>
      </c>
    </row>
    <row r="20" spans="1:35" ht="16.5" customHeight="1">
      <c r="A20" s="352"/>
      <c r="B20" s="729"/>
      <c r="C20" s="443"/>
      <c r="D20" s="729"/>
      <c r="E20" s="443"/>
      <c r="F20" s="729"/>
      <c r="G20" s="443"/>
      <c r="H20" s="729"/>
      <c r="I20" s="443"/>
      <c r="J20" s="729"/>
      <c r="K20" s="443"/>
      <c r="L20" s="729"/>
      <c r="M20" s="443"/>
      <c r="N20" s="729"/>
      <c r="O20" s="443"/>
      <c r="P20" s="729"/>
      <c r="Q20" s="443"/>
      <c r="R20" s="729"/>
      <c r="S20" s="443"/>
      <c r="T20" s="729"/>
      <c r="U20" s="443"/>
      <c r="V20" s="729"/>
      <c r="W20" s="443"/>
      <c r="X20" s="729"/>
      <c r="Y20" s="443"/>
      <c r="Z20" s="727"/>
      <c r="AA20" s="729"/>
      <c r="AB20" s="728"/>
      <c r="AC20" s="450"/>
      <c r="AD20" s="729"/>
      <c r="AE20" s="443"/>
      <c r="AF20" s="2266"/>
      <c r="AG20" s="2289"/>
      <c r="AI20" s="2274"/>
    </row>
    <row r="21" spans="1:35" ht="16.5" customHeight="1">
      <c r="A21" s="352"/>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727"/>
      <c r="AA21" s="443"/>
      <c r="AB21" s="728"/>
      <c r="AC21" s="450"/>
      <c r="AD21" s="443"/>
      <c r="AE21" s="445"/>
      <c r="AF21" s="2267"/>
      <c r="AG21" s="2289"/>
      <c r="AI21" s="2274"/>
    </row>
    <row r="22" spans="1:35" ht="16.5" customHeight="1">
      <c r="A22" s="352"/>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727"/>
      <c r="AA22" s="443"/>
      <c r="AB22" s="728"/>
      <c r="AC22" s="450"/>
      <c r="AD22" s="443"/>
      <c r="AE22" s="695"/>
      <c r="AF22" s="2267"/>
      <c r="AG22" s="2289"/>
      <c r="AI22" s="2293"/>
    </row>
    <row r="23" spans="1:35" ht="16.5" customHeight="1">
      <c r="A23" s="462" t="s">
        <v>24</v>
      </c>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727"/>
      <c r="AA23" s="443"/>
      <c r="AB23" s="728"/>
      <c r="AC23" s="450"/>
      <c r="AD23" s="443"/>
      <c r="AE23" s="445"/>
      <c r="AF23" s="2267"/>
      <c r="AG23" s="2289"/>
      <c r="AH23" s="2294"/>
      <c r="AI23" s="2293"/>
    </row>
    <row r="24" spans="1:35" ht="16.5" customHeight="1">
      <c r="A24" s="352" t="s">
        <v>158</v>
      </c>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727"/>
      <c r="AA24" s="443"/>
      <c r="AB24" s="728"/>
      <c r="AC24" s="450"/>
      <c r="AD24" s="445"/>
      <c r="AE24" s="1806"/>
      <c r="AF24" s="2267"/>
      <c r="AG24" s="2289"/>
      <c r="AI24" s="2293"/>
    </row>
    <row r="25" spans="1:35" ht="16.5" customHeight="1">
      <c r="A25" s="352" t="s">
        <v>227</v>
      </c>
      <c r="B25" s="443">
        <v>7.4</v>
      </c>
      <c r="C25" s="443"/>
      <c r="D25" s="726">
        <v>6.6</v>
      </c>
      <c r="E25" s="443"/>
      <c r="F25" s="726"/>
      <c r="G25" s="443"/>
      <c r="H25" s="726"/>
      <c r="I25" s="443"/>
      <c r="J25" s="726"/>
      <c r="K25" s="443"/>
      <c r="L25" s="726"/>
      <c r="M25" s="443"/>
      <c r="N25" s="726"/>
      <c r="O25" s="443"/>
      <c r="P25" s="726"/>
      <c r="Q25" s="443"/>
      <c r="R25" s="726"/>
      <c r="S25" s="443"/>
      <c r="T25" s="726"/>
      <c r="U25" s="443"/>
      <c r="V25" s="695"/>
      <c r="W25" s="443"/>
      <c r="X25" s="695"/>
      <c r="Y25" s="443"/>
      <c r="Z25" s="727"/>
      <c r="AA25" s="443">
        <f>ROUND(SUM(B25:X25),1)</f>
        <v>14</v>
      </c>
      <c r="AB25" s="728"/>
      <c r="AC25" s="450"/>
      <c r="AD25" s="443">
        <v>13.8</v>
      </c>
      <c r="AE25" s="1807"/>
      <c r="AF25" s="2267"/>
      <c r="AG25" s="2289">
        <f>ROUND(SUM(AA25-AD25),1)</f>
        <v>0.2</v>
      </c>
      <c r="AI25" s="2295">
        <f>ROUND(IF(AG25=0,0,AG25/(AD25)),3)</f>
        <v>1.4E-2</v>
      </c>
    </row>
    <row r="26" spans="1:35" ht="16.5" customHeight="1">
      <c r="A26" s="352" t="s">
        <v>186</v>
      </c>
      <c r="B26" s="443">
        <v>39.799999999999997</v>
      </c>
      <c r="C26" s="443"/>
      <c r="D26" s="726">
        <v>25.8</v>
      </c>
      <c r="E26" s="443"/>
      <c r="F26" s="726"/>
      <c r="G26" s="443"/>
      <c r="H26" s="726"/>
      <c r="I26" s="443"/>
      <c r="J26" s="726"/>
      <c r="K26" s="443"/>
      <c r="L26" s="726"/>
      <c r="M26" s="443"/>
      <c r="N26" s="726"/>
      <c r="O26" s="443"/>
      <c r="P26" s="726"/>
      <c r="Q26" s="443"/>
      <c r="R26" s="726"/>
      <c r="S26" s="443"/>
      <c r="T26" s="726"/>
      <c r="U26" s="443"/>
      <c r="V26" s="695"/>
      <c r="W26" s="443"/>
      <c r="X26" s="695"/>
      <c r="Y26" s="443"/>
      <c r="Z26" s="727"/>
      <c r="AA26" s="443">
        <f>ROUND(SUM(B26:X26),1)</f>
        <v>65.599999999999994</v>
      </c>
      <c r="AB26" s="728"/>
      <c r="AC26" s="450"/>
      <c r="AD26" s="443">
        <v>86.4</v>
      </c>
      <c r="AE26" s="450"/>
      <c r="AF26" s="2266"/>
      <c r="AG26" s="2289">
        <f>ROUND(SUM(AA26-AD26),1)</f>
        <v>-20.8</v>
      </c>
      <c r="AI26" s="2295">
        <f>ROUND(IF(AG26=0,0,AG26/(AD26)),3)</f>
        <v>-0.24099999999999999</v>
      </c>
    </row>
    <row r="27" spans="1:35" ht="16.5" customHeight="1">
      <c r="A27" s="352" t="s">
        <v>161</v>
      </c>
      <c r="B27" s="443">
        <v>1</v>
      </c>
      <c r="C27" s="443"/>
      <c r="D27" s="726">
        <v>3.4</v>
      </c>
      <c r="E27" s="443"/>
      <c r="F27" s="726"/>
      <c r="G27" s="443"/>
      <c r="H27" s="445"/>
      <c r="I27" s="443"/>
      <c r="J27" s="726"/>
      <c r="K27" s="443"/>
      <c r="L27" s="726"/>
      <c r="M27" s="443"/>
      <c r="N27" s="726"/>
      <c r="O27" s="443"/>
      <c r="P27" s="726"/>
      <c r="Q27" s="443"/>
      <c r="R27" s="445"/>
      <c r="S27" s="443"/>
      <c r="T27" s="726"/>
      <c r="U27" s="443"/>
      <c r="V27" s="695"/>
      <c r="W27" s="443"/>
      <c r="X27" s="695"/>
      <c r="Y27" s="443"/>
      <c r="Z27" s="727"/>
      <c r="AA27" s="443">
        <f>ROUND(SUM(B27:X27),1)</f>
        <v>4.4000000000000004</v>
      </c>
      <c r="AB27" s="728"/>
      <c r="AC27" s="450"/>
      <c r="AD27" s="695">
        <v>7.1</v>
      </c>
      <c r="AE27" s="443"/>
      <c r="AF27" s="2266"/>
      <c r="AG27" s="2296">
        <f>ROUND(SUM(AA27-AD27),1)</f>
        <v>-2.7</v>
      </c>
      <c r="AI27" s="2297">
        <f>ROUND(IF(AG27=0,0,AG27/(AD27)),3)</f>
        <v>-0.38</v>
      </c>
    </row>
    <row r="28" spans="1:35" ht="16.5" customHeight="1">
      <c r="A28" s="352"/>
      <c r="B28" s="729"/>
      <c r="C28" s="443"/>
      <c r="D28" s="729"/>
      <c r="E28" s="443"/>
      <c r="F28" s="729"/>
      <c r="G28" s="443"/>
      <c r="H28" s="729"/>
      <c r="I28" s="443"/>
      <c r="J28" s="729"/>
      <c r="K28" s="443"/>
      <c r="L28" s="729"/>
      <c r="M28" s="443"/>
      <c r="N28" s="729"/>
      <c r="O28" s="443"/>
      <c r="P28" s="729"/>
      <c r="Q28" s="443"/>
      <c r="R28" s="729"/>
      <c r="S28" s="443"/>
      <c r="T28" s="729"/>
      <c r="U28" s="443"/>
      <c r="V28" s="729"/>
      <c r="W28" s="443"/>
      <c r="X28" s="729"/>
      <c r="Y28" s="443"/>
      <c r="Z28" s="727"/>
      <c r="AA28" s="729"/>
      <c r="AB28" s="728"/>
      <c r="AC28" s="450"/>
      <c r="AD28" s="729"/>
      <c r="AE28" s="1796"/>
      <c r="AF28" s="2267"/>
      <c r="AG28" s="2289"/>
      <c r="AH28" s="2298"/>
      <c r="AI28" s="2293"/>
    </row>
    <row r="29" spans="1:35" ht="16.5" customHeight="1">
      <c r="A29" s="462" t="s">
        <v>162</v>
      </c>
      <c r="B29" s="730">
        <f>ROUND(SUM(B25:B28),1)</f>
        <v>48.2</v>
      </c>
      <c r="C29" s="730"/>
      <c r="D29" s="730">
        <f>ROUND(SUM(D25:D28),1)</f>
        <v>35.799999999999997</v>
      </c>
      <c r="E29" s="730"/>
      <c r="F29" s="730">
        <f>ROUND(SUM(F25:F28),1)</f>
        <v>0</v>
      </c>
      <c r="G29" s="730"/>
      <c r="H29" s="730">
        <f>ROUND(SUM(H25:H28),1)</f>
        <v>0</v>
      </c>
      <c r="I29" s="730"/>
      <c r="J29" s="730">
        <f>ROUND(SUM(J25:J28),1)</f>
        <v>0</v>
      </c>
      <c r="K29" s="730"/>
      <c r="L29" s="730">
        <f>ROUND(SUM(L25:L28),1)</f>
        <v>0</v>
      </c>
      <c r="M29" s="730"/>
      <c r="N29" s="730">
        <f>ROUND(SUM(N25:N28),1)</f>
        <v>0</v>
      </c>
      <c r="O29" s="730"/>
      <c r="P29" s="730">
        <f>ROUND(SUM(P25:P28),1)</f>
        <v>0</v>
      </c>
      <c r="Q29" s="730"/>
      <c r="R29" s="730">
        <f>ROUND(SUM(R25:R28),1)</f>
        <v>0</v>
      </c>
      <c r="S29" s="730"/>
      <c r="T29" s="730">
        <f>ROUND(SUM(T25:T28),1)</f>
        <v>0</v>
      </c>
      <c r="U29" s="730"/>
      <c r="V29" s="730">
        <f>ROUND(SUM(V25:V28),1)</f>
        <v>0</v>
      </c>
      <c r="W29" s="730">
        <f>SUM(W25:W28)</f>
        <v>0</v>
      </c>
      <c r="X29" s="730">
        <f>ROUND(SUM(X25:X27),1)</f>
        <v>0</v>
      </c>
      <c r="Y29" s="730"/>
      <c r="Z29" s="731"/>
      <c r="AA29" s="730">
        <f>ROUND(SUM(AA24:AA27),1)</f>
        <v>84</v>
      </c>
      <c r="AB29" s="732"/>
      <c r="AC29" s="733"/>
      <c r="AD29" s="730">
        <f>ROUND(SUM(AD24:AD27),1)</f>
        <v>107.3</v>
      </c>
      <c r="AE29" s="450"/>
      <c r="AF29" s="2268"/>
      <c r="AG29" s="2290">
        <f>ROUND(SUM(AG25:AG27),1)</f>
        <v>-23.3</v>
      </c>
      <c r="AH29" s="2291"/>
      <c r="AI29" s="2292">
        <f>ROUND(IF(AG29=0,0,AG29/(AD29)),3)</f>
        <v>-0.217</v>
      </c>
    </row>
    <row r="30" spans="1:35" ht="16.5" customHeight="1">
      <c r="A30" s="352"/>
      <c r="B30" s="729"/>
      <c r="C30" s="443"/>
      <c r="D30" s="729"/>
      <c r="E30" s="443"/>
      <c r="F30" s="729"/>
      <c r="G30" s="443"/>
      <c r="H30" s="729"/>
      <c r="I30" s="443"/>
      <c r="J30" s="729"/>
      <c r="K30" s="443"/>
      <c r="L30" s="729"/>
      <c r="M30" s="443"/>
      <c r="N30" s="729"/>
      <c r="O30" s="443"/>
      <c r="P30" s="729"/>
      <c r="Q30" s="443"/>
      <c r="R30" s="729"/>
      <c r="S30" s="443"/>
      <c r="T30" s="729"/>
      <c r="U30" s="443"/>
      <c r="V30" s="729"/>
      <c r="W30" s="443"/>
      <c r="X30" s="729"/>
      <c r="Y30" s="443"/>
      <c r="Z30" s="727"/>
      <c r="AA30" s="729"/>
      <c r="AB30" s="728"/>
      <c r="AC30" s="450"/>
      <c r="AD30" s="729"/>
      <c r="AE30" s="443"/>
      <c r="AF30" s="2268"/>
      <c r="AG30" s="2289"/>
      <c r="AI30" s="2274"/>
    </row>
    <row r="31" spans="1:35" ht="16.5" customHeight="1">
      <c r="A31" s="352"/>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727"/>
      <c r="AA31" s="443"/>
      <c r="AB31" s="728"/>
      <c r="AC31" s="450"/>
      <c r="AD31" s="443"/>
      <c r="AE31" s="445"/>
      <c r="AF31" s="2269"/>
      <c r="AG31" s="2289"/>
      <c r="AH31" s="2294"/>
      <c r="AI31" s="2293"/>
    </row>
    <row r="32" spans="1:35" ht="16.5" customHeight="1">
      <c r="A32" s="352"/>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727"/>
      <c r="AA32" s="443"/>
      <c r="AB32" s="728"/>
      <c r="AC32" s="450"/>
      <c r="AD32" s="443"/>
      <c r="AE32" s="445"/>
      <c r="AF32" s="2268"/>
      <c r="AG32" s="2289"/>
      <c r="AH32" s="2294"/>
      <c r="AI32" s="2293"/>
    </row>
    <row r="33" spans="1:35" ht="16.5" customHeight="1">
      <c r="A33" s="462" t="s">
        <v>163</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727"/>
      <c r="AA33" s="443"/>
      <c r="AB33" s="728"/>
      <c r="AC33" s="450"/>
      <c r="AD33" s="443"/>
      <c r="AE33" s="1812"/>
      <c r="AF33" s="2269"/>
      <c r="AG33" s="2289"/>
      <c r="AH33" s="2294"/>
      <c r="AI33" s="2293"/>
    </row>
    <row r="34" spans="1:35" ht="16.5" customHeight="1">
      <c r="A34" s="462" t="s">
        <v>46</v>
      </c>
      <c r="B34" s="730">
        <f>ROUND(B19-B29,1)</f>
        <v>-32.200000000000003</v>
      </c>
      <c r="C34" s="730"/>
      <c r="D34" s="730">
        <f>ROUND(D19-D29,1)</f>
        <v>4.8</v>
      </c>
      <c r="E34" s="730"/>
      <c r="F34" s="730">
        <f>ROUND(F19-F29,1)</f>
        <v>0</v>
      </c>
      <c r="G34" s="730"/>
      <c r="H34" s="730">
        <f>ROUND(H19-H29,1)</f>
        <v>0</v>
      </c>
      <c r="I34" s="730"/>
      <c r="J34" s="730">
        <f>ROUND(J19-J29,1)</f>
        <v>0</v>
      </c>
      <c r="K34" s="730"/>
      <c r="L34" s="730">
        <f>ROUND(L19-L29,1)</f>
        <v>0</v>
      </c>
      <c r="M34" s="730"/>
      <c r="N34" s="730">
        <f>ROUND(N19-N29,1)</f>
        <v>0</v>
      </c>
      <c r="O34" s="730"/>
      <c r="P34" s="730">
        <f>ROUND(P19-P29,1)</f>
        <v>0</v>
      </c>
      <c r="Q34" s="730"/>
      <c r="R34" s="730">
        <f>ROUND(R19-R29,1)</f>
        <v>0</v>
      </c>
      <c r="S34" s="730"/>
      <c r="T34" s="730">
        <f>ROUND(T19-T29,1)</f>
        <v>0</v>
      </c>
      <c r="U34" s="730"/>
      <c r="V34" s="730">
        <f>ROUND(V19-V29,1)</f>
        <v>0</v>
      </c>
      <c r="W34" s="730"/>
      <c r="X34" s="730">
        <f>ROUND(X19-X29,1)</f>
        <v>0</v>
      </c>
      <c r="Y34" s="730"/>
      <c r="Z34" s="731"/>
      <c r="AA34" s="730">
        <f>ROUND(AA19-AA29,1)</f>
        <v>-27.4</v>
      </c>
      <c r="AB34" s="732"/>
      <c r="AC34" s="733"/>
      <c r="AD34" s="730">
        <f>ROUND(AD19-AD29,1)</f>
        <v>-48.9</v>
      </c>
      <c r="AE34" s="450"/>
      <c r="AF34" s="2266"/>
      <c r="AG34" s="2290">
        <f>ROUND(SUM(AG19-AG29),1)</f>
        <v>21.5</v>
      </c>
      <c r="AH34" s="2291"/>
      <c r="AI34" s="2292">
        <f>-ROUND(IF(AG34=0,0,AG34/(AD34)),3)</f>
        <v>0.44</v>
      </c>
    </row>
    <row r="35" spans="1:35" ht="16.5" customHeight="1">
      <c r="A35" s="352"/>
      <c r="B35" s="729"/>
      <c r="C35" s="443"/>
      <c r="D35" s="729"/>
      <c r="E35" s="443"/>
      <c r="F35" s="729"/>
      <c r="G35" s="443"/>
      <c r="H35" s="729"/>
      <c r="I35" s="443"/>
      <c r="J35" s="729"/>
      <c r="K35" s="443"/>
      <c r="L35" s="729"/>
      <c r="M35" s="443"/>
      <c r="N35" s="729"/>
      <c r="O35" s="443"/>
      <c r="P35" s="729"/>
      <c r="Q35" s="443"/>
      <c r="R35" s="729"/>
      <c r="S35" s="443"/>
      <c r="T35" s="729"/>
      <c r="U35" s="443"/>
      <c r="V35" s="729"/>
      <c r="W35" s="443"/>
      <c r="X35" s="729"/>
      <c r="Y35" s="443"/>
      <c r="Z35" s="727"/>
      <c r="AA35" s="729"/>
      <c r="AB35" s="728"/>
      <c r="AC35" s="450"/>
      <c r="AD35" s="729"/>
      <c r="AE35" s="443"/>
      <c r="AF35" s="2266"/>
      <c r="AG35" s="2289"/>
      <c r="AI35" s="2274"/>
    </row>
    <row r="36" spans="1:35" ht="16.5" customHeight="1">
      <c r="A36" s="352"/>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727"/>
      <c r="AA36" s="443"/>
      <c r="AB36" s="728"/>
      <c r="AC36" s="450"/>
      <c r="AD36" s="443"/>
      <c r="AE36" s="736"/>
      <c r="AF36" s="2270"/>
      <c r="AG36" s="2289"/>
      <c r="AI36" s="2274"/>
    </row>
    <row r="37" spans="1:35" ht="16.5" customHeight="1">
      <c r="A37" s="352"/>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727"/>
      <c r="AA37" s="443"/>
      <c r="AB37" s="728"/>
      <c r="AC37" s="450"/>
      <c r="AD37" s="443"/>
      <c r="AE37" s="1796"/>
      <c r="AF37" s="2271"/>
      <c r="AG37" s="2289"/>
      <c r="AI37" s="2293"/>
    </row>
    <row r="38" spans="1:35" ht="16.5" customHeight="1">
      <c r="A38" s="462" t="s">
        <v>47</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727"/>
      <c r="AA38" s="443"/>
      <c r="AB38" s="728"/>
      <c r="AC38" s="450"/>
      <c r="AD38" s="443"/>
      <c r="AE38" s="721"/>
      <c r="AF38" s="2272"/>
      <c r="AG38" s="2299"/>
      <c r="AH38" s="2300"/>
      <c r="AI38" s="2293"/>
    </row>
    <row r="39" spans="1:35" ht="16.5" customHeight="1">
      <c r="A39" s="352" t="s">
        <v>188</v>
      </c>
      <c r="B39" s="695">
        <v>3</v>
      </c>
      <c r="C39" s="443"/>
      <c r="D39" s="726">
        <v>3</v>
      </c>
      <c r="E39" s="443"/>
      <c r="F39" s="726"/>
      <c r="G39" s="443"/>
      <c r="H39" s="726"/>
      <c r="I39" s="443"/>
      <c r="J39" s="726"/>
      <c r="K39" s="443"/>
      <c r="L39" s="726"/>
      <c r="M39" s="443"/>
      <c r="N39" s="726"/>
      <c r="O39" s="443"/>
      <c r="P39" s="726"/>
      <c r="Q39" s="443"/>
      <c r="R39" s="726"/>
      <c r="S39" s="443"/>
      <c r="T39" s="726"/>
      <c r="U39" s="443"/>
      <c r="V39" s="695"/>
      <c r="W39" s="443"/>
      <c r="X39" s="695"/>
      <c r="Y39" s="443"/>
      <c r="Z39" s="727"/>
      <c r="AA39" s="443">
        <f>ROUND(SUM(B39:X39),1)</f>
        <v>6</v>
      </c>
      <c r="AB39" s="728"/>
      <c r="AC39" s="450"/>
      <c r="AD39" s="734">
        <v>5</v>
      </c>
      <c r="AE39" s="1803"/>
      <c r="AF39" s="2270"/>
      <c r="AG39" s="2289">
        <f>ROUND(SUM(AA39-AD39),1)</f>
        <v>1</v>
      </c>
      <c r="AH39" s="2294"/>
      <c r="AI39" s="2295">
        <f>ROUND(IF(AG39=0,0,AG39/(AD39)),3)</f>
        <v>0.2</v>
      </c>
    </row>
    <row r="40" spans="1:35" ht="16.5" customHeight="1">
      <c r="A40" s="352" t="s">
        <v>189</v>
      </c>
      <c r="B40" s="451">
        <v>0</v>
      </c>
      <c r="C40" s="443"/>
      <c r="D40" s="445">
        <v>0</v>
      </c>
      <c r="E40" s="443"/>
      <c r="F40" s="445"/>
      <c r="G40" s="443"/>
      <c r="H40" s="695"/>
      <c r="I40" s="443"/>
      <c r="J40" s="445"/>
      <c r="K40" s="443"/>
      <c r="L40" s="726"/>
      <c r="M40" s="443"/>
      <c r="N40" s="445"/>
      <c r="O40" s="443"/>
      <c r="P40" s="445"/>
      <c r="Q40" s="443"/>
      <c r="R40" s="445"/>
      <c r="S40" s="443"/>
      <c r="T40" s="445"/>
      <c r="U40" s="443"/>
      <c r="V40" s="726"/>
      <c r="W40" s="443"/>
      <c r="X40" s="695"/>
      <c r="Y40" s="443"/>
      <c r="Z40" s="727"/>
      <c r="AA40" s="443">
        <f>ROUND(SUM(B40:X40),1)</f>
        <v>0</v>
      </c>
      <c r="AB40" s="728"/>
      <c r="AC40" s="450"/>
      <c r="AD40" s="443">
        <v>0</v>
      </c>
      <c r="AE40" s="253"/>
      <c r="AF40" s="2270"/>
      <c r="AG40" s="2296">
        <f>-ROUND(SUM(AA40-AD40),1)</f>
        <v>0</v>
      </c>
      <c r="AH40" s="2294"/>
      <c r="AI40" s="2656">
        <f>-ROUND(IF(AG40=0,0,AG40/(AD40)),3)</f>
        <v>0</v>
      </c>
    </row>
    <row r="41" spans="1:35" ht="16.5" customHeight="1">
      <c r="A41" s="352"/>
      <c r="B41" s="729"/>
      <c r="C41" s="443"/>
      <c r="D41" s="729"/>
      <c r="E41" s="443"/>
      <c r="F41" s="729"/>
      <c r="G41" s="443"/>
      <c r="H41" s="729"/>
      <c r="I41" s="443"/>
      <c r="J41" s="729"/>
      <c r="K41" s="443"/>
      <c r="L41" s="729"/>
      <c r="M41" s="443"/>
      <c r="N41" s="729"/>
      <c r="O41" s="443"/>
      <c r="P41" s="729"/>
      <c r="Q41" s="443"/>
      <c r="R41" s="729"/>
      <c r="S41" s="443"/>
      <c r="T41" s="729"/>
      <c r="U41" s="443"/>
      <c r="V41" s="729"/>
      <c r="W41" s="443"/>
      <c r="X41" s="729"/>
      <c r="Y41" s="443"/>
      <c r="Z41" s="727"/>
      <c r="AA41" s="735"/>
      <c r="AB41" s="728"/>
      <c r="AC41" s="450"/>
      <c r="AD41" s="735"/>
      <c r="AE41" s="368"/>
      <c r="AF41" s="2270"/>
      <c r="AG41" s="2283"/>
    </row>
    <row r="42" spans="1:35" ht="16.5" customHeight="1">
      <c r="A42" s="462" t="s">
        <v>216</v>
      </c>
      <c r="B42" s="730">
        <f>ROUND(SUM(B39:B41),1)</f>
        <v>3</v>
      </c>
      <c r="C42" s="730"/>
      <c r="D42" s="730">
        <f>ROUND(SUM(D39:D41),1)</f>
        <v>3</v>
      </c>
      <c r="E42" s="730"/>
      <c r="F42" s="730">
        <f>ROUND(SUM(F39:F41),1)</f>
        <v>0</v>
      </c>
      <c r="G42" s="730"/>
      <c r="H42" s="730">
        <f>ROUND(SUM(H39:H41),1)</f>
        <v>0</v>
      </c>
      <c r="I42" s="730"/>
      <c r="J42" s="730">
        <f>ROUND(SUM(J39:J41),1)</f>
        <v>0</v>
      </c>
      <c r="K42" s="730"/>
      <c r="L42" s="730">
        <f>ROUND(SUM(L39:L41),1)</f>
        <v>0</v>
      </c>
      <c r="M42" s="730"/>
      <c r="N42" s="730">
        <f>ROUND(SUM(N39:N41),1)</f>
        <v>0</v>
      </c>
      <c r="O42" s="730"/>
      <c r="P42" s="730">
        <f>ROUND(SUM(P39:P41),1)</f>
        <v>0</v>
      </c>
      <c r="Q42" s="730"/>
      <c r="R42" s="730">
        <f>ROUND(SUM(R39:R41),1)</f>
        <v>0</v>
      </c>
      <c r="S42" s="730"/>
      <c r="T42" s="730">
        <f>ROUND(SUM(T39:T41),1)</f>
        <v>0</v>
      </c>
      <c r="U42" s="730"/>
      <c r="V42" s="730">
        <f>ROUND(SUM(V39:V41),1)</f>
        <v>0</v>
      </c>
      <c r="W42" s="730"/>
      <c r="X42" s="730">
        <f>ROUND(SUM(X39:X41),1)</f>
        <v>0</v>
      </c>
      <c r="Y42" s="730"/>
      <c r="Z42" s="731"/>
      <c r="AA42" s="730">
        <f>ROUND(SUM(AA39:AA41),1)</f>
        <v>6</v>
      </c>
      <c r="AB42" s="732"/>
      <c r="AC42" s="733"/>
      <c r="AD42" s="730">
        <f>ROUND(SUM(AD39:AD41),1)</f>
        <v>5</v>
      </c>
      <c r="AF42" s="2267"/>
      <c r="AG42" s="2290">
        <f>ROUND(SUM(AG39-AG40),1)</f>
        <v>1</v>
      </c>
      <c r="AH42" s="2301"/>
      <c r="AI42" s="2292">
        <f>ROUND(IF(AG42=0,0,AG42/(AD42)),3)</f>
        <v>0.2</v>
      </c>
    </row>
    <row r="43" spans="1:35" ht="16.5" customHeight="1">
      <c r="A43" s="352"/>
      <c r="B43" s="729"/>
      <c r="C43" s="443"/>
      <c r="D43" s="729"/>
      <c r="E43" s="443"/>
      <c r="F43" s="729"/>
      <c r="G43" s="443"/>
      <c r="H43" s="729"/>
      <c r="I43" s="443"/>
      <c r="J43" s="729"/>
      <c r="K43" s="443"/>
      <c r="L43" s="729"/>
      <c r="M43" s="443"/>
      <c r="N43" s="729"/>
      <c r="O43" s="443"/>
      <c r="P43" s="729"/>
      <c r="Q43" s="443"/>
      <c r="R43" s="729"/>
      <c r="S43" s="443"/>
      <c r="T43" s="729"/>
      <c r="U43" s="443"/>
      <c r="V43" s="729"/>
      <c r="W43" s="443"/>
      <c r="X43" s="729"/>
      <c r="Y43" s="443"/>
      <c r="Z43" s="727"/>
      <c r="AA43" s="729"/>
      <c r="AB43" s="728"/>
      <c r="AC43" s="450"/>
      <c r="AD43" s="729"/>
      <c r="AE43" s="368"/>
      <c r="AF43" s="2270"/>
      <c r="AG43" s="2283"/>
    </row>
    <row r="44" spans="1:35" ht="16.5" customHeight="1">
      <c r="A44" s="352"/>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727"/>
      <c r="AA44" s="443"/>
      <c r="AB44" s="728"/>
      <c r="AC44" s="450"/>
      <c r="AD44" s="443"/>
      <c r="AE44" s="368"/>
      <c r="AF44" s="2270"/>
      <c r="AG44" s="2283"/>
    </row>
    <row r="45" spans="1:35" ht="16.5" customHeight="1">
      <c r="A45" s="352"/>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727"/>
      <c r="AA45" s="443"/>
      <c r="AB45" s="728"/>
      <c r="AC45" s="450"/>
      <c r="AD45" s="443"/>
      <c r="AE45" s="368"/>
      <c r="AF45" s="2270"/>
    </row>
    <row r="46" spans="1:35" ht="16.5" customHeight="1">
      <c r="A46" s="462" t="s">
        <v>172</v>
      </c>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727"/>
      <c r="AA46" s="443"/>
      <c r="AB46" s="728"/>
      <c r="AC46" s="450"/>
      <c r="AD46" s="443"/>
      <c r="AE46" s="368"/>
      <c r="AF46" s="2270"/>
    </row>
    <row r="47" spans="1:35" ht="16.5" customHeight="1">
      <c r="A47" s="462" t="s">
        <v>235</v>
      </c>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727"/>
      <c r="AA47" s="443"/>
      <c r="AB47" s="728"/>
      <c r="AC47" s="450"/>
      <c r="AD47" s="443"/>
      <c r="AE47" s="223"/>
      <c r="AF47" s="2267"/>
    </row>
    <row r="48" spans="1:35" s="423" customFormat="1" ht="16.5" customHeight="1">
      <c r="A48" s="462" t="s">
        <v>174</v>
      </c>
      <c r="B48" s="730">
        <f>ROUND(SUM(B34,B42),1)</f>
        <v>-29.2</v>
      </c>
      <c r="C48" s="730"/>
      <c r="D48" s="730">
        <f>ROUND(SUM(D34,D42),1)</f>
        <v>7.8</v>
      </c>
      <c r="E48" s="730"/>
      <c r="F48" s="730">
        <f>ROUND(SUM(F34,F42),1)</f>
        <v>0</v>
      </c>
      <c r="G48" s="730"/>
      <c r="H48" s="730">
        <f>ROUND(SUM(H34,H42),1)</f>
        <v>0</v>
      </c>
      <c r="I48" s="730"/>
      <c r="J48" s="730">
        <f>ROUND(SUM(J34,J42),1)</f>
        <v>0</v>
      </c>
      <c r="K48" s="730"/>
      <c r="L48" s="730">
        <f>ROUND(SUM(L34,L42),1)</f>
        <v>0</v>
      </c>
      <c r="M48" s="730"/>
      <c r="N48" s="730">
        <f>ROUND(SUM(N34,N42),1)</f>
        <v>0</v>
      </c>
      <c r="O48" s="730"/>
      <c r="P48" s="730">
        <f>ROUND(SUM(P34,P42),1)</f>
        <v>0</v>
      </c>
      <c r="Q48" s="730"/>
      <c r="R48" s="730">
        <f>ROUND(SUM(R34,R42),1)</f>
        <v>0</v>
      </c>
      <c r="S48" s="730"/>
      <c r="T48" s="730">
        <f>ROUND(SUM(T34,T42),1)</f>
        <v>0</v>
      </c>
      <c r="U48" s="730"/>
      <c r="V48" s="730">
        <f>ROUND(SUM(V34,V42),1)</f>
        <v>0</v>
      </c>
      <c r="W48" s="730"/>
      <c r="X48" s="730">
        <f>ROUND(SUM(X34,X42),1)</f>
        <v>0</v>
      </c>
      <c r="Y48" s="730"/>
      <c r="Z48" s="731"/>
      <c r="AA48" s="736">
        <f>ROUND(AA34+AA42,1)</f>
        <v>-21.4</v>
      </c>
      <c r="AB48" s="732"/>
      <c r="AC48" s="733"/>
      <c r="AD48" s="736">
        <f>ROUND(AD34+AD42,1)</f>
        <v>-43.9</v>
      </c>
      <c r="AE48" s="741"/>
      <c r="AF48" s="2267"/>
      <c r="AG48" s="2290">
        <f>ROUND(SUM(AG34+AG42),1)</f>
        <v>22.5</v>
      </c>
      <c r="AH48" s="2263"/>
      <c r="AI48" s="2292">
        <f>-ROUND(IF(AG48=0,0,AG48/(AD48)),3)</f>
        <v>0.51300000000000001</v>
      </c>
    </row>
    <row r="49" spans="1:35" ht="16.5" customHeight="1">
      <c r="A49" s="352"/>
      <c r="B49" s="737"/>
      <c r="C49" s="722"/>
      <c r="D49" s="737"/>
      <c r="E49" s="722"/>
      <c r="F49" s="737"/>
      <c r="G49" s="722"/>
      <c r="H49" s="737"/>
      <c r="I49" s="722"/>
      <c r="J49" s="737"/>
      <c r="K49" s="722"/>
      <c r="L49" s="737"/>
      <c r="M49" s="722"/>
      <c r="N49" s="737"/>
      <c r="O49" s="722"/>
      <c r="P49" s="737"/>
      <c r="Q49" s="722"/>
      <c r="R49" s="737"/>
      <c r="S49" s="722"/>
      <c r="T49" s="737"/>
      <c r="U49" s="722"/>
      <c r="V49" s="737"/>
      <c r="W49" s="722"/>
      <c r="X49" s="737"/>
      <c r="Y49" s="722"/>
      <c r="Z49" s="723"/>
      <c r="AA49" s="737"/>
      <c r="AB49" s="724"/>
      <c r="AC49" s="725"/>
      <c r="AD49" s="737"/>
      <c r="AF49" s="2267"/>
      <c r="AI49" s="2274"/>
    </row>
    <row r="50" spans="1:35" ht="16.5" customHeight="1" thickBot="1">
      <c r="A50" s="643" t="s">
        <v>146</v>
      </c>
      <c r="B50" s="718">
        <f>ROUND(SUM(B14,B48),1)</f>
        <v>-225.9</v>
      </c>
      <c r="C50" s="718"/>
      <c r="D50" s="718">
        <f>ROUND(SUM(D14,D48),1)</f>
        <v>-218.1</v>
      </c>
      <c r="E50" s="718"/>
      <c r="F50" s="718">
        <f>ROUND(SUM(F14,F48),1)</f>
        <v>0</v>
      </c>
      <c r="G50" s="718"/>
      <c r="H50" s="718">
        <f>ROUND(SUM(H14,H48),1)</f>
        <v>0</v>
      </c>
      <c r="I50" s="718"/>
      <c r="J50" s="718">
        <f>ROUND(SUM(J14,J48),1)</f>
        <v>0</v>
      </c>
      <c r="K50" s="718"/>
      <c r="L50" s="718">
        <f>ROUND(SUM(L14,L48),1)</f>
        <v>0</v>
      </c>
      <c r="M50" s="718"/>
      <c r="N50" s="718">
        <f>ROUND(SUM(N14,N48),1)</f>
        <v>0</v>
      </c>
      <c r="O50" s="718"/>
      <c r="P50" s="718">
        <f>ROUND(SUM(P14,P48),1)</f>
        <v>0</v>
      </c>
      <c r="Q50" s="718"/>
      <c r="R50" s="738">
        <f>ROUND(SUM(R14,R48),1)</f>
        <v>0</v>
      </c>
      <c r="S50" s="718"/>
      <c r="T50" s="718">
        <f>ROUND(SUM(T14,T48),1)</f>
        <v>0</v>
      </c>
      <c r="U50" s="718"/>
      <c r="V50" s="718">
        <f>ROUND(SUM(V14,V48),1)</f>
        <v>0</v>
      </c>
      <c r="W50" s="718"/>
      <c r="X50" s="718">
        <f>ROUND(SUM(X14,X48),1)</f>
        <v>0</v>
      </c>
      <c r="Y50" s="718"/>
      <c r="Z50" s="719"/>
      <c r="AA50" s="718">
        <f>ROUND(SUM(AA14,AA48),1)</f>
        <v>-218.1</v>
      </c>
      <c r="AB50" s="720"/>
      <c r="AC50" s="721"/>
      <c r="AD50" s="718">
        <f>ROUND(SUM(AD14,AD48),1)</f>
        <v>-116.6</v>
      </c>
      <c r="AF50" s="2267"/>
      <c r="AG50" s="2302">
        <f>ROUND(SUM(AA50-AD50),1)</f>
        <v>-101.5</v>
      </c>
      <c r="AH50" s="2300"/>
      <c r="AI50" s="2303">
        <f>-ROUND(IF(AG50=0,0,AG50/(AD50)),3)</f>
        <v>-0.87</v>
      </c>
    </row>
    <row r="51" spans="1:35" ht="16.5" customHeight="1" thickTop="1">
      <c r="A51" s="352"/>
      <c r="B51" s="739"/>
      <c r="C51" s="722"/>
      <c r="D51" s="739"/>
      <c r="E51" s="722"/>
      <c r="F51" s="739"/>
      <c r="G51" s="722"/>
      <c r="H51" s="739"/>
      <c r="I51" s="722"/>
      <c r="J51" s="739"/>
      <c r="K51" s="722"/>
      <c r="L51" s="739"/>
      <c r="M51" s="722"/>
      <c r="N51" s="739"/>
      <c r="O51" s="722"/>
      <c r="P51" s="739"/>
      <c r="Q51" s="722"/>
      <c r="R51" s="725"/>
      <c r="S51" s="722"/>
      <c r="T51" s="739"/>
      <c r="U51" s="722"/>
      <c r="V51" s="739"/>
      <c r="W51" s="722"/>
      <c r="X51" s="739"/>
      <c r="Y51" s="722"/>
      <c r="Z51" s="722"/>
      <c r="AA51" s="739"/>
      <c r="AB51" s="722"/>
      <c r="AC51" s="722"/>
      <c r="AD51" s="739"/>
    </row>
    <row r="53" spans="1:35" ht="16.5" customHeight="1">
      <c r="A53" s="740"/>
    </row>
    <row r="54" spans="1:35" ht="16.5" customHeight="1">
      <c r="A54" s="458"/>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33203125" style="741" customWidth="1"/>
    <col min="13" max="13" width="1.6640625" style="741" customWidth="1"/>
    <col min="14" max="14" width="12"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7773437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1753" customWidth="1"/>
    <col min="31" max="31" width="1.77734375" style="2273" customWidth="1"/>
    <col min="32" max="32" width="2.44140625" style="2273" customWidth="1"/>
    <col min="33" max="33" width="10.33203125" style="2274" bestFit="1" customWidth="1"/>
    <col min="34" max="34" width="1.6640625" style="2274" customWidth="1"/>
    <col min="35" max="35" width="11.109375" style="2273" customWidth="1"/>
    <col min="36" max="16384" width="8.88671875" style="741"/>
  </cols>
  <sheetData>
    <row r="1" spans="1:35">
      <c r="A1" s="1190" t="s">
        <v>1231</v>
      </c>
    </row>
    <row r="2" spans="1:35">
      <c r="A2" s="1738"/>
    </row>
    <row r="3" spans="1:35" ht="20.25" customHeight="1">
      <c r="A3" s="1747"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27" t="s">
        <v>233</v>
      </c>
    </row>
    <row r="4" spans="1:35" ht="20.25" customHeight="1">
      <c r="A4" s="1748" t="s">
        <v>232</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9"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2306"/>
    </row>
    <row r="6" spans="1:35" ht="20.25" customHeight="1">
      <c r="A6" s="1749" t="s">
        <v>1547</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7" t="s">
        <v>1116</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73"/>
      <c r="AF8" s="2273"/>
      <c r="AG8" s="2274"/>
      <c r="AH8" s="2274"/>
      <c r="AI8" s="2273"/>
    </row>
    <row r="9" spans="1:35" s="743" customFormat="1" ht="18.95" customHeight="1">
      <c r="A9" s="1365"/>
      <c r="B9" s="1365"/>
      <c r="C9" s="1365"/>
      <c r="D9" s="1365"/>
      <c r="E9" s="1365"/>
      <c r="F9" s="1365"/>
      <c r="G9" s="1365"/>
      <c r="H9" s="221"/>
      <c r="I9" s="221"/>
      <c r="J9" s="221"/>
      <c r="K9" s="1365"/>
      <c r="L9" s="1365"/>
      <c r="M9" s="1365"/>
      <c r="N9" s="1365"/>
      <c r="O9" s="1365"/>
      <c r="P9" s="1365"/>
      <c r="Q9" s="1365"/>
      <c r="R9" s="1365"/>
      <c r="S9" s="1365"/>
      <c r="T9" s="1365"/>
      <c r="U9" s="1365"/>
      <c r="V9" s="1365"/>
      <c r="W9" s="1365"/>
      <c r="X9" s="1365"/>
      <c r="Y9" s="1365"/>
      <c r="Z9" s="352"/>
      <c r="AA9" s="352"/>
      <c r="AB9" s="352"/>
      <c r="AC9" s="3527"/>
      <c r="AD9" s="3528"/>
      <c r="AE9" s="3528"/>
      <c r="AF9" s="3528"/>
      <c r="AG9" s="3528"/>
      <c r="AH9" s="3528"/>
      <c r="AI9" s="3528"/>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50"/>
      <c r="W10" s="1751"/>
      <c r="X10" s="1752"/>
      <c r="Y10" s="1753"/>
      <c r="Z10" s="3529" t="s">
        <v>1593</v>
      </c>
      <c r="AA10" s="3529"/>
      <c r="AB10" s="3529"/>
      <c r="AC10" s="3529"/>
      <c r="AD10" s="3529"/>
      <c r="AE10" s="3529"/>
      <c r="AF10" s="3529"/>
      <c r="AG10" s="3529"/>
      <c r="AH10" s="3529"/>
      <c r="AI10" s="3529"/>
    </row>
    <row r="11" spans="1:35" s="743" customFormat="1" ht="18.95" customHeight="1">
      <c r="A11" s="352"/>
      <c r="B11" s="1563">
        <v>2015</v>
      </c>
      <c r="C11" s="462"/>
      <c r="D11" s="462"/>
      <c r="E11" s="462"/>
      <c r="F11" s="462"/>
      <c r="G11" s="462"/>
      <c r="H11" s="462"/>
      <c r="I11" s="462"/>
      <c r="J11" s="462"/>
      <c r="K11" s="462"/>
      <c r="L11" s="462"/>
      <c r="M11" s="462"/>
      <c r="N11" s="462"/>
      <c r="O11" s="462"/>
      <c r="P11" s="462"/>
      <c r="Q11" s="462"/>
      <c r="R11" s="462"/>
      <c r="S11" s="462"/>
      <c r="T11" s="1563">
        <v>2016</v>
      </c>
      <c r="U11" s="462"/>
      <c r="V11" s="462"/>
      <c r="W11" s="462"/>
      <c r="X11" s="462"/>
      <c r="Y11" s="462"/>
      <c r="Z11" s="1564"/>
      <c r="AA11" s="1564"/>
      <c r="AB11" s="1564"/>
      <c r="AC11" s="1564"/>
      <c r="AD11" s="2003"/>
      <c r="AE11" s="2307"/>
      <c r="AF11" s="2263"/>
      <c r="AG11" s="2277" t="s">
        <v>8</v>
      </c>
      <c r="AH11" s="2277"/>
      <c r="AI11" s="2278" t="s">
        <v>9</v>
      </c>
    </row>
    <row r="12" spans="1:35" s="743" customFormat="1" ht="18.95" customHeight="1">
      <c r="A12" s="352"/>
      <c r="B12" s="1754" t="s">
        <v>129</v>
      </c>
      <c r="C12" s="462"/>
      <c r="D12" s="1754" t="s">
        <v>130</v>
      </c>
      <c r="E12" s="462"/>
      <c r="F12" s="1754" t="s">
        <v>131</v>
      </c>
      <c r="G12" s="462"/>
      <c r="H12" s="1754" t="s">
        <v>132</v>
      </c>
      <c r="I12" s="462"/>
      <c r="J12" s="1755" t="s">
        <v>234</v>
      </c>
      <c r="K12" s="462"/>
      <c r="L12" s="1755" t="s">
        <v>148</v>
      </c>
      <c r="M12" s="462"/>
      <c r="N12" s="1755" t="s">
        <v>149</v>
      </c>
      <c r="O12" s="462"/>
      <c r="P12" s="1754" t="s">
        <v>136</v>
      </c>
      <c r="Q12" s="462"/>
      <c r="R12" s="1754" t="s">
        <v>137</v>
      </c>
      <c r="S12" s="462"/>
      <c r="T12" s="1755" t="s">
        <v>138</v>
      </c>
      <c r="U12" s="462"/>
      <c r="V12" s="1754" t="s">
        <v>139</v>
      </c>
      <c r="W12" s="462"/>
      <c r="X12" s="1755" t="s">
        <v>192</v>
      </c>
      <c r="Y12" s="462"/>
      <c r="Z12" s="462"/>
      <c r="AA12" s="1565">
        <v>2015</v>
      </c>
      <c r="AB12" s="1565"/>
      <c r="AC12" s="1756"/>
      <c r="AD12" s="1754">
        <v>2014</v>
      </c>
      <c r="AE12" s="2301"/>
      <c r="AF12" s="2301"/>
      <c r="AG12" s="2279" t="s">
        <v>13</v>
      </c>
      <c r="AH12" s="2280"/>
      <c r="AI12" s="2279" t="s">
        <v>14</v>
      </c>
    </row>
    <row r="13" spans="1:35" s="743" customFormat="1" ht="18.95" customHeight="1">
      <c r="A13" s="462" t="s">
        <v>141</v>
      </c>
      <c r="B13" s="1757">
        <v>-16.899999999999999</v>
      </c>
      <c r="C13" s="718"/>
      <c r="D13" s="1757">
        <f>+B38</f>
        <v>-0.4</v>
      </c>
      <c r="E13" s="718"/>
      <c r="F13" s="1757"/>
      <c r="G13" s="1758"/>
      <c r="H13" s="1758"/>
      <c r="I13" s="1758"/>
      <c r="J13" s="1758"/>
      <c r="K13" s="1758"/>
      <c r="L13" s="1758"/>
      <c r="M13" s="1758"/>
      <c r="N13" s="1759"/>
      <c r="O13" s="1758"/>
      <c r="P13" s="1759"/>
      <c r="Q13" s="1758"/>
      <c r="R13" s="1758"/>
      <c r="S13" s="1758"/>
      <c r="T13" s="1757"/>
      <c r="U13" s="1758"/>
      <c r="V13" s="1758"/>
      <c r="W13" s="1758"/>
      <c r="X13" s="1758"/>
      <c r="Y13" s="1760"/>
      <c r="Z13" s="1761"/>
      <c r="AA13" s="1759">
        <f>+B13</f>
        <v>-16.899999999999999</v>
      </c>
      <c r="AB13" s="1760"/>
      <c r="AC13" s="1762"/>
      <c r="AD13" s="1759">
        <v>-3.9</v>
      </c>
      <c r="AE13" s="2308"/>
      <c r="AF13" s="2304"/>
      <c r="AG13" s="2281">
        <f>ROUND(SUM(AA13-AD13),1)</f>
        <v>-13</v>
      </c>
      <c r="AH13" s="2274"/>
      <c r="AI13" s="2282">
        <f>-ROUND(IF(AG13=0,0,AG13/(AD13)),3)</f>
        <v>-3.3330000000000002</v>
      </c>
    </row>
    <row r="14" spans="1:35" s="743" customFormat="1" ht="18.95" customHeight="1">
      <c r="A14" s="352"/>
      <c r="B14" s="722"/>
      <c r="C14" s="722"/>
      <c r="D14" s="722"/>
      <c r="E14" s="722"/>
      <c r="F14" s="1763"/>
      <c r="G14" s="1763"/>
      <c r="H14" s="1764"/>
      <c r="I14" s="1764"/>
      <c r="J14" s="1764"/>
      <c r="K14" s="1763"/>
      <c r="L14" s="1764"/>
      <c r="M14" s="1764"/>
      <c r="N14" s="1764"/>
      <c r="O14" s="1764"/>
      <c r="P14" s="1764"/>
      <c r="Q14" s="1764"/>
      <c r="R14" s="1764"/>
      <c r="S14" s="1764"/>
      <c r="T14" s="1764"/>
      <c r="U14" s="1764"/>
      <c r="V14" s="1764"/>
      <c r="W14" s="1764"/>
      <c r="X14" s="1764"/>
      <c r="Y14" s="1765"/>
      <c r="Z14" s="1766"/>
      <c r="AA14" s="722"/>
      <c r="AB14" s="1765"/>
      <c r="AC14" s="1767"/>
      <c r="AD14" s="722"/>
      <c r="AE14" s="2309"/>
      <c r="AF14" s="2305"/>
      <c r="AG14" s="2283"/>
      <c r="AH14" s="2274"/>
      <c r="AI14" s="2273"/>
    </row>
    <row r="15" spans="1:35" s="743" customFormat="1" ht="18.95" customHeight="1">
      <c r="A15" s="462" t="s">
        <v>15</v>
      </c>
      <c r="B15" s="722"/>
      <c r="C15" s="722"/>
      <c r="D15" s="722"/>
      <c r="E15" s="722"/>
      <c r="F15" s="1763"/>
      <c r="G15" s="1763"/>
      <c r="H15" s="1764"/>
      <c r="I15" s="1764"/>
      <c r="J15" s="1764"/>
      <c r="K15" s="1763"/>
      <c r="L15" s="1764"/>
      <c r="M15" s="1764"/>
      <c r="N15" s="1764"/>
      <c r="O15" s="1764"/>
      <c r="P15" s="1764"/>
      <c r="Q15" s="1764"/>
      <c r="R15" s="1764"/>
      <c r="S15" s="1764"/>
      <c r="T15" s="1764"/>
      <c r="U15" s="1764"/>
      <c r="V15" s="1764"/>
      <c r="W15" s="1764"/>
      <c r="X15" s="1764"/>
      <c r="Y15" s="1765"/>
      <c r="Z15" s="1766"/>
      <c r="AA15" s="722"/>
      <c r="AB15" s="1765"/>
      <c r="AC15" s="1767"/>
      <c r="AD15" s="722"/>
      <c r="AE15" s="2309"/>
      <c r="AF15" s="2305"/>
      <c r="AG15" s="2283"/>
      <c r="AH15" s="2274"/>
      <c r="AI15" s="2273"/>
    </row>
    <row r="16" spans="1:35" s="743" customFormat="1" ht="18.95" customHeight="1">
      <c r="A16" s="1768" t="s">
        <v>185</v>
      </c>
      <c r="B16" s="1769">
        <v>21.9</v>
      </c>
      <c r="C16" s="443"/>
      <c r="D16" s="726">
        <v>4.8</v>
      </c>
      <c r="E16" s="443"/>
      <c r="F16" s="726"/>
      <c r="G16" s="443"/>
      <c r="H16" s="726"/>
      <c r="I16" s="1770"/>
      <c r="J16" s="726"/>
      <c r="K16" s="443"/>
      <c r="L16" s="726"/>
      <c r="M16" s="1771"/>
      <c r="N16" s="726"/>
      <c r="O16" s="1771"/>
      <c r="P16" s="726"/>
      <c r="Q16" s="1771"/>
      <c r="R16" s="726"/>
      <c r="S16" s="1771"/>
      <c r="T16" s="726"/>
      <c r="U16" s="1771"/>
      <c r="V16" s="726"/>
      <c r="W16" s="1771"/>
      <c r="X16" s="726"/>
      <c r="Y16" s="1772"/>
      <c r="Z16" s="1773"/>
      <c r="AA16" s="1805">
        <f>ROUND(SUM(B16:X16),1)</f>
        <v>26.7</v>
      </c>
      <c r="AB16" s="1772"/>
      <c r="AC16" s="1771"/>
      <c r="AD16" s="1769">
        <v>19.5</v>
      </c>
      <c r="AE16" s="2310"/>
      <c r="AF16" s="2266"/>
      <c r="AG16" s="2289">
        <f>ROUND(SUM(AA16-AD16),1)</f>
        <v>7.2</v>
      </c>
      <c r="AH16" s="2274"/>
      <c r="AI16" s="2295">
        <f>ROUND(IF(AG16=0,0,AG16/(AD16)),3)</f>
        <v>0.36899999999999999</v>
      </c>
    </row>
    <row r="17" spans="1:35" s="743" customFormat="1" ht="24" customHeight="1">
      <c r="A17" s="462" t="s">
        <v>156</v>
      </c>
      <c r="B17" s="1774">
        <f>ROUND(SUM(B16),1)</f>
        <v>21.9</v>
      </c>
      <c r="C17" s="730"/>
      <c r="D17" s="1774">
        <f>ROUND(SUM(D16),1)</f>
        <v>4.8</v>
      </c>
      <c r="E17" s="730"/>
      <c r="F17" s="1774">
        <f>ROUND(SUM(F16),1)</f>
        <v>0</v>
      </c>
      <c r="G17" s="730"/>
      <c r="H17" s="1774">
        <f>ROUND(SUM(H16),1)</f>
        <v>0</v>
      </c>
      <c r="I17" s="1775"/>
      <c r="J17" s="1774">
        <f>ROUND(SUM(J16),1)</f>
        <v>0</v>
      </c>
      <c r="K17" s="730"/>
      <c r="L17" s="1774">
        <f>ROUND(SUM(L16),1)</f>
        <v>0</v>
      </c>
      <c r="M17" s="1776"/>
      <c r="N17" s="1774">
        <f>ROUND(SUM(N16),1)</f>
        <v>0</v>
      </c>
      <c r="O17" s="1776"/>
      <c r="P17" s="1774">
        <f>ROUND(SUM(P16),1)</f>
        <v>0</v>
      </c>
      <c r="Q17" s="1776"/>
      <c r="R17" s="1774">
        <f>ROUND(SUM(R16),1)</f>
        <v>0</v>
      </c>
      <c r="S17" s="1776"/>
      <c r="T17" s="1774">
        <f>ROUND(SUM(T16),1)</f>
        <v>0</v>
      </c>
      <c r="U17" s="1776"/>
      <c r="V17" s="1774">
        <f>ROUND(SUM(V16),1)</f>
        <v>0</v>
      </c>
      <c r="W17" s="1776"/>
      <c r="X17" s="1774">
        <f>ROUND(SUM(X16),1)</f>
        <v>0</v>
      </c>
      <c r="Y17" s="1777"/>
      <c r="Z17" s="1778"/>
      <c r="AA17" s="1786">
        <f>ROUND(SUM(AA16),1)</f>
        <v>26.7</v>
      </c>
      <c r="AB17" s="1777"/>
      <c r="AC17" s="1778"/>
      <c r="AD17" s="1786">
        <f>ROUND(SUM(AD16),1)</f>
        <v>19.5</v>
      </c>
      <c r="AE17" s="2311"/>
      <c r="AF17" s="2266"/>
      <c r="AG17" s="2320">
        <f>ROUND(SUM(AG16),1)</f>
        <v>7.2</v>
      </c>
      <c r="AH17" s="2321"/>
      <c r="AI17" s="2322">
        <f>ROUND(IF(AG17=0,0,AG17/(AD17)),3)</f>
        <v>0.36899999999999999</v>
      </c>
    </row>
    <row r="18" spans="1:35" s="743" customFormat="1" ht="18.95" customHeight="1">
      <c r="A18" s="352"/>
      <c r="B18" s="729"/>
      <c r="C18" s="443"/>
      <c r="D18" s="729" t="s">
        <v>16</v>
      </c>
      <c r="E18" s="443"/>
      <c r="F18" s="729"/>
      <c r="G18" s="443"/>
      <c r="H18" s="1779"/>
      <c r="I18" s="1771"/>
      <c r="J18" s="1779"/>
      <c r="K18" s="443"/>
      <c r="L18" s="1780"/>
      <c r="M18" s="1771"/>
      <c r="N18" s="1779"/>
      <c r="O18" s="1771"/>
      <c r="P18" s="1779"/>
      <c r="Q18" s="1771"/>
      <c r="R18" s="1779"/>
      <c r="S18" s="1771"/>
      <c r="T18" s="1779"/>
      <c r="U18" s="1771"/>
      <c r="V18" s="1779"/>
      <c r="W18" s="1771"/>
      <c r="X18" s="1779"/>
      <c r="Y18" s="1772"/>
      <c r="Z18" s="1773"/>
      <c r="AA18" s="729"/>
      <c r="AB18" s="1772"/>
      <c r="AC18" s="1770"/>
      <c r="AD18" s="729"/>
      <c r="AE18" s="2289"/>
      <c r="AF18" s="2266"/>
      <c r="AG18" s="2289"/>
      <c r="AH18" s="2274"/>
      <c r="AI18" s="2273"/>
    </row>
    <row r="19" spans="1:35" s="743" customFormat="1" ht="18.95" customHeight="1">
      <c r="A19" s="352"/>
      <c r="B19" s="443"/>
      <c r="C19" s="443"/>
      <c r="D19" s="443" t="s">
        <v>16</v>
      </c>
      <c r="E19" s="443"/>
      <c r="F19" s="443"/>
      <c r="G19" s="443"/>
      <c r="H19" s="1771"/>
      <c r="I19" s="1771"/>
      <c r="J19" s="1771"/>
      <c r="K19" s="443"/>
      <c r="L19" s="1781"/>
      <c r="M19" s="1771"/>
      <c r="N19" s="1771"/>
      <c r="O19" s="1771"/>
      <c r="P19" s="1771"/>
      <c r="Q19" s="1771"/>
      <c r="R19" s="1771"/>
      <c r="S19" s="1771"/>
      <c r="T19" s="1771"/>
      <c r="U19" s="1771"/>
      <c r="V19" s="1771"/>
      <c r="W19" s="1771"/>
      <c r="X19" s="1771"/>
      <c r="Y19" s="1772"/>
      <c r="Z19" s="1773"/>
      <c r="AA19" s="443"/>
      <c r="AB19" s="1772"/>
      <c r="AC19" s="1771"/>
      <c r="AD19" s="443"/>
      <c r="AE19" s="2312"/>
      <c r="AF19" s="2266"/>
      <c r="AG19" s="2289"/>
      <c r="AH19" s="2274"/>
      <c r="AI19" s="2273"/>
    </row>
    <row r="20" spans="1:35" s="743" customFormat="1" ht="18.95" customHeight="1">
      <c r="A20" s="462" t="s">
        <v>24</v>
      </c>
      <c r="B20" s="443"/>
      <c r="C20" s="443"/>
      <c r="D20" s="443" t="s">
        <v>16</v>
      </c>
      <c r="E20" s="443"/>
      <c r="F20" s="443"/>
      <c r="G20" s="443"/>
      <c r="H20" s="1771"/>
      <c r="I20" s="1771"/>
      <c r="J20" s="1771"/>
      <c r="K20" s="443"/>
      <c r="L20" s="1781"/>
      <c r="M20" s="1771"/>
      <c r="N20" s="1771"/>
      <c r="O20" s="1771"/>
      <c r="P20" s="1771"/>
      <c r="Q20" s="1771"/>
      <c r="R20" s="1771"/>
      <c r="S20" s="1771"/>
      <c r="T20" s="1771"/>
      <c r="U20" s="1771"/>
      <c r="V20" s="1771"/>
      <c r="W20" s="1771"/>
      <c r="X20" s="1771"/>
      <c r="Y20" s="1772"/>
      <c r="Z20" s="1773"/>
      <c r="AA20" s="443"/>
      <c r="AB20" s="1772"/>
      <c r="AC20" s="1771"/>
      <c r="AD20" s="443"/>
      <c r="AE20" s="2312"/>
      <c r="AF20" s="2266"/>
      <c r="AG20" s="2289"/>
      <c r="AH20" s="2274"/>
      <c r="AI20" s="2273"/>
    </row>
    <row r="21" spans="1:35" s="743" customFormat="1" ht="18.95" customHeight="1">
      <c r="A21" s="352" t="s">
        <v>158</v>
      </c>
      <c r="B21" s="445"/>
      <c r="C21" s="443"/>
      <c r="D21" s="443"/>
      <c r="E21" s="443"/>
      <c r="F21" s="443"/>
      <c r="G21" s="443"/>
      <c r="H21" s="1771"/>
      <c r="I21" s="1771"/>
      <c r="J21" s="1771"/>
      <c r="K21" s="443"/>
      <c r="L21" s="1781"/>
      <c r="M21" s="1771"/>
      <c r="N21" s="1771"/>
      <c r="O21" s="1771"/>
      <c r="P21" s="1771"/>
      <c r="Q21" s="1771"/>
      <c r="R21" s="1771"/>
      <c r="S21" s="1771"/>
      <c r="T21" s="1771"/>
      <c r="U21" s="1771"/>
      <c r="V21" s="1771"/>
      <c r="W21" s="1771"/>
      <c r="X21" s="1771"/>
      <c r="Y21" s="1772"/>
      <c r="Z21" s="1773"/>
      <c r="AA21" s="445"/>
      <c r="AB21" s="1782"/>
      <c r="AC21" s="1783"/>
      <c r="AD21" s="445"/>
      <c r="AE21" s="2313"/>
      <c r="AF21" s="2267"/>
      <c r="AG21" s="2289"/>
      <c r="AH21" s="2274"/>
      <c r="AI21" s="2273"/>
    </row>
    <row r="22" spans="1:35" s="743" customFormat="1" ht="18.95" customHeight="1">
      <c r="A22" s="352" t="s">
        <v>227</v>
      </c>
      <c r="B22" s="1784">
        <v>4.9000000000000004</v>
      </c>
      <c r="C22" s="443"/>
      <c r="D22" s="1784">
        <v>4.8</v>
      </c>
      <c r="E22" s="443"/>
      <c r="F22" s="726"/>
      <c r="G22" s="443"/>
      <c r="H22" s="726"/>
      <c r="I22" s="1771"/>
      <c r="J22" s="726"/>
      <c r="K22" s="443"/>
      <c r="L22" s="726"/>
      <c r="M22" s="1771"/>
      <c r="N22" s="726"/>
      <c r="O22" s="1771"/>
      <c r="P22" s="726"/>
      <c r="Q22" s="1771"/>
      <c r="R22" s="726"/>
      <c r="S22" s="1771"/>
      <c r="T22" s="726"/>
      <c r="U22" s="1771"/>
      <c r="V22" s="726"/>
      <c r="W22" s="1771"/>
      <c r="X22" s="726"/>
      <c r="Y22" s="1772"/>
      <c r="Z22" s="1773"/>
      <c r="AA22" s="1806">
        <f>ROUND(SUM(B22:X22),1)</f>
        <v>9.6999999999999993</v>
      </c>
      <c r="AB22" s="1772"/>
      <c r="AC22" s="1771"/>
      <c r="AD22" s="695">
        <v>9.3000000000000007</v>
      </c>
      <c r="AE22" s="2314"/>
      <c r="AF22" s="2267"/>
      <c r="AG22" s="2289">
        <f>ROUND(SUM(AA22-AD22),1)</f>
        <v>0.4</v>
      </c>
      <c r="AH22" s="2274"/>
      <c r="AI22" s="2295">
        <f>ROUND(IF(AG22=0,0,AG22/(AD22)),3)</f>
        <v>4.2999999999999997E-2</v>
      </c>
    </row>
    <row r="23" spans="1:35" s="743" customFormat="1" ht="18.95" customHeight="1">
      <c r="A23" s="1768" t="s">
        <v>177</v>
      </c>
      <c r="B23" s="1784">
        <v>0.5</v>
      </c>
      <c r="C23" s="443"/>
      <c r="D23" s="1784">
        <v>0.9</v>
      </c>
      <c r="E23" s="443"/>
      <c r="F23" s="726"/>
      <c r="G23" s="443"/>
      <c r="H23" s="726"/>
      <c r="I23" s="1771"/>
      <c r="J23" s="726"/>
      <c r="K23" s="443"/>
      <c r="L23" s="726"/>
      <c r="M23" s="1771"/>
      <c r="N23" s="726"/>
      <c r="O23" s="1771"/>
      <c r="P23" s="726"/>
      <c r="Q23" s="1771"/>
      <c r="R23" s="726"/>
      <c r="S23" s="1771"/>
      <c r="T23" s="726"/>
      <c r="U23" s="1771"/>
      <c r="V23" s="726"/>
      <c r="W23" s="1771"/>
      <c r="X23" s="726"/>
      <c r="Y23" s="1772"/>
      <c r="Z23" s="1773"/>
      <c r="AA23" s="1806">
        <f>ROUND(SUM(B23:X23),1)</f>
        <v>1.4</v>
      </c>
      <c r="AB23" s="1772"/>
      <c r="AC23" s="1771"/>
      <c r="AD23" s="445">
        <v>1.5</v>
      </c>
      <c r="AE23" s="2313"/>
      <c r="AF23" s="2267"/>
      <c r="AG23" s="2289">
        <f>ROUND(SUM(AA23-AD23),1)</f>
        <v>-0.1</v>
      </c>
      <c r="AH23" s="2294"/>
      <c r="AI23" s="2295">
        <f>ROUND(IF(AG23=0,0,AG23/(AD23)),3)</f>
        <v>-6.7000000000000004E-2</v>
      </c>
    </row>
    <row r="24" spans="1:35" s="743" customFormat="1" ht="18.95" customHeight="1">
      <c r="A24" s="352" t="s">
        <v>161</v>
      </c>
      <c r="B24" s="1785">
        <v>0</v>
      </c>
      <c r="C24" s="443"/>
      <c r="D24" s="1769">
        <v>6.3</v>
      </c>
      <c r="E24" s="443"/>
      <c r="F24" s="1769"/>
      <c r="G24" s="443"/>
      <c r="H24" s="1785"/>
      <c r="I24" s="1771"/>
      <c r="J24" s="699"/>
      <c r="K24" s="443"/>
      <c r="L24" s="1785"/>
      <c r="M24" s="1771"/>
      <c r="N24" s="1785"/>
      <c r="O24" s="1771"/>
      <c r="P24" s="1769"/>
      <c r="Q24" s="1771"/>
      <c r="R24" s="1785"/>
      <c r="S24" s="1771"/>
      <c r="T24" s="699"/>
      <c r="U24" s="1771"/>
      <c r="V24" s="1785"/>
      <c r="W24" s="1771"/>
      <c r="X24" s="1769"/>
      <c r="Y24" s="1772"/>
      <c r="Z24" s="1773"/>
      <c r="AA24" s="1805">
        <f>ROUND(SUM(B24:X24),1)</f>
        <v>6.3</v>
      </c>
      <c r="AB24" s="1772"/>
      <c r="AC24" s="1771"/>
      <c r="AD24" s="1805">
        <v>5</v>
      </c>
      <c r="AE24" s="2315"/>
      <c r="AF24" s="2267"/>
      <c r="AG24" s="2289">
        <f>ROUND(SUM(AA24-AD24),1)</f>
        <v>1.3</v>
      </c>
      <c r="AH24" s="2274"/>
      <c r="AI24" s="2295">
        <f>ROUND(IF(AG24=0,0,AG24/(AD24)),3)</f>
        <v>0.26</v>
      </c>
    </row>
    <row r="25" spans="1:35" s="743" customFormat="1" ht="22.5" customHeight="1">
      <c r="A25" s="462" t="s">
        <v>162</v>
      </c>
      <c r="B25" s="1786">
        <f>ROUND(SUM(B22)+SUM(B23)+SUM(B24),1)</f>
        <v>5.4</v>
      </c>
      <c r="C25" s="730"/>
      <c r="D25" s="1786">
        <f>ROUND(SUM(D22)+SUM(D23)+SUM(D24),1)</f>
        <v>12</v>
      </c>
      <c r="E25" s="730"/>
      <c r="F25" s="1786">
        <f>ROUND(SUM(F22)+SUM(F23)+SUM(F24),1)</f>
        <v>0</v>
      </c>
      <c r="G25" s="1786"/>
      <c r="H25" s="1786">
        <f>ROUND(SUM(H22)+SUM(H23)+SUM(H24),1)</f>
        <v>0</v>
      </c>
      <c r="I25" s="1776"/>
      <c r="J25" s="1786">
        <f>ROUND(SUM(J22)+SUM(J23)+SUM(J24),1)</f>
        <v>0</v>
      </c>
      <c r="K25" s="730"/>
      <c r="L25" s="1786">
        <f>ROUND(SUM(L22)+SUM(L23)+SUM(L24),1)</f>
        <v>0</v>
      </c>
      <c r="M25" s="1776"/>
      <c r="N25" s="1786">
        <f>ROUND(SUM(N22)+SUM(N23)+SUM(N24),1)</f>
        <v>0</v>
      </c>
      <c r="O25" s="1776"/>
      <c r="P25" s="1786">
        <f>ROUND(SUM(P22)+SUM(P23)+SUM(P24),1)</f>
        <v>0</v>
      </c>
      <c r="Q25" s="1776"/>
      <c r="R25" s="1786">
        <f>ROUND(SUM(R22)+SUM(R23)+SUM(R24),1)</f>
        <v>0</v>
      </c>
      <c r="S25" s="1776"/>
      <c r="T25" s="1786">
        <f>ROUND(SUM(T22)+SUM(T23)+SUM(T24),1)</f>
        <v>0</v>
      </c>
      <c r="U25" s="1776"/>
      <c r="V25" s="1786">
        <f>ROUND(SUM(V22)+SUM(V23)+SUM(V24),1)</f>
        <v>0</v>
      </c>
      <c r="W25" s="1776"/>
      <c r="X25" s="1786">
        <f>ROUND(SUM(X22)+SUM(X23)+SUM(X24),1)</f>
        <v>0</v>
      </c>
      <c r="Y25" s="1777"/>
      <c r="Z25" s="1778"/>
      <c r="AA25" s="1807">
        <f>ROUND(SUM(AA22:AA24),1)</f>
        <v>17.399999999999999</v>
      </c>
      <c r="AB25" s="1777"/>
      <c r="AC25" s="1778"/>
      <c r="AD25" s="1807">
        <f>ROUND(SUM(AD22:AD24),1)</f>
        <v>15.8</v>
      </c>
      <c r="AE25" s="2316"/>
      <c r="AF25" s="2267"/>
      <c r="AG25" s="2320">
        <f>ROUND(SUM(AG22:AG24),1)</f>
        <v>1.6</v>
      </c>
      <c r="AH25" s="2291"/>
      <c r="AI25" s="2322">
        <f>ROUND(IF(AG25=0,0,AG25/(AD25)),3)</f>
        <v>0.10100000000000001</v>
      </c>
    </row>
    <row r="26" spans="1:35" s="743" customFormat="1" ht="18.95" customHeight="1">
      <c r="A26" s="352"/>
      <c r="B26" s="729"/>
      <c r="C26" s="443"/>
      <c r="D26" s="729" t="s">
        <v>16</v>
      </c>
      <c r="E26" s="443"/>
      <c r="F26" s="729"/>
      <c r="G26" s="443"/>
      <c r="H26" s="1779"/>
      <c r="I26" s="1771"/>
      <c r="J26" s="1779"/>
      <c r="K26" s="443"/>
      <c r="L26" s="1779"/>
      <c r="M26" s="1771"/>
      <c r="N26" s="1779"/>
      <c r="O26" s="1771"/>
      <c r="P26" s="1779"/>
      <c r="Q26" s="1771"/>
      <c r="R26" s="1779"/>
      <c r="S26" s="1771"/>
      <c r="T26" s="1779"/>
      <c r="U26" s="1771"/>
      <c r="V26" s="1779"/>
      <c r="W26" s="1771"/>
      <c r="X26" s="1779"/>
      <c r="Y26" s="1772"/>
      <c r="Z26" s="1773"/>
      <c r="AA26" s="729"/>
      <c r="AB26" s="1772"/>
      <c r="AC26" s="1770"/>
      <c r="AD26" s="729"/>
      <c r="AE26" s="2289"/>
      <c r="AF26" s="2266"/>
      <c r="AG26" s="2289"/>
      <c r="AH26" s="2274"/>
      <c r="AI26" s="2273"/>
    </row>
    <row r="27" spans="1:35" s="743" customFormat="1" ht="18.95" customHeight="1">
      <c r="A27" s="462" t="s">
        <v>163</v>
      </c>
      <c r="B27" s="443"/>
      <c r="C27" s="443"/>
      <c r="D27" s="450" t="s">
        <v>16</v>
      </c>
      <c r="E27" s="443"/>
      <c r="F27" s="443"/>
      <c r="G27" s="443"/>
      <c r="H27" s="1771"/>
      <c r="I27" s="1771"/>
      <c r="J27" s="1771"/>
      <c r="K27" s="443"/>
      <c r="L27" s="1771"/>
      <c r="M27" s="1771"/>
      <c r="N27" s="1771"/>
      <c r="O27" s="1771"/>
      <c r="P27" s="1771"/>
      <c r="Q27" s="1771"/>
      <c r="R27" s="1771"/>
      <c r="S27" s="1771"/>
      <c r="T27" s="1771"/>
      <c r="U27" s="1771"/>
      <c r="V27" s="1771"/>
      <c r="W27" s="1771"/>
      <c r="X27" s="1771"/>
      <c r="Y27" s="1772"/>
      <c r="Z27" s="1773"/>
      <c r="AA27" s="443"/>
      <c r="AB27" s="1772"/>
      <c r="AC27" s="1771"/>
      <c r="AD27" s="443"/>
      <c r="AE27" s="2312"/>
      <c r="AF27" s="2266"/>
      <c r="AG27" s="2289"/>
      <c r="AH27" s="2274"/>
      <c r="AI27" s="2273"/>
    </row>
    <row r="28" spans="1:35" s="743" customFormat="1" ht="18.75" customHeight="1">
      <c r="A28" s="462" t="s">
        <v>46</v>
      </c>
      <c r="B28" s="1787">
        <f>ROUND(B17-B25,1)</f>
        <v>16.5</v>
      </c>
      <c r="C28" s="730"/>
      <c r="D28" s="1787">
        <f>ROUND(D17-D25,1)</f>
        <v>-7.2</v>
      </c>
      <c r="E28" s="730"/>
      <c r="F28" s="1787">
        <f>ROUND(F17-F25,1)</f>
        <v>0</v>
      </c>
      <c r="G28" s="730"/>
      <c r="H28" s="1787">
        <f>ROUND(H17-H25,1)</f>
        <v>0</v>
      </c>
      <c r="I28" s="733"/>
      <c r="J28" s="1787">
        <f>ROUND(J17-J25,1)</f>
        <v>0</v>
      </c>
      <c r="K28" s="730"/>
      <c r="L28" s="1787">
        <f>ROUND(L17-L25,1)</f>
        <v>0</v>
      </c>
      <c r="M28" s="1776"/>
      <c r="N28" s="1787">
        <f>ROUND(N17-N25,1)</f>
        <v>0</v>
      </c>
      <c r="O28" s="1776"/>
      <c r="P28" s="1787">
        <f>ROUND(P17-P25,1)</f>
        <v>0</v>
      </c>
      <c r="Q28" s="1776"/>
      <c r="R28" s="1787">
        <f>ROUND(R17-R25,1)</f>
        <v>0</v>
      </c>
      <c r="S28" s="1776"/>
      <c r="T28" s="1787">
        <f>ROUND(T17-T25,1)</f>
        <v>0</v>
      </c>
      <c r="U28" s="1776"/>
      <c r="V28" s="1787">
        <f>ROUND(V17-V25,1)</f>
        <v>0</v>
      </c>
      <c r="W28" s="1776"/>
      <c r="X28" s="1787">
        <f>ROUND(X17-X25,1)</f>
        <v>0</v>
      </c>
      <c r="Y28" s="1777"/>
      <c r="Z28" s="1778"/>
      <c r="AA28" s="1788">
        <f>ROUND(AA17-AA25,1)</f>
        <v>9.3000000000000007</v>
      </c>
      <c r="AB28" s="1777"/>
      <c r="AC28" s="1789"/>
      <c r="AD28" s="1788">
        <f>ROUND(AD17-AD25,1)</f>
        <v>3.7</v>
      </c>
      <c r="AE28" s="2317"/>
      <c r="AF28" s="2267"/>
      <c r="AG28" s="2788">
        <f>ROUND(SUM(AA28-AD28),1)</f>
        <v>5.6</v>
      </c>
      <c r="AH28" s="2274"/>
      <c r="AI28" s="3466">
        <f>ROUND(IF(AG28=0,0,AG28/(AD28)),3)</f>
        <v>1.514</v>
      </c>
    </row>
    <row r="29" spans="1:35" s="743" customFormat="1" ht="18.95" customHeight="1">
      <c r="A29" s="352"/>
      <c r="B29" s="450"/>
      <c r="C29" s="443"/>
      <c r="D29" s="450" t="s">
        <v>16</v>
      </c>
      <c r="E29" s="443"/>
      <c r="F29" s="450"/>
      <c r="G29" s="443"/>
      <c r="H29" s="1770"/>
      <c r="I29" s="1771"/>
      <c r="J29" s="1770"/>
      <c r="K29" s="443"/>
      <c r="L29" s="1770"/>
      <c r="M29" s="1771"/>
      <c r="N29" s="1779"/>
      <c r="O29" s="1771"/>
      <c r="P29" s="1770"/>
      <c r="Q29" s="1771"/>
      <c r="R29" s="1779"/>
      <c r="S29" s="1771"/>
      <c r="T29" s="1770"/>
      <c r="U29" s="1771"/>
      <c r="V29" s="1770"/>
      <c r="W29" s="1771"/>
      <c r="X29" s="1779"/>
      <c r="Y29" s="1772"/>
      <c r="Z29" s="1773"/>
      <c r="AA29" s="450"/>
      <c r="AB29" s="1772"/>
      <c r="AC29" s="1770"/>
      <c r="AD29" s="450"/>
      <c r="AE29" s="2289"/>
      <c r="AF29" s="2268"/>
      <c r="AG29" s="2289"/>
      <c r="AH29" s="2274"/>
      <c r="AI29" s="2273"/>
    </row>
    <row r="30" spans="1:35" s="743" customFormat="1" ht="18.95" customHeight="1">
      <c r="A30" s="462" t="s">
        <v>47</v>
      </c>
      <c r="B30" s="443"/>
      <c r="C30" s="443"/>
      <c r="D30" s="443"/>
      <c r="E30" s="443"/>
      <c r="F30" s="443"/>
      <c r="G30" s="443"/>
      <c r="H30" s="1771"/>
      <c r="I30" s="1771"/>
      <c r="J30" s="1771"/>
      <c r="K30" s="443"/>
      <c r="L30" s="1771"/>
      <c r="M30" s="1771"/>
      <c r="N30" s="1771"/>
      <c r="O30" s="1771"/>
      <c r="P30" s="1771"/>
      <c r="Q30" s="1771"/>
      <c r="R30" s="1771"/>
      <c r="S30" s="1771"/>
      <c r="T30" s="1771"/>
      <c r="U30" s="1771"/>
      <c r="V30" s="1771"/>
      <c r="W30" s="1771"/>
      <c r="X30" s="1771"/>
      <c r="Y30" s="1772"/>
      <c r="Z30" s="1773"/>
      <c r="AA30" s="443"/>
      <c r="AB30" s="1772"/>
      <c r="AC30" s="1771"/>
      <c r="AD30" s="443"/>
      <c r="AE30" s="2312"/>
      <c r="AF30" s="2268"/>
      <c r="AG30" s="2289"/>
      <c r="AH30" s="2274"/>
      <c r="AI30" s="2273"/>
    </row>
    <row r="31" spans="1:35" s="743" customFormat="1" ht="18.95" customHeight="1">
      <c r="A31" s="352" t="s">
        <v>188</v>
      </c>
      <c r="B31" s="445">
        <v>0</v>
      </c>
      <c r="C31" s="443"/>
      <c r="D31" s="445">
        <v>0</v>
      </c>
      <c r="E31" s="443"/>
      <c r="F31" s="445"/>
      <c r="G31" s="443"/>
      <c r="H31" s="445"/>
      <c r="I31" s="1771"/>
      <c r="J31" s="445"/>
      <c r="K31" s="443"/>
      <c r="L31" s="445"/>
      <c r="M31" s="1771"/>
      <c r="N31" s="445"/>
      <c r="O31" s="1771"/>
      <c r="P31" s="445"/>
      <c r="Q31" s="1771"/>
      <c r="R31" s="445"/>
      <c r="S31" s="1771"/>
      <c r="T31" s="445"/>
      <c r="U31" s="1771"/>
      <c r="V31" s="445"/>
      <c r="W31" s="1771"/>
      <c r="X31" s="445"/>
      <c r="Y31" s="1772"/>
      <c r="Z31" s="1773"/>
      <c r="AA31" s="1806">
        <f>ROUND(SUM(B31:X31),1)</f>
        <v>0</v>
      </c>
      <c r="AB31" s="1772"/>
      <c r="AC31" s="1771"/>
      <c r="AD31" s="445">
        <v>0</v>
      </c>
      <c r="AE31" s="2313"/>
      <c r="AF31" s="2269"/>
      <c r="AG31" s="2323">
        <f>ROUND(SUM(AA31-AD31),1)</f>
        <v>0</v>
      </c>
      <c r="AH31" s="2294"/>
      <c r="AI31" s="2295">
        <f>ROUND(IF(AG31=0,0,AG31/(AD31)),3)</f>
        <v>0</v>
      </c>
    </row>
    <row r="32" spans="1:35" s="743" customFormat="1" ht="18.95" customHeight="1">
      <c r="A32" s="352" t="s">
        <v>189</v>
      </c>
      <c r="B32" s="445">
        <v>0</v>
      </c>
      <c r="C32" s="443"/>
      <c r="D32" s="445">
        <v>0</v>
      </c>
      <c r="E32" s="443"/>
      <c r="F32" s="445"/>
      <c r="G32" s="443"/>
      <c r="H32" s="445"/>
      <c r="I32" s="1771"/>
      <c r="J32" s="445"/>
      <c r="K32" s="443"/>
      <c r="L32" s="445"/>
      <c r="M32" s="1770"/>
      <c r="N32" s="445"/>
      <c r="O32" s="1770"/>
      <c r="P32" s="445"/>
      <c r="Q32" s="1770"/>
      <c r="R32" s="445"/>
      <c r="S32" s="1770"/>
      <c r="T32" s="445"/>
      <c r="U32" s="1770"/>
      <c r="V32" s="445"/>
      <c r="W32" s="1770"/>
      <c r="X32" s="445"/>
      <c r="Y32" s="1772"/>
      <c r="Z32" s="1773"/>
      <c r="AA32" s="1806">
        <f>ROUND(SUM(B32:X32),1)</f>
        <v>0</v>
      </c>
      <c r="AB32" s="1790"/>
      <c r="AC32" s="1791"/>
      <c r="AD32" s="445">
        <v>0</v>
      </c>
      <c r="AE32" s="2313"/>
      <c r="AF32" s="2268"/>
      <c r="AG32" s="2323">
        <f>ROUND(SUM(AA32-AD32),1)</f>
        <v>0</v>
      </c>
      <c r="AH32" s="2294"/>
      <c r="AI32" s="2295">
        <f>ROUND(IF(AG32=0,0,AG32/(AD32)),3)</f>
        <v>0</v>
      </c>
    </row>
    <row r="33" spans="1:35" s="743" customFormat="1" ht="22.5" customHeight="1">
      <c r="A33" s="462" t="s">
        <v>216</v>
      </c>
      <c r="B33" s="1792">
        <f>ROUND(SUM(B31:B32),1)</f>
        <v>0</v>
      </c>
      <c r="C33" s="730"/>
      <c r="D33" s="1792">
        <f>ROUND(SUM(D31:D32),1)</f>
        <v>0</v>
      </c>
      <c r="E33" s="736"/>
      <c r="F33" s="1792">
        <f>ROUND(SUM(F31:F32),1)</f>
        <v>0</v>
      </c>
      <c r="G33" s="736"/>
      <c r="H33" s="1792">
        <f>ROUND(SUM(H31:H32),1)</f>
        <v>0</v>
      </c>
      <c r="I33" s="1793"/>
      <c r="J33" s="1792">
        <f>ROUND(SUM(J31:J32),1)</f>
        <v>0</v>
      </c>
      <c r="K33" s="736"/>
      <c r="L33" s="1792">
        <f>ROUND(SUM(L31:L32),1)</f>
        <v>0</v>
      </c>
      <c r="M33" s="1793"/>
      <c r="N33" s="1792">
        <f>ROUND(SUM(N31:N32),1)</f>
        <v>0</v>
      </c>
      <c r="O33" s="1793"/>
      <c r="P33" s="1792">
        <f>ROUND(SUM(P31:P32),1)</f>
        <v>0</v>
      </c>
      <c r="Q33" s="1793"/>
      <c r="R33" s="1792">
        <f>ROUND(SUM(R31:R32),1)</f>
        <v>0</v>
      </c>
      <c r="S33" s="1793"/>
      <c r="T33" s="1792">
        <f>ROUND(SUM(T31:T32),1)</f>
        <v>0</v>
      </c>
      <c r="U33" s="1793"/>
      <c r="V33" s="1792">
        <f>ROUND(SUM(V31:V32),1)</f>
        <v>0</v>
      </c>
      <c r="W33" s="1793"/>
      <c r="X33" s="1792">
        <f>ROUND(SUM(X31:X32),1)</f>
        <v>0</v>
      </c>
      <c r="Y33" s="1777"/>
      <c r="Z33" s="1778"/>
      <c r="AA33" s="1811">
        <f>ROUND(SUM(AA31:AA32),1)</f>
        <v>0</v>
      </c>
      <c r="AB33" s="1794"/>
      <c r="AC33" s="1795"/>
      <c r="AD33" s="1811">
        <f>ROUND(SUM(AD31:AD32),1)</f>
        <v>0</v>
      </c>
      <c r="AE33" s="2318"/>
      <c r="AF33" s="2269"/>
      <c r="AG33" s="2320">
        <f>ROUND(SUM(AG31-AG32),1)</f>
        <v>0</v>
      </c>
      <c r="AH33" s="2301"/>
      <c r="AI33" s="2322">
        <f>ROUND(IF(AG33=0,0,AG33/(AD33)),3)</f>
        <v>0</v>
      </c>
    </row>
    <row r="34" spans="1:35" s="743" customFormat="1" ht="18.95" customHeight="1">
      <c r="A34" s="352"/>
      <c r="B34" s="729"/>
      <c r="C34" s="443"/>
      <c r="D34" s="729" t="s">
        <v>16</v>
      </c>
      <c r="E34" s="443"/>
      <c r="F34" s="729"/>
      <c r="G34" s="443"/>
      <c r="H34" s="1779"/>
      <c r="I34" s="1771"/>
      <c r="J34" s="1779"/>
      <c r="K34" s="443"/>
      <c r="L34" s="1779"/>
      <c r="M34" s="1771"/>
      <c r="N34" s="1779"/>
      <c r="O34" s="1771"/>
      <c r="P34" s="1779"/>
      <c r="Q34" s="1771"/>
      <c r="R34" s="1779"/>
      <c r="S34" s="1771"/>
      <c r="T34" s="1779"/>
      <c r="U34" s="1771"/>
      <c r="V34" s="1779"/>
      <c r="W34" s="1771"/>
      <c r="X34" s="1779"/>
      <c r="Y34" s="1772"/>
      <c r="Z34" s="1773"/>
      <c r="AA34" s="729"/>
      <c r="AB34" s="1772"/>
      <c r="AC34" s="1770"/>
      <c r="AD34" s="729"/>
      <c r="AE34" s="2289"/>
      <c r="AF34" s="2266"/>
      <c r="AG34" s="2289"/>
      <c r="AH34" s="2274"/>
      <c r="AI34" s="2273"/>
    </row>
    <row r="35" spans="1:35" s="743" customFormat="1" ht="18.95" customHeight="1">
      <c r="A35" s="462" t="s">
        <v>172</v>
      </c>
      <c r="B35" s="443"/>
      <c r="C35" s="443"/>
      <c r="D35" s="443" t="s">
        <v>16</v>
      </c>
      <c r="E35" s="443"/>
      <c r="F35" s="443"/>
      <c r="G35" s="443"/>
      <c r="H35" s="1771"/>
      <c r="I35" s="1771"/>
      <c r="J35" s="1771"/>
      <c r="K35" s="443"/>
      <c r="L35" s="1771"/>
      <c r="M35" s="1771"/>
      <c r="N35" s="1771"/>
      <c r="O35" s="1771"/>
      <c r="P35" s="1771"/>
      <c r="Q35" s="1771"/>
      <c r="R35" s="1771"/>
      <c r="S35" s="1771"/>
      <c r="T35" s="1771"/>
      <c r="U35" s="1771"/>
      <c r="V35" s="1771"/>
      <c r="W35" s="1771"/>
      <c r="X35" s="1771"/>
      <c r="Y35" s="1772"/>
      <c r="Z35" s="1773"/>
      <c r="AA35" s="443"/>
      <c r="AB35" s="1772"/>
      <c r="AC35" s="1771"/>
      <c r="AD35" s="443"/>
      <c r="AE35" s="2312"/>
      <c r="AF35" s="2266"/>
      <c r="AG35" s="2289"/>
      <c r="AH35" s="2274"/>
      <c r="AI35" s="2273"/>
    </row>
    <row r="36" spans="1:35" s="743" customFormat="1" ht="18.95" customHeight="1">
      <c r="A36" s="462" t="s">
        <v>235</v>
      </c>
      <c r="B36" s="443"/>
      <c r="C36" s="443"/>
      <c r="D36" s="443"/>
      <c r="E36" s="443"/>
      <c r="F36" s="443"/>
      <c r="G36" s="443"/>
      <c r="H36" s="1771"/>
      <c r="I36" s="1771"/>
      <c r="J36" s="1771"/>
      <c r="K36" s="443"/>
      <c r="L36" s="1771"/>
      <c r="M36" s="1771"/>
      <c r="N36" s="1771"/>
      <c r="O36" s="1771"/>
      <c r="P36" s="1771"/>
      <c r="Q36" s="1771"/>
      <c r="R36" s="1771"/>
      <c r="S36" s="1771"/>
      <c r="T36" s="1804"/>
      <c r="U36" s="1771"/>
      <c r="V36" s="1771"/>
      <c r="W36" s="1771"/>
      <c r="X36" s="1771"/>
      <c r="Y36" s="1772"/>
      <c r="Z36" s="1773"/>
      <c r="AA36" s="443"/>
      <c r="AB36" s="1772"/>
      <c r="AC36" s="1771"/>
      <c r="AD36" s="736"/>
      <c r="AE36" s="2319"/>
      <c r="AF36" s="2270"/>
      <c r="AG36" s="2289"/>
      <c r="AH36" s="2274"/>
      <c r="AI36" s="2273"/>
    </row>
    <row r="37" spans="1:35" s="745" customFormat="1" ht="18.95" customHeight="1">
      <c r="A37" s="462" t="s">
        <v>1195</v>
      </c>
      <c r="B37" s="1786">
        <f>ROUND(+B28+B33,1)</f>
        <v>16.5</v>
      </c>
      <c r="C37" s="730"/>
      <c r="D37" s="1786">
        <f>ROUND(+D28+D33,1)</f>
        <v>-7.2</v>
      </c>
      <c r="E37" s="736"/>
      <c r="F37" s="1786">
        <f>ROUND(+F28+F33,1)</f>
        <v>0</v>
      </c>
      <c r="G37" s="736"/>
      <c r="H37" s="1786">
        <f>ROUND(+H28+H33,1)</f>
        <v>0</v>
      </c>
      <c r="I37" s="1793"/>
      <c r="J37" s="1786">
        <f>ROUND(+J28+J33,1)</f>
        <v>0</v>
      </c>
      <c r="K37" s="736"/>
      <c r="L37" s="1786">
        <f>ROUND(+L28+L33,1)</f>
        <v>0</v>
      </c>
      <c r="M37" s="1796"/>
      <c r="N37" s="1786">
        <f>ROUND(+N28+N33,1)</f>
        <v>0</v>
      </c>
      <c r="O37" s="1796"/>
      <c r="P37" s="1786">
        <f>ROUND(+P28+P33,1)</f>
        <v>0</v>
      </c>
      <c r="Q37" s="1796"/>
      <c r="R37" s="1786">
        <f>ROUND(+R28+R33,1)</f>
        <v>0</v>
      </c>
      <c r="S37" s="1793"/>
      <c r="T37" s="1786">
        <f>ROUND(+T28+T33,1)</f>
        <v>0</v>
      </c>
      <c r="U37" s="1793"/>
      <c r="V37" s="1786">
        <f>ROUND(+V28+V33,1)</f>
        <v>0</v>
      </c>
      <c r="W37" s="1793"/>
      <c r="X37" s="1786">
        <f>ROUND(+X28+X33,1)</f>
        <v>0</v>
      </c>
      <c r="Y37" s="1777"/>
      <c r="Z37" s="1778"/>
      <c r="AA37" s="1796">
        <f>ROUND(AA28+AA33,1)</f>
        <v>9.3000000000000007</v>
      </c>
      <c r="AB37" s="733"/>
      <c r="AC37" s="1797"/>
      <c r="AD37" s="1796">
        <f>ROUND(AD28+AD33,1)</f>
        <v>3.7</v>
      </c>
      <c r="AE37" s="2317"/>
      <c r="AF37" s="2271"/>
      <c r="AG37" s="2788">
        <f>ROUND(SUM(AA37-AD37),1)</f>
        <v>5.6</v>
      </c>
      <c r="AH37" s="2274"/>
      <c r="AI37" s="3466">
        <f>ROUND(IF(AG37=0,0,AG37/(AD37)),3)</f>
        <v>1.514</v>
      </c>
    </row>
    <row r="38" spans="1:35" s="743" customFormat="1" ht="22.5" customHeight="1" thickBot="1">
      <c r="A38" s="462" t="s">
        <v>146</v>
      </c>
      <c r="B38" s="1798">
        <f>ROUND(B13+B37,1)</f>
        <v>-0.4</v>
      </c>
      <c r="C38" s="718"/>
      <c r="D38" s="1798">
        <f>ROUND(D13+D37,1)</f>
        <v>-7.6</v>
      </c>
      <c r="E38" s="718"/>
      <c r="F38" s="1798">
        <f>ROUND(F13+F37,1)</f>
        <v>0</v>
      </c>
      <c r="G38" s="718"/>
      <c r="H38" s="1798">
        <f>ROUND(H13+H37,1)</f>
        <v>0</v>
      </c>
      <c r="I38" s="1799"/>
      <c r="J38" s="1798">
        <f>ROUND(J13+J37,1)</f>
        <v>0</v>
      </c>
      <c r="K38" s="718"/>
      <c r="L38" s="1798">
        <f>ROUND(L13+L37,1)</f>
        <v>0</v>
      </c>
      <c r="M38" s="721"/>
      <c r="N38" s="1798">
        <f>ROUND(N13+N37,1)</f>
        <v>0</v>
      </c>
      <c r="O38" s="721"/>
      <c r="P38" s="1798">
        <f>ROUND(P13+P37,1)</f>
        <v>0</v>
      </c>
      <c r="Q38" s="721"/>
      <c r="R38" s="1798">
        <f>ROUND(R13+R37,1)</f>
        <v>0</v>
      </c>
      <c r="S38" s="1799"/>
      <c r="T38" s="1798">
        <f>ROUND(T13+T37,1)</f>
        <v>0</v>
      </c>
      <c r="U38" s="1799"/>
      <c r="V38" s="1798">
        <f>ROUND(V13+V37,1)</f>
        <v>0</v>
      </c>
      <c r="W38" s="1799"/>
      <c r="X38" s="1798">
        <f>ROUND(X13+X37,1)</f>
        <v>0</v>
      </c>
      <c r="Y38" s="1760"/>
      <c r="Z38" s="1761"/>
      <c r="AA38" s="1798">
        <f>ROUND(SUM(AA13,AA37),1)</f>
        <v>-7.6</v>
      </c>
      <c r="AB38" s="721"/>
      <c r="AC38" s="1800"/>
      <c r="AD38" s="1848">
        <f>ROUND(SUM(AD13,AD37),1)</f>
        <v>-0.2</v>
      </c>
      <c r="AE38" s="2281"/>
      <c r="AF38" s="2272"/>
      <c r="AG38" s="2324">
        <f>ROUND(SUM(AA38-AD38),1)</f>
        <v>-7.4</v>
      </c>
      <c r="AH38" s="2300"/>
      <c r="AI38" s="2906">
        <f>-ROUND(IF(AG38=0,0,AG38/(AD38)),3)</f>
        <v>-37</v>
      </c>
    </row>
    <row r="39" spans="1:35" s="743" customFormat="1" ht="18.95" customHeight="1" thickTop="1">
      <c r="A39" s="352" t="s">
        <v>16</v>
      </c>
      <c r="B39" s="1801"/>
      <c r="C39" s="1802"/>
      <c r="D39" s="1801"/>
      <c r="E39" s="1802"/>
      <c r="F39" s="1801"/>
      <c r="G39" s="1802"/>
      <c r="H39" s="1801"/>
      <c r="I39" s="1802"/>
      <c r="J39" s="1801"/>
      <c r="K39" s="1802"/>
      <c r="L39" s="1801"/>
      <c r="M39" s="1802"/>
      <c r="N39" s="1801"/>
      <c r="O39" s="1802"/>
      <c r="P39" s="1801"/>
      <c r="Q39" s="1802"/>
      <c r="R39" s="1801"/>
      <c r="S39" s="1802"/>
      <c r="T39" s="1801"/>
      <c r="U39" s="1802"/>
      <c r="V39" s="1801"/>
      <c r="W39" s="1802"/>
      <c r="X39" s="1801"/>
      <c r="Y39" s="1802"/>
      <c r="Z39" s="1802"/>
      <c r="AA39" s="1801"/>
      <c r="AB39" s="1803"/>
      <c r="AC39" s="1803"/>
      <c r="AD39" s="1803"/>
      <c r="AE39" s="2298"/>
      <c r="AF39" s="2298"/>
      <c r="AG39" s="2283"/>
      <c r="AH39" s="2274"/>
      <c r="AI39" s="2273"/>
    </row>
    <row r="40" spans="1:35" s="743" customFormat="1" ht="18.95" customHeight="1">
      <c r="B40" s="1273"/>
      <c r="C40" s="1721"/>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803"/>
      <c r="AA40" s="1803"/>
      <c r="AB40" s="1803"/>
      <c r="AC40" s="1803"/>
      <c r="AD40" s="1803"/>
      <c r="AE40" s="2298"/>
      <c r="AF40" s="2298"/>
      <c r="AG40" s="2283"/>
      <c r="AH40" s="2274"/>
      <c r="AI40" s="2273"/>
    </row>
    <row r="41" spans="1:35" ht="15.75" customHeight="1">
      <c r="A41" s="747"/>
      <c r="B41" s="1721"/>
      <c r="C41" s="1721"/>
      <c r="D41" s="1721"/>
      <c r="E41" s="1721"/>
      <c r="F41" s="1721"/>
      <c r="G41" s="1721"/>
      <c r="H41" s="1721"/>
      <c r="I41" s="1721"/>
      <c r="J41" s="1721"/>
      <c r="K41" s="1721"/>
      <c r="L41" s="1721"/>
      <c r="M41" s="1721"/>
      <c r="N41" s="1721"/>
      <c r="O41" s="1721"/>
      <c r="P41" s="1721"/>
      <c r="Q41" s="1721"/>
      <c r="R41" s="1721"/>
      <c r="S41" s="1721"/>
      <c r="T41" s="1721"/>
      <c r="U41" s="1721"/>
      <c r="V41" s="1721"/>
      <c r="W41" s="1721"/>
      <c r="X41" s="1721"/>
      <c r="Y41" s="1721"/>
      <c r="Z41" s="1721"/>
      <c r="AA41" s="368"/>
      <c r="AB41" s="368"/>
      <c r="AC41" s="368"/>
      <c r="AD41" s="1802"/>
      <c r="AE41" s="2276"/>
      <c r="AF41" s="2276"/>
      <c r="AG41" s="2283"/>
    </row>
    <row r="42" spans="1: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row>
    <row r="43" spans="1:35" ht="13.5" customHeight="1">
      <c r="A43" s="1365"/>
      <c r="B43" s="1721"/>
      <c r="C43" s="1721"/>
      <c r="D43" s="1721"/>
      <c r="E43" s="1721"/>
      <c r="F43" s="1721"/>
      <c r="G43" s="1721"/>
      <c r="H43" s="1721"/>
      <c r="I43" s="1721"/>
      <c r="J43" s="1721"/>
      <c r="K43" s="1721"/>
      <c r="L43" s="1721"/>
      <c r="M43" s="1721"/>
      <c r="N43" s="1721"/>
      <c r="O43" s="1721"/>
      <c r="P43" s="1721"/>
      <c r="Q43" s="1721"/>
      <c r="R43" s="1721"/>
      <c r="S43" s="1721"/>
      <c r="T43" s="1721"/>
      <c r="U43" s="1721"/>
      <c r="V43" s="1721"/>
      <c r="W43" s="1721"/>
      <c r="X43" s="1721"/>
      <c r="Y43" s="1721"/>
      <c r="Z43" s="1721"/>
      <c r="AA43" s="368"/>
      <c r="AB43" s="368"/>
      <c r="AC43" s="368"/>
      <c r="AD43" s="1802"/>
      <c r="AE43" s="2276"/>
      <c r="AF43" s="2276"/>
      <c r="AG43" s="2283"/>
    </row>
    <row r="44" spans="1:35">
      <c r="A44" s="1365"/>
      <c r="B44" s="1721"/>
      <c r="C44" s="1721"/>
      <c r="D44" s="1721"/>
      <c r="E44" s="1721"/>
      <c r="F44" s="1721"/>
      <c r="G44" s="1721"/>
      <c r="H44" s="1721"/>
      <c r="I44" s="1721"/>
      <c r="J44" s="1721"/>
      <c r="K44" s="1721"/>
      <c r="L44" s="1721"/>
      <c r="M44" s="1721"/>
      <c r="N44" s="1721"/>
      <c r="O44" s="1721"/>
      <c r="P44" s="1721"/>
      <c r="Q44" s="1721"/>
      <c r="R44" s="1721"/>
      <c r="S44" s="1721"/>
      <c r="T44" s="1721"/>
      <c r="U44" s="1721"/>
      <c r="V44" s="1721"/>
      <c r="W44" s="1721"/>
      <c r="X44" s="1721"/>
      <c r="Y44" s="1721"/>
      <c r="Z44" s="1721"/>
      <c r="AA44" s="368"/>
      <c r="AB44" s="368"/>
      <c r="AC44" s="368"/>
      <c r="AD44" s="1802"/>
      <c r="AE44" s="2276"/>
      <c r="AF44" s="2276"/>
      <c r="AG44" s="2283"/>
    </row>
    <row r="45" spans="1:35">
      <c r="A45" s="1365"/>
      <c r="B45" s="1721"/>
      <c r="C45" s="1721"/>
      <c r="D45" s="1721"/>
      <c r="E45" s="1721"/>
      <c r="F45" s="1721"/>
      <c r="G45" s="1721"/>
      <c r="H45" s="1721"/>
      <c r="I45" s="1721"/>
      <c r="J45" s="1721"/>
      <c r="K45" s="1721"/>
      <c r="L45" s="1721"/>
      <c r="M45" s="1721"/>
      <c r="N45" s="1721"/>
      <c r="O45" s="1721"/>
      <c r="P45" s="1721"/>
      <c r="Q45" s="1721"/>
      <c r="R45" s="1721"/>
      <c r="S45" s="1721"/>
      <c r="T45" s="1721"/>
      <c r="U45" s="1721"/>
      <c r="V45" s="1721"/>
      <c r="W45" s="1721"/>
      <c r="X45" s="1721"/>
      <c r="Y45" s="1721"/>
      <c r="Z45" s="1721"/>
      <c r="AA45" s="368"/>
      <c r="AB45" s="368"/>
      <c r="AC45" s="368"/>
      <c r="AD45" s="1802"/>
      <c r="AE45" s="2276"/>
      <c r="AF45" s="2276"/>
    </row>
    <row r="46" spans="1:35">
      <c r="A46" s="1365"/>
      <c r="B46" s="1721"/>
      <c r="C46" s="1721"/>
      <c r="D46" s="1721"/>
      <c r="E46" s="1721"/>
      <c r="F46" s="1721"/>
      <c r="G46" s="1721"/>
      <c r="H46" s="1721"/>
      <c r="I46" s="1721"/>
      <c r="J46" s="1721"/>
      <c r="K46" s="1721"/>
      <c r="L46" s="1721"/>
      <c r="M46" s="1721"/>
      <c r="N46" s="1721"/>
      <c r="O46" s="1721"/>
      <c r="P46" s="1721"/>
      <c r="Q46" s="1721"/>
      <c r="R46" s="1721"/>
      <c r="S46" s="1721"/>
      <c r="T46" s="1721"/>
      <c r="U46" s="1721"/>
      <c r="V46" s="1721"/>
      <c r="W46" s="1721"/>
      <c r="X46" s="1721"/>
      <c r="Y46" s="1721"/>
      <c r="Z46" s="1721"/>
      <c r="AA46" s="368"/>
      <c r="AB46" s="368"/>
      <c r="AC46" s="368"/>
      <c r="AD46" s="1802"/>
      <c r="AE46" s="2276"/>
      <c r="AF46" s="2276"/>
    </row>
    <row r="47" spans="1:35">
      <c r="A47" s="1365"/>
      <c r="B47" s="1365"/>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77734375" style="741" bestFit="1" customWidth="1"/>
    <col min="13" max="13" width="1.6640625" style="741" customWidth="1"/>
    <col min="14" max="14" width="11.88671875"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664062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741" customWidth="1"/>
    <col min="31" max="31" width="1.77734375" style="741" customWidth="1"/>
    <col min="32" max="32" width="2.44140625" style="741" customWidth="1"/>
    <col min="33" max="33" width="10.33203125" style="749" bestFit="1" customWidth="1"/>
    <col min="34" max="34" width="1.6640625" style="749" customWidth="1"/>
    <col min="35" max="35" width="11.109375" style="741" customWidth="1"/>
    <col min="36" max="16384" width="8.88671875" style="741"/>
  </cols>
  <sheetData>
    <row r="1" spans="1:35" ht="15">
      <c r="A1" s="1190" t="s">
        <v>1231</v>
      </c>
    </row>
    <row r="2" spans="1:35" ht="15">
      <c r="A2" s="1738"/>
    </row>
    <row r="3" spans="1:35" ht="20.25" customHeight="1">
      <c r="A3" s="1747"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8"/>
      <c r="AI3" s="1746" t="s">
        <v>237</v>
      </c>
    </row>
    <row r="4" spans="1:35" ht="20.25" customHeight="1">
      <c r="A4" s="1749" t="s">
        <v>236</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8"/>
    </row>
    <row r="5" spans="1:35" ht="20.25" customHeight="1">
      <c r="A5" s="1749"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1746"/>
      <c r="AG5" s="748"/>
    </row>
    <row r="6" spans="1:35" ht="20.25" customHeight="1">
      <c r="A6" s="1749" t="s">
        <v>1547</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8"/>
    </row>
    <row r="7" spans="1:35" ht="20.25" customHeight="1">
      <c r="A7" s="1747" t="s">
        <v>1116</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73"/>
      <c r="AB7" s="2273"/>
      <c r="AC7" s="2273"/>
      <c r="AD7" s="2273"/>
      <c r="AE7" s="2273"/>
      <c r="AF7" s="2273"/>
      <c r="AG7" s="2274"/>
      <c r="AH7" s="2274"/>
      <c r="AI7" s="2273"/>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73"/>
      <c r="AB8" s="2273"/>
      <c r="AC8" s="2273"/>
      <c r="AD8" s="2273"/>
      <c r="AE8" s="2273"/>
      <c r="AF8" s="2273"/>
      <c r="AG8" s="2274"/>
      <c r="AH8" s="2274"/>
      <c r="AI8" s="2273"/>
    </row>
    <row r="9" spans="1:35" s="743" customFormat="1" ht="18.95"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73"/>
      <c r="AB9" s="2273"/>
      <c r="AC9" s="3530"/>
      <c r="AD9" s="3531"/>
      <c r="AE9" s="3531"/>
      <c r="AF9" s="3531"/>
      <c r="AG9" s="3531"/>
      <c r="AH9" s="3531"/>
      <c r="AI9" s="3531"/>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50"/>
      <c r="W10" s="1751"/>
      <c r="X10" s="1752"/>
      <c r="Y10" s="1753"/>
      <c r="AA10" s="3529" t="s">
        <v>1593</v>
      </c>
      <c r="AB10" s="3532"/>
      <c r="AC10" s="3532"/>
      <c r="AD10" s="3532"/>
      <c r="AE10" s="3532"/>
      <c r="AF10" s="3532"/>
      <c r="AG10" s="3532"/>
      <c r="AH10" s="3532"/>
      <c r="AI10" s="3532"/>
    </row>
    <row r="11" spans="1:35" s="743" customFormat="1" ht="18.95" customHeight="1">
      <c r="A11" s="352"/>
      <c r="B11" s="1563" t="s">
        <v>1092</v>
      </c>
      <c r="C11" s="462"/>
      <c r="D11" s="462"/>
      <c r="E11" s="462"/>
      <c r="F11" s="462"/>
      <c r="G11" s="462"/>
      <c r="H11" s="462"/>
      <c r="I11" s="462"/>
      <c r="J11" s="462"/>
      <c r="K11" s="462"/>
      <c r="L11" s="462"/>
      <c r="M11" s="462"/>
      <c r="N11" s="462"/>
      <c r="O11" s="462"/>
      <c r="P11" s="462"/>
      <c r="Q11" s="462"/>
      <c r="R11" s="462"/>
      <c r="S11" s="462"/>
      <c r="T11" s="1563" t="s">
        <v>1542</v>
      </c>
      <c r="U11" s="462"/>
      <c r="V11" s="462"/>
      <c r="W11" s="462"/>
      <c r="X11" s="462"/>
      <c r="Y11" s="462"/>
      <c r="Z11" s="1564"/>
      <c r="AA11" s="2263"/>
      <c r="AB11" s="2263"/>
      <c r="AC11" s="2263"/>
      <c r="AD11" s="2307"/>
      <c r="AE11" s="2307"/>
      <c r="AF11" s="2263"/>
      <c r="AG11" s="2277" t="s">
        <v>8</v>
      </c>
      <c r="AH11" s="2277"/>
      <c r="AI11" s="2278" t="s">
        <v>9</v>
      </c>
    </row>
    <row r="12" spans="1:35" s="743" customFormat="1" ht="18.95" customHeight="1">
      <c r="A12" s="352"/>
      <c r="B12" s="1565" t="s">
        <v>129</v>
      </c>
      <c r="C12" s="462"/>
      <c r="D12" s="1754" t="s">
        <v>130</v>
      </c>
      <c r="E12" s="462"/>
      <c r="F12" s="1754" t="s">
        <v>131</v>
      </c>
      <c r="G12" s="462"/>
      <c r="H12" s="1754" t="s">
        <v>132</v>
      </c>
      <c r="I12" s="462"/>
      <c r="J12" s="1755" t="s">
        <v>234</v>
      </c>
      <c r="K12" s="462"/>
      <c r="L12" s="1755" t="s">
        <v>148</v>
      </c>
      <c r="M12" s="462"/>
      <c r="N12" s="1755" t="s">
        <v>149</v>
      </c>
      <c r="O12" s="462"/>
      <c r="P12" s="1754" t="s">
        <v>136</v>
      </c>
      <c r="Q12" s="462"/>
      <c r="R12" s="1754" t="s">
        <v>137</v>
      </c>
      <c r="S12" s="462"/>
      <c r="T12" s="1755" t="s">
        <v>138</v>
      </c>
      <c r="U12" s="462"/>
      <c r="V12" s="1754" t="s">
        <v>139</v>
      </c>
      <c r="W12" s="462"/>
      <c r="X12" s="1755" t="s">
        <v>192</v>
      </c>
      <c r="Y12" s="462"/>
      <c r="Z12" s="462"/>
      <c r="AA12" s="2328">
        <v>2015</v>
      </c>
      <c r="AB12" s="2328"/>
      <c r="AC12" s="2301"/>
      <c r="AD12" s="2329">
        <v>2014</v>
      </c>
      <c r="AE12" s="2301"/>
      <c r="AF12" s="2301"/>
      <c r="AG12" s="2279" t="s">
        <v>13</v>
      </c>
      <c r="AH12" s="2280"/>
      <c r="AI12" s="2279" t="s">
        <v>14</v>
      </c>
    </row>
    <row r="13" spans="1:35" s="743" customFormat="1" ht="18.95" customHeight="1">
      <c r="A13" s="462" t="s">
        <v>141</v>
      </c>
      <c r="B13" s="1759">
        <v>11.5</v>
      </c>
      <c r="C13" s="718"/>
      <c r="D13" s="1759">
        <f>+B38</f>
        <v>11.2</v>
      </c>
      <c r="E13" s="718"/>
      <c r="F13" s="1759"/>
      <c r="G13" s="718"/>
      <c r="H13" s="1759"/>
      <c r="I13" s="1799"/>
      <c r="J13" s="1759"/>
      <c r="K13" s="718"/>
      <c r="L13" s="1759"/>
      <c r="M13" s="1799"/>
      <c r="N13" s="1759"/>
      <c r="O13" s="1799"/>
      <c r="P13" s="1759"/>
      <c r="Q13" s="1799"/>
      <c r="R13" s="1759"/>
      <c r="S13" s="1799"/>
      <c r="T13" s="1759"/>
      <c r="U13" s="1799"/>
      <c r="V13" s="1759"/>
      <c r="W13" s="1799"/>
      <c r="X13" s="1759"/>
      <c r="Y13" s="1760"/>
      <c r="Z13" s="1761"/>
      <c r="AA13" s="2330">
        <f>+B13</f>
        <v>11.5</v>
      </c>
      <c r="AB13" s="2331"/>
      <c r="AC13" s="2332"/>
      <c r="AD13" s="2330">
        <v>10.9</v>
      </c>
      <c r="AE13" s="2308"/>
      <c r="AF13" s="2304"/>
      <c r="AG13" s="2281">
        <f>ROUND(SUM(AA13-AD13),1)</f>
        <v>0.6</v>
      </c>
      <c r="AH13" s="2274"/>
      <c r="AI13" s="2282">
        <f>ROUND(IF(AG13=0,0,AG13/(AD13)),3)</f>
        <v>5.5E-2</v>
      </c>
    </row>
    <row r="14" spans="1:35" s="743" customFormat="1" ht="18.95" customHeight="1">
      <c r="A14" s="352"/>
      <c r="B14" s="722"/>
      <c r="C14" s="722"/>
      <c r="D14" s="722"/>
      <c r="E14" s="722"/>
      <c r="F14" s="722"/>
      <c r="G14" s="722"/>
      <c r="H14" s="1767"/>
      <c r="I14" s="1767"/>
      <c r="J14" s="1767"/>
      <c r="K14" s="722"/>
      <c r="L14" s="1767"/>
      <c r="M14" s="1767"/>
      <c r="N14" s="1767"/>
      <c r="O14" s="1767"/>
      <c r="P14" s="1767"/>
      <c r="Q14" s="1767"/>
      <c r="R14" s="1767"/>
      <c r="S14" s="1767"/>
      <c r="T14" s="1767"/>
      <c r="U14" s="1767"/>
      <c r="V14" s="1767"/>
      <c r="W14" s="1767"/>
      <c r="X14" s="1767"/>
      <c r="Y14" s="1765"/>
      <c r="Z14" s="1766"/>
      <c r="AA14" s="2309"/>
      <c r="AB14" s="2333"/>
      <c r="AC14" s="2334"/>
      <c r="AD14" s="2309"/>
      <c r="AE14" s="2309"/>
      <c r="AF14" s="2305"/>
      <c r="AG14" s="2283"/>
      <c r="AH14" s="2274"/>
      <c r="AI14" s="2273"/>
    </row>
    <row r="15" spans="1:35" s="743" customFormat="1" ht="18.95" customHeight="1">
      <c r="A15" s="462" t="s">
        <v>15</v>
      </c>
      <c r="B15" s="722"/>
      <c r="C15" s="722"/>
      <c r="D15" s="722"/>
      <c r="E15" s="722"/>
      <c r="F15" s="722"/>
      <c r="G15" s="722"/>
      <c r="H15" s="1767"/>
      <c r="I15" s="1767"/>
      <c r="J15" s="1767"/>
      <c r="K15" s="722"/>
      <c r="L15" s="1767"/>
      <c r="M15" s="1767"/>
      <c r="N15" s="1767"/>
      <c r="O15" s="1767"/>
      <c r="P15" s="1767"/>
      <c r="Q15" s="1767"/>
      <c r="R15" s="1767"/>
      <c r="S15" s="1767"/>
      <c r="T15" s="1767"/>
      <c r="U15" s="1767"/>
      <c r="V15" s="1767"/>
      <c r="W15" s="1767"/>
      <c r="X15" s="1767"/>
      <c r="Y15" s="1765"/>
      <c r="Z15" s="1766"/>
      <c r="AA15" s="2309"/>
      <c r="AB15" s="2333"/>
      <c r="AC15" s="2334"/>
      <c r="AD15" s="2309"/>
      <c r="AE15" s="2309"/>
      <c r="AF15" s="2305"/>
      <c r="AG15" s="2283"/>
      <c r="AH15" s="2274"/>
      <c r="AI15" s="2273"/>
    </row>
    <row r="16" spans="1:35" s="743" customFormat="1" ht="18.95" customHeight="1">
      <c r="A16" s="1768" t="s">
        <v>185</v>
      </c>
      <c r="B16" s="1769">
        <v>-0.3</v>
      </c>
      <c r="C16" s="443"/>
      <c r="D16" s="1769">
        <v>0</v>
      </c>
      <c r="E16" s="443"/>
      <c r="F16" s="699"/>
      <c r="G16" s="443"/>
      <c r="H16" s="699"/>
      <c r="I16" s="1770"/>
      <c r="J16" s="699"/>
      <c r="K16" s="443"/>
      <c r="L16" s="1785"/>
      <c r="M16" s="1771"/>
      <c r="N16" s="699"/>
      <c r="O16" s="1771"/>
      <c r="P16" s="1769"/>
      <c r="Q16" s="1771"/>
      <c r="R16" s="1785"/>
      <c r="S16" s="1771"/>
      <c r="T16" s="699"/>
      <c r="U16" s="1771"/>
      <c r="V16" s="1785"/>
      <c r="W16" s="1771"/>
      <c r="X16" s="699"/>
      <c r="Y16" s="1772"/>
      <c r="Z16" s="1773"/>
      <c r="AA16" s="2335">
        <f>ROUND(SUM(B16:X16),1)</f>
        <v>-0.3</v>
      </c>
      <c r="AB16" s="2336"/>
      <c r="AC16" s="2337"/>
      <c r="AD16" s="2338">
        <v>0.2</v>
      </c>
      <c r="AE16" s="2310"/>
      <c r="AF16" s="2266"/>
      <c r="AG16" s="2323">
        <f>ROUND(SUM(AA16-AD16),1)</f>
        <v>-0.5</v>
      </c>
      <c r="AH16" s="2274"/>
      <c r="AI16" s="2295">
        <f>ROUND(IF(AG16=0,0,AG16/(AD16)),3)</f>
        <v>-2.5</v>
      </c>
    </row>
    <row r="17" spans="1:35" s="743" customFormat="1" ht="24" customHeight="1">
      <c r="A17" s="462" t="s">
        <v>156</v>
      </c>
      <c r="B17" s="1786">
        <f>ROUND(SUM(B16),1)</f>
        <v>-0.3</v>
      </c>
      <c r="C17" s="730"/>
      <c r="D17" s="1786">
        <f>ROUND(SUM(D16),1)</f>
        <v>0</v>
      </c>
      <c r="E17" s="730"/>
      <c r="F17" s="1786">
        <f>ROUND(SUM(F16),1)</f>
        <v>0</v>
      </c>
      <c r="G17" s="730"/>
      <c r="H17" s="1786">
        <f>ROUND(SUM(H16),1)</f>
        <v>0</v>
      </c>
      <c r="I17" s="1775"/>
      <c r="J17" s="1786">
        <f>ROUND(SUM(J16),1)</f>
        <v>0</v>
      </c>
      <c r="K17" s="730"/>
      <c r="L17" s="1786">
        <f>ROUND(SUM(L16),1)</f>
        <v>0</v>
      </c>
      <c r="M17" s="1776"/>
      <c r="N17" s="1786">
        <f>ROUND(SUM(N16),1)</f>
        <v>0</v>
      </c>
      <c r="O17" s="1776"/>
      <c r="P17" s="1786">
        <f>ROUND(SUM(P16),1)</f>
        <v>0</v>
      </c>
      <c r="Q17" s="1776"/>
      <c r="R17" s="1786">
        <f>ROUND(SUM(R16),1)</f>
        <v>0</v>
      </c>
      <c r="S17" s="1776"/>
      <c r="T17" s="1786">
        <f>ROUND(SUM(T16),1)</f>
        <v>0</v>
      </c>
      <c r="U17" s="1776"/>
      <c r="V17" s="1786">
        <f>ROUND(SUM(V16),1)</f>
        <v>0</v>
      </c>
      <c r="W17" s="1776"/>
      <c r="X17" s="1786">
        <f>ROUND(SUM(X16),1)</f>
        <v>0</v>
      </c>
      <c r="Y17" s="1777"/>
      <c r="Z17" s="1778"/>
      <c r="AA17" s="2311">
        <f>ROUND(SUM(AA16),1)</f>
        <v>-0.3</v>
      </c>
      <c r="AB17" s="2339"/>
      <c r="AC17" s="2340"/>
      <c r="AD17" s="2311">
        <f>ROUND(SUM(AD16),1)</f>
        <v>0.2</v>
      </c>
      <c r="AE17" s="2311"/>
      <c r="AF17" s="2266"/>
      <c r="AG17" s="2320">
        <f>ROUND(SUM(AG16),1)</f>
        <v>-0.5</v>
      </c>
      <c r="AH17" s="2321"/>
      <c r="AI17" s="2322">
        <f>ROUND(IF(AG17=0,0,AG17/(AD17)),3)</f>
        <v>-2.5</v>
      </c>
    </row>
    <row r="18" spans="1:35" s="743" customFormat="1" ht="18.95" customHeight="1">
      <c r="A18" s="352"/>
      <c r="B18" s="729"/>
      <c r="C18" s="443"/>
      <c r="D18" s="729" t="s">
        <v>16</v>
      </c>
      <c r="E18" s="443"/>
      <c r="F18" s="729"/>
      <c r="G18" s="443"/>
      <c r="H18" s="1779"/>
      <c r="I18" s="1771"/>
      <c r="J18" s="1779"/>
      <c r="K18" s="443"/>
      <c r="L18" s="1780"/>
      <c r="M18" s="1771"/>
      <c r="N18" s="1779"/>
      <c r="O18" s="1771"/>
      <c r="P18" s="1779"/>
      <c r="Q18" s="1771"/>
      <c r="R18" s="1779"/>
      <c r="S18" s="1771"/>
      <c r="T18" s="1779"/>
      <c r="U18" s="1771"/>
      <c r="V18" s="1779"/>
      <c r="W18" s="1771"/>
      <c r="X18" s="1779"/>
      <c r="Y18" s="1772"/>
      <c r="Z18" s="1773"/>
      <c r="AA18" s="2341"/>
      <c r="AB18" s="2336"/>
      <c r="AC18" s="2342"/>
      <c r="AD18" s="2341"/>
      <c r="AE18" s="2289"/>
      <c r="AF18" s="2266"/>
      <c r="AG18" s="2289"/>
      <c r="AH18" s="2274"/>
      <c r="AI18" s="2273"/>
    </row>
    <row r="19" spans="1:35" s="743" customFormat="1" ht="18.95" customHeight="1">
      <c r="A19" s="352"/>
      <c r="B19" s="443"/>
      <c r="C19" s="443"/>
      <c r="D19" s="443" t="s">
        <v>16</v>
      </c>
      <c r="E19" s="443"/>
      <c r="F19" s="443"/>
      <c r="G19" s="443"/>
      <c r="H19" s="1771"/>
      <c r="I19" s="1771"/>
      <c r="J19" s="1771"/>
      <c r="K19" s="443"/>
      <c r="L19" s="1781"/>
      <c r="M19" s="1771"/>
      <c r="N19" s="1771"/>
      <c r="O19" s="1771"/>
      <c r="P19" s="1771"/>
      <c r="Q19" s="1771"/>
      <c r="R19" s="1771"/>
      <c r="S19" s="1771"/>
      <c r="T19" s="1771"/>
      <c r="U19" s="1771"/>
      <c r="V19" s="1771"/>
      <c r="W19" s="1771"/>
      <c r="X19" s="1771"/>
      <c r="Y19" s="1772"/>
      <c r="Z19" s="1773"/>
      <c r="AA19" s="2312"/>
      <c r="AB19" s="2336"/>
      <c r="AC19" s="2337"/>
      <c r="AD19" s="2312"/>
      <c r="AE19" s="2312"/>
      <c r="AF19" s="2266"/>
      <c r="AG19" s="2289"/>
      <c r="AH19" s="2274"/>
      <c r="AI19" s="2273"/>
    </row>
    <row r="20" spans="1:35" s="743" customFormat="1" ht="18.95" customHeight="1">
      <c r="A20" s="462" t="s">
        <v>24</v>
      </c>
      <c r="B20" s="443"/>
      <c r="C20" s="443"/>
      <c r="D20" s="443" t="s">
        <v>16</v>
      </c>
      <c r="E20" s="443"/>
      <c r="F20" s="443"/>
      <c r="G20" s="443"/>
      <c r="H20" s="1771"/>
      <c r="I20" s="1771"/>
      <c r="J20" s="1771"/>
      <c r="K20" s="443"/>
      <c r="L20" s="1781"/>
      <c r="M20" s="1771"/>
      <c r="N20" s="1771"/>
      <c r="O20" s="1771"/>
      <c r="P20" s="1771"/>
      <c r="Q20" s="1771"/>
      <c r="R20" s="1771"/>
      <c r="S20" s="1771"/>
      <c r="T20" s="1771"/>
      <c r="U20" s="1771"/>
      <c r="V20" s="1771"/>
      <c r="W20" s="1771"/>
      <c r="X20" s="1771"/>
      <c r="Y20" s="1772"/>
      <c r="Z20" s="1773"/>
      <c r="AA20" s="2312"/>
      <c r="AB20" s="2336"/>
      <c r="AC20" s="2337"/>
      <c r="AD20" s="2312"/>
      <c r="AE20" s="2312"/>
      <c r="AF20" s="2266"/>
      <c r="AG20" s="2289"/>
      <c r="AH20" s="2274"/>
      <c r="AI20" s="2273"/>
    </row>
    <row r="21" spans="1:35" s="743" customFormat="1" ht="18.95" customHeight="1">
      <c r="A21" s="352" t="s">
        <v>158</v>
      </c>
      <c r="B21" s="445"/>
      <c r="C21" s="443"/>
      <c r="D21" s="443"/>
      <c r="E21" s="443"/>
      <c r="F21" s="443"/>
      <c r="G21" s="443"/>
      <c r="H21" s="1771"/>
      <c r="I21" s="1771"/>
      <c r="J21" s="1771"/>
      <c r="K21" s="443"/>
      <c r="L21" s="1781"/>
      <c r="M21" s="1771"/>
      <c r="N21" s="1771"/>
      <c r="O21" s="1771"/>
      <c r="P21" s="1771"/>
      <c r="Q21" s="1771"/>
      <c r="R21" s="1771"/>
      <c r="S21" s="1771"/>
      <c r="T21" s="1771"/>
      <c r="U21" s="1771"/>
      <c r="V21" s="1771"/>
      <c r="W21" s="1771"/>
      <c r="X21" s="1771"/>
      <c r="Y21" s="1772"/>
      <c r="Z21" s="1773"/>
      <c r="AA21" s="2313"/>
      <c r="AB21" s="2343"/>
      <c r="AC21" s="2344"/>
      <c r="AD21" s="2313"/>
      <c r="AE21" s="2313"/>
      <c r="AF21" s="2267"/>
      <c r="AG21" s="2289"/>
      <c r="AH21" s="2274"/>
      <c r="AI21" s="2273"/>
    </row>
    <row r="22" spans="1:35" s="743" customFormat="1" ht="18.95" customHeight="1">
      <c r="A22" s="352" t="s">
        <v>227</v>
      </c>
      <c r="B22" s="445">
        <v>0</v>
      </c>
      <c r="C22" s="443"/>
      <c r="D22" s="445">
        <v>0</v>
      </c>
      <c r="E22" s="443"/>
      <c r="F22" s="445"/>
      <c r="G22" s="443"/>
      <c r="H22" s="695"/>
      <c r="I22" s="1771"/>
      <c r="J22" s="445"/>
      <c r="K22" s="443"/>
      <c r="L22" s="445"/>
      <c r="M22" s="1771"/>
      <c r="N22" s="445"/>
      <c r="O22" s="1771"/>
      <c r="P22" s="445"/>
      <c r="Q22" s="1771"/>
      <c r="R22" s="445"/>
      <c r="S22" s="1771"/>
      <c r="T22" s="445"/>
      <c r="U22" s="1771"/>
      <c r="V22" s="445"/>
      <c r="W22" s="1771"/>
      <c r="X22" s="695"/>
      <c r="Y22" s="1772"/>
      <c r="Z22" s="1773"/>
      <c r="AA22" s="2315">
        <f>ROUND(SUM(B22:X22),1)</f>
        <v>0</v>
      </c>
      <c r="AB22" s="2336"/>
      <c r="AC22" s="2337"/>
      <c r="AD22" s="2314">
        <v>0</v>
      </c>
      <c r="AE22" s="2314"/>
      <c r="AF22" s="2267"/>
      <c r="AG22" s="450">
        <f>ROUND(SUM(AA22-AD22),1)</f>
        <v>0</v>
      </c>
      <c r="AH22" s="2274"/>
      <c r="AI22" s="2295">
        <f>ROUND(IF(AG22=0,0,AG22/(AD22)),3)</f>
        <v>0</v>
      </c>
    </row>
    <row r="23" spans="1:35" s="743" customFormat="1" ht="18.95" customHeight="1">
      <c r="A23" s="1768" t="s">
        <v>177</v>
      </c>
      <c r="B23" s="445">
        <v>0</v>
      </c>
      <c r="C23" s="443"/>
      <c r="D23" s="445">
        <v>0</v>
      </c>
      <c r="E23" s="443"/>
      <c r="F23" s="445"/>
      <c r="G23" s="443"/>
      <c r="H23" s="445"/>
      <c r="I23" s="1771"/>
      <c r="J23" s="445"/>
      <c r="K23" s="443"/>
      <c r="L23" s="445"/>
      <c r="M23" s="1771"/>
      <c r="N23" s="445"/>
      <c r="O23" s="445"/>
      <c r="P23" s="445"/>
      <c r="Q23" s="1771"/>
      <c r="R23" s="445"/>
      <c r="S23" s="1771"/>
      <c r="T23" s="445"/>
      <c r="U23" s="1771"/>
      <c r="V23" s="445"/>
      <c r="W23" s="1771"/>
      <c r="X23" s="445"/>
      <c r="Y23" s="1772"/>
      <c r="Z23" s="1773"/>
      <c r="AA23" s="2315">
        <f>ROUND(SUM(B23:X23),1)</f>
        <v>0</v>
      </c>
      <c r="AB23" s="2336"/>
      <c r="AC23" s="2337"/>
      <c r="AD23" s="2313">
        <v>0</v>
      </c>
      <c r="AE23" s="2313"/>
      <c r="AF23" s="2267"/>
      <c r="AG23" s="2323">
        <f>ROUND(SUM(AA23-AD23),1)</f>
        <v>0</v>
      </c>
      <c r="AH23" s="2294"/>
      <c r="AI23" s="2295">
        <f>ROUND(IF(AG23=0,0,AG23/(AD23)),3)</f>
        <v>0</v>
      </c>
    </row>
    <row r="24" spans="1:35" s="743" customFormat="1" ht="18.95" customHeight="1">
      <c r="A24" s="352" t="s">
        <v>161</v>
      </c>
      <c r="B24" s="1785">
        <v>0</v>
      </c>
      <c r="C24" s="443"/>
      <c r="D24" s="1785">
        <v>0</v>
      </c>
      <c r="E24" s="443"/>
      <c r="F24" s="1785"/>
      <c r="G24" s="443"/>
      <c r="H24" s="1785"/>
      <c r="I24" s="1771"/>
      <c r="J24" s="1785"/>
      <c r="K24" s="443"/>
      <c r="L24" s="1785"/>
      <c r="M24" s="1771"/>
      <c r="N24" s="699"/>
      <c r="O24" s="1771"/>
      <c r="P24" s="1785"/>
      <c r="Q24" s="1771"/>
      <c r="R24" s="1785"/>
      <c r="S24" s="1771"/>
      <c r="T24" s="699"/>
      <c r="U24" s="1771"/>
      <c r="V24" s="1785"/>
      <c r="W24" s="1771"/>
      <c r="X24" s="1785"/>
      <c r="Y24" s="1772"/>
      <c r="Z24" s="1773"/>
      <c r="AA24" s="2335">
        <f>ROUND(SUM(B24:X24),1)</f>
        <v>0</v>
      </c>
      <c r="AB24" s="2336"/>
      <c r="AC24" s="2337"/>
      <c r="AD24" s="2335">
        <v>0</v>
      </c>
      <c r="AE24" s="2315"/>
      <c r="AF24" s="2267"/>
      <c r="AG24" s="450">
        <f>ROUND(SUM(AA24-AD24),1)</f>
        <v>0</v>
      </c>
      <c r="AH24" s="2274"/>
      <c r="AI24" s="2295">
        <f>ROUND(IF(AD24=0,0,AG24/(AD24)),3)</f>
        <v>0</v>
      </c>
    </row>
    <row r="25" spans="1:35" s="743" customFormat="1" ht="22.5" customHeight="1">
      <c r="A25" s="462" t="s">
        <v>162</v>
      </c>
      <c r="B25" s="1807">
        <f>ROUND(SUM(B22:B24),1)</f>
        <v>0</v>
      </c>
      <c r="C25" s="730"/>
      <c r="D25" s="1807">
        <f>ROUND(SUM(D22:D24),1)</f>
        <v>0</v>
      </c>
      <c r="E25" s="730"/>
      <c r="F25" s="1807">
        <f>ROUND(SUM(F22:F24),1)</f>
        <v>0</v>
      </c>
      <c r="G25" s="730"/>
      <c r="H25" s="1807">
        <f>ROUND(SUM(H22:H24),1)</f>
        <v>0</v>
      </c>
      <c r="I25" s="1776"/>
      <c r="J25" s="1807">
        <f>ROUND(SUM(J22:J24),1)</f>
        <v>0</v>
      </c>
      <c r="K25" s="730"/>
      <c r="L25" s="1807">
        <f>ROUND(SUM(L22:L24),1)</f>
        <v>0</v>
      </c>
      <c r="M25" s="1776"/>
      <c r="N25" s="1807">
        <f>ROUND(SUM(N22:N24),1)</f>
        <v>0</v>
      </c>
      <c r="O25" s="1793"/>
      <c r="P25" s="1807">
        <f>ROUND(SUM(P22:P24),1)</f>
        <v>0</v>
      </c>
      <c r="Q25" s="1776"/>
      <c r="R25" s="1807">
        <f>ROUND(SUM(R22:R24),1)</f>
        <v>0</v>
      </c>
      <c r="S25" s="1776"/>
      <c r="T25" s="1807">
        <f>ROUND(SUM(T22:T24),1)</f>
        <v>0</v>
      </c>
      <c r="U25" s="1793"/>
      <c r="V25" s="1807">
        <f>ROUND(SUM(V22:V24),1)</f>
        <v>0</v>
      </c>
      <c r="W25" s="1793"/>
      <c r="X25" s="1807">
        <f>ROUND(SUM(X22:X24),1)</f>
        <v>0</v>
      </c>
      <c r="Y25" s="1777"/>
      <c r="Z25" s="1778"/>
      <c r="AA25" s="2316">
        <f>ROUND(SUM(AA22:AA24),1)</f>
        <v>0</v>
      </c>
      <c r="AB25" s="2339"/>
      <c r="AC25" s="2340"/>
      <c r="AD25" s="2316">
        <f>ROUND(SUM(AD22:AD24),1)</f>
        <v>0</v>
      </c>
      <c r="AE25" s="2316"/>
      <c r="AF25" s="2267"/>
      <c r="AG25" s="2320">
        <f>ROUND(SUM(AG22:AG24),1)</f>
        <v>0</v>
      </c>
      <c r="AH25" s="2291"/>
      <c r="AI25" s="2322">
        <f>ROUND(IF(AG25=0,0,AG25/(AD25)),3)</f>
        <v>0</v>
      </c>
    </row>
    <row r="26" spans="1:35" s="743" customFormat="1" ht="18.95" customHeight="1">
      <c r="A26" s="352"/>
      <c r="B26" s="729"/>
      <c r="C26" s="443"/>
      <c r="D26" s="729" t="s">
        <v>16</v>
      </c>
      <c r="E26" s="443"/>
      <c r="F26" s="729"/>
      <c r="G26" s="443"/>
      <c r="H26" s="1779"/>
      <c r="I26" s="1771"/>
      <c r="J26" s="1779"/>
      <c r="K26" s="443"/>
      <c r="L26" s="1779"/>
      <c r="M26" s="1771"/>
      <c r="N26" s="1779"/>
      <c r="O26" s="1771"/>
      <c r="P26" s="1779"/>
      <c r="Q26" s="1771"/>
      <c r="R26" s="1779"/>
      <c r="S26" s="1771"/>
      <c r="T26" s="1779"/>
      <c r="U26" s="1771"/>
      <c r="V26" s="1779"/>
      <c r="W26" s="1771"/>
      <c r="X26" s="1779"/>
      <c r="Y26" s="1772"/>
      <c r="Z26" s="1773"/>
      <c r="AA26" s="2341"/>
      <c r="AB26" s="2336"/>
      <c r="AC26" s="2342"/>
      <c r="AD26" s="2341"/>
      <c r="AE26" s="2289"/>
      <c r="AF26" s="2266"/>
      <c r="AG26" s="2289"/>
      <c r="AH26" s="2274"/>
      <c r="AI26" s="2273"/>
    </row>
    <row r="27" spans="1:35" s="743" customFormat="1" ht="18.95" customHeight="1">
      <c r="A27" s="462" t="s">
        <v>163</v>
      </c>
      <c r="B27" s="443"/>
      <c r="C27" s="443"/>
      <c r="D27" s="450" t="s">
        <v>16</v>
      </c>
      <c r="E27" s="443"/>
      <c r="F27" s="443"/>
      <c r="G27" s="443"/>
      <c r="H27" s="1771"/>
      <c r="I27" s="1771"/>
      <c r="J27" s="1771"/>
      <c r="K27" s="443"/>
      <c r="L27" s="1771"/>
      <c r="M27" s="1771"/>
      <c r="N27" s="1771"/>
      <c r="O27" s="1771"/>
      <c r="P27" s="1771"/>
      <c r="Q27" s="1771"/>
      <c r="R27" s="1771"/>
      <c r="S27" s="1771"/>
      <c r="T27" s="1771"/>
      <c r="U27" s="1771"/>
      <c r="V27" s="1771"/>
      <c r="W27" s="1771"/>
      <c r="X27" s="1771"/>
      <c r="Y27" s="1772"/>
      <c r="Z27" s="1773"/>
      <c r="AA27" s="2312"/>
      <c r="AB27" s="2336"/>
      <c r="AC27" s="2337"/>
      <c r="AD27" s="2312"/>
      <c r="AE27" s="2312"/>
      <c r="AF27" s="2266"/>
      <c r="AG27" s="2289"/>
      <c r="AH27" s="2274"/>
      <c r="AI27" s="2273"/>
    </row>
    <row r="28" spans="1:35" s="743" customFormat="1" ht="18.75" customHeight="1">
      <c r="A28" s="462" t="s">
        <v>46</v>
      </c>
      <c r="B28" s="1788">
        <f>ROUND(B17-B25,1)</f>
        <v>-0.3</v>
      </c>
      <c r="C28" s="730"/>
      <c r="D28" s="1788">
        <f>ROUND(D17-D25,1)</f>
        <v>0</v>
      </c>
      <c r="E28" s="1808"/>
      <c r="F28" s="1788">
        <f>ROUND(F17-F25,1)</f>
        <v>0</v>
      </c>
      <c r="G28" s="1808"/>
      <c r="H28" s="1788">
        <f>ROUND(H17-H25,1)</f>
        <v>0</v>
      </c>
      <c r="I28" s="1809"/>
      <c r="J28" s="1788">
        <f>ROUND(J17-J25,1)</f>
        <v>0</v>
      </c>
      <c r="K28" s="1808"/>
      <c r="L28" s="1788">
        <f>ROUND(L17-L25,1)</f>
        <v>0</v>
      </c>
      <c r="M28" s="1810"/>
      <c r="N28" s="1788">
        <f>ROUND(N17-N25,1)</f>
        <v>0</v>
      </c>
      <c r="O28" s="1810"/>
      <c r="P28" s="1788">
        <f>ROUND(P17-P25,1)</f>
        <v>0</v>
      </c>
      <c r="Q28" s="1810"/>
      <c r="R28" s="1788">
        <f>ROUND(R17-R25,1)</f>
        <v>0</v>
      </c>
      <c r="S28" s="1810"/>
      <c r="T28" s="1788">
        <f>ROUND(T17-T25,1)</f>
        <v>0</v>
      </c>
      <c r="U28" s="1810"/>
      <c r="V28" s="1788">
        <f>ROUND(V17-V25,1)</f>
        <v>0</v>
      </c>
      <c r="W28" s="1810"/>
      <c r="X28" s="1788">
        <f>ROUND(X17-X25,1)</f>
        <v>0</v>
      </c>
      <c r="Y28" s="1777"/>
      <c r="Z28" s="1778"/>
      <c r="AA28" s="2345">
        <f>ROUND(AA17-AA25,1)</f>
        <v>-0.3</v>
      </c>
      <c r="AB28" s="2339"/>
      <c r="AC28" s="2346"/>
      <c r="AD28" s="2345">
        <f>ROUND(AD17-AD25,1)</f>
        <v>0.2</v>
      </c>
      <c r="AE28" s="2317"/>
      <c r="AF28" s="2267"/>
      <c r="AG28" s="2290">
        <f>ROUND(SUM(AG17-AG25),1)</f>
        <v>-0.5</v>
      </c>
      <c r="AH28" s="2291"/>
      <c r="AI28" s="2292">
        <f>ROUND(IF(AG28=0,0,AG28/(AD28)),3)</f>
        <v>-2.5</v>
      </c>
    </row>
    <row r="29" spans="1:35" s="743" customFormat="1" ht="18.95" customHeight="1">
      <c r="A29" s="352"/>
      <c r="B29" s="450"/>
      <c r="C29" s="443"/>
      <c r="D29" s="450" t="s">
        <v>16</v>
      </c>
      <c r="E29" s="443"/>
      <c r="F29" s="450"/>
      <c r="G29" s="443"/>
      <c r="H29" s="1770"/>
      <c r="I29" s="1771"/>
      <c r="J29" s="1770"/>
      <c r="K29" s="443"/>
      <c r="L29" s="1770"/>
      <c r="M29" s="1771"/>
      <c r="N29" s="1779"/>
      <c r="O29" s="1771"/>
      <c r="P29" s="1770"/>
      <c r="Q29" s="1771"/>
      <c r="R29" s="1779"/>
      <c r="S29" s="1771"/>
      <c r="T29" s="1770"/>
      <c r="U29" s="1771"/>
      <c r="V29" s="1770"/>
      <c r="W29" s="1771"/>
      <c r="X29" s="1779"/>
      <c r="Y29" s="1772"/>
      <c r="Z29" s="1773"/>
      <c r="AA29" s="2289"/>
      <c r="AB29" s="2336"/>
      <c r="AC29" s="2342"/>
      <c r="AD29" s="2289"/>
      <c r="AE29" s="2289"/>
      <c r="AF29" s="2268"/>
      <c r="AG29" s="2289"/>
      <c r="AH29" s="2274"/>
      <c r="AI29" s="2273"/>
    </row>
    <row r="30" spans="1:35" s="743" customFormat="1" ht="18.95" customHeight="1">
      <c r="A30" s="462" t="s">
        <v>47</v>
      </c>
      <c r="B30" s="443"/>
      <c r="C30" s="443"/>
      <c r="D30" s="443"/>
      <c r="E30" s="443"/>
      <c r="F30" s="443"/>
      <c r="G30" s="443"/>
      <c r="H30" s="1771"/>
      <c r="I30" s="1771"/>
      <c r="J30" s="1771"/>
      <c r="K30" s="443"/>
      <c r="L30" s="1771"/>
      <c r="M30" s="1771"/>
      <c r="N30" s="1771"/>
      <c r="O30" s="1771"/>
      <c r="P30" s="1771"/>
      <c r="Q30" s="1771"/>
      <c r="R30" s="1771"/>
      <c r="S30" s="1771"/>
      <c r="T30" s="1771"/>
      <c r="U30" s="1771"/>
      <c r="V30" s="1771"/>
      <c r="W30" s="1771"/>
      <c r="X30" s="1771"/>
      <c r="Y30" s="1772"/>
      <c r="Z30" s="1773"/>
      <c r="AA30" s="2312"/>
      <c r="AB30" s="2336"/>
      <c r="AC30" s="2337"/>
      <c r="AD30" s="2312"/>
      <c r="AE30" s="2312"/>
      <c r="AF30" s="2268"/>
      <c r="AG30" s="2289"/>
      <c r="AH30" s="2274"/>
      <c r="AI30" s="2273"/>
    </row>
    <row r="31" spans="1:35" s="743" customFormat="1" ht="18.95" customHeight="1">
      <c r="A31" s="352" t="s">
        <v>188</v>
      </c>
      <c r="B31" s="445">
        <v>0</v>
      </c>
      <c r="C31" s="443"/>
      <c r="D31" s="445">
        <v>0</v>
      </c>
      <c r="E31" s="443"/>
      <c r="F31" s="445"/>
      <c r="G31" s="443"/>
      <c r="H31" s="445"/>
      <c r="I31" s="1771"/>
      <c r="J31" s="445"/>
      <c r="K31" s="443"/>
      <c r="L31" s="445"/>
      <c r="M31" s="1771"/>
      <c r="N31" s="445"/>
      <c r="O31" s="1771"/>
      <c r="P31" s="445"/>
      <c r="Q31" s="1771"/>
      <c r="R31" s="445"/>
      <c r="S31" s="1771"/>
      <c r="T31" s="445"/>
      <c r="U31" s="1771"/>
      <c r="V31" s="445"/>
      <c r="W31" s="1771"/>
      <c r="X31" s="445"/>
      <c r="Y31" s="1772"/>
      <c r="Z31" s="1773"/>
      <c r="AA31" s="2315">
        <f>ROUND(SUM(B31:X31),1)</f>
        <v>0</v>
      </c>
      <c r="AB31" s="2336"/>
      <c r="AC31" s="2337"/>
      <c r="AD31" s="2313">
        <v>0</v>
      </c>
      <c r="AE31" s="2313"/>
      <c r="AF31" s="2269"/>
      <c r="AG31" s="2323">
        <f>ROUND(SUM(AA31-AD31),1)</f>
        <v>0</v>
      </c>
      <c r="AH31" s="2294"/>
      <c r="AI31" s="2295">
        <f>ROUND(IF(AG31=0,0,AG31/(AD31)),3)</f>
        <v>0</v>
      </c>
    </row>
    <row r="32" spans="1:35" s="743" customFormat="1" ht="18.95" customHeight="1">
      <c r="A32" s="352" t="s">
        <v>189</v>
      </c>
      <c r="B32" s="445">
        <v>0</v>
      </c>
      <c r="C32" s="443"/>
      <c r="D32" s="445">
        <v>0</v>
      </c>
      <c r="E32" s="443"/>
      <c r="F32" s="445"/>
      <c r="G32" s="443"/>
      <c r="H32" s="445"/>
      <c r="I32" s="1771"/>
      <c r="J32" s="445"/>
      <c r="K32" s="443"/>
      <c r="L32" s="445"/>
      <c r="M32" s="1770"/>
      <c r="N32" s="445"/>
      <c r="O32" s="1770"/>
      <c r="P32" s="445"/>
      <c r="Q32" s="1770"/>
      <c r="R32" s="445"/>
      <c r="S32" s="1770"/>
      <c r="T32" s="445"/>
      <c r="U32" s="1770"/>
      <c r="V32" s="445"/>
      <c r="W32" s="1770"/>
      <c r="X32" s="445"/>
      <c r="Y32" s="1772"/>
      <c r="Z32" s="1773"/>
      <c r="AA32" s="2315">
        <f>ROUND(SUM(B32:X32),1)</f>
        <v>0</v>
      </c>
      <c r="AB32" s="2347"/>
      <c r="AC32" s="2348"/>
      <c r="AD32" s="2313">
        <v>0</v>
      </c>
      <c r="AE32" s="2313"/>
      <c r="AF32" s="2268"/>
      <c r="AG32" s="2323">
        <f>ROUND(SUM(AA32-AD32),1)</f>
        <v>0</v>
      </c>
      <c r="AH32" s="2294"/>
      <c r="AI32" s="2295">
        <f>ROUND(IF(AG32=0,0,AG32/(AD32)),3)</f>
        <v>0</v>
      </c>
    </row>
    <row r="33" spans="1:35" s="743" customFormat="1" ht="22.5" customHeight="1">
      <c r="A33" s="462" t="s">
        <v>216</v>
      </c>
      <c r="B33" s="1811">
        <f>ROUND(SUM(B31:B32),1)</f>
        <v>0</v>
      </c>
      <c r="C33" s="730"/>
      <c r="D33" s="1811">
        <f>ROUND(SUM(D31:D32),1)</f>
        <v>0</v>
      </c>
      <c r="E33" s="730"/>
      <c r="F33" s="1811">
        <f>ROUND(SUM(F31:F32),1)</f>
        <v>0</v>
      </c>
      <c r="G33" s="730"/>
      <c r="H33" s="1811">
        <f>ROUND(SUM(H31:H32),1)</f>
        <v>0</v>
      </c>
      <c r="I33" s="1776"/>
      <c r="J33" s="1811">
        <f>ROUND(SUM(J31:J32),1)</f>
        <v>0</v>
      </c>
      <c r="K33" s="730"/>
      <c r="L33" s="1811">
        <f>ROUND(SUM(L31:L32),1)</f>
        <v>0</v>
      </c>
      <c r="M33" s="1776"/>
      <c r="N33" s="1811">
        <f>ROUND(SUM(N31:N32),1)</f>
        <v>0</v>
      </c>
      <c r="O33" s="1776"/>
      <c r="P33" s="1811">
        <f>ROUND(SUM(P31:P32),1)</f>
        <v>0</v>
      </c>
      <c r="Q33" s="1812"/>
      <c r="R33" s="1811">
        <f>ROUND(SUM(R31:R32),1)</f>
        <v>0</v>
      </c>
      <c r="S33" s="1776"/>
      <c r="T33" s="1811">
        <f>ROUND(SUM(T31:T32),1)</f>
        <v>0</v>
      </c>
      <c r="U33" s="1776"/>
      <c r="V33" s="1811">
        <f>ROUND(SUM(V31:V32),1)</f>
        <v>0</v>
      </c>
      <c r="W33" s="1776"/>
      <c r="X33" s="1811">
        <f>ROUND(SUM(X31:X32),1)</f>
        <v>0</v>
      </c>
      <c r="Y33" s="1777"/>
      <c r="Z33" s="1778"/>
      <c r="AA33" s="2349">
        <f>ROUND(SUM(AA31:AA32),1)</f>
        <v>0</v>
      </c>
      <c r="AB33" s="2350"/>
      <c r="AC33" s="2351"/>
      <c r="AD33" s="2349">
        <f>ROUND(SUM(AD31:AD32),1)</f>
        <v>0</v>
      </c>
      <c r="AE33" s="2318"/>
      <c r="AF33" s="2269"/>
      <c r="AG33" s="2320">
        <f>ROUND(SUM(AG31-AG32),1)</f>
        <v>0</v>
      </c>
      <c r="AH33" s="2301"/>
      <c r="AI33" s="2322">
        <f>ROUND(IF(AG33=0,0,AG33/(AD33)),3)</f>
        <v>0</v>
      </c>
    </row>
    <row r="34" spans="1:35" s="743" customFormat="1" ht="18.95" customHeight="1">
      <c r="A34" s="352"/>
      <c r="B34" s="729"/>
      <c r="C34" s="443"/>
      <c r="D34" s="729" t="s">
        <v>16</v>
      </c>
      <c r="E34" s="443"/>
      <c r="F34" s="729"/>
      <c r="G34" s="443"/>
      <c r="H34" s="1779"/>
      <c r="I34" s="1771"/>
      <c r="J34" s="1779"/>
      <c r="K34" s="443"/>
      <c r="L34" s="1779"/>
      <c r="M34" s="1771"/>
      <c r="N34" s="1779"/>
      <c r="O34" s="1771"/>
      <c r="P34" s="1779"/>
      <c r="Q34" s="1771"/>
      <c r="R34" s="1779"/>
      <c r="S34" s="1771"/>
      <c r="T34" s="1779"/>
      <c r="U34" s="1771"/>
      <c r="V34" s="1779"/>
      <c r="W34" s="1771"/>
      <c r="X34" s="1779"/>
      <c r="Y34" s="1772"/>
      <c r="Z34" s="1773"/>
      <c r="AA34" s="2341"/>
      <c r="AB34" s="2336"/>
      <c r="AC34" s="2342"/>
      <c r="AD34" s="2341"/>
      <c r="AE34" s="2289"/>
      <c r="AF34" s="2266"/>
      <c r="AG34" s="2289"/>
      <c r="AH34" s="2274"/>
      <c r="AI34" s="2273"/>
    </row>
    <row r="35" spans="1:35" s="743" customFormat="1" ht="18.95" customHeight="1">
      <c r="A35" s="462" t="s">
        <v>172</v>
      </c>
      <c r="B35" s="443"/>
      <c r="C35" s="443"/>
      <c r="D35" s="443" t="s">
        <v>16</v>
      </c>
      <c r="E35" s="443"/>
      <c r="F35" s="443"/>
      <c r="G35" s="443"/>
      <c r="H35" s="1771"/>
      <c r="I35" s="1771"/>
      <c r="J35" s="1771"/>
      <c r="K35" s="443"/>
      <c r="L35" s="1771"/>
      <c r="M35" s="1771"/>
      <c r="N35" s="1771"/>
      <c r="O35" s="1771"/>
      <c r="P35" s="1771"/>
      <c r="Q35" s="1771"/>
      <c r="R35" s="1771"/>
      <c r="S35" s="1771"/>
      <c r="T35" s="1771"/>
      <c r="U35" s="1771"/>
      <c r="V35" s="1771"/>
      <c r="W35" s="1771"/>
      <c r="X35" s="1771"/>
      <c r="Y35" s="1772"/>
      <c r="Z35" s="1773"/>
      <c r="AA35" s="2312"/>
      <c r="AB35" s="2336"/>
      <c r="AC35" s="2337"/>
      <c r="AD35" s="2312"/>
      <c r="AE35" s="2312"/>
      <c r="AF35" s="2266"/>
      <c r="AG35" s="2289"/>
      <c r="AH35" s="2274"/>
      <c r="AI35" s="2273"/>
    </row>
    <row r="36" spans="1:35" s="743" customFormat="1" ht="18.95" customHeight="1">
      <c r="A36" s="462" t="s">
        <v>235</v>
      </c>
      <c r="B36" s="443"/>
      <c r="C36" s="443"/>
      <c r="D36" s="443"/>
      <c r="E36" s="443"/>
      <c r="F36" s="443"/>
      <c r="G36" s="443"/>
      <c r="H36" s="1771"/>
      <c r="I36" s="1771"/>
      <c r="J36" s="1771"/>
      <c r="K36" s="443"/>
      <c r="L36" s="1771"/>
      <c r="M36" s="1771"/>
      <c r="N36" s="1771"/>
      <c r="O36" s="1771"/>
      <c r="P36" s="1771"/>
      <c r="Q36" s="1771"/>
      <c r="R36" s="1771"/>
      <c r="S36" s="1771"/>
      <c r="T36" s="1771"/>
      <c r="U36" s="1771"/>
      <c r="V36" s="1770"/>
      <c r="W36" s="1771"/>
      <c r="X36" s="1771"/>
      <c r="Y36" s="1772"/>
      <c r="Z36" s="1773"/>
      <c r="AA36" s="2312"/>
      <c r="AB36" s="2336"/>
      <c r="AC36" s="2337"/>
      <c r="AD36" s="2319"/>
      <c r="AE36" s="2319"/>
      <c r="AF36" s="2270"/>
      <c r="AG36" s="2289"/>
      <c r="AH36" s="2274"/>
      <c r="AI36" s="2273"/>
    </row>
    <row r="37" spans="1:35" s="745" customFormat="1" ht="18.95" customHeight="1">
      <c r="A37" s="462" t="s">
        <v>174</v>
      </c>
      <c r="B37" s="1786">
        <f>ROUND(B28+B33,1)</f>
        <v>-0.3</v>
      </c>
      <c r="C37" s="730"/>
      <c r="D37" s="1786">
        <f>ROUND(D28+D33,1)</f>
        <v>0</v>
      </c>
      <c r="E37" s="736"/>
      <c r="F37" s="1786">
        <f>ROUND(F28+F33,1)</f>
        <v>0</v>
      </c>
      <c r="G37" s="736"/>
      <c r="H37" s="1786">
        <f>ROUND(H28+H33,1)</f>
        <v>0</v>
      </c>
      <c r="I37" s="1793"/>
      <c r="J37" s="1786">
        <f>ROUND(J28+J33,1)</f>
        <v>0</v>
      </c>
      <c r="K37" s="736"/>
      <c r="L37" s="1786">
        <f>ROUND(L28+L33,1)</f>
        <v>0</v>
      </c>
      <c r="M37" s="1796"/>
      <c r="N37" s="1786">
        <f>ROUND(N28+N33,1)</f>
        <v>0</v>
      </c>
      <c r="O37" s="1796"/>
      <c r="P37" s="1786">
        <f>ROUND(P28+P33,1)</f>
        <v>0</v>
      </c>
      <c r="Q37" s="1796"/>
      <c r="R37" s="1786">
        <f>ROUND(R28+R33,1)</f>
        <v>0</v>
      </c>
      <c r="S37" s="1793"/>
      <c r="T37" s="1786">
        <f>ROUND(T28+T33,1)</f>
        <v>0</v>
      </c>
      <c r="U37" s="1793"/>
      <c r="V37" s="1786">
        <f>ROUND(V28+V33,1)</f>
        <v>0</v>
      </c>
      <c r="W37" s="1793"/>
      <c r="X37" s="1786">
        <f>ROUND(X28+X33,1)</f>
        <v>0</v>
      </c>
      <c r="Y37" s="1777"/>
      <c r="Z37" s="1778"/>
      <c r="AA37" s="2317">
        <f>ROUND(AA28+AA33,1)</f>
        <v>-0.3</v>
      </c>
      <c r="AB37" s="2323"/>
      <c r="AC37" s="2352"/>
      <c r="AD37" s="2317">
        <f>ROUND(AD28+AD33,1)</f>
        <v>0.2</v>
      </c>
      <c r="AE37" s="2317"/>
      <c r="AF37" s="2271"/>
      <c r="AG37" s="2323">
        <f>ROUND(SUM(AG28+AG33),1)</f>
        <v>-0.5</v>
      </c>
      <c r="AH37" s="2263"/>
      <c r="AI37" s="2295">
        <f>ROUND(IF(AG37=0,0,AG37/(AD37)),3)</f>
        <v>-2.5</v>
      </c>
    </row>
    <row r="38" spans="1:35" s="743" customFormat="1" ht="22.5" customHeight="1" thickBot="1">
      <c r="A38" s="462" t="s">
        <v>146</v>
      </c>
      <c r="B38" s="1798">
        <f>ROUND(SUM(B13,B37),1)</f>
        <v>11.2</v>
      </c>
      <c r="C38" s="718"/>
      <c r="D38" s="1798">
        <f>ROUND(SUM(D13,D37),1)</f>
        <v>11.2</v>
      </c>
      <c r="E38" s="718"/>
      <c r="F38" s="1798">
        <f>ROUND(SUM(F13,F37),1)</f>
        <v>0</v>
      </c>
      <c r="G38" s="718"/>
      <c r="H38" s="1798">
        <f>ROUND(SUM(H13,H37),1)</f>
        <v>0</v>
      </c>
      <c r="I38" s="1799"/>
      <c r="J38" s="1798">
        <f>ROUND(SUM(J13,J37),1)</f>
        <v>0</v>
      </c>
      <c r="K38" s="718"/>
      <c r="L38" s="1798">
        <f>ROUND(SUM(L13,L37),1)</f>
        <v>0</v>
      </c>
      <c r="M38" s="721"/>
      <c r="N38" s="1798">
        <f>ROUND(SUM(N13,N37),1)</f>
        <v>0</v>
      </c>
      <c r="O38" s="721"/>
      <c r="P38" s="1798">
        <f>ROUND(SUM(P13,P37),1)</f>
        <v>0</v>
      </c>
      <c r="Q38" s="721"/>
      <c r="R38" s="1798">
        <f>ROUND(SUM(R13,R37),1)</f>
        <v>0</v>
      </c>
      <c r="S38" s="1799"/>
      <c r="T38" s="1798">
        <f>ROUND(SUM(T13,T37),1)</f>
        <v>0</v>
      </c>
      <c r="U38" s="1799"/>
      <c r="V38" s="1798">
        <f>ROUND(SUM(V13,V37),1)</f>
        <v>0</v>
      </c>
      <c r="W38" s="1799"/>
      <c r="X38" s="1798">
        <f>ROUND(SUM(X13,X37),1)</f>
        <v>0</v>
      </c>
      <c r="Y38" s="1760"/>
      <c r="Z38" s="1761"/>
      <c r="AA38" s="2353">
        <f>ROUND(SUM(AA13,AA37),1)</f>
        <v>11.2</v>
      </c>
      <c r="AB38" s="2281"/>
      <c r="AC38" s="2354"/>
      <c r="AD38" s="2324">
        <f>ROUND(SUM(AD13,AD37),1)</f>
        <v>11.1</v>
      </c>
      <c r="AE38" s="2281"/>
      <c r="AF38" s="2272"/>
      <c r="AG38" s="2324">
        <f>ROUND(SUM(AA38-AD38),1)</f>
        <v>0.1</v>
      </c>
      <c r="AH38" s="2300"/>
      <c r="AI38" s="2325">
        <f>ROUND(IF(AG38=0,0,AG38/(AD38)),3)</f>
        <v>8.9999999999999993E-3</v>
      </c>
    </row>
    <row r="39" spans="1:35" s="743" customFormat="1" ht="18.95" customHeight="1" thickTop="1">
      <c r="A39" s="352" t="s">
        <v>16</v>
      </c>
      <c r="B39" s="1801"/>
      <c r="C39" s="1802"/>
      <c r="D39" s="1801"/>
      <c r="E39" s="1802"/>
      <c r="F39" s="1801"/>
      <c r="G39" s="1802"/>
      <c r="H39" s="1801"/>
      <c r="I39" s="1802"/>
      <c r="J39" s="1801"/>
      <c r="K39" s="1802"/>
      <c r="L39" s="1801"/>
      <c r="M39" s="1802"/>
      <c r="N39" s="1801"/>
      <c r="O39" s="1802"/>
      <c r="P39" s="1801"/>
      <c r="Q39" s="1802"/>
      <c r="R39" s="1801"/>
      <c r="S39" s="1802"/>
      <c r="T39" s="1801"/>
      <c r="U39" s="1802"/>
      <c r="V39" s="1801"/>
      <c r="W39" s="1802"/>
      <c r="X39" s="1801"/>
      <c r="Y39" s="1802"/>
      <c r="Z39" s="1802"/>
      <c r="AA39" s="2355"/>
      <c r="AB39" s="2298"/>
      <c r="AC39" s="2298"/>
      <c r="AD39" s="2298"/>
      <c r="AE39" s="2298"/>
      <c r="AF39" s="2298"/>
      <c r="AG39" s="2283"/>
      <c r="AH39" s="2274"/>
      <c r="AI39" s="2273"/>
    </row>
    <row r="40" spans="1:35" s="743" customFormat="1" ht="18.95"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50"/>
      <c r="AH40" s="748"/>
    </row>
    <row r="41" spans="1:35" ht="15.75" customHeight="1">
      <c r="A41" s="747"/>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1"/>
    </row>
    <row r="42" spans="1:35" ht="15">
      <c r="A42" s="743"/>
    </row>
    <row r="43" spans="1:35" ht="13.5" customHeight="1">
      <c r="A43" s="1365"/>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1"/>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1"/>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ignoredErrors>
    <ignoredError sqref="AI24" formula="1"/>
    <ignoredError sqref="B11 T11" numberStoredAsText="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96"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959" customWidth="1"/>
    <col min="30" max="30" width="13.109375" style="217" customWidth="1"/>
    <col min="31" max="31" width="3" style="217" customWidth="1"/>
    <col min="32" max="32" width="12" style="217" customWidth="1"/>
    <col min="33" max="16384" width="8.88671875" style="217"/>
  </cols>
  <sheetData>
    <row r="1" spans="1:33" ht="15">
      <c r="A1" s="1190" t="s">
        <v>1231</v>
      </c>
    </row>
    <row r="2" spans="1:33" ht="15">
      <c r="A2" s="1190"/>
    </row>
    <row r="3" spans="1:33" ht="24" customHeight="1">
      <c r="A3" s="3502" t="s">
        <v>0</v>
      </c>
      <c r="B3" s="3503"/>
      <c r="C3" s="3503"/>
      <c r="D3" s="3503"/>
      <c r="E3" s="3503"/>
      <c r="F3" s="3503"/>
      <c r="G3" s="3503"/>
      <c r="H3" s="3503"/>
      <c r="I3" s="3503"/>
      <c r="J3" s="3503"/>
      <c r="K3" s="3503"/>
      <c r="L3" s="3503"/>
      <c r="M3" s="3503"/>
      <c r="N3" s="3503"/>
      <c r="O3" s="3503"/>
      <c r="P3" s="3503"/>
      <c r="Q3" s="3503"/>
      <c r="R3" s="3503"/>
      <c r="S3" s="3503"/>
      <c r="T3" s="3503"/>
      <c r="U3" s="3503"/>
      <c r="V3" s="3503"/>
      <c r="W3" s="3503"/>
      <c r="X3" s="3503"/>
      <c r="Y3" s="3503"/>
      <c r="Z3" s="3503"/>
      <c r="AA3" s="3503"/>
      <c r="AB3" s="3503"/>
      <c r="AC3" s="142"/>
      <c r="AF3" s="146" t="s">
        <v>56</v>
      </c>
    </row>
    <row r="4" spans="1:33" ht="20.25">
      <c r="A4" s="3504" t="s">
        <v>1475</v>
      </c>
      <c r="B4" s="3503"/>
      <c r="C4" s="3503"/>
      <c r="D4" s="3503"/>
      <c r="E4" s="3503"/>
      <c r="F4" s="3503"/>
      <c r="G4" s="3503"/>
      <c r="H4" s="3503"/>
      <c r="I4" s="3503"/>
      <c r="J4" s="3503"/>
      <c r="K4" s="3503"/>
      <c r="L4" s="3503"/>
      <c r="M4" s="3503"/>
      <c r="N4" s="3503"/>
      <c r="O4" s="3503"/>
      <c r="P4" s="3503"/>
      <c r="Q4" s="3503"/>
      <c r="R4" s="3503"/>
      <c r="S4" s="3503"/>
      <c r="T4" s="3503"/>
      <c r="U4" s="3503"/>
      <c r="V4" s="3503"/>
      <c r="W4" s="3503"/>
      <c r="X4" s="3503"/>
      <c r="Y4" s="3503"/>
      <c r="Z4" s="3503"/>
      <c r="AA4" s="3503"/>
      <c r="AB4" s="3503"/>
      <c r="AC4" s="142"/>
      <c r="AF4" s="146" t="s">
        <v>57</v>
      </c>
    </row>
    <row r="5" spans="1:33" ht="20.25">
      <c r="A5" s="3504" t="s">
        <v>1121</v>
      </c>
      <c r="B5" s="3503"/>
      <c r="C5" s="3503"/>
      <c r="D5" s="3503"/>
      <c r="E5" s="3503"/>
      <c r="F5" s="3503"/>
      <c r="G5" s="3503"/>
      <c r="H5" s="3503"/>
      <c r="I5" s="3503"/>
      <c r="J5" s="3503"/>
      <c r="K5" s="3503"/>
      <c r="L5" s="3503"/>
      <c r="M5" s="3503"/>
      <c r="N5" s="3503"/>
      <c r="O5" s="3503"/>
      <c r="P5" s="3503"/>
      <c r="Q5" s="3503"/>
      <c r="R5" s="3503"/>
      <c r="S5" s="3503"/>
      <c r="T5" s="3503"/>
      <c r="U5" s="3503"/>
      <c r="V5" s="3503"/>
      <c r="W5" s="3503"/>
      <c r="X5" s="3503"/>
      <c r="Y5" s="3503"/>
      <c r="Z5" s="3503"/>
      <c r="AA5" s="3503"/>
      <c r="AB5" s="3503"/>
      <c r="AC5" s="142"/>
    </row>
    <row r="6" spans="1:33" ht="23.25" customHeight="1">
      <c r="A6" s="2360" t="s">
        <v>1116</v>
      </c>
      <c r="B6" s="2359"/>
      <c r="C6" s="2359"/>
      <c r="D6" s="2359"/>
      <c r="E6" s="2359"/>
      <c r="F6" s="2359"/>
      <c r="G6" s="2359"/>
      <c r="H6" s="2359"/>
      <c r="I6" s="2359"/>
      <c r="J6" s="2359"/>
      <c r="K6" s="2359"/>
      <c r="L6" s="2359"/>
      <c r="M6" s="2359"/>
      <c r="N6" s="2359"/>
      <c r="O6" s="2359"/>
      <c r="P6" s="2359"/>
      <c r="Q6" s="2359"/>
      <c r="R6" s="2359"/>
      <c r="S6" s="2359"/>
      <c r="T6" s="2359"/>
      <c r="U6" s="2359"/>
      <c r="V6" s="2359"/>
      <c r="W6" s="2359"/>
      <c r="X6" s="2359"/>
      <c r="Y6" s="2359"/>
      <c r="Z6" s="2359"/>
      <c r="AA6" s="2359"/>
      <c r="AB6" s="2359"/>
      <c r="AC6" s="142"/>
    </row>
    <row r="7" spans="1:33" ht="23.25" customHeight="1">
      <c r="A7" s="3504"/>
      <c r="B7" s="3503"/>
      <c r="C7" s="3503"/>
      <c r="D7" s="3503"/>
      <c r="E7" s="3503"/>
      <c r="F7" s="3503"/>
      <c r="G7" s="3503"/>
      <c r="H7" s="3503"/>
      <c r="I7" s="3503"/>
      <c r="J7" s="3503"/>
      <c r="K7" s="3503"/>
      <c r="L7" s="3503"/>
      <c r="M7" s="3503"/>
      <c r="N7" s="3503"/>
      <c r="O7" s="3503"/>
      <c r="P7" s="3503"/>
      <c r="Q7" s="3503"/>
      <c r="R7" s="3503"/>
      <c r="S7" s="3503"/>
      <c r="T7" s="3503"/>
      <c r="U7" s="3503"/>
      <c r="V7" s="3503"/>
      <c r="W7" s="3503"/>
      <c r="X7" s="3503"/>
      <c r="Y7" s="3503"/>
      <c r="Z7" s="3503"/>
      <c r="AA7" s="3503"/>
      <c r="AB7" s="3503"/>
      <c r="AC7" s="142"/>
    </row>
    <row r="8" spans="1:33" ht="21">
      <c r="A8" s="143"/>
      <c r="B8" s="143"/>
      <c r="C8" s="143"/>
      <c r="D8" s="143"/>
      <c r="E8" s="143"/>
      <c r="F8" s="143"/>
      <c r="G8" s="143"/>
      <c r="H8" s="1195"/>
      <c r="I8" s="144"/>
      <c r="J8" s="144"/>
      <c r="K8" s="144"/>
      <c r="L8" s="144"/>
      <c r="M8" s="143"/>
      <c r="N8" s="144"/>
      <c r="O8" s="144"/>
      <c r="P8" s="144"/>
      <c r="Q8" s="144"/>
      <c r="R8" s="144"/>
      <c r="S8" s="144"/>
      <c r="T8" s="144"/>
      <c r="U8" s="2224"/>
      <c r="V8" s="2224"/>
      <c r="W8" s="2224"/>
      <c r="X8" s="2224"/>
      <c r="Y8" s="145"/>
      <c r="Z8" s="145"/>
      <c r="AA8" s="146"/>
      <c r="AB8" s="145"/>
      <c r="AC8" s="147"/>
    </row>
    <row r="9" spans="1:33" ht="20.25" customHeight="1">
      <c r="A9" s="143"/>
      <c r="B9" s="143"/>
      <c r="C9" s="143"/>
      <c r="D9" s="143"/>
      <c r="E9" s="143"/>
      <c r="F9" s="143"/>
      <c r="G9" s="143"/>
      <c r="H9" s="1195"/>
      <c r="I9" s="144"/>
      <c r="J9" s="144"/>
      <c r="K9" s="144"/>
      <c r="L9" s="144"/>
      <c r="M9" s="143"/>
      <c r="N9" s="144"/>
      <c r="O9" s="151"/>
      <c r="P9" s="151"/>
      <c r="Q9" s="151"/>
      <c r="R9" s="151"/>
      <c r="S9" s="154"/>
      <c r="T9" s="154"/>
      <c r="U9" s="1959"/>
      <c r="V9" s="1959"/>
      <c r="W9" s="1959"/>
      <c r="X9" s="1958"/>
      <c r="Y9" s="145"/>
      <c r="Z9" s="145"/>
      <c r="AA9" s="146"/>
      <c r="AB9" s="145"/>
      <c r="AC9" s="147"/>
    </row>
    <row r="10" spans="1:33" ht="12" customHeight="1">
      <c r="A10" s="143"/>
      <c r="B10" s="143"/>
      <c r="C10" s="143"/>
      <c r="D10" s="143"/>
      <c r="E10" s="143"/>
      <c r="F10" s="143"/>
      <c r="G10" s="143"/>
      <c r="H10" s="1195"/>
      <c r="I10" s="144"/>
      <c r="J10" s="144"/>
      <c r="K10" s="144"/>
      <c r="L10" s="144"/>
      <c r="M10" s="143"/>
      <c r="N10" s="144"/>
      <c r="O10" s="151"/>
      <c r="P10" s="1960"/>
      <c r="Q10" s="1958"/>
      <c r="R10" s="1958"/>
      <c r="S10" s="1959"/>
      <c r="T10" s="1959"/>
      <c r="U10" s="1959"/>
      <c r="V10" s="1959"/>
      <c r="W10" s="1959"/>
      <c r="X10" s="1958"/>
      <c r="Y10" s="145"/>
      <c r="Z10" s="145"/>
      <c r="AA10" s="150"/>
      <c r="AB10" s="145"/>
      <c r="AC10" s="147"/>
    </row>
    <row r="11" spans="1:33" ht="8.25" customHeight="1">
      <c r="A11" s="144"/>
      <c r="B11" s="143"/>
      <c r="C11" s="143"/>
      <c r="O11" s="144"/>
      <c r="P11" s="1961"/>
      <c r="Q11" s="1958"/>
      <c r="R11" s="1958"/>
      <c r="S11" s="1958"/>
      <c r="T11" s="1958"/>
      <c r="U11" s="1958"/>
      <c r="V11" s="1958"/>
      <c r="W11" s="2224"/>
      <c r="X11" s="2224"/>
      <c r="Y11" s="2013"/>
      <c r="Z11" s="2013"/>
      <c r="AA11" s="2013"/>
      <c r="AB11" s="2013"/>
      <c r="AC11" s="2225"/>
    </row>
    <row r="12" spans="1:33" ht="15.95" customHeight="1">
      <c r="A12" s="143"/>
      <c r="B12" s="143"/>
      <c r="C12" s="152"/>
      <c r="D12" s="3499"/>
      <c r="E12" s="3500"/>
      <c r="F12" s="3500"/>
      <c r="G12" s="3500"/>
      <c r="H12" s="3500"/>
      <c r="I12" s="3500"/>
      <c r="J12" s="3500"/>
      <c r="K12" s="3500"/>
      <c r="L12" s="3500"/>
      <c r="M12" s="3500"/>
      <c r="N12" s="3500"/>
      <c r="O12" s="1958"/>
      <c r="P12" s="1960"/>
      <c r="Q12" s="1958"/>
      <c r="R12" s="3498"/>
      <c r="S12" s="3498"/>
      <c r="T12" s="3498"/>
      <c r="U12" s="3498"/>
      <c r="V12" s="3498"/>
      <c r="W12" s="3498"/>
      <c r="X12" s="3498"/>
      <c r="Y12" s="3498"/>
      <c r="Z12" s="3498"/>
      <c r="AA12" s="3498"/>
      <c r="AB12" s="3498"/>
      <c r="AC12" s="2225"/>
      <c r="AD12" s="1959"/>
      <c r="AE12" s="1959"/>
      <c r="AF12" s="1959"/>
      <c r="AG12" s="1959"/>
    </row>
    <row r="13" spans="1:33" ht="15.95" customHeight="1">
      <c r="A13" s="1194"/>
      <c r="B13" s="1122"/>
      <c r="C13" s="1122"/>
      <c r="D13" s="159" t="s">
        <v>3</v>
      </c>
      <c r="E13" s="159"/>
      <c r="F13" s="159"/>
      <c r="G13" s="160"/>
      <c r="H13" s="1214" t="s">
        <v>1450</v>
      </c>
      <c r="I13" s="159"/>
      <c r="J13" s="159"/>
      <c r="K13" s="154"/>
      <c r="L13" s="3501" t="s">
        <v>5</v>
      </c>
      <c r="M13" s="3501"/>
      <c r="N13" s="3501"/>
      <c r="O13" s="1896"/>
      <c r="P13" s="1962"/>
      <c r="Q13" s="1962"/>
      <c r="R13" s="2701" t="s">
        <v>1474</v>
      </c>
      <c r="S13" s="2701"/>
      <c r="T13" s="2701"/>
      <c r="U13" s="2701"/>
      <c r="V13" s="2701"/>
      <c r="W13" s="2701"/>
      <c r="X13" s="2701"/>
      <c r="Y13" s="2701"/>
      <c r="Z13" s="2701"/>
      <c r="AA13" s="2701"/>
      <c r="AB13" s="2701"/>
      <c r="AC13" s="2387"/>
      <c r="AD13" s="2388"/>
      <c r="AE13" s="2388"/>
      <c r="AF13" s="2388"/>
    </row>
    <row r="14" spans="1:33" ht="15.75" customHeight="1">
      <c r="A14" s="157"/>
      <c r="B14" s="157"/>
      <c r="C14" s="158"/>
      <c r="D14" s="1896" t="s">
        <v>7</v>
      </c>
      <c r="E14" s="1896"/>
      <c r="F14" s="162" t="str">
        <f>'Exhibit A'!F11</f>
        <v>2 MOS. ENDED</v>
      </c>
      <c r="G14" s="153"/>
      <c r="H14" s="1896" t="s">
        <v>7</v>
      </c>
      <c r="I14" s="1896"/>
      <c r="J14" s="1896" t="str">
        <f>F14</f>
        <v>2 MOS. ENDED</v>
      </c>
      <c r="K14" s="153"/>
      <c r="L14" s="1896" t="s">
        <v>7</v>
      </c>
      <c r="M14" s="1896"/>
      <c r="N14" s="1896" t="str">
        <f>F14</f>
        <v>2 MOS. ENDED</v>
      </c>
      <c r="O14" s="1896"/>
      <c r="P14" s="1963"/>
      <c r="Q14" s="1896"/>
      <c r="R14" s="1896" t="s">
        <v>7</v>
      </c>
      <c r="S14" s="1896"/>
      <c r="T14" s="1896" t="str">
        <f>F14</f>
        <v>2 MOS. ENDED</v>
      </c>
      <c r="U14" s="1962"/>
      <c r="V14" s="1962"/>
      <c r="W14" s="1962"/>
      <c r="X14" s="1962"/>
      <c r="Y14" s="1962" t="s">
        <v>7</v>
      </c>
      <c r="Z14" s="1962"/>
      <c r="AA14" s="1962" t="str">
        <f>'Exhibit A'!AD11</f>
        <v>2 MOS. ENDED</v>
      </c>
      <c r="AB14" s="1962"/>
      <c r="AC14" s="2226"/>
      <c r="AD14" s="24" t="s">
        <v>8</v>
      </c>
      <c r="AE14" s="1192"/>
      <c r="AF14" s="20" t="s">
        <v>9</v>
      </c>
    </row>
    <row r="15" spans="1:33" ht="15.95" customHeight="1">
      <c r="A15" s="157"/>
      <c r="B15" s="157"/>
      <c r="C15" s="157"/>
      <c r="D15" s="163" t="str">
        <f>'Exhibit A'!D12</f>
        <v>MAY 2015</v>
      </c>
      <c r="E15" s="153"/>
      <c r="F15" s="163" t="str">
        <f>'Exhibit A'!F12</f>
        <v>MAY 31, 2015</v>
      </c>
      <c r="G15" s="153"/>
      <c r="H15" s="1897" t="str">
        <f>D15</f>
        <v>MAY 2015</v>
      </c>
      <c r="I15" s="153"/>
      <c r="J15" s="1897" t="str">
        <f>F15</f>
        <v>MAY 31, 2015</v>
      </c>
      <c r="K15" s="153"/>
      <c r="L15" s="1897" t="str">
        <f>D15</f>
        <v>MAY 2015</v>
      </c>
      <c r="M15" s="153"/>
      <c r="N15" s="1897" t="str">
        <f>F15</f>
        <v>MAY 31, 2015</v>
      </c>
      <c r="O15" s="1896"/>
      <c r="P15" s="1963"/>
      <c r="Q15" s="1896"/>
      <c r="R15" s="1897" t="str">
        <f>D15</f>
        <v>MAY 2015</v>
      </c>
      <c r="S15" s="153"/>
      <c r="T15" s="1897" t="str">
        <f>F15</f>
        <v>MAY 31, 2015</v>
      </c>
      <c r="U15" s="1962"/>
      <c r="V15" s="1962"/>
      <c r="W15" s="1962"/>
      <c r="X15" s="2014"/>
      <c r="Y15" s="2227" t="str">
        <f>'Exhibit A'!AB12</f>
        <v>MAY 2014</v>
      </c>
      <c r="Z15" s="2014"/>
      <c r="AA15" s="2227" t="str">
        <f>'Exhibit A'!AD12</f>
        <v>MAY 31, 2014</v>
      </c>
      <c r="AB15" s="2014"/>
      <c r="AC15" s="2226"/>
      <c r="AD15" s="2228" t="s">
        <v>13</v>
      </c>
      <c r="AE15" s="1190"/>
      <c r="AF15" s="25" t="s">
        <v>14</v>
      </c>
    </row>
    <row r="16" spans="1:33" ht="15.95" customHeight="1">
      <c r="A16" s="156" t="s">
        <v>15</v>
      </c>
      <c r="B16" s="157"/>
      <c r="C16" s="157"/>
      <c r="D16" s="1132" t="s">
        <v>16</v>
      </c>
      <c r="E16" s="157"/>
      <c r="F16" s="158"/>
      <c r="G16" s="157"/>
      <c r="H16" s="1122" t="s">
        <v>16</v>
      </c>
      <c r="I16" s="157"/>
      <c r="J16" s="158"/>
      <c r="K16" s="157"/>
      <c r="L16" s="1122" t="s">
        <v>16</v>
      </c>
      <c r="M16" s="157"/>
      <c r="N16" s="158"/>
      <c r="O16" s="158"/>
      <c r="P16" s="1964"/>
      <c r="Q16" s="164"/>
      <c r="R16" s="158"/>
      <c r="S16" s="158"/>
      <c r="T16" s="158"/>
      <c r="U16" s="165"/>
      <c r="V16" s="165"/>
      <c r="W16" s="2229"/>
      <c r="X16" s="165"/>
      <c r="Y16" s="165"/>
      <c r="Z16" s="177"/>
      <c r="AA16" s="165"/>
      <c r="AB16" s="165"/>
      <c r="AC16" s="2017"/>
      <c r="AD16" s="33"/>
      <c r="AE16" s="2"/>
      <c r="AF16" s="19"/>
    </row>
    <row r="17" spans="1:32" ht="18" customHeight="1">
      <c r="A17" s="157" t="s">
        <v>17</v>
      </c>
      <c r="B17" s="166">
        <v>-6</v>
      </c>
      <c r="C17" s="157"/>
      <c r="D17" s="1133">
        <f>+'Exhibit A'!D14</f>
        <v>1740.6</v>
      </c>
      <c r="E17" s="167" t="s">
        <v>16</v>
      </c>
      <c r="F17" s="167">
        <f>+'Exhibit A'!F14</f>
        <v>6776.3</v>
      </c>
      <c r="G17" s="167"/>
      <c r="H17" s="1255">
        <f>+'Exhibit G state'!F16</f>
        <v>0</v>
      </c>
      <c r="I17" s="167"/>
      <c r="J17" s="2147">
        <f>'Exhibit G state'!AE16</f>
        <v>3.1</v>
      </c>
      <c r="K17" s="167"/>
      <c r="L17" s="1123">
        <f>+'Exhibit A'!L14</f>
        <v>580.20000000000005</v>
      </c>
      <c r="M17" s="167"/>
      <c r="N17" s="167">
        <f>+'Exhibit A'!N14</f>
        <v>2259.8000000000002</v>
      </c>
      <c r="O17" s="169"/>
      <c r="P17" s="1965"/>
      <c r="Q17" s="170"/>
      <c r="R17" s="167">
        <f t="shared" ref="R17:R22" si="0">ROUND(SUM(D17+H17+L17),1)</f>
        <v>2320.8000000000002</v>
      </c>
      <c r="S17" s="167"/>
      <c r="T17" s="168">
        <f t="shared" ref="T17:T22" si="1">ROUND(SUM(F17+J17+N17),1)</f>
        <v>9039.2000000000007</v>
      </c>
      <c r="U17" s="1969"/>
      <c r="V17" s="1969"/>
      <c r="W17" s="2230"/>
      <c r="X17" s="1969"/>
      <c r="Y17" s="1969">
        <v>2101.9</v>
      </c>
      <c r="Z17" s="1969" t="s">
        <v>16</v>
      </c>
      <c r="AA17" s="1969">
        <f>'Exh F'!AF28+'Exhibit G state'!AH16+'Exhibit H'!AD16</f>
        <v>7455.2</v>
      </c>
      <c r="AB17" s="2015"/>
      <c r="AC17" s="2018"/>
      <c r="AD17" s="2231">
        <f t="shared" ref="AD17:AD22" si="2">ROUND(SUM(T17-AA17),1)</f>
        <v>1584</v>
      </c>
      <c r="AE17" s="44"/>
      <c r="AF17" s="45">
        <f t="shared" ref="AF17:AF23" si="3">ROUND(+AD17/AA17,3)</f>
        <v>0.21199999999999999</v>
      </c>
    </row>
    <row r="18" spans="1:32" ht="18" customHeight="1">
      <c r="A18" s="157" t="s">
        <v>18</v>
      </c>
      <c r="B18" s="166" t="s">
        <v>16</v>
      </c>
      <c r="C18" s="157"/>
      <c r="D18" s="1124">
        <f>+'Exhibit A'!D15</f>
        <v>512.70000000000005</v>
      </c>
      <c r="E18" s="171"/>
      <c r="F18" s="171">
        <f>+'Exhibit A'!F15</f>
        <v>1019.7</v>
      </c>
      <c r="G18" s="171"/>
      <c r="H18" s="1256">
        <f>+'Exhibit G state'!F27</f>
        <v>146.80000000000001</v>
      </c>
      <c r="I18" s="171"/>
      <c r="J18" s="2138">
        <f>'Exhibit G state'!AE27</f>
        <v>350.4</v>
      </c>
      <c r="K18" s="171"/>
      <c r="L18" s="1124">
        <f>+'Exhibit A'!L15</f>
        <v>465.4</v>
      </c>
      <c r="M18" s="171"/>
      <c r="N18" s="171">
        <f>+'Exhibit A'!N15</f>
        <v>945.3</v>
      </c>
      <c r="O18" s="172"/>
      <c r="P18" s="1966"/>
      <c r="Q18" s="173"/>
      <c r="R18" s="171">
        <f t="shared" si="0"/>
        <v>1124.9000000000001</v>
      </c>
      <c r="S18" s="171"/>
      <c r="T18" s="174">
        <f t="shared" si="1"/>
        <v>2315.4</v>
      </c>
      <c r="U18" s="196"/>
      <c r="V18" s="196"/>
      <c r="W18" s="1971"/>
      <c r="X18" s="196"/>
      <c r="Y18" s="196">
        <v>1117.5</v>
      </c>
      <c r="Z18" s="196" t="s">
        <v>16</v>
      </c>
      <c r="AA18" s="196">
        <f>'Exh F'!AF37+'Exhibit G state'!AH27+'Exhibit H'!AD20</f>
        <v>2274.1</v>
      </c>
      <c r="AB18" s="165"/>
      <c r="AC18" s="2017"/>
      <c r="AD18" s="53">
        <f t="shared" si="2"/>
        <v>41.3</v>
      </c>
      <c r="AE18" s="2"/>
      <c r="AF18" s="45">
        <f t="shared" si="3"/>
        <v>1.7999999999999999E-2</v>
      </c>
    </row>
    <row r="19" spans="1:32" ht="18" customHeight="1">
      <c r="A19" s="157" t="s">
        <v>19</v>
      </c>
      <c r="B19" s="178"/>
      <c r="C19" s="157"/>
      <c r="D19" s="1124">
        <f>+'Exhibit A'!D16</f>
        <v>-32.799999999999997</v>
      </c>
      <c r="E19" s="171"/>
      <c r="F19" s="171">
        <f>+'Exhibit A'!F16</f>
        <v>170.7</v>
      </c>
      <c r="G19" s="171"/>
      <c r="H19" s="1256">
        <f>+'Exhibit G state'!F34</f>
        <v>43.7</v>
      </c>
      <c r="I19" s="171"/>
      <c r="J19" s="2138">
        <f>'Exhibit G state'!AE34</f>
        <v>104</v>
      </c>
      <c r="K19" s="171"/>
      <c r="L19" s="1124">
        <f>+'Exhibit A'!L16</f>
        <v>0</v>
      </c>
      <c r="M19" s="171"/>
      <c r="N19" s="171">
        <f>+'Exhibit A'!N16</f>
        <v>0</v>
      </c>
      <c r="O19" s="179"/>
      <c r="P19" s="1967"/>
      <c r="Q19" s="180"/>
      <c r="R19" s="171">
        <f t="shared" si="0"/>
        <v>10.9</v>
      </c>
      <c r="S19" s="171"/>
      <c r="T19" s="174">
        <f t="shared" si="1"/>
        <v>274.7</v>
      </c>
      <c r="U19" s="196"/>
      <c r="V19" s="196"/>
      <c r="W19" s="2232"/>
      <c r="X19" s="1970"/>
      <c r="Y19" s="196">
        <v>463.8</v>
      </c>
      <c r="Z19" s="196" t="s">
        <v>16</v>
      </c>
      <c r="AA19" s="196">
        <f>'Exh F'!AF44+'Exhibit G state'!AH34</f>
        <v>682.2</v>
      </c>
      <c r="AB19" s="165"/>
      <c r="AC19" s="2017"/>
      <c r="AD19" s="53">
        <f t="shared" si="2"/>
        <v>-407.5</v>
      </c>
      <c r="AE19" s="2"/>
      <c r="AF19" s="45">
        <f t="shared" si="3"/>
        <v>-0.59699999999999998</v>
      </c>
    </row>
    <row r="20" spans="1:32" ht="18" customHeight="1">
      <c r="A20" s="157" t="s">
        <v>20</v>
      </c>
      <c r="B20" s="181"/>
      <c r="C20" s="157"/>
      <c r="D20" s="1124">
        <f>+'Exhibit A'!D17</f>
        <v>150.80000000000001</v>
      </c>
      <c r="E20" s="171"/>
      <c r="F20" s="171">
        <f>+'Exhibit A'!F17</f>
        <v>300.60000000000002</v>
      </c>
      <c r="G20" s="171"/>
      <c r="H20" s="1256">
        <f>+'Exhibit G state'!F37</f>
        <v>87.3</v>
      </c>
      <c r="I20" s="171"/>
      <c r="J20" s="2138">
        <f>'Exhibit G state'!AE37</f>
        <v>219.9</v>
      </c>
      <c r="K20" s="171"/>
      <c r="L20" s="1124">
        <f>+'Exhibit A'!L17</f>
        <v>97</v>
      </c>
      <c r="M20" s="171"/>
      <c r="N20" s="171">
        <f>+'Exhibit A'!N17</f>
        <v>183.3</v>
      </c>
      <c r="O20" s="172"/>
      <c r="P20" s="1966"/>
      <c r="Q20" s="173"/>
      <c r="R20" s="171">
        <f t="shared" si="0"/>
        <v>335.1</v>
      </c>
      <c r="S20" s="171"/>
      <c r="T20" s="174">
        <f t="shared" si="1"/>
        <v>703.8</v>
      </c>
      <c r="U20" s="196"/>
      <c r="V20" s="196"/>
      <c r="W20" s="1971"/>
      <c r="X20" s="196"/>
      <c r="Y20" s="196">
        <v>290</v>
      </c>
      <c r="Z20" s="196" t="s">
        <v>16</v>
      </c>
      <c r="AA20" s="196">
        <f>'Exh F'!AF52+'Exhibit G state'!AH37+'Exhibit H'!AD23</f>
        <v>576.9</v>
      </c>
      <c r="AB20" s="165"/>
      <c r="AC20" s="2017"/>
      <c r="AD20" s="53">
        <f t="shared" si="2"/>
        <v>126.9</v>
      </c>
      <c r="AE20" s="2"/>
      <c r="AF20" s="45">
        <f t="shared" si="3"/>
        <v>0.22</v>
      </c>
    </row>
    <row r="21" spans="1:32" ht="18" customHeight="1">
      <c r="A21" s="157" t="s">
        <v>21</v>
      </c>
      <c r="B21" s="182">
        <v>-5</v>
      </c>
      <c r="C21" s="157"/>
      <c r="D21" s="1124">
        <f>+'Exhibit A'!D18</f>
        <v>2444.6</v>
      </c>
      <c r="E21" s="171"/>
      <c r="F21" s="171">
        <f>+'Exhibit A'!F18</f>
        <v>2622.8</v>
      </c>
      <c r="G21" s="171"/>
      <c r="H21" s="1256">
        <f>+'Exhibit G state'!F80</f>
        <v>1552.6</v>
      </c>
      <c r="I21" s="171"/>
      <c r="J21" s="2138">
        <f>'Exhibit G state'!AE80</f>
        <v>1991.3</v>
      </c>
      <c r="K21" s="171"/>
      <c r="L21" s="1124">
        <f>+'Exhibit A'!L18</f>
        <v>94.7</v>
      </c>
      <c r="M21" s="171"/>
      <c r="N21" s="171">
        <f>+'Exhibit A'!N18</f>
        <v>86.4</v>
      </c>
      <c r="O21" s="172"/>
      <c r="P21" s="1966"/>
      <c r="Q21" s="173"/>
      <c r="R21" s="171">
        <f t="shared" si="0"/>
        <v>4091.9</v>
      </c>
      <c r="S21" s="171"/>
      <c r="T21" s="174">
        <f t="shared" si="1"/>
        <v>4700.5</v>
      </c>
      <c r="U21" s="196"/>
      <c r="V21" s="196"/>
      <c r="W21" s="1971"/>
      <c r="X21" s="196"/>
      <c r="Y21" s="196">
        <v>3078.6</v>
      </c>
      <c r="Z21" s="196" t="s">
        <v>16</v>
      </c>
      <c r="AA21" s="196">
        <f>+'Exh F'!AF89+'Exhibit G state'!AH80+'Exhibit H'!AD43</f>
        <v>4447.2</v>
      </c>
      <c r="AB21" s="165"/>
      <c r="AC21" s="2017"/>
      <c r="AD21" s="53">
        <f t="shared" si="2"/>
        <v>253.3</v>
      </c>
      <c r="AE21" s="2"/>
      <c r="AF21" s="45">
        <f t="shared" si="3"/>
        <v>5.7000000000000002E-2</v>
      </c>
    </row>
    <row r="22" spans="1:32" ht="18" customHeight="1">
      <c r="A22" s="157" t="s">
        <v>22</v>
      </c>
      <c r="B22" s="182">
        <v>-5</v>
      </c>
      <c r="C22" s="157"/>
      <c r="D22" s="1124">
        <f>+'Exhibit A'!D19</f>
        <v>0.1</v>
      </c>
      <c r="E22" s="171"/>
      <c r="F22" s="171">
        <f>+'Exhibit A'!F19</f>
        <v>0.1</v>
      </c>
      <c r="G22" s="171"/>
      <c r="H22" s="1256">
        <f>+'Exhibit G state'!F82</f>
        <v>0</v>
      </c>
      <c r="I22" s="171"/>
      <c r="J22" s="2138">
        <f>'Exhibit G state'!AE82</f>
        <v>0</v>
      </c>
      <c r="K22" s="171"/>
      <c r="L22" s="1124">
        <f>+'Exhibit A'!L19</f>
        <v>0</v>
      </c>
      <c r="M22" s="176"/>
      <c r="N22" s="171">
        <f>+'Exhibit A'!N19</f>
        <v>0</v>
      </c>
      <c r="O22" s="179"/>
      <c r="P22" s="1967"/>
      <c r="Q22" s="180"/>
      <c r="R22" s="176">
        <f t="shared" si="0"/>
        <v>0.1</v>
      </c>
      <c r="S22" s="179"/>
      <c r="T22" s="174">
        <f t="shared" si="1"/>
        <v>0.1</v>
      </c>
      <c r="U22" s="196"/>
      <c r="V22" s="196"/>
      <c r="W22" s="2232"/>
      <c r="X22" s="2233"/>
      <c r="Y22" s="196">
        <v>0</v>
      </c>
      <c r="Z22" s="196" t="s">
        <v>16</v>
      </c>
      <c r="AA22" s="196">
        <f>+'Exh F'!AF91+'Exhibit G state'!AH82+'Exhibit H'!AD45</f>
        <v>0.5</v>
      </c>
      <c r="AB22" s="165"/>
      <c r="AC22" s="2017"/>
      <c r="AD22" s="53">
        <f t="shared" si="2"/>
        <v>-0.4</v>
      </c>
      <c r="AE22" s="2"/>
      <c r="AF22" s="45">
        <f t="shared" si="3"/>
        <v>-0.8</v>
      </c>
    </row>
    <row r="23" spans="1:32" ht="18" customHeight="1">
      <c r="A23" s="156" t="s">
        <v>23</v>
      </c>
      <c r="B23" s="157"/>
      <c r="C23" s="157"/>
      <c r="D23" s="183">
        <f>ROUND(SUM(D17:D22),1)</f>
        <v>4816</v>
      </c>
      <c r="E23" s="184"/>
      <c r="F23" s="185">
        <f>ROUND(SUM(F17:F22),1)</f>
        <v>10890.2</v>
      </c>
      <c r="G23" s="184"/>
      <c r="H23" s="183">
        <f>ROUND(SUM(H17:H22),1)</f>
        <v>1830.4</v>
      </c>
      <c r="I23" s="184"/>
      <c r="J23" s="183">
        <f>ROUND(SUM(J17:J22),1)</f>
        <v>2668.7</v>
      </c>
      <c r="K23" s="184"/>
      <c r="L23" s="183">
        <f>ROUND(SUM(L17:L22),1)</f>
        <v>1237.3</v>
      </c>
      <c r="M23" s="184"/>
      <c r="N23" s="183">
        <f>ROUND(SUM(N17:N22),1)</f>
        <v>3474.8</v>
      </c>
      <c r="O23" s="186"/>
      <c r="P23" s="202"/>
      <c r="Q23" s="187"/>
      <c r="R23" s="183">
        <f>ROUND(SUM(R17:R22),1)</f>
        <v>7883.7</v>
      </c>
      <c r="S23" s="186"/>
      <c r="T23" s="183">
        <f>ROUND(SUM(T17:T22),1)</f>
        <v>17033.7</v>
      </c>
      <c r="U23" s="204"/>
      <c r="V23" s="204"/>
      <c r="W23" s="2234"/>
      <c r="X23" s="204"/>
      <c r="Y23" s="2235">
        <f>ROUND(SUM(Y17:Y22),1)</f>
        <v>7051.8</v>
      </c>
      <c r="Z23" s="200"/>
      <c r="AA23" s="2235">
        <f>ROUND(SUM(AA17:AA22),1)</f>
        <v>15436.1</v>
      </c>
      <c r="AB23" s="205"/>
      <c r="AC23" s="2019"/>
      <c r="AD23" s="2236">
        <f>ROUND(SUM(AD17:AD22),1)</f>
        <v>1597.6</v>
      </c>
      <c r="AE23" s="71"/>
      <c r="AF23" s="72">
        <f t="shared" si="3"/>
        <v>0.10299999999999999</v>
      </c>
    </row>
    <row r="24" spans="1:32" ht="15.95" customHeight="1">
      <c r="A24" s="156"/>
      <c r="B24" s="157"/>
      <c r="C24" s="157"/>
      <c r="D24" s="1125"/>
      <c r="E24" s="171"/>
      <c r="F24" s="172"/>
      <c r="G24" s="171"/>
      <c r="H24" s="1125"/>
      <c r="I24" s="171"/>
      <c r="J24" s="172"/>
      <c r="K24" s="171"/>
      <c r="L24" s="1125"/>
      <c r="M24" s="171"/>
      <c r="N24" s="172"/>
      <c r="O24" s="172"/>
      <c r="P24" s="1966"/>
      <c r="Q24" s="173"/>
      <c r="R24" s="172"/>
      <c r="S24" s="172"/>
      <c r="T24" s="172"/>
      <c r="U24" s="197"/>
      <c r="V24" s="197"/>
      <c r="W24" s="1971"/>
      <c r="X24" s="197"/>
      <c r="Y24" s="197"/>
      <c r="Z24" s="196"/>
      <c r="AA24" s="197"/>
      <c r="AB24" s="165"/>
      <c r="AC24" s="2017"/>
      <c r="AD24" s="54"/>
      <c r="AE24" s="2"/>
      <c r="AF24" s="19"/>
    </row>
    <row r="25" spans="1:32" ht="15.95" customHeight="1">
      <c r="A25" s="156" t="s">
        <v>24</v>
      </c>
      <c r="B25" s="157"/>
      <c r="C25" s="157"/>
      <c r="D25" s="1124"/>
      <c r="E25" s="171"/>
      <c r="F25" s="171"/>
      <c r="G25" s="171"/>
      <c r="H25" s="1124"/>
      <c r="I25" s="171"/>
      <c r="J25" s="171"/>
      <c r="K25" s="171"/>
      <c r="L25" s="1124"/>
      <c r="M25" s="171"/>
      <c r="N25" s="171"/>
      <c r="O25" s="172"/>
      <c r="P25" s="1966"/>
      <c r="Q25" s="173"/>
      <c r="R25" s="171"/>
      <c r="S25" s="171"/>
      <c r="T25" s="171"/>
      <c r="U25" s="196"/>
      <c r="V25" s="196"/>
      <c r="W25" s="1971"/>
      <c r="X25" s="196"/>
      <c r="Y25" s="196"/>
      <c r="Z25" s="196"/>
      <c r="AA25" s="196"/>
      <c r="AB25" s="165"/>
      <c r="AC25" s="2017"/>
      <c r="AD25" s="53"/>
      <c r="AE25" s="2"/>
      <c r="AF25" s="19"/>
    </row>
    <row r="26" spans="1:32" ht="15.95" customHeight="1">
      <c r="A26" s="157" t="s">
        <v>25</v>
      </c>
      <c r="B26" s="181" t="s">
        <v>1209</v>
      </c>
      <c r="C26" s="157"/>
      <c r="D26" s="1126"/>
      <c r="E26" s="176"/>
      <c r="F26" s="175"/>
      <c r="G26" s="171"/>
      <c r="H26" s="1126"/>
      <c r="I26" s="176"/>
      <c r="J26" s="175"/>
      <c r="K26" s="171"/>
      <c r="L26" s="1126"/>
      <c r="M26" s="171"/>
      <c r="N26" s="176"/>
      <c r="O26" s="172"/>
      <c r="P26" s="1966"/>
      <c r="Q26" s="173"/>
      <c r="R26" s="176"/>
      <c r="S26" s="176"/>
      <c r="T26" s="176"/>
      <c r="U26" s="196"/>
      <c r="V26" s="196"/>
      <c r="W26" s="1971"/>
      <c r="X26" s="1970"/>
      <c r="Y26" s="196"/>
      <c r="Z26" s="196"/>
      <c r="AA26" s="196"/>
      <c r="AB26" s="165"/>
      <c r="AC26" s="2017"/>
      <c r="AD26" s="2237"/>
      <c r="AE26" s="2"/>
      <c r="AF26" s="76"/>
    </row>
    <row r="27" spans="1:32" ht="18" customHeight="1">
      <c r="A27" s="1731" t="s">
        <v>26</v>
      </c>
      <c r="B27" s="157"/>
      <c r="C27" s="157"/>
      <c r="D27" s="1134">
        <f>+'Exhibit A'!D24</f>
        <v>2822.2</v>
      </c>
      <c r="E27" s="171"/>
      <c r="F27" s="188">
        <f>+'Exhibit A'!F24</f>
        <v>3393.8</v>
      </c>
      <c r="G27" s="171"/>
      <c r="H27" s="1134">
        <f>+'Exhibit G state'!F88</f>
        <v>1.6</v>
      </c>
      <c r="I27" s="171"/>
      <c r="J27" s="188">
        <f>+'Exhibit G state'!AE88</f>
        <v>1.7</v>
      </c>
      <c r="K27" s="171"/>
      <c r="L27" s="1126">
        <f>+'Exhibit A'!L24</f>
        <v>0</v>
      </c>
      <c r="M27" s="171"/>
      <c r="N27" s="176">
        <f>+'Exhibit A'!N24</f>
        <v>0</v>
      </c>
      <c r="O27" s="179"/>
      <c r="P27" s="1967"/>
      <c r="Q27" s="180"/>
      <c r="R27" s="174">
        <f>ROUND(SUM(D27+H27+L27),1)</f>
        <v>2823.8</v>
      </c>
      <c r="S27" s="174"/>
      <c r="T27" s="174">
        <f>ROUND(SUM(F27+J27+N27),1)</f>
        <v>3395.5</v>
      </c>
      <c r="U27" s="196"/>
      <c r="V27" s="196"/>
      <c r="W27" s="2232"/>
      <c r="X27" s="1970"/>
      <c r="Y27" s="196">
        <v>3022.6</v>
      </c>
      <c r="Z27" s="196" t="s">
        <v>16</v>
      </c>
      <c r="AA27" s="196">
        <f>+'Exh F'!AF97+'Exhibit G state'!AH88</f>
        <v>3339.6</v>
      </c>
      <c r="AB27" s="165"/>
      <c r="AC27" s="2017"/>
      <c r="AD27" s="53">
        <f>ROUND(SUM(T27-AA27),1)</f>
        <v>55.9</v>
      </c>
      <c r="AE27" s="2"/>
      <c r="AF27" s="45">
        <f>ROUND(+AD27/AA27,3)</f>
        <v>1.7000000000000001E-2</v>
      </c>
    </row>
    <row r="28" spans="1:32" ht="18" customHeight="1">
      <c r="A28" s="1731" t="s">
        <v>27</v>
      </c>
      <c r="B28" s="181"/>
      <c r="C28" s="157"/>
      <c r="D28" s="1134">
        <f>+'Exhibit A'!D25</f>
        <v>0.5</v>
      </c>
      <c r="E28" s="171"/>
      <c r="F28" s="188">
        <f>+'Exhibit A'!F25</f>
        <v>0.5</v>
      </c>
      <c r="G28" s="171"/>
      <c r="H28" s="1134">
        <f>+'Exhibit G state'!F89</f>
        <v>0.4</v>
      </c>
      <c r="I28" s="174"/>
      <c r="J28" s="188">
        <f>+'Exhibit G state'!AE89</f>
        <v>0.4</v>
      </c>
      <c r="K28" s="171"/>
      <c r="L28" s="1126">
        <f>+'Exhibit A'!L25</f>
        <v>0</v>
      </c>
      <c r="M28" s="171"/>
      <c r="N28" s="176">
        <f>+'Exhibit A'!N25</f>
        <v>0</v>
      </c>
      <c r="O28" s="179"/>
      <c r="P28" s="1967"/>
      <c r="Q28" s="180"/>
      <c r="R28" s="174">
        <f t="shared" ref="R28:R35" si="4">ROUND(SUM(D28+H28+L28),1)</f>
        <v>0.9</v>
      </c>
      <c r="S28" s="174"/>
      <c r="T28" s="174">
        <f t="shared" ref="T28:T35" si="5">ROUND(SUM(F28+J28+N28),1)</f>
        <v>0.9</v>
      </c>
      <c r="U28" s="196"/>
      <c r="V28" s="196"/>
      <c r="W28" s="2232"/>
      <c r="X28" s="1970"/>
      <c r="Y28" s="1129">
        <v>0.1</v>
      </c>
      <c r="Z28" s="196" t="s">
        <v>16</v>
      </c>
      <c r="AA28" s="196">
        <f>+'Exh F'!AF98+'Exhibit G state'!AH89</f>
        <v>0.4</v>
      </c>
      <c r="AB28" s="165"/>
      <c r="AC28" s="2017"/>
      <c r="AD28" s="53">
        <f>ROUND(SUM(T28-AA28),1)</f>
        <v>0.5</v>
      </c>
      <c r="AE28" s="2"/>
      <c r="AF28" s="45">
        <f>ROUND(+AD28/AA28,3)</f>
        <v>1.25</v>
      </c>
    </row>
    <row r="29" spans="1:32" ht="18" customHeight="1">
      <c r="A29" s="1731" t="s">
        <v>28</v>
      </c>
      <c r="B29" s="189"/>
      <c r="C29" s="157"/>
      <c r="D29" s="1134">
        <f>+'Exhibit A'!D26</f>
        <v>15.4</v>
      </c>
      <c r="E29" s="171"/>
      <c r="F29" s="188">
        <f>+'Exhibit A'!F26</f>
        <v>17.8</v>
      </c>
      <c r="G29" s="171"/>
      <c r="H29" s="1134">
        <f>+'Exhibit G state'!F90</f>
        <v>16.2</v>
      </c>
      <c r="I29" s="171"/>
      <c r="J29" s="188">
        <f>+'Exhibit G state'!AE90</f>
        <v>28.1</v>
      </c>
      <c r="K29" s="171"/>
      <c r="L29" s="1126">
        <f>+'Exhibit A'!L26</f>
        <v>0</v>
      </c>
      <c r="M29" s="171"/>
      <c r="N29" s="176">
        <f>+'Exhibit A'!N26</f>
        <v>0</v>
      </c>
      <c r="O29" s="179"/>
      <c r="P29" s="1967"/>
      <c r="Q29" s="180"/>
      <c r="R29" s="174">
        <f t="shared" si="4"/>
        <v>31.6</v>
      </c>
      <c r="S29" s="174"/>
      <c r="T29" s="174">
        <f t="shared" si="5"/>
        <v>45.9</v>
      </c>
      <c r="U29" s="196"/>
      <c r="V29" s="196"/>
      <c r="W29" s="2232"/>
      <c r="X29" s="1970"/>
      <c r="Y29" s="196">
        <v>21.1</v>
      </c>
      <c r="Z29" s="196" t="s">
        <v>16</v>
      </c>
      <c r="AA29" s="196">
        <f>+'Exh F'!AF99+'Exhibit G state'!AH90</f>
        <v>35.299999999999997</v>
      </c>
      <c r="AB29" s="165"/>
      <c r="AC29" s="2017"/>
      <c r="AD29" s="53">
        <f>ROUND(SUM(T29-AA29),1)</f>
        <v>10.6</v>
      </c>
      <c r="AE29" s="2"/>
      <c r="AF29" s="45">
        <f>ROUND(+AD29/AA29,3)</f>
        <v>0.3</v>
      </c>
    </row>
    <row r="30" spans="1:32" ht="18" customHeight="1">
      <c r="A30" s="1731" t="s">
        <v>29</v>
      </c>
      <c r="B30" s="189"/>
      <c r="C30" s="157"/>
      <c r="D30" s="1134"/>
      <c r="E30" s="171"/>
      <c r="F30" s="188"/>
      <c r="G30" s="171"/>
      <c r="H30" s="1134"/>
      <c r="I30" s="171"/>
      <c r="J30" s="188"/>
      <c r="K30" s="171"/>
      <c r="L30" s="1126"/>
      <c r="M30" s="171"/>
      <c r="N30" s="176"/>
      <c r="O30" s="179"/>
      <c r="P30" s="1967"/>
      <c r="Q30" s="180"/>
      <c r="R30" s="1136" t="s">
        <v>16</v>
      </c>
      <c r="S30" s="174"/>
      <c r="T30" s="1136" t="s">
        <v>16</v>
      </c>
      <c r="U30" s="196"/>
      <c r="V30" s="196"/>
      <c r="W30" s="2232"/>
      <c r="X30" s="1970"/>
      <c r="Y30" s="1129" t="s">
        <v>16</v>
      </c>
      <c r="Z30" s="196" t="s">
        <v>16</v>
      </c>
      <c r="AA30" s="1129" t="s">
        <v>16</v>
      </c>
      <c r="AB30" s="165"/>
      <c r="AC30" s="2017"/>
      <c r="AD30" s="53"/>
      <c r="AE30" s="2"/>
      <c r="AF30" s="45"/>
    </row>
    <row r="31" spans="1:32" ht="18" customHeight="1">
      <c r="A31" s="1732" t="s">
        <v>30</v>
      </c>
      <c r="B31" s="182">
        <v>-5</v>
      </c>
      <c r="C31" s="157"/>
      <c r="D31" s="1134">
        <f>+'Exhibit A'!D28</f>
        <v>1598.6</v>
      </c>
      <c r="E31" s="171"/>
      <c r="F31" s="188">
        <f>+'Exhibit A'!F28</f>
        <v>2822.9</v>
      </c>
      <c r="G31" s="171"/>
      <c r="H31" s="1134">
        <f>+'Exhibit G state'!F92</f>
        <v>310.3</v>
      </c>
      <c r="I31" s="171"/>
      <c r="J31" s="188">
        <f>+'Exhibit G state'!AE92</f>
        <v>719.2</v>
      </c>
      <c r="K31" s="171"/>
      <c r="L31" s="1126">
        <f>+'Exhibit A'!L28</f>
        <v>0</v>
      </c>
      <c r="M31" s="171"/>
      <c r="N31" s="176">
        <f>+'Exhibit A'!N28</f>
        <v>0</v>
      </c>
      <c r="O31" s="179"/>
      <c r="P31" s="1967"/>
      <c r="Q31" s="180"/>
      <c r="R31" s="174">
        <f t="shared" si="4"/>
        <v>1908.9</v>
      </c>
      <c r="S31" s="174"/>
      <c r="T31" s="174">
        <f t="shared" si="5"/>
        <v>3542.1</v>
      </c>
      <c r="U31" s="196"/>
      <c r="V31" s="196"/>
      <c r="W31" s="2232"/>
      <c r="X31" s="1970"/>
      <c r="Y31" s="196">
        <v>1531.4</v>
      </c>
      <c r="Z31" s="196" t="s">
        <v>16</v>
      </c>
      <c r="AA31" s="196">
        <f>+'Exh F'!AF101+'Exhibit G state'!AH92</f>
        <v>2901.2</v>
      </c>
      <c r="AB31" s="165"/>
      <c r="AC31" s="2017"/>
      <c r="AD31" s="53">
        <f t="shared" ref="AD31:AD36" si="6">ROUND(SUM(T31-AA31),1)</f>
        <v>640.9</v>
      </c>
      <c r="AE31" s="2"/>
      <c r="AF31" s="45">
        <f t="shared" ref="AF31:AF36" si="7">ROUND(+AD31/AA31,3)</f>
        <v>0.221</v>
      </c>
    </row>
    <row r="32" spans="1:32" ht="18" customHeight="1">
      <c r="A32" s="1731" t="s">
        <v>31</v>
      </c>
      <c r="B32" s="189"/>
      <c r="C32" s="157"/>
      <c r="D32" s="1134">
        <f>+'Exhibit A'!D29</f>
        <v>190.3</v>
      </c>
      <c r="E32" s="171"/>
      <c r="F32" s="188">
        <f>+'Exhibit A'!F29</f>
        <v>203.3</v>
      </c>
      <c r="G32" s="171"/>
      <c r="H32" s="1134">
        <f>+'Exhibit G state'!F93</f>
        <v>70.3</v>
      </c>
      <c r="I32" s="171"/>
      <c r="J32" s="188">
        <f>+'Exhibit G state'!AE93</f>
        <v>156.1</v>
      </c>
      <c r="K32" s="171"/>
      <c r="L32" s="1126">
        <f>+'Exhibit A'!L29</f>
        <v>0</v>
      </c>
      <c r="M32" s="171"/>
      <c r="N32" s="176">
        <f>+'Exhibit A'!N29</f>
        <v>0</v>
      </c>
      <c r="O32" s="179"/>
      <c r="P32" s="1967"/>
      <c r="Q32" s="180"/>
      <c r="R32" s="174">
        <f t="shared" si="4"/>
        <v>260.60000000000002</v>
      </c>
      <c r="S32" s="174"/>
      <c r="T32" s="174">
        <f t="shared" si="5"/>
        <v>359.4</v>
      </c>
      <c r="U32" s="196"/>
      <c r="V32" s="196"/>
      <c r="W32" s="2232"/>
      <c r="X32" s="1970"/>
      <c r="Y32" s="196">
        <v>216.6</v>
      </c>
      <c r="Z32" s="196" t="s">
        <v>16</v>
      </c>
      <c r="AA32" s="196">
        <f>+'Exh F'!AF102+'Exhibit G state'!AH93</f>
        <v>299.89999999999998</v>
      </c>
      <c r="AB32" s="165"/>
      <c r="AC32" s="2017"/>
      <c r="AD32" s="53">
        <f t="shared" si="6"/>
        <v>59.5</v>
      </c>
      <c r="AE32" s="2"/>
      <c r="AF32" s="45">
        <f t="shared" si="7"/>
        <v>0.19800000000000001</v>
      </c>
    </row>
    <row r="33" spans="1:32" ht="18" customHeight="1">
      <c r="A33" s="1731" t="s">
        <v>32</v>
      </c>
      <c r="B33" s="157"/>
      <c r="C33" s="157"/>
      <c r="D33" s="1134">
        <f>+'Exhibit A'!D30</f>
        <v>29.8</v>
      </c>
      <c r="E33" s="171"/>
      <c r="F33" s="188">
        <f>+'Exhibit A'!F30</f>
        <v>34.200000000000003</v>
      </c>
      <c r="G33" s="171"/>
      <c r="H33" s="1134">
        <f>+'Exhibit G state'!F94</f>
        <v>14.7</v>
      </c>
      <c r="I33" s="171"/>
      <c r="J33" s="188">
        <f>+'Exhibit G state'!AE94</f>
        <v>24.9</v>
      </c>
      <c r="K33" s="171"/>
      <c r="L33" s="1126">
        <f>+'Exhibit A'!L30</f>
        <v>0</v>
      </c>
      <c r="M33" s="171"/>
      <c r="N33" s="176">
        <f>+'Exhibit A'!N30</f>
        <v>0</v>
      </c>
      <c r="O33" s="179"/>
      <c r="P33" s="1967"/>
      <c r="Q33" s="180"/>
      <c r="R33" s="174">
        <f t="shared" si="4"/>
        <v>44.5</v>
      </c>
      <c r="S33" s="174"/>
      <c r="T33" s="174">
        <f t="shared" si="5"/>
        <v>59.1</v>
      </c>
      <c r="U33" s="196"/>
      <c r="V33" s="196"/>
      <c r="W33" s="2232"/>
      <c r="X33" s="1970"/>
      <c r="Y33" s="196">
        <v>27.9</v>
      </c>
      <c r="Z33" s="196" t="s">
        <v>16</v>
      </c>
      <c r="AA33" s="196">
        <f>+'Exh F'!AF103+'Exhibit G state'!AH94</f>
        <v>43.1</v>
      </c>
      <c r="AB33" s="165"/>
      <c r="AC33" s="2017"/>
      <c r="AD33" s="53">
        <f t="shared" si="6"/>
        <v>16</v>
      </c>
      <c r="AE33" s="2"/>
      <c r="AF33" s="45">
        <f t="shared" si="7"/>
        <v>0.371</v>
      </c>
    </row>
    <row r="34" spans="1:32" ht="18" customHeight="1">
      <c r="A34" s="1731" t="s">
        <v>33</v>
      </c>
      <c r="B34" s="157"/>
      <c r="C34" s="157"/>
      <c r="D34" s="1134">
        <f>+'Exhibit A'!D31</f>
        <v>138.19999999999999</v>
      </c>
      <c r="E34" s="171"/>
      <c r="F34" s="188">
        <f>+'Exhibit A'!F31</f>
        <v>270.39999999999998</v>
      </c>
      <c r="G34" s="171"/>
      <c r="H34" s="1134">
        <f>+'Exhibit G state'!F95</f>
        <v>0.8</v>
      </c>
      <c r="I34" s="171"/>
      <c r="J34" s="188">
        <f>+'Exhibit G state'!AE95</f>
        <v>1.3</v>
      </c>
      <c r="K34" s="171"/>
      <c r="L34" s="1126">
        <f>+'Exhibit A'!L31</f>
        <v>0</v>
      </c>
      <c r="M34" s="171"/>
      <c r="N34" s="176">
        <f>+'Exhibit A'!N31</f>
        <v>0</v>
      </c>
      <c r="O34" s="179"/>
      <c r="P34" s="1967"/>
      <c r="Q34" s="180"/>
      <c r="R34" s="174">
        <f t="shared" si="4"/>
        <v>139</v>
      </c>
      <c r="S34" s="174"/>
      <c r="T34" s="174">
        <f t="shared" si="5"/>
        <v>271.7</v>
      </c>
      <c r="U34" s="196"/>
      <c r="V34" s="196"/>
      <c r="W34" s="2232"/>
      <c r="X34" s="1970"/>
      <c r="Y34" s="196">
        <v>203</v>
      </c>
      <c r="Z34" s="196" t="s">
        <v>16</v>
      </c>
      <c r="AA34" s="196">
        <f>+'Exh F'!AF104+'Exhibit G state'!AH95</f>
        <v>331.2</v>
      </c>
      <c r="AB34" s="165"/>
      <c r="AC34" s="2017"/>
      <c r="AD34" s="53">
        <f t="shared" si="6"/>
        <v>-59.5</v>
      </c>
      <c r="AE34" s="2"/>
      <c r="AF34" s="45">
        <f t="shared" si="7"/>
        <v>-0.18</v>
      </c>
    </row>
    <row r="35" spans="1:32" ht="18" customHeight="1">
      <c r="A35" s="1731" t="s">
        <v>34</v>
      </c>
      <c r="B35" s="157"/>
      <c r="C35" s="157"/>
      <c r="D35" s="1134">
        <f>+'Exhibit A'!D32</f>
        <v>7.2</v>
      </c>
      <c r="E35" s="171"/>
      <c r="F35" s="188">
        <f>+'Exhibit A'!F32</f>
        <v>9.5</v>
      </c>
      <c r="G35" s="171"/>
      <c r="H35" s="1134">
        <f>+'Exhibit G state'!F96</f>
        <v>1.5</v>
      </c>
      <c r="I35" s="171"/>
      <c r="J35" s="188">
        <f>+'Exhibit G state'!AE96</f>
        <v>3.8</v>
      </c>
      <c r="K35" s="171"/>
      <c r="L35" s="1126">
        <f>+'Exhibit A'!L32</f>
        <v>0</v>
      </c>
      <c r="M35" s="171"/>
      <c r="N35" s="176">
        <f>+'Exhibit A'!N32</f>
        <v>0</v>
      </c>
      <c r="O35" s="179"/>
      <c r="P35" s="1967"/>
      <c r="Q35" s="180"/>
      <c r="R35" s="174">
        <f t="shared" si="4"/>
        <v>8.6999999999999993</v>
      </c>
      <c r="S35" s="174"/>
      <c r="T35" s="174">
        <f t="shared" si="5"/>
        <v>13.3</v>
      </c>
      <c r="U35" s="196"/>
      <c r="V35" s="196"/>
      <c r="W35" s="2232"/>
      <c r="X35" s="1970"/>
      <c r="Y35" s="1129">
        <v>8.3000000000000007</v>
      </c>
      <c r="Z35" s="196" t="s">
        <v>16</v>
      </c>
      <c r="AA35" s="196">
        <f>+'Exh F'!AF105+'Exhibit G state'!AH96</f>
        <v>16.3</v>
      </c>
      <c r="AB35" s="165"/>
      <c r="AC35" s="2017"/>
      <c r="AD35" s="53">
        <f t="shared" si="6"/>
        <v>-3</v>
      </c>
      <c r="AE35" s="2"/>
      <c r="AF35" s="45">
        <f t="shared" si="7"/>
        <v>-0.184</v>
      </c>
    </row>
    <row r="36" spans="1:32" ht="18" customHeight="1">
      <c r="A36" s="1731" t="s">
        <v>35</v>
      </c>
      <c r="B36" s="157"/>
      <c r="C36" s="157"/>
      <c r="D36" s="1134">
        <f>+'Exhibit A'!D33</f>
        <v>24.3</v>
      </c>
      <c r="E36" s="171"/>
      <c r="F36" s="188">
        <f>+'Exhibit A'!F33</f>
        <v>24.3</v>
      </c>
      <c r="G36" s="171"/>
      <c r="H36" s="1134">
        <f>+'Exhibit G state'!F97</f>
        <v>470.2</v>
      </c>
      <c r="I36" s="171"/>
      <c r="J36" s="188">
        <f>+'Exhibit G state'!AE97</f>
        <v>595.5</v>
      </c>
      <c r="K36" s="171"/>
      <c r="L36" s="1126">
        <f>+'Exhibit A'!L33</f>
        <v>0</v>
      </c>
      <c r="M36" s="171"/>
      <c r="N36" s="176">
        <f>+'Exhibit A'!N33</f>
        <v>0</v>
      </c>
      <c r="O36" s="179"/>
      <c r="P36" s="1967"/>
      <c r="Q36" s="180"/>
      <c r="R36" s="190">
        <f>ROUND(SUM(D36+H36+L36),1)</f>
        <v>494.5</v>
      </c>
      <c r="S36" s="174"/>
      <c r="T36" s="190">
        <f>ROUND(SUM(F36+J36+N36),1)</f>
        <v>619.79999999999995</v>
      </c>
      <c r="U36" s="196"/>
      <c r="V36" s="196"/>
      <c r="W36" s="2232"/>
      <c r="X36" s="1970"/>
      <c r="Y36" s="2738">
        <v>566</v>
      </c>
      <c r="Z36" s="196" t="s">
        <v>16</v>
      </c>
      <c r="AA36" s="197">
        <f>+'Exh F'!AF106+'Exhibit G state'!AH97</f>
        <v>721.19999999999993</v>
      </c>
      <c r="AB36" s="165"/>
      <c r="AC36" s="2017"/>
      <c r="AD36" s="53">
        <f t="shared" si="6"/>
        <v>-101.4</v>
      </c>
      <c r="AE36" s="2"/>
      <c r="AF36" s="45">
        <f t="shared" si="7"/>
        <v>-0.14099999999999999</v>
      </c>
    </row>
    <row r="37" spans="1:32" ht="18" customHeight="1">
      <c r="A37" s="156" t="s">
        <v>36</v>
      </c>
      <c r="B37" s="157"/>
      <c r="C37" s="157"/>
      <c r="D37" s="183">
        <f>ROUND(SUM(D27:D36),1)</f>
        <v>4826.5</v>
      </c>
      <c r="E37" s="184"/>
      <c r="F37" s="183">
        <f>ROUND(SUM(F27:F36),1)</f>
        <v>6776.7</v>
      </c>
      <c r="G37" s="184"/>
      <c r="H37" s="183">
        <f>ROUND(SUM(H27:H36),1)</f>
        <v>886</v>
      </c>
      <c r="I37" s="184"/>
      <c r="J37" s="183">
        <f>ROUND(SUM(J27:J36),1)</f>
        <v>1531</v>
      </c>
      <c r="K37" s="184"/>
      <c r="L37" s="191">
        <f>ROUND(SUM(L27:L36),1)</f>
        <v>0</v>
      </c>
      <c r="M37" s="184"/>
      <c r="N37" s="192">
        <f>ROUND(SUM(N27:N36),1)</f>
        <v>0</v>
      </c>
      <c r="O37" s="193"/>
      <c r="P37" s="1968"/>
      <c r="Q37" s="194"/>
      <c r="R37" s="183">
        <f>ROUND(SUM(R27:R36),1)</f>
        <v>5712.5</v>
      </c>
      <c r="S37" s="193"/>
      <c r="T37" s="183">
        <f>ROUND(SUM(T27:T36),1)</f>
        <v>8307.7000000000007</v>
      </c>
      <c r="U37" s="204"/>
      <c r="V37" s="204"/>
      <c r="W37" s="2238"/>
      <c r="X37" s="2239"/>
      <c r="Y37" s="2235">
        <f>ROUND(SUM(Y27:Y36),1)</f>
        <v>5597</v>
      </c>
      <c r="Z37" s="200"/>
      <c r="AA37" s="2235">
        <f>ROUND(SUM(AA27:AA36),1)</f>
        <v>7688.2</v>
      </c>
      <c r="AB37" s="205"/>
      <c r="AC37" s="2019"/>
      <c r="AD37" s="2236">
        <f>ROUND(SUM(AD27:AD36),1)</f>
        <v>619.5</v>
      </c>
      <c r="AE37" s="71"/>
      <c r="AF37" s="72">
        <f>ROUND(+AD37/AA37,3)</f>
        <v>8.1000000000000003E-2</v>
      </c>
    </row>
    <row r="38" spans="1:32" ht="18" customHeight="1">
      <c r="A38" s="157" t="s">
        <v>37</v>
      </c>
      <c r="B38" s="189"/>
      <c r="C38" s="157"/>
      <c r="D38" s="1124"/>
      <c r="E38" s="171"/>
      <c r="F38" s="171"/>
      <c r="G38" s="171"/>
      <c r="H38" s="1124"/>
      <c r="I38" s="171"/>
      <c r="J38" s="171"/>
      <c r="K38" s="171"/>
      <c r="L38" s="1124"/>
      <c r="M38" s="171"/>
      <c r="N38" s="171"/>
      <c r="O38" s="172"/>
      <c r="P38" s="1966"/>
      <c r="Q38" s="173"/>
      <c r="R38" s="171"/>
      <c r="S38" s="171"/>
      <c r="T38" s="171"/>
      <c r="U38" s="196"/>
      <c r="V38" s="196"/>
      <c r="W38" s="1971"/>
      <c r="X38" s="196"/>
      <c r="Y38" s="196"/>
      <c r="Z38" s="196"/>
      <c r="AA38" s="196"/>
      <c r="AB38" s="165"/>
      <c r="AC38" s="2017"/>
      <c r="AD38" s="53"/>
      <c r="AE38" s="2"/>
      <c r="AF38" s="19"/>
    </row>
    <row r="39" spans="1:32" ht="18" customHeight="1">
      <c r="A39" s="157" t="s">
        <v>38</v>
      </c>
      <c r="B39" s="181"/>
      <c r="C39" s="157"/>
      <c r="D39" s="1124">
        <f>+'Exhibit A'!D36</f>
        <v>443.4</v>
      </c>
      <c r="E39" s="171"/>
      <c r="F39" s="188">
        <f>+'Exhibit A'!F36</f>
        <v>997.6</v>
      </c>
      <c r="G39" s="171"/>
      <c r="H39" s="1124">
        <f>+'Exhibit G state'!F100</f>
        <v>534.20000000000005</v>
      </c>
      <c r="I39" s="171"/>
      <c r="J39" s="188">
        <f>+'Exhibit G state'!AE100</f>
        <v>1166.9000000000001</v>
      </c>
      <c r="K39" s="171"/>
      <c r="L39" s="1127">
        <f>+'Exhibit A'!L36</f>
        <v>0</v>
      </c>
      <c r="M39" s="174"/>
      <c r="N39" s="176">
        <f>+'Exhibit A'!N36</f>
        <v>0</v>
      </c>
      <c r="O39" s="179"/>
      <c r="P39" s="1967"/>
      <c r="Q39" s="180"/>
      <c r="R39" s="174">
        <f>ROUND(SUM(D39+H39+L39),1)</f>
        <v>977.6</v>
      </c>
      <c r="S39" s="176"/>
      <c r="T39" s="171">
        <f>ROUND(SUM(F39+J39+N39),1)</f>
        <v>2164.5</v>
      </c>
      <c r="U39" s="196"/>
      <c r="V39" s="196"/>
      <c r="W39" s="2232"/>
      <c r="X39" s="1970"/>
      <c r="Y39" s="196">
        <v>1135.9000000000001</v>
      </c>
      <c r="Z39" s="196" t="s">
        <v>16</v>
      </c>
      <c r="AA39" s="196">
        <f>+'Exh F'!AF109+'Exhibit G state'!AH100</f>
        <v>2140.1</v>
      </c>
      <c r="AB39" s="165"/>
      <c r="AC39" s="2017"/>
      <c r="AD39" s="53">
        <f t="shared" ref="AD39:AD44" si="8">ROUND(SUM(T39-AA39),1)</f>
        <v>24.4</v>
      </c>
      <c r="AE39" s="2"/>
      <c r="AF39" s="45">
        <f t="shared" ref="AF39:AF44" si="9">ROUND(+AD39/AA39,3)</f>
        <v>1.0999999999999999E-2</v>
      </c>
    </row>
    <row r="40" spans="1:32" ht="18" customHeight="1">
      <c r="A40" s="157" t="s">
        <v>39</v>
      </c>
      <c r="B40" s="189"/>
      <c r="C40" s="157"/>
      <c r="D40" s="1124">
        <f>+'Exhibit A'!D37</f>
        <v>124.7</v>
      </c>
      <c r="E40" s="171"/>
      <c r="F40" s="188">
        <f>+'Exhibit A'!F37</f>
        <v>193.1</v>
      </c>
      <c r="G40" s="171"/>
      <c r="H40" s="1124">
        <f>+'Exhibit G state'!F101</f>
        <v>249.1</v>
      </c>
      <c r="I40" s="171"/>
      <c r="J40" s="188">
        <f>+'Exhibit G state'!AE101</f>
        <v>472.2</v>
      </c>
      <c r="K40" s="171"/>
      <c r="L40" s="1127">
        <f>+'Exhibit A'!L37</f>
        <v>1.2</v>
      </c>
      <c r="M40" s="174"/>
      <c r="N40" s="176">
        <f>+'Exhibit A'!N37</f>
        <v>1.6</v>
      </c>
      <c r="O40" s="172"/>
      <c r="P40" s="1966"/>
      <c r="Q40" s="173"/>
      <c r="R40" s="174">
        <f>ROUND(SUM(D40+H40+L40),1)</f>
        <v>375</v>
      </c>
      <c r="S40" s="176"/>
      <c r="T40" s="171">
        <f>ROUND(SUM(F40+J40+N40),1)</f>
        <v>666.9</v>
      </c>
      <c r="U40" s="196"/>
      <c r="V40" s="196"/>
      <c r="W40" s="1971"/>
      <c r="X40" s="196"/>
      <c r="Y40" s="196">
        <v>395.3</v>
      </c>
      <c r="Z40" s="196" t="s">
        <v>16</v>
      </c>
      <c r="AA40" s="196">
        <f>+'Exh F'!AF110+'Exhibit G state'!AH101+'Exhibit H'!AD51</f>
        <v>750</v>
      </c>
      <c r="AB40" s="165"/>
      <c r="AC40" s="2017"/>
      <c r="AD40" s="53">
        <f t="shared" si="8"/>
        <v>-83.1</v>
      </c>
      <c r="AE40" s="2"/>
      <c r="AF40" s="45">
        <f t="shared" si="9"/>
        <v>-0.111</v>
      </c>
    </row>
    <row r="41" spans="1:32" ht="18" customHeight="1">
      <c r="A41" s="157" t="s">
        <v>40</v>
      </c>
      <c r="B41" s="166"/>
      <c r="C41" s="157"/>
      <c r="D41" s="1124">
        <f>+'Exhibit A'!D38</f>
        <v>503.7</v>
      </c>
      <c r="E41" s="171"/>
      <c r="F41" s="188">
        <f>+'Exhibit A'!F38</f>
        <v>1116</v>
      </c>
      <c r="G41" s="171"/>
      <c r="H41" s="1124">
        <f>+'Exhibit G state'!F102</f>
        <v>195.4</v>
      </c>
      <c r="I41" s="171"/>
      <c r="J41" s="188">
        <f>+'Exhibit G state'!AE102</f>
        <v>233.5</v>
      </c>
      <c r="K41" s="171"/>
      <c r="L41" s="1127">
        <f>+'Exhibit A'!L38</f>
        <v>0</v>
      </c>
      <c r="M41" s="171"/>
      <c r="N41" s="176">
        <f>+'Exhibit A'!N38</f>
        <v>0</v>
      </c>
      <c r="O41" s="179"/>
      <c r="P41" s="1967"/>
      <c r="Q41" s="180"/>
      <c r="R41" s="174">
        <f>ROUND(SUM(D41+H41+L41),1)</f>
        <v>699.1</v>
      </c>
      <c r="S41" s="176"/>
      <c r="T41" s="171">
        <f>ROUND(SUM(F41+J41+N41),1)</f>
        <v>1349.5</v>
      </c>
      <c r="U41" s="196"/>
      <c r="V41" s="196"/>
      <c r="W41" s="2232"/>
      <c r="X41" s="1970"/>
      <c r="Y41" s="196">
        <v>836</v>
      </c>
      <c r="Z41" s="196" t="s">
        <v>16</v>
      </c>
      <c r="AA41" s="196">
        <f>+'Exh F'!AF111+'Exhibit G state'!AH102</f>
        <v>1515.1</v>
      </c>
      <c r="AB41" s="165"/>
      <c r="AC41" s="2017"/>
      <c r="AD41" s="53">
        <f t="shared" si="8"/>
        <v>-165.6</v>
      </c>
      <c r="AE41" s="2"/>
      <c r="AF41" s="45">
        <f t="shared" si="9"/>
        <v>-0.109</v>
      </c>
    </row>
    <row r="42" spans="1:32" ht="18" customHeight="1">
      <c r="A42" s="157" t="s">
        <v>41</v>
      </c>
      <c r="B42" s="157"/>
      <c r="C42" s="157"/>
      <c r="D42" s="1124"/>
      <c r="E42" s="171"/>
      <c r="F42" s="171"/>
      <c r="G42" s="171"/>
      <c r="H42" s="1124"/>
      <c r="I42" s="171"/>
      <c r="J42" s="171"/>
      <c r="K42" s="171"/>
      <c r="L42" s="1124"/>
      <c r="M42" s="171"/>
      <c r="N42" s="171"/>
      <c r="O42" s="172"/>
      <c r="P42" s="1966"/>
      <c r="Q42" s="173"/>
      <c r="R42" s="1136" t="s">
        <v>16</v>
      </c>
      <c r="S42" s="171"/>
      <c r="T42" s="1124" t="s">
        <v>16</v>
      </c>
      <c r="U42" s="196"/>
      <c r="V42" s="196"/>
      <c r="W42" s="1971"/>
      <c r="X42" s="196"/>
      <c r="Y42" s="1129"/>
      <c r="Z42" s="196"/>
      <c r="AA42" s="1129" t="s">
        <v>16</v>
      </c>
      <c r="AB42" s="165"/>
      <c r="AC42" s="2017"/>
      <c r="AD42" s="53"/>
      <c r="AE42" s="2"/>
      <c r="AF42" s="45"/>
    </row>
    <row r="43" spans="1:32" ht="18" customHeight="1">
      <c r="A43" s="157" t="s">
        <v>42</v>
      </c>
      <c r="B43" s="181"/>
      <c r="C43" s="157"/>
      <c r="D43" s="1127">
        <v>0</v>
      </c>
      <c r="E43" s="171"/>
      <c r="F43" s="176">
        <v>0</v>
      </c>
      <c r="G43" s="171"/>
      <c r="H43" s="1127">
        <v>0</v>
      </c>
      <c r="I43" s="171"/>
      <c r="J43" s="176">
        <v>0</v>
      </c>
      <c r="K43" s="171"/>
      <c r="L43" s="1127">
        <f>+'Exhibit A'!L40</f>
        <v>254.6</v>
      </c>
      <c r="M43" s="174"/>
      <c r="N43" s="176">
        <f>+'Exhibit A'!N40</f>
        <v>420.5</v>
      </c>
      <c r="O43" s="172"/>
      <c r="P43" s="1966"/>
      <c r="Q43" s="173"/>
      <c r="R43" s="174">
        <f>ROUND(SUM(D43+H43+L43),1)</f>
        <v>254.6</v>
      </c>
      <c r="S43" s="171"/>
      <c r="T43" s="171">
        <f>ROUND(SUM(F43+J43+N43),1)</f>
        <v>420.5</v>
      </c>
      <c r="U43" s="196"/>
      <c r="V43" s="196"/>
      <c r="W43" s="1971"/>
      <c r="X43" s="196"/>
      <c r="Y43" s="196">
        <v>216.8</v>
      </c>
      <c r="Z43" s="196" t="s">
        <v>16</v>
      </c>
      <c r="AA43" s="196">
        <f>+'Exhibit H'!AD53</f>
        <v>390</v>
      </c>
      <c r="AB43" s="165"/>
      <c r="AC43" s="2017"/>
      <c r="AD43" s="53">
        <f t="shared" si="8"/>
        <v>30.5</v>
      </c>
      <c r="AE43" s="2"/>
      <c r="AF43" s="45">
        <f t="shared" si="9"/>
        <v>7.8E-2</v>
      </c>
    </row>
    <row r="44" spans="1:32" ht="18" customHeight="1">
      <c r="A44" s="157" t="s">
        <v>43</v>
      </c>
      <c r="B44" s="181" t="s">
        <v>1210</v>
      </c>
      <c r="C44" s="157"/>
      <c r="D44" s="1135">
        <v>0</v>
      </c>
      <c r="E44" s="174"/>
      <c r="F44" s="179">
        <v>0</v>
      </c>
      <c r="G44" s="171"/>
      <c r="H44" s="1124">
        <f>+'Exhibit G state'!F103</f>
        <v>0.2</v>
      </c>
      <c r="I44" s="171"/>
      <c r="J44" s="188">
        <f>+'Exhibit G state'!AE103</f>
        <v>0.2</v>
      </c>
      <c r="K44" s="171"/>
      <c r="L44" s="1127">
        <f>+'Exhibit A'!L41</f>
        <v>0</v>
      </c>
      <c r="M44" s="176"/>
      <c r="N44" s="176">
        <f>+'Exhibit A'!N41</f>
        <v>0</v>
      </c>
      <c r="O44" s="179"/>
      <c r="P44" s="1967"/>
      <c r="Q44" s="180"/>
      <c r="R44" s="171">
        <f>ROUND(SUM(D44+H44+L44),1)</f>
        <v>0.2</v>
      </c>
      <c r="S44" s="179"/>
      <c r="T44" s="171">
        <f>ROUND(SUM(F44+J44+N44),1)</f>
        <v>0.2</v>
      </c>
      <c r="U44" s="196"/>
      <c r="V44" s="196"/>
      <c r="W44" s="2232"/>
      <c r="X44" s="2233"/>
      <c r="Y44" s="1129">
        <v>0.2</v>
      </c>
      <c r="Z44" s="196" t="s">
        <v>16</v>
      </c>
      <c r="AA44" s="196">
        <f>'Exhibit G state'!AH103</f>
        <v>0.3</v>
      </c>
      <c r="AB44" s="165"/>
      <c r="AC44" s="2017"/>
      <c r="AD44" s="53">
        <f t="shared" si="8"/>
        <v>-0.1</v>
      </c>
      <c r="AE44" s="2"/>
      <c r="AF44" s="45">
        <f t="shared" si="9"/>
        <v>-0.33300000000000002</v>
      </c>
    </row>
    <row r="45" spans="1:32" ht="18" customHeight="1">
      <c r="A45" s="156" t="s">
        <v>60</v>
      </c>
      <c r="B45" s="157"/>
      <c r="C45" s="157"/>
      <c r="D45" s="183">
        <f>ROUND(SUM(+D39+D40+D41+D37),1)</f>
        <v>5898.3</v>
      </c>
      <c r="E45" s="184"/>
      <c r="F45" s="183">
        <f>ROUND(SUM(+F39+F40+F41+F37),1)</f>
        <v>9083.4</v>
      </c>
      <c r="G45" s="184"/>
      <c r="H45" s="183">
        <f>ROUND(SUM(H37:H44),1)</f>
        <v>1864.9</v>
      </c>
      <c r="I45" s="184"/>
      <c r="J45" s="183">
        <f>ROUND(SUM(J37:J44),1)</f>
        <v>3403.8</v>
      </c>
      <c r="K45" s="184"/>
      <c r="L45" s="183">
        <f>ROUND(SUM(L37:L44),1)</f>
        <v>255.8</v>
      </c>
      <c r="M45" s="184"/>
      <c r="N45" s="183">
        <f>ROUND(SUM(N37:N44),1)</f>
        <v>422.1</v>
      </c>
      <c r="O45" s="186"/>
      <c r="P45" s="202"/>
      <c r="Q45" s="187"/>
      <c r="R45" s="183">
        <f>ROUND(SUM(R37:R44),1)</f>
        <v>8019</v>
      </c>
      <c r="S45" s="186"/>
      <c r="T45" s="183">
        <f>ROUND(SUM(T37:T44),1)</f>
        <v>12909.3</v>
      </c>
      <c r="U45" s="204"/>
      <c r="V45" s="204"/>
      <c r="W45" s="2234"/>
      <c r="X45" s="204"/>
      <c r="Y45" s="2235">
        <f>ROUND(SUM(Y37:Y44),1)</f>
        <v>8181.2</v>
      </c>
      <c r="Z45" s="200"/>
      <c r="AA45" s="2235">
        <f>ROUND(SUM(AA37:AA44),1)</f>
        <v>12483.7</v>
      </c>
      <c r="AB45" s="205"/>
      <c r="AC45" s="2019"/>
      <c r="AD45" s="3487">
        <f>ROUND(SUM(AD37:AD44),1)</f>
        <v>425.6</v>
      </c>
      <c r="AE45" s="71"/>
      <c r="AF45" s="2847">
        <f>ROUND(+AD45/AA45,3)</f>
        <v>3.4000000000000002E-2</v>
      </c>
    </row>
    <row r="46" spans="1:32" ht="15.95" customHeight="1">
      <c r="A46" s="156"/>
      <c r="B46" s="157"/>
      <c r="C46" s="157"/>
      <c r="D46" s="1125"/>
      <c r="E46" s="171"/>
      <c r="F46" s="172"/>
      <c r="G46" s="171"/>
      <c r="H46" s="1125"/>
      <c r="I46" s="171"/>
      <c r="J46" s="172"/>
      <c r="K46" s="171"/>
      <c r="L46" s="1125"/>
      <c r="M46" s="171"/>
      <c r="N46" s="172"/>
      <c r="O46" s="172"/>
      <c r="P46" s="1966"/>
      <c r="Q46" s="173"/>
      <c r="R46" s="172"/>
      <c r="S46" s="172"/>
      <c r="T46" s="172"/>
      <c r="U46" s="197"/>
      <c r="V46" s="197"/>
      <c r="W46" s="1971"/>
      <c r="X46" s="197"/>
      <c r="Y46" s="197"/>
      <c r="Z46" s="196"/>
      <c r="AA46" s="197"/>
      <c r="AB46" s="165"/>
      <c r="AC46" s="2017"/>
      <c r="AD46" s="54"/>
      <c r="AE46" s="2"/>
      <c r="AF46" s="19"/>
    </row>
    <row r="47" spans="1:32" ht="15.95" customHeight="1">
      <c r="A47" s="156" t="s">
        <v>45</v>
      </c>
      <c r="B47" s="156"/>
      <c r="C47" s="157"/>
      <c r="D47" s="1124"/>
      <c r="E47" s="171"/>
      <c r="F47" s="171"/>
      <c r="G47" s="171"/>
      <c r="H47" s="1124"/>
      <c r="I47" s="171"/>
      <c r="J47" s="171"/>
      <c r="K47" s="171"/>
      <c r="L47" s="1124"/>
      <c r="M47" s="171"/>
      <c r="N47" s="171"/>
      <c r="O47" s="172"/>
      <c r="P47" s="1966"/>
      <c r="Q47" s="173"/>
      <c r="R47" s="171"/>
      <c r="S47" s="171"/>
      <c r="T47" s="171"/>
      <c r="U47" s="196"/>
      <c r="V47" s="196"/>
      <c r="W47" s="1971"/>
      <c r="X47" s="196"/>
      <c r="Y47" s="196"/>
      <c r="Z47" s="196"/>
      <c r="AA47" s="196"/>
      <c r="AB47" s="165"/>
      <c r="AC47" s="2017"/>
      <c r="AD47" s="53"/>
      <c r="AE47" s="2"/>
      <c r="AF47" s="19"/>
    </row>
    <row r="48" spans="1:32" ht="15.95" customHeight="1">
      <c r="A48" s="156" t="s">
        <v>46</v>
      </c>
      <c r="B48" s="156"/>
      <c r="C48" s="157"/>
      <c r="D48" s="195">
        <f>ROUND(SUM(D23-D45),1)</f>
        <v>-1082.3</v>
      </c>
      <c r="E48" s="184"/>
      <c r="F48" s="195">
        <f>ROUND(SUM(F23-F45),1)</f>
        <v>1806.8</v>
      </c>
      <c r="G48" s="184"/>
      <c r="H48" s="195">
        <f>ROUND(SUM(H23-H45),1)</f>
        <v>-34.5</v>
      </c>
      <c r="I48" s="184"/>
      <c r="J48" s="195">
        <f>ROUND(SUM(J23-J45),1)</f>
        <v>-735.1</v>
      </c>
      <c r="K48" s="184"/>
      <c r="L48" s="195">
        <f>ROUND(SUM(L23-L45),1)</f>
        <v>981.5</v>
      </c>
      <c r="M48" s="184" t="s">
        <v>16</v>
      </c>
      <c r="N48" s="195">
        <f>ROUND(SUM(N23-N45),1)</f>
        <v>3052.7</v>
      </c>
      <c r="O48" s="186"/>
      <c r="P48" s="202"/>
      <c r="Q48" s="187"/>
      <c r="R48" s="195">
        <f>ROUND(SUM(+R23-R45),1)</f>
        <v>-135.30000000000001</v>
      </c>
      <c r="S48" s="186"/>
      <c r="T48" s="195">
        <f>ROUND(SUM(+T23-T45),1)</f>
        <v>4124.3999999999996</v>
      </c>
      <c r="U48" s="204"/>
      <c r="V48" s="204"/>
      <c r="W48" s="2234"/>
      <c r="X48" s="204"/>
      <c r="Y48" s="2129">
        <f>ROUND(SUM(Y23-Y45),1)</f>
        <v>-1129.4000000000001</v>
      </c>
      <c r="Z48" s="200" t="s">
        <v>16</v>
      </c>
      <c r="AA48" s="2129">
        <f>ROUND(SUM(AA23-AA45),1)</f>
        <v>2952.4</v>
      </c>
      <c r="AB48" s="205"/>
      <c r="AC48" s="2019"/>
      <c r="AD48" s="2129">
        <f>ROUND(SUM(AD23-AD45),1)</f>
        <v>1172</v>
      </c>
      <c r="AE48" s="94"/>
      <c r="AF48" s="2870">
        <f>ROUND(+AD48/AA48,3)</f>
        <v>0.39700000000000002</v>
      </c>
    </row>
    <row r="49" spans="1:32" ht="15.95" customHeight="1">
      <c r="A49" s="157"/>
      <c r="B49" s="157"/>
      <c r="C49" s="157"/>
      <c r="D49" s="1125"/>
      <c r="E49" s="171"/>
      <c r="F49" s="172"/>
      <c r="G49" s="171"/>
      <c r="H49" s="1125"/>
      <c r="I49" s="171"/>
      <c r="J49" s="172"/>
      <c r="K49" s="171"/>
      <c r="L49" s="1125"/>
      <c r="M49" s="171"/>
      <c r="N49" s="172"/>
      <c r="O49" s="172"/>
      <c r="P49" s="1966"/>
      <c r="Q49" s="173"/>
      <c r="R49" s="172"/>
      <c r="S49" s="172"/>
      <c r="T49" s="172"/>
      <c r="U49" s="197"/>
      <c r="V49" s="197"/>
      <c r="W49" s="1971"/>
      <c r="X49" s="197"/>
      <c r="Y49" s="197"/>
      <c r="Z49" s="196"/>
      <c r="AA49" s="197"/>
      <c r="AB49" s="165"/>
      <c r="AC49" s="2017"/>
      <c r="AD49" s="54"/>
      <c r="AE49" s="2"/>
      <c r="AF49" s="19"/>
    </row>
    <row r="50" spans="1:32" ht="15.95" customHeight="1">
      <c r="A50" s="156" t="s">
        <v>47</v>
      </c>
      <c r="B50" s="156"/>
      <c r="C50" s="157"/>
      <c r="D50" s="1124"/>
      <c r="E50" s="171"/>
      <c r="F50" s="171"/>
      <c r="G50" s="171"/>
      <c r="H50" s="1124"/>
      <c r="I50" s="171"/>
      <c r="J50" s="171"/>
      <c r="K50" s="171"/>
      <c r="L50" s="1124"/>
      <c r="M50" s="171"/>
      <c r="N50" s="171"/>
      <c r="O50" s="172"/>
      <c r="P50" s="1966"/>
      <c r="Q50" s="173"/>
      <c r="R50" s="171"/>
      <c r="S50" s="171"/>
      <c r="T50" s="171"/>
      <c r="U50" s="196"/>
      <c r="V50" s="196"/>
      <c r="W50" s="1971"/>
      <c r="X50" s="196"/>
      <c r="Y50" s="196"/>
      <c r="Z50" s="196"/>
      <c r="AA50" s="196"/>
      <c r="AB50" s="165"/>
      <c r="AC50" s="2017"/>
      <c r="AD50" s="53"/>
      <c r="AE50" s="2"/>
      <c r="AF50" s="19"/>
    </row>
    <row r="51" spans="1:32" ht="18" customHeight="1">
      <c r="A51" s="177" t="s">
        <v>49</v>
      </c>
      <c r="B51" s="3280" t="s">
        <v>1576</v>
      </c>
      <c r="C51" s="177"/>
      <c r="D51" s="1129">
        <f>+'Exhibit A'!D49</f>
        <v>1182.9000000000001</v>
      </c>
      <c r="E51" s="171"/>
      <c r="F51" s="171">
        <f>+'Exhibit A'!F49</f>
        <v>3412.8</v>
      </c>
      <c r="G51" s="196"/>
      <c r="H51" s="1129">
        <f>+'Exhibit G state'!F111</f>
        <v>859.1</v>
      </c>
      <c r="I51" s="196"/>
      <c r="J51" s="171">
        <f>+'Exhibit G state'!AE111-'Exhibit G state'!AB111</f>
        <v>2654.2999999999997</v>
      </c>
      <c r="K51" s="197"/>
      <c r="L51" s="1128">
        <f>+'Exhibit A'!L49</f>
        <v>76.8</v>
      </c>
      <c r="M51" s="197"/>
      <c r="N51" s="179">
        <f>+'Exhibit A'!N49</f>
        <v>603.70000000000005</v>
      </c>
      <c r="O51" s="172"/>
      <c r="P51" s="1966"/>
      <c r="Q51" s="173"/>
      <c r="R51" s="176">
        <f>ROUND(SUM(L51+H51+D51),1)</f>
        <v>2118.8000000000002</v>
      </c>
      <c r="S51" s="171"/>
      <c r="T51" s="176">
        <f>ROUND(SUM(F51+J51+N51),1)</f>
        <v>6670.8</v>
      </c>
      <c r="U51" s="196"/>
      <c r="V51" s="196"/>
      <c r="W51" s="1971"/>
      <c r="X51" s="196"/>
      <c r="Y51" s="1129">
        <v>1534</v>
      </c>
      <c r="Z51" s="196" t="s">
        <v>16</v>
      </c>
      <c r="AA51" s="196">
        <v>4695.6000000000004</v>
      </c>
      <c r="AB51" s="165"/>
      <c r="AC51" s="2017"/>
      <c r="AD51" s="53">
        <f>ROUND(SUM(T51-AA51),1)</f>
        <v>1975.2</v>
      </c>
      <c r="AE51" s="99"/>
      <c r="AF51" s="45">
        <f>ROUND(SUM(+AD51/AA51),3)</f>
        <v>0.42099999999999999</v>
      </c>
    </row>
    <row r="52" spans="1:32" ht="18" customHeight="1">
      <c r="A52" s="177" t="s">
        <v>50</v>
      </c>
      <c r="B52" s="3280" t="s">
        <v>1576</v>
      </c>
      <c r="C52" s="177"/>
      <c r="D52" s="1129">
        <f>+'Exhibit A'!D50</f>
        <v>-852.8</v>
      </c>
      <c r="E52" s="196"/>
      <c r="F52" s="171">
        <f>+'Exhibit A'!F50</f>
        <v>-2927.7000000000003</v>
      </c>
      <c r="G52" s="196"/>
      <c r="H52" s="1129">
        <f>+'Exhibit G state'!F112</f>
        <v>-297.10000000000002</v>
      </c>
      <c r="I52" s="196"/>
      <c r="J52" s="174">
        <f>'Exhibit G state'!AE112</f>
        <v>-316.10000000000002</v>
      </c>
      <c r="K52" s="196"/>
      <c r="L52" s="1128">
        <f>+'Exhibit A'!L50</f>
        <v>-1020.9</v>
      </c>
      <c r="M52" s="197"/>
      <c r="N52" s="179">
        <f>+'Exhibit A'!N50</f>
        <v>-3323.1</v>
      </c>
      <c r="O52" s="197"/>
      <c r="P52" s="1966"/>
      <c r="Q52" s="198"/>
      <c r="R52" s="174">
        <f>ROUND(SUM(D52+H52+L52),1)</f>
        <v>-2170.8000000000002</v>
      </c>
      <c r="S52" s="197"/>
      <c r="T52" s="171">
        <f>ROUND(SUM(F52+J52+N52),1)</f>
        <v>-6566.9</v>
      </c>
      <c r="U52" s="196"/>
      <c r="V52" s="196"/>
      <c r="W52" s="1971"/>
      <c r="X52" s="197"/>
      <c r="Y52" s="196">
        <v>-1346.1</v>
      </c>
      <c r="Z52" s="196" t="s">
        <v>16</v>
      </c>
      <c r="AA52" s="196">
        <v>-4342.8</v>
      </c>
      <c r="AB52" s="165"/>
      <c r="AC52" s="2017"/>
      <c r="AD52" s="101">
        <f>-ROUND(SUM(T52-AA52),1)</f>
        <v>2224.1</v>
      </c>
      <c r="AE52" s="2"/>
      <c r="AF52" s="105">
        <f>ROUND(SUM(-AD52/AA52),3)</f>
        <v>0.51200000000000001</v>
      </c>
    </row>
    <row r="53" spans="1:32" ht="18" customHeight="1">
      <c r="A53" s="156" t="s">
        <v>51</v>
      </c>
      <c r="B53" s="156"/>
      <c r="C53" s="157"/>
      <c r="D53" s="183">
        <f>ROUND(SUM(D51:D52),1)</f>
        <v>330.1</v>
      </c>
      <c r="E53" s="184"/>
      <c r="F53" s="183">
        <f>ROUND(SUM(F51:F52),1)</f>
        <v>485.1</v>
      </c>
      <c r="G53" s="184"/>
      <c r="H53" s="183">
        <f>ROUND(SUM(H51:H52),1)</f>
        <v>562</v>
      </c>
      <c r="I53" s="184"/>
      <c r="J53" s="183">
        <f>ROUND(SUM(J51:J52),1)</f>
        <v>2338.1999999999998</v>
      </c>
      <c r="K53" s="184"/>
      <c r="L53" s="183">
        <f>ROUND(SUM(L51:L52),1)</f>
        <v>-944.1</v>
      </c>
      <c r="M53" s="184"/>
      <c r="N53" s="183">
        <f>ROUND(SUM(N51:N52),1)</f>
        <v>-2719.4</v>
      </c>
      <c r="O53" s="186"/>
      <c r="P53" s="202"/>
      <c r="Q53" s="187"/>
      <c r="R53" s="183">
        <f>ROUND(SUM(R51:R52),1)</f>
        <v>-52</v>
      </c>
      <c r="S53" s="186"/>
      <c r="T53" s="183">
        <f>ROUND(SUM(T51:T52),1)</f>
        <v>103.9</v>
      </c>
      <c r="U53" s="204"/>
      <c r="V53" s="204"/>
      <c r="W53" s="2234"/>
      <c r="X53" s="204"/>
      <c r="Y53" s="2240">
        <f>ROUND(SUM(+Y51+Y52),1)</f>
        <v>187.9</v>
      </c>
      <c r="Z53" s="200"/>
      <c r="AA53" s="2240">
        <f>ROUND(SUM(+AA51+AA52),1)</f>
        <v>352.8</v>
      </c>
      <c r="AB53" s="205"/>
      <c r="AC53" s="2019"/>
      <c r="AD53" s="2240">
        <f>ROUND(SUM(+AD51-AD52),1)</f>
        <v>-248.9</v>
      </c>
      <c r="AE53" s="71"/>
      <c r="AF53" s="108">
        <f>-ROUND(SUM(-AD53/AA53),3)</f>
        <v>-0.70499999999999996</v>
      </c>
    </row>
    <row r="54" spans="1:32" ht="15.95" customHeight="1">
      <c r="A54" s="157"/>
      <c r="B54" s="157"/>
      <c r="C54" s="157"/>
      <c r="D54" s="1125"/>
      <c r="E54" s="171"/>
      <c r="F54" s="172"/>
      <c r="G54" s="171"/>
      <c r="H54" s="1125"/>
      <c r="I54" s="171"/>
      <c r="J54" s="172"/>
      <c r="K54" s="171"/>
      <c r="L54" s="1125"/>
      <c r="M54" s="171"/>
      <c r="N54" s="172"/>
      <c r="O54" s="172"/>
      <c r="P54" s="1966"/>
      <c r="Q54" s="173"/>
      <c r="R54" s="172"/>
      <c r="S54" s="172"/>
      <c r="T54" s="172"/>
      <c r="U54" s="197"/>
      <c r="V54" s="197"/>
      <c r="W54" s="1971"/>
      <c r="X54" s="197"/>
      <c r="Y54" s="197"/>
      <c r="Z54" s="196"/>
      <c r="AA54" s="197"/>
      <c r="AB54" s="165"/>
      <c r="AC54" s="2017"/>
      <c r="AD54" s="54"/>
      <c r="AE54" s="2"/>
      <c r="AF54" s="19"/>
    </row>
    <row r="55" spans="1:32" ht="18" customHeight="1">
      <c r="A55" s="155" t="s">
        <v>45</v>
      </c>
      <c r="B55" s="156"/>
      <c r="C55" s="157"/>
      <c r="D55" s="1124"/>
      <c r="E55" s="171"/>
      <c r="F55" s="171"/>
      <c r="G55" s="171"/>
      <c r="H55" s="1124"/>
      <c r="I55" s="171"/>
      <c r="J55" s="171"/>
      <c r="K55" s="171"/>
      <c r="L55" s="1124"/>
      <c r="M55" s="171"/>
      <c r="N55" s="171"/>
      <c r="O55" s="172"/>
      <c r="P55" s="1966"/>
      <c r="Q55" s="173"/>
      <c r="R55" s="171"/>
      <c r="S55" s="171"/>
      <c r="T55" s="171"/>
      <c r="U55" s="196"/>
      <c r="V55" s="196"/>
      <c r="W55" s="1971"/>
      <c r="X55" s="196"/>
      <c r="Y55" s="196"/>
      <c r="Z55" s="196"/>
      <c r="AA55" s="196"/>
      <c r="AB55" s="165"/>
      <c r="AC55" s="2017"/>
      <c r="AD55" s="53"/>
      <c r="AE55" s="2"/>
      <c r="AF55" s="109"/>
    </row>
    <row r="56" spans="1:32" ht="18" customHeight="1">
      <c r="A56" s="155" t="s">
        <v>61</v>
      </c>
      <c r="B56" s="155"/>
      <c r="C56" s="177"/>
      <c r="D56" s="1129"/>
      <c r="E56" s="171"/>
      <c r="F56" s="171"/>
      <c r="G56" s="171"/>
      <c r="H56" s="1124"/>
      <c r="I56" s="171"/>
      <c r="J56" s="171"/>
      <c r="K56" s="171"/>
      <c r="L56" s="1124"/>
      <c r="M56" s="171"/>
      <c r="N56" s="171"/>
      <c r="O56" s="172"/>
      <c r="P56" s="1966"/>
      <c r="Q56" s="173"/>
      <c r="R56" s="171"/>
      <c r="S56" s="171"/>
      <c r="T56" s="171"/>
      <c r="U56" s="196"/>
      <c r="V56" s="196"/>
      <c r="W56" s="1971"/>
      <c r="X56" s="196"/>
      <c r="Y56" s="196" t="s">
        <v>16</v>
      </c>
      <c r="Z56" s="196"/>
      <c r="AA56" s="196"/>
      <c r="AB56" s="165"/>
      <c r="AC56" s="2017"/>
      <c r="AD56" s="53"/>
      <c r="AE56" s="2"/>
      <c r="AF56" s="19"/>
    </row>
    <row r="57" spans="1:32" ht="18" customHeight="1">
      <c r="A57" s="155" t="s">
        <v>62</v>
      </c>
      <c r="B57" s="155"/>
      <c r="C57" s="177"/>
      <c r="D57" s="200">
        <f>ROUND(SUM(D48+D53),1)</f>
        <v>-752.2</v>
      </c>
      <c r="E57" s="200"/>
      <c r="F57" s="200">
        <f>ROUND(SUM(F48)+SUM(F53),1)</f>
        <v>2291.9</v>
      </c>
      <c r="G57" s="200"/>
      <c r="H57" s="200">
        <f>ROUND(SUM(H48+H53),1)</f>
        <v>527.5</v>
      </c>
      <c r="I57" s="200"/>
      <c r="J57" s="200">
        <f>ROUND(SUM(J48)+SUM(J53),1)</f>
        <v>1603.1</v>
      </c>
      <c r="K57" s="200"/>
      <c r="L57" s="200">
        <f>ROUND(SUM(L48+L53),1)</f>
        <v>37.4</v>
      </c>
      <c r="M57" s="201"/>
      <c r="N57" s="201">
        <f>ROUND(SUM(N48+N53),1)</f>
        <v>333.3</v>
      </c>
      <c r="O57" s="202"/>
      <c r="P57" s="202"/>
      <c r="Q57" s="203"/>
      <c r="R57" s="201">
        <f>ROUND(SUM(+R48+R53),1)</f>
        <v>-187.3</v>
      </c>
      <c r="S57" s="201"/>
      <c r="T57" s="201">
        <f>ROUND(SUM(T48+T53),1)</f>
        <v>4228.3</v>
      </c>
      <c r="U57" s="201"/>
      <c r="V57" s="201"/>
      <c r="W57" s="1972"/>
      <c r="X57" s="201"/>
      <c r="Y57" s="200">
        <f>ROUND(SUM(Y48)+SUM(Y53),1)</f>
        <v>-941.5</v>
      </c>
      <c r="Z57" s="200"/>
      <c r="AA57" s="200">
        <f>ROUND(SUM(AA48)+SUM(AA53),1)</f>
        <v>3305.2</v>
      </c>
      <c r="AB57" s="205"/>
      <c r="AC57" s="2019"/>
      <c r="AD57" s="2912">
        <f>ROUND(SUM(+AD48+AD53),1)</f>
        <v>923.1</v>
      </c>
      <c r="AE57" s="71"/>
      <c r="AF57" s="2957">
        <f>ROUND(SUM(AD57/AA57),3)</f>
        <v>0.27900000000000003</v>
      </c>
    </row>
    <row r="58" spans="1:32" ht="15.95" customHeight="1">
      <c r="A58" s="156"/>
      <c r="B58" s="156"/>
      <c r="C58" s="157"/>
      <c r="D58" s="1124"/>
      <c r="E58" s="171"/>
      <c r="F58" s="172"/>
      <c r="G58" s="171"/>
      <c r="H58" s="1124"/>
      <c r="I58" s="171"/>
      <c r="J58" s="171"/>
      <c r="K58" s="171"/>
      <c r="L58" s="1129"/>
      <c r="M58" s="196"/>
      <c r="N58" s="196"/>
      <c r="O58" s="197"/>
      <c r="P58" s="1966"/>
      <c r="Q58" s="198"/>
      <c r="R58" s="196"/>
      <c r="S58" s="196"/>
      <c r="T58" s="196"/>
      <c r="U58" s="196"/>
      <c r="V58" s="196"/>
      <c r="W58" s="1971"/>
      <c r="X58" s="196"/>
      <c r="Y58" s="196"/>
      <c r="Z58" s="196"/>
      <c r="AA58" s="196"/>
      <c r="AB58" s="165"/>
      <c r="AC58" s="2017"/>
      <c r="AD58" s="53"/>
      <c r="AE58" s="2"/>
      <c r="AF58" s="19"/>
    </row>
    <row r="59" spans="1:32" ht="18" customHeight="1">
      <c r="A59" s="206" t="s">
        <v>54</v>
      </c>
      <c r="B59" s="182" t="s">
        <v>1211</v>
      </c>
      <c r="C59" s="157"/>
      <c r="D59" s="195">
        <f>+'Exhibit A'!D57</f>
        <v>10343.6</v>
      </c>
      <c r="E59" s="184"/>
      <c r="F59" s="195">
        <f>+'Exhibit A'!F57</f>
        <v>7299.5</v>
      </c>
      <c r="G59" s="184"/>
      <c r="H59" s="195">
        <v>3548.2</v>
      </c>
      <c r="I59" s="184"/>
      <c r="J59" s="195">
        <v>2472.6</v>
      </c>
      <c r="K59" s="184"/>
      <c r="L59" s="195">
        <f>+'Exhibit A'!L57</f>
        <v>414.6</v>
      </c>
      <c r="M59" s="184"/>
      <c r="N59" s="195">
        <f>+'Exhibit A'!N57</f>
        <v>118.7</v>
      </c>
      <c r="O59" s="186"/>
      <c r="P59" s="202"/>
      <c r="Q59" s="187"/>
      <c r="R59" s="195">
        <f>ROUND(SUM(D59+H59+L59),1)</f>
        <v>14306.4</v>
      </c>
      <c r="S59" s="186"/>
      <c r="T59" s="195">
        <f>ROUND(SUM(F59+J59+N59),1)</f>
        <v>9890.7999999999993</v>
      </c>
      <c r="U59" s="204"/>
      <c r="V59" s="204"/>
      <c r="W59" s="2234"/>
      <c r="X59" s="204"/>
      <c r="Y59" s="2129">
        <v>9035.7999999999993</v>
      </c>
      <c r="Z59" s="200" t="s">
        <v>16</v>
      </c>
      <c r="AA59" s="2129">
        <v>4789.1000000000004</v>
      </c>
      <c r="AB59" s="205"/>
      <c r="AC59" s="2019"/>
      <c r="AD59" s="93">
        <f>ROUND(SUM(T59-AA59),1)</f>
        <v>5101.7</v>
      </c>
      <c r="AE59" s="71"/>
      <c r="AF59" s="95">
        <f>ROUND(+AD59/AA59,3)</f>
        <v>1.0649999999999999</v>
      </c>
    </row>
    <row r="60" spans="1:32" ht="15.95" customHeight="1">
      <c r="A60" s="177"/>
      <c r="B60" s="157"/>
      <c r="C60" s="157"/>
      <c r="D60" s="1130"/>
      <c r="E60" s="157"/>
      <c r="F60" s="158"/>
      <c r="G60" s="157"/>
      <c r="H60" s="1122"/>
      <c r="I60" s="157"/>
      <c r="J60" s="158"/>
      <c r="K60" s="157"/>
      <c r="L60" s="1130"/>
      <c r="M60" s="157"/>
      <c r="N60" s="158"/>
      <c r="O60" s="158"/>
      <c r="P60" s="1964"/>
      <c r="Q60" s="164"/>
      <c r="R60" s="158"/>
      <c r="S60" s="158"/>
      <c r="T60" s="158"/>
      <c r="U60" s="165"/>
      <c r="V60" s="165"/>
      <c r="W60" s="2229"/>
      <c r="X60" s="165"/>
      <c r="Y60" s="165"/>
      <c r="Z60" s="177"/>
      <c r="AA60" s="165"/>
      <c r="AB60" s="165"/>
      <c r="AC60" s="2017"/>
      <c r="AD60" s="54"/>
      <c r="AE60" s="2"/>
      <c r="AF60" s="19"/>
    </row>
    <row r="61" spans="1:32" ht="18" customHeight="1" thickBot="1">
      <c r="A61" s="207" t="s">
        <v>63</v>
      </c>
      <c r="B61" s="208" t="s">
        <v>16</v>
      </c>
      <c r="C61" s="157"/>
      <c r="D61" s="209">
        <f>ROUND(SUM(D57+D59),1)</f>
        <v>9591.4</v>
      </c>
      <c r="E61" s="210"/>
      <c r="F61" s="209">
        <f>ROUND(SUM(F57+F59),1)</f>
        <v>9591.4</v>
      </c>
      <c r="G61" s="210"/>
      <c r="H61" s="209">
        <f>ROUND(SUM(H57+H59),1)</f>
        <v>4075.7</v>
      </c>
      <c r="I61" s="210"/>
      <c r="J61" s="209">
        <f>ROUND(SUM(J57)+SUM(J59),1)</f>
        <v>4075.7</v>
      </c>
      <c r="K61" s="210"/>
      <c r="L61" s="209">
        <f>ROUND(SUM(L57+L59),1)</f>
        <v>452</v>
      </c>
      <c r="M61" s="212"/>
      <c r="N61" s="211">
        <f>ROUND(SUM(N57+N59),1)</f>
        <v>452</v>
      </c>
      <c r="O61" s="213"/>
      <c r="P61" s="213"/>
      <c r="Q61" s="2389"/>
      <c r="R61" s="211">
        <f>ROUND(SUM(R57+R59),1)</f>
        <v>14119.1</v>
      </c>
      <c r="S61" s="213"/>
      <c r="T61" s="211">
        <f>ROUND(SUM(T57+T59),1)</f>
        <v>14119.1</v>
      </c>
      <c r="U61" s="213"/>
      <c r="V61" s="213"/>
      <c r="W61" s="1973"/>
      <c r="X61" s="213"/>
      <c r="Y61" s="209">
        <f>ROUND(SUM(Y57+Y59),1)</f>
        <v>8094.3</v>
      </c>
      <c r="Z61" s="210"/>
      <c r="AA61" s="209">
        <f>ROUND(SUM(AA57+AA59),1)</f>
        <v>8094.3</v>
      </c>
      <c r="AB61" s="214"/>
      <c r="AC61" s="2020"/>
      <c r="AD61" s="119">
        <f>ROUND(SUM(AD57+AD59),1)</f>
        <v>6024.8</v>
      </c>
      <c r="AE61" s="71"/>
      <c r="AF61" s="127">
        <f>ROUND(+AD61/AA61,3)</f>
        <v>0.74399999999999999</v>
      </c>
    </row>
    <row r="62" spans="1:32" ht="15.75" thickTop="1">
      <c r="A62" s="215"/>
      <c r="B62" s="215"/>
      <c r="C62" s="215"/>
      <c r="D62" s="216"/>
      <c r="E62" s="216"/>
      <c r="F62" s="216"/>
      <c r="G62" s="216"/>
      <c r="H62" s="1197"/>
      <c r="I62" s="216"/>
      <c r="J62" s="216"/>
      <c r="K62" s="216"/>
      <c r="L62" s="216"/>
      <c r="M62" s="216"/>
      <c r="N62" s="216"/>
      <c r="O62" s="216"/>
      <c r="P62" s="2390"/>
      <c r="Q62" s="216"/>
      <c r="R62" s="216"/>
      <c r="S62" s="216"/>
      <c r="T62" s="216"/>
      <c r="U62" s="2016"/>
      <c r="V62" s="2016"/>
      <c r="W62" s="2016"/>
      <c r="X62" s="2016"/>
      <c r="Y62" s="2016"/>
      <c r="Z62" s="2016"/>
      <c r="AA62" s="2016"/>
      <c r="AB62" s="2016"/>
      <c r="AC62" s="2016"/>
      <c r="AD62" s="133"/>
      <c r="AE62" s="2"/>
      <c r="AF62" s="134"/>
    </row>
    <row r="63" spans="1:32">
      <c r="A63" s="154"/>
      <c r="B63" s="154"/>
      <c r="C63" s="154"/>
      <c r="D63" s="154"/>
      <c r="E63" s="154"/>
      <c r="F63" s="154"/>
      <c r="G63" s="154"/>
      <c r="H63" s="1198"/>
      <c r="I63" s="154"/>
      <c r="J63" s="154"/>
      <c r="K63" s="154"/>
      <c r="L63" s="154"/>
      <c r="M63" s="154"/>
      <c r="N63" s="154"/>
      <c r="O63" s="154"/>
      <c r="P63" s="154"/>
      <c r="Q63" s="154"/>
      <c r="R63" s="154"/>
      <c r="S63" s="154"/>
      <c r="T63" s="154"/>
      <c r="U63" s="1959"/>
      <c r="V63" s="1959"/>
      <c r="W63" s="1959"/>
      <c r="X63" s="1959"/>
      <c r="Y63" s="1959"/>
      <c r="Z63" s="1959"/>
      <c r="AA63" s="1959"/>
      <c r="AB63" s="1959"/>
    </row>
    <row r="64" spans="1:32" ht="18" customHeight="1">
      <c r="A64" s="1131" t="s">
        <v>1516</v>
      </c>
      <c r="B64" s="154"/>
      <c r="C64" s="154"/>
      <c r="D64" s="154"/>
      <c r="E64" s="154"/>
      <c r="F64" s="154"/>
      <c r="G64" s="154"/>
      <c r="H64" s="1198"/>
      <c r="I64" s="154"/>
      <c r="J64" s="154"/>
      <c r="K64" s="154"/>
      <c r="L64" s="154"/>
      <c r="M64" s="154"/>
      <c r="N64" s="154"/>
      <c r="O64" s="154"/>
      <c r="P64" s="154"/>
      <c r="Q64" s="154"/>
      <c r="R64" s="154"/>
      <c r="S64" s="154"/>
      <c r="T64" s="154"/>
      <c r="U64" s="1959"/>
      <c r="V64" s="1959"/>
      <c r="W64" s="1959"/>
      <c r="X64" s="1959"/>
      <c r="Y64" s="1959"/>
      <c r="Z64" s="1959"/>
      <c r="AA64" s="1959"/>
      <c r="AB64" s="1959"/>
    </row>
    <row r="65" spans="1:28" ht="18" customHeight="1">
      <c r="A65" s="2391" t="s">
        <v>1515</v>
      </c>
      <c r="B65" s="154"/>
      <c r="C65" s="154"/>
      <c r="D65" s="154"/>
      <c r="E65" s="154"/>
      <c r="F65" s="154"/>
      <c r="G65" s="154"/>
      <c r="H65" s="1198"/>
      <c r="I65" s="154"/>
      <c r="J65" s="154"/>
      <c r="K65" s="154"/>
      <c r="L65" s="154"/>
      <c r="M65" s="154"/>
      <c r="N65" s="154"/>
      <c r="O65" s="154"/>
      <c r="P65" s="154"/>
      <c r="Q65" s="154"/>
      <c r="R65" s="154"/>
      <c r="S65" s="154"/>
      <c r="T65" s="154"/>
      <c r="U65" s="1959"/>
      <c r="V65" s="1959"/>
      <c r="W65" s="1959"/>
      <c r="X65" s="1959"/>
      <c r="Y65" s="1959"/>
      <c r="Z65" s="1959"/>
      <c r="AA65" s="1959"/>
      <c r="AB65" s="1959"/>
    </row>
    <row r="66" spans="1:28" ht="15">
      <c r="A66" s="1132"/>
      <c r="B66" s="154"/>
      <c r="C66" s="154"/>
      <c r="D66" s="154"/>
      <c r="E66" s="154"/>
      <c r="F66" s="154"/>
      <c r="G66" s="154"/>
      <c r="H66" s="1198"/>
      <c r="I66" s="154"/>
      <c r="J66" s="154"/>
      <c r="K66" s="154"/>
      <c r="L66" s="154"/>
      <c r="M66" s="154"/>
      <c r="N66" s="154"/>
      <c r="O66" s="154"/>
      <c r="P66" s="154"/>
      <c r="Q66" s="154"/>
      <c r="R66" s="154"/>
      <c r="S66" s="154"/>
      <c r="T66" s="154"/>
      <c r="U66" s="1959"/>
      <c r="V66" s="1959"/>
      <c r="W66" s="1959"/>
      <c r="X66" s="1959"/>
      <c r="Y66" s="1959"/>
      <c r="Z66" s="1959"/>
      <c r="AA66" s="1959"/>
      <c r="AB66" s="1959"/>
    </row>
    <row r="67" spans="1:28" ht="15.75">
      <c r="A67" s="218"/>
      <c r="B67" s="219"/>
      <c r="C67" s="199"/>
      <c r="D67" s="220"/>
      <c r="E67" s="220"/>
      <c r="F67" s="220"/>
      <c r="G67" s="220"/>
      <c r="H67" s="1199"/>
      <c r="I67" s="220"/>
      <c r="J67" s="220"/>
      <c r="K67" s="220"/>
      <c r="L67" s="220"/>
      <c r="M67" s="154"/>
      <c r="N67" s="154"/>
      <c r="O67" s="154"/>
      <c r="P67" s="154"/>
      <c r="Q67" s="154"/>
      <c r="R67" s="154"/>
      <c r="S67" s="154"/>
      <c r="T67" s="154"/>
      <c r="U67" s="1959"/>
      <c r="V67" s="1959"/>
      <c r="W67" s="1959"/>
      <c r="X67" s="1959"/>
      <c r="Y67" s="1959"/>
      <c r="Z67" s="1959"/>
      <c r="AA67" s="1959"/>
      <c r="AB67" s="1959"/>
    </row>
    <row r="68" spans="1:28" ht="15">
      <c r="A68" s="161"/>
      <c r="B68" s="161"/>
      <c r="C68" s="161"/>
      <c r="D68" s="1131"/>
      <c r="E68" s="161"/>
      <c r="F68" s="161"/>
      <c r="G68" s="161"/>
      <c r="H68" s="1200"/>
      <c r="I68" s="161"/>
      <c r="J68" s="161"/>
      <c r="K68" s="161"/>
      <c r="L68" s="1131"/>
      <c r="M68" s="154"/>
      <c r="N68" s="154"/>
      <c r="O68" s="154"/>
      <c r="P68" s="154"/>
      <c r="Q68" s="154"/>
      <c r="R68" s="154"/>
      <c r="S68" s="154"/>
      <c r="T68" s="154"/>
      <c r="U68" s="1959"/>
      <c r="V68" s="1959"/>
      <c r="W68" s="1959"/>
      <c r="X68" s="1959"/>
      <c r="Y68" s="1959"/>
      <c r="Z68" s="1959"/>
      <c r="AA68" s="1959"/>
      <c r="AB68" s="1959"/>
    </row>
    <row r="69" spans="1:28" ht="15">
      <c r="A69" s="161"/>
      <c r="B69" s="161"/>
      <c r="C69" s="161"/>
      <c r="D69" s="1131"/>
      <c r="E69" s="161"/>
      <c r="F69" s="161"/>
      <c r="G69" s="161"/>
      <c r="H69" s="1200"/>
      <c r="I69" s="161"/>
      <c r="J69" s="161"/>
      <c r="K69" s="161"/>
      <c r="L69" s="1131"/>
      <c r="M69" s="154"/>
      <c r="N69" s="154"/>
      <c r="O69" s="154"/>
      <c r="P69" s="154"/>
      <c r="Q69" s="154"/>
      <c r="R69" s="154"/>
      <c r="S69" s="154"/>
      <c r="T69" s="154"/>
      <c r="U69" s="1959"/>
      <c r="V69" s="1959"/>
      <c r="W69" s="1959"/>
      <c r="X69" s="1959"/>
      <c r="Y69" s="1959"/>
      <c r="Z69" s="1959"/>
      <c r="AA69" s="1959"/>
      <c r="AB69" s="1959"/>
    </row>
    <row r="70" spans="1:28" ht="15">
      <c r="A70" s="161"/>
      <c r="B70" s="161"/>
      <c r="C70" s="161"/>
      <c r="D70" s="1131"/>
      <c r="E70" s="161"/>
      <c r="F70" s="161"/>
      <c r="G70" s="161"/>
      <c r="H70" s="1200"/>
      <c r="I70" s="161"/>
      <c r="J70" s="161"/>
      <c r="K70" s="161"/>
      <c r="L70" s="1131"/>
      <c r="M70" s="154"/>
      <c r="N70" s="154"/>
      <c r="O70" s="154"/>
      <c r="P70" s="154"/>
      <c r="Q70" s="154"/>
      <c r="R70" s="154"/>
      <c r="S70" s="154"/>
      <c r="T70" s="154"/>
      <c r="U70" s="1959"/>
      <c r="V70" s="1959"/>
      <c r="W70" s="1959"/>
      <c r="X70" s="1959"/>
      <c r="Y70" s="1959"/>
      <c r="Z70" s="1959"/>
      <c r="AA70" s="1959"/>
      <c r="AB70" s="1959"/>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7"/>
  <sheetViews>
    <sheetView showGridLines="0" zoomScale="80" zoomScaleNormal="70" zoomScaleSheetLayoutView="75" workbookViewId="0"/>
  </sheetViews>
  <sheetFormatPr defaultColWidth="8.88671875" defaultRowHeight="15.75"/>
  <cols>
    <col min="1" max="1" width="56.77734375" style="1295" customWidth="1"/>
    <col min="2" max="2" width="2.33203125" style="1295" customWidth="1"/>
    <col min="3" max="3" width="19" style="1480" customWidth="1"/>
    <col min="4" max="4" width="1.6640625" style="1295" customWidth="1"/>
    <col min="5" max="5" width="16.44140625" style="1295" customWidth="1"/>
    <col min="6" max="6" width="1.5546875" style="1295" customWidth="1"/>
    <col min="7" max="7" width="16.5546875" style="1295" customWidth="1"/>
    <col min="8" max="8" width="1.5546875" style="1295" customWidth="1"/>
    <col min="9" max="9" width="16.5546875" style="1295" customWidth="1"/>
    <col min="10" max="10" width="1.5546875" style="1295" customWidth="1"/>
    <col min="11" max="11" width="20.21875" style="1295" customWidth="1"/>
    <col min="12" max="12" width="9.109375" style="1295" bestFit="1" customWidth="1"/>
    <col min="13" max="13" width="2.5546875" style="1295" customWidth="1"/>
    <col min="14" max="15" width="9" style="1295" bestFit="1" customWidth="1"/>
    <col min="16" max="16384" width="8.88671875" style="1295"/>
  </cols>
  <sheetData>
    <row r="1" spans="1:14">
      <c r="A1" s="1190" t="s">
        <v>1231</v>
      </c>
    </row>
    <row r="2" spans="1:14">
      <c r="A2" s="1742"/>
    </row>
    <row r="3" spans="1:14" ht="18">
      <c r="A3" s="1652" t="s">
        <v>0</v>
      </c>
      <c r="B3" s="799"/>
      <c r="C3" s="799"/>
      <c r="D3" s="799"/>
      <c r="E3" s="799"/>
      <c r="F3" s="799"/>
      <c r="G3" s="799"/>
      <c r="H3" s="799"/>
      <c r="I3" s="799"/>
      <c r="J3" s="799"/>
      <c r="K3" s="1654" t="s">
        <v>239</v>
      </c>
      <c r="L3" s="799"/>
    </row>
    <row r="4" spans="1:14" ht="18">
      <c r="A4" s="1652" t="s">
        <v>238</v>
      </c>
      <c r="B4" s="799"/>
      <c r="C4" s="799" t="s">
        <v>16</v>
      </c>
      <c r="D4" s="799"/>
      <c r="E4" s="799"/>
      <c r="F4" s="799"/>
      <c r="G4" s="799"/>
      <c r="H4" s="799"/>
      <c r="I4" s="799"/>
      <c r="J4" s="799"/>
      <c r="L4" s="800"/>
    </row>
    <row r="5" spans="1:14" ht="18">
      <c r="A5" s="1652" t="s">
        <v>240</v>
      </c>
      <c r="B5" s="799"/>
      <c r="C5" s="799"/>
      <c r="D5" s="799"/>
      <c r="E5" s="799"/>
      <c r="F5" s="799"/>
      <c r="G5" s="799"/>
      <c r="H5" s="799"/>
      <c r="I5" s="799"/>
      <c r="J5" s="799"/>
      <c r="K5" s="801"/>
      <c r="L5" s="801"/>
    </row>
    <row r="6" spans="1:14" ht="18">
      <c r="A6" s="1653" t="s">
        <v>241</v>
      </c>
      <c r="B6" s="799"/>
      <c r="C6" s="799"/>
      <c r="D6" s="799"/>
      <c r="E6" s="799"/>
      <c r="F6" s="799"/>
      <c r="G6" s="799"/>
      <c r="H6" s="799"/>
      <c r="I6" s="799"/>
      <c r="J6" s="799"/>
      <c r="K6" s="802"/>
      <c r="L6" s="802"/>
    </row>
    <row r="7" spans="1:14" ht="18">
      <c r="A7" s="1653" t="s">
        <v>1601</v>
      </c>
      <c r="B7" s="799"/>
      <c r="C7" s="799"/>
      <c r="D7" s="799"/>
      <c r="E7" s="799" t="s">
        <v>16</v>
      </c>
      <c r="F7" s="799"/>
      <c r="G7" s="799"/>
      <c r="H7" s="799"/>
      <c r="I7" s="799"/>
      <c r="J7" s="799"/>
      <c r="K7" s="799"/>
      <c r="L7" s="799"/>
    </row>
    <row r="8" spans="1:14" ht="18">
      <c r="A8" s="1652" t="s">
        <v>1118</v>
      </c>
      <c r="B8" s="1470" t="s">
        <v>242</v>
      </c>
      <c r="C8" s="1471"/>
      <c r="D8" s="1471"/>
      <c r="E8" s="1471"/>
      <c r="F8" s="1471"/>
      <c r="G8" s="1471"/>
      <c r="H8" s="1471"/>
      <c r="I8" s="1471"/>
      <c r="J8" s="1471"/>
      <c r="K8" s="1471"/>
      <c r="L8" s="1471"/>
    </row>
    <row r="9" spans="1:14">
      <c r="A9" s="1471"/>
      <c r="B9" s="1471"/>
      <c r="C9" s="803" t="s">
        <v>243</v>
      </c>
      <c r="D9" s="798"/>
      <c r="E9" s="798"/>
      <c r="F9" s="798"/>
      <c r="G9" s="804"/>
      <c r="H9" s="798"/>
      <c r="I9" s="805" t="s">
        <v>244</v>
      </c>
      <c r="J9" s="798"/>
      <c r="K9" s="805" t="s">
        <v>243</v>
      </c>
      <c r="L9" s="805"/>
    </row>
    <row r="10" spans="1:14">
      <c r="A10" s="1471"/>
      <c r="B10" s="1471"/>
      <c r="C10" s="2716" t="s">
        <v>1600</v>
      </c>
      <c r="D10" s="798"/>
      <c r="E10" s="806" t="s">
        <v>245</v>
      </c>
      <c r="F10" s="804"/>
      <c r="G10" s="807" t="s">
        <v>246</v>
      </c>
      <c r="H10" s="804"/>
      <c r="I10" s="807" t="s">
        <v>247</v>
      </c>
      <c r="J10" s="804"/>
      <c r="K10" s="808" t="s">
        <v>1596</v>
      </c>
      <c r="L10" s="809"/>
    </row>
    <row r="11" spans="1:14">
      <c r="A11" s="1471"/>
      <c r="B11" s="1471"/>
      <c r="C11" s="809"/>
      <c r="D11" s="798"/>
      <c r="E11" s="805"/>
      <c r="F11" s="804"/>
      <c r="G11" s="805"/>
      <c r="H11" s="804"/>
      <c r="I11" s="805"/>
      <c r="J11" s="804"/>
      <c r="K11" s="1566"/>
      <c r="L11" s="809"/>
    </row>
    <row r="12" spans="1:14">
      <c r="A12" s="810" t="s">
        <v>151</v>
      </c>
      <c r="B12" s="1471"/>
      <c r="C12" s="1472"/>
      <c r="D12" s="1471"/>
      <c r="E12" s="1473"/>
      <c r="F12" s="1471"/>
      <c r="G12" s="1474"/>
      <c r="H12" s="1471"/>
      <c r="I12" s="1474"/>
      <c r="J12" s="1471"/>
      <c r="K12" s="1472"/>
      <c r="L12" s="1472"/>
    </row>
    <row r="13" spans="1:14">
      <c r="A13" s="1475" t="s">
        <v>248</v>
      </c>
      <c r="B13" s="1473"/>
      <c r="C13" s="1476">
        <v>0</v>
      </c>
      <c r="D13" s="1473"/>
      <c r="E13" s="2241">
        <v>2E-3</v>
      </c>
      <c r="F13" s="2242"/>
      <c r="G13" s="2241">
        <v>4825.4470000000001</v>
      </c>
      <c r="H13" s="2242"/>
      <c r="I13" s="2241">
        <v>4825.4449999999997</v>
      </c>
      <c r="J13" s="1473"/>
      <c r="K13" s="1616">
        <f>ROUND(SUM(C13)+SUM(E13)-SUM(G13)+SUM(I13),3)</f>
        <v>0</v>
      </c>
      <c r="L13" s="1477"/>
    </row>
    <row r="14" spans="1:14">
      <c r="A14" s="1475" t="s">
        <v>249</v>
      </c>
      <c r="B14" s="1475"/>
      <c r="C14" s="1478">
        <v>10270.116</v>
      </c>
      <c r="D14" s="1175"/>
      <c r="E14" s="2243">
        <v>4495.2290000000003</v>
      </c>
      <c r="F14" s="2244"/>
      <c r="G14" s="2243">
        <v>751.09799999999996</v>
      </c>
      <c r="H14" s="2244"/>
      <c r="I14" s="2243">
        <v>-4495.2759999999998</v>
      </c>
      <c r="J14" s="1475"/>
      <c r="K14" s="1479">
        <f>ROUND(SUM(C14)+SUM(E14)-SUM(G14)+SUM(I14),3)</f>
        <v>9518.9709999999995</v>
      </c>
      <c r="L14" s="1478"/>
      <c r="M14" s="1480"/>
      <c r="N14" s="1480"/>
    </row>
    <row r="15" spans="1:14">
      <c r="A15" s="1481" t="s">
        <v>250</v>
      </c>
      <c r="B15" s="1471"/>
      <c r="C15" s="1481">
        <v>0</v>
      </c>
      <c r="D15" s="1479"/>
      <c r="E15" s="2245">
        <v>0</v>
      </c>
      <c r="F15" s="2246"/>
      <c r="G15" s="2245">
        <v>0</v>
      </c>
      <c r="H15" s="2246"/>
      <c r="I15" s="2245">
        <v>0</v>
      </c>
      <c r="J15" s="1479"/>
      <c r="K15" s="1479">
        <f t="shared" ref="K15:K21" si="0">ROUND(SUM(C15)+SUM(E15)-SUM(G15)+SUM(I15),3)</f>
        <v>0</v>
      </c>
      <c r="L15" s="1478"/>
      <c r="M15" s="1480"/>
      <c r="N15" s="1480"/>
    </row>
    <row r="16" spans="1:14">
      <c r="A16" s="1471" t="s">
        <v>251</v>
      </c>
      <c r="B16" s="1471"/>
      <c r="C16" s="1481">
        <v>0</v>
      </c>
      <c r="D16" s="1479"/>
      <c r="E16" s="2245">
        <v>0</v>
      </c>
      <c r="F16" s="2246"/>
      <c r="G16" s="2245">
        <v>0</v>
      </c>
      <c r="H16" s="2246"/>
      <c r="I16" s="2245">
        <v>0</v>
      </c>
      <c r="J16" s="1479"/>
      <c r="K16" s="1479">
        <f t="shared" si="0"/>
        <v>0</v>
      </c>
      <c r="L16" s="1478"/>
      <c r="M16" s="1480"/>
      <c r="N16" s="1480"/>
    </row>
    <row r="17" spans="1:14">
      <c r="A17" s="1471" t="s">
        <v>252</v>
      </c>
      <c r="B17" s="1471"/>
      <c r="C17" s="1481">
        <v>0</v>
      </c>
      <c r="D17" s="1479"/>
      <c r="E17" s="2245">
        <v>0</v>
      </c>
      <c r="F17" s="2246"/>
      <c r="G17" s="2245">
        <v>0</v>
      </c>
      <c r="H17" s="2246"/>
      <c r="I17" s="2245">
        <v>0</v>
      </c>
      <c r="J17" s="1479"/>
      <c r="K17" s="1479">
        <f t="shared" si="0"/>
        <v>0</v>
      </c>
      <c r="L17" s="1478"/>
      <c r="M17" s="1480"/>
      <c r="N17" s="1480"/>
    </row>
    <row r="18" spans="1:14">
      <c r="A18" s="1471" t="s">
        <v>253</v>
      </c>
      <c r="B18" s="1471"/>
      <c r="C18" s="1482">
        <v>73.462999999999994</v>
      </c>
      <c r="D18" s="1479"/>
      <c r="E18" s="2245">
        <v>0</v>
      </c>
      <c r="F18" s="2246"/>
      <c r="G18" s="2245">
        <v>1.0740000000000001</v>
      </c>
      <c r="H18" s="2246"/>
      <c r="I18" s="2245">
        <v>0</v>
      </c>
      <c r="J18" s="1479"/>
      <c r="K18" s="1479">
        <f t="shared" si="0"/>
        <v>72.388999999999996</v>
      </c>
      <c r="L18" s="1479"/>
      <c r="M18" s="1480"/>
      <c r="N18" s="1480"/>
    </row>
    <row r="19" spans="1:14">
      <c r="A19" s="1471" t="s">
        <v>254</v>
      </c>
      <c r="B19" s="1471"/>
      <c r="C19" s="1478">
        <v>0</v>
      </c>
      <c r="D19" s="1482"/>
      <c r="E19" s="2245">
        <v>0</v>
      </c>
      <c r="F19" s="2247"/>
      <c r="G19" s="2245">
        <v>0</v>
      </c>
      <c r="H19" s="2247"/>
      <c r="I19" s="2245">
        <v>0</v>
      </c>
      <c r="J19" s="1482"/>
      <c r="K19" s="1479">
        <f t="shared" si="0"/>
        <v>0</v>
      </c>
      <c r="L19" s="1478"/>
      <c r="M19" s="1480"/>
      <c r="N19" s="1480"/>
    </row>
    <row r="20" spans="1:14">
      <c r="A20" s="1481" t="s">
        <v>255</v>
      </c>
      <c r="B20" s="1472"/>
      <c r="C20" s="1478">
        <v>0</v>
      </c>
      <c r="D20" s="1482"/>
      <c r="E20" s="2245">
        <v>0</v>
      </c>
      <c r="F20" s="2247"/>
      <c r="G20" s="2245">
        <v>0</v>
      </c>
      <c r="H20" s="2247"/>
      <c r="I20" s="2245">
        <v>0</v>
      </c>
      <c r="J20" s="1482"/>
      <c r="K20" s="1479">
        <f t="shared" si="0"/>
        <v>0</v>
      </c>
      <c r="L20" s="1478"/>
      <c r="M20" s="1480"/>
      <c r="N20" s="1480"/>
    </row>
    <row r="21" spans="1:14">
      <c r="A21" s="1481" t="s">
        <v>256</v>
      </c>
      <c r="B21" s="1471"/>
      <c r="C21" s="1478">
        <v>0</v>
      </c>
      <c r="D21" s="1479"/>
      <c r="E21" s="2245">
        <v>320.73700000000002</v>
      </c>
      <c r="F21" s="2246"/>
      <c r="G21" s="2245">
        <v>320.73700000000002</v>
      </c>
      <c r="H21" s="2246"/>
      <c r="I21" s="2245">
        <v>0</v>
      </c>
      <c r="J21" s="1479"/>
      <c r="K21" s="1479">
        <f t="shared" si="0"/>
        <v>0</v>
      </c>
      <c r="L21" s="1478"/>
      <c r="M21" s="1480"/>
      <c r="N21" s="1480"/>
    </row>
    <row r="22" spans="1:14">
      <c r="A22" s="1483" t="s">
        <v>257</v>
      </c>
      <c r="B22" s="1471"/>
      <c r="C22" s="1478">
        <v>0</v>
      </c>
      <c r="D22" s="1479"/>
      <c r="E22" s="2245">
        <v>0</v>
      </c>
      <c r="F22" s="2246"/>
      <c r="G22" s="2245">
        <v>0</v>
      </c>
      <c r="H22" s="2246"/>
      <c r="I22" s="2245">
        <v>0</v>
      </c>
      <c r="J22" s="1175"/>
      <c r="K22" s="1478">
        <f>ROUND(SUM(C22)+SUM(E22)-SUM(G22)+SUM(I22),3)</f>
        <v>0</v>
      </c>
      <c r="L22" s="1478"/>
      <c r="M22" s="1480"/>
      <c r="N22" s="1480"/>
    </row>
    <row r="23" spans="1:14" ht="22.5" customHeight="1">
      <c r="A23" s="811" t="s">
        <v>258</v>
      </c>
      <c r="B23" s="1471"/>
      <c r="C23" s="812">
        <f>ROUND(SUM(C13:C22),3)</f>
        <v>10343.579</v>
      </c>
      <c r="D23" s="803"/>
      <c r="E23" s="813">
        <f>ROUND(SUM(E13:E22),3)</f>
        <v>4815.9679999999998</v>
      </c>
      <c r="F23" s="814"/>
      <c r="G23" s="813">
        <f>ROUND(SUM(G13:G22),3)</f>
        <v>5898.3559999999998</v>
      </c>
      <c r="H23" s="814"/>
      <c r="I23" s="813">
        <f>ROUND(SUM(I13:I22),3)</f>
        <v>330.16899999999998</v>
      </c>
      <c r="J23" s="814"/>
      <c r="K23" s="813">
        <f>ROUND(SUM(K13:K22),3)</f>
        <v>9591.36</v>
      </c>
      <c r="L23" s="1335"/>
      <c r="M23" s="1480"/>
      <c r="N23" s="1480"/>
    </row>
    <row r="24" spans="1:14" ht="8.25" customHeight="1">
      <c r="A24" s="811"/>
      <c r="B24" s="1471"/>
      <c r="C24" s="1474"/>
      <c r="D24" s="1479"/>
      <c r="E24" s="1474"/>
      <c r="F24" s="1479"/>
      <c r="G24" s="1474"/>
      <c r="H24" s="1479"/>
      <c r="I24" s="1474"/>
      <c r="J24" s="1175"/>
      <c r="K24" s="1468"/>
      <c r="L24" s="1474"/>
      <c r="M24" s="1480"/>
      <c r="N24" s="1480"/>
    </row>
    <row r="25" spans="1:14" ht="17.25">
      <c r="A25" s="1483"/>
      <c r="B25" s="1475"/>
      <c r="C25" s="1484"/>
      <c r="D25" s="1475"/>
      <c r="E25" s="1484"/>
      <c r="F25" s="1336"/>
      <c r="G25" s="1484"/>
      <c r="H25" s="1336"/>
      <c r="I25" s="1484"/>
      <c r="J25" s="1475"/>
      <c r="K25" s="1485"/>
      <c r="L25" s="1485"/>
      <c r="M25" s="1480"/>
      <c r="N25" s="1480"/>
    </row>
    <row r="26" spans="1:14" ht="17.25">
      <c r="A26" s="815" t="s">
        <v>1125</v>
      </c>
      <c r="B26" s="1475"/>
      <c r="C26" s="1475"/>
      <c r="D26" s="1475"/>
      <c r="E26" s="1475"/>
      <c r="F26" s="1336"/>
      <c r="G26" s="1475"/>
      <c r="H26" s="1336"/>
      <c r="I26" s="1475"/>
      <c r="J26" s="1475"/>
      <c r="K26" s="1475"/>
      <c r="L26" s="1475"/>
      <c r="M26" s="1480"/>
      <c r="N26" s="1480"/>
    </row>
    <row r="27" spans="1:14">
      <c r="A27" s="1481" t="s">
        <v>259</v>
      </c>
      <c r="B27" s="1471"/>
      <c r="C27" s="2735">
        <v>2.2050000000000001</v>
      </c>
      <c r="D27"/>
      <c r="E27" s="2245">
        <v>2E-3</v>
      </c>
      <c r="F27" s="1463"/>
      <c r="G27" s="2245">
        <v>4.0000000000000001E-3</v>
      </c>
      <c r="H27" s="1463"/>
      <c r="I27" s="2245">
        <v>0</v>
      </c>
      <c r="J27" s="1471"/>
      <c r="K27" s="3039">
        <f t="shared" ref="K27:K32" si="1">ROUND(SUM(C27)+SUM(E27)-SUM(G27)+SUM(I27),3)</f>
        <v>2.2029999999999998</v>
      </c>
      <c r="L27" s="1479"/>
      <c r="M27" s="1480"/>
      <c r="N27" s="1480"/>
    </row>
    <row r="28" spans="1:14">
      <c r="A28" s="1481" t="s">
        <v>260</v>
      </c>
      <c r="B28" s="1471"/>
      <c r="C28" s="2734">
        <v>67.524000000000001</v>
      </c>
      <c r="D28"/>
      <c r="E28" s="2245">
        <v>0.60099999999999998</v>
      </c>
      <c r="F28" s="1463"/>
      <c r="G28" s="2245">
        <v>0.86099999999999999</v>
      </c>
      <c r="H28" s="1463"/>
      <c r="I28" s="2245">
        <v>0</v>
      </c>
      <c r="J28" s="1471"/>
      <c r="K28" s="3039">
        <f t="shared" si="1"/>
        <v>67.263999999999996</v>
      </c>
      <c r="L28" s="1175"/>
      <c r="M28" s="1480"/>
      <c r="N28" s="1480"/>
    </row>
    <row r="29" spans="1:14">
      <c r="A29" s="1471" t="s">
        <v>261</v>
      </c>
      <c r="B29" s="1470" t="s">
        <v>242</v>
      </c>
      <c r="C29" s="2734">
        <v>11.526999999999999</v>
      </c>
      <c r="D29"/>
      <c r="E29" s="2245">
        <v>2.1560000000000001</v>
      </c>
      <c r="F29" s="1463"/>
      <c r="G29" s="2245">
        <v>0.21199999999999999</v>
      </c>
      <c r="H29" s="1463"/>
      <c r="I29" s="2245">
        <v>0</v>
      </c>
      <c r="J29" s="1471"/>
      <c r="K29" s="3039">
        <f t="shared" si="1"/>
        <v>13.471</v>
      </c>
      <c r="L29" s="1479"/>
      <c r="M29" s="1480"/>
      <c r="N29" s="1480"/>
    </row>
    <row r="30" spans="1:14">
      <c r="A30" s="1481" t="s">
        <v>262</v>
      </c>
      <c r="B30" s="1470"/>
      <c r="C30" s="2734">
        <v>0.17100000000000001</v>
      </c>
      <c r="D30"/>
      <c r="E30" s="2245">
        <v>0</v>
      </c>
      <c r="F30" s="1463"/>
      <c r="G30" s="2245">
        <v>1.0999999999999999E-2</v>
      </c>
      <c r="H30" s="1463"/>
      <c r="I30" s="2245">
        <v>0.3</v>
      </c>
      <c r="J30" s="1471"/>
      <c r="K30" s="3039">
        <f t="shared" si="1"/>
        <v>0.46</v>
      </c>
      <c r="L30" s="1479"/>
      <c r="M30" s="1480"/>
      <c r="N30" s="1480"/>
    </row>
    <row r="31" spans="1:14">
      <c r="A31" s="1481" t="s">
        <v>263</v>
      </c>
      <c r="B31" s="1470"/>
      <c r="C31" s="2734">
        <v>6.0999999999999999E-2</v>
      </c>
      <c r="D31"/>
      <c r="E31" s="2245">
        <v>0.01</v>
      </c>
      <c r="F31" s="1463"/>
      <c r="G31" s="2245">
        <v>8.5000000000000006E-2</v>
      </c>
      <c r="H31" s="1463"/>
      <c r="I31" s="2245">
        <v>0.3</v>
      </c>
      <c r="J31" s="1471"/>
      <c r="K31" s="3039">
        <f t="shared" si="1"/>
        <v>0.28599999999999998</v>
      </c>
      <c r="L31" s="1479"/>
      <c r="M31" s="1480"/>
      <c r="N31" s="1480"/>
    </row>
    <row r="32" spans="1:14">
      <c r="A32" s="1471" t="s">
        <v>264</v>
      </c>
      <c r="B32" s="1471"/>
      <c r="C32" s="2734">
        <v>5.2839999999999998</v>
      </c>
      <c r="D32"/>
      <c r="E32" s="2245">
        <v>0.192</v>
      </c>
      <c r="F32" s="1463"/>
      <c r="G32" s="2245">
        <v>0.19800000000000001</v>
      </c>
      <c r="H32" s="1463"/>
      <c r="I32" s="2245">
        <v>0</v>
      </c>
      <c r="J32" s="1475"/>
      <c r="K32" s="3039">
        <f t="shared" si="1"/>
        <v>5.2779999999999996</v>
      </c>
      <c r="L32" s="1175"/>
      <c r="M32" s="1480"/>
      <c r="N32" s="1480"/>
    </row>
    <row r="33" spans="1:14">
      <c r="A33" s="1471" t="s">
        <v>265</v>
      </c>
      <c r="B33" s="1471"/>
      <c r="C33" s="2785"/>
      <c r="D33"/>
      <c r="E33" s="2248"/>
      <c r="F33" s="2248"/>
      <c r="G33" s="2248"/>
      <c r="H33" s="2248"/>
      <c r="I33" s="2248"/>
      <c r="J33" s="817"/>
      <c r="K33" s="3040"/>
      <c r="L33" s="817"/>
      <c r="M33" s="1480"/>
      <c r="N33" s="1480"/>
    </row>
    <row r="34" spans="1:14">
      <c r="A34" s="1471" t="s">
        <v>266</v>
      </c>
      <c r="B34" s="1471"/>
      <c r="C34" s="2734">
        <v>3.0649999999999999</v>
      </c>
      <c r="D34"/>
      <c r="E34" s="2245">
        <v>0.746</v>
      </c>
      <c r="F34" s="1463"/>
      <c r="G34" s="2245">
        <v>0.22</v>
      </c>
      <c r="H34" s="1463"/>
      <c r="I34" s="2245">
        <v>-0.3</v>
      </c>
      <c r="J34" s="1475"/>
      <c r="K34" s="3039">
        <f>ROUND(SUM(C34)+SUM(E34)-SUM(G34)+SUM(I34),3)</f>
        <v>3.2909999999999999</v>
      </c>
      <c r="L34" s="1175"/>
      <c r="M34" s="1480"/>
      <c r="N34" s="1480"/>
    </row>
    <row r="35" spans="1:14">
      <c r="A35" s="1471" t="s">
        <v>267</v>
      </c>
      <c r="B35" s="1471"/>
      <c r="C35" s="2785">
        <v>3.06</v>
      </c>
      <c r="D35"/>
      <c r="E35" s="2245">
        <v>0</v>
      </c>
      <c r="F35" s="1463"/>
      <c r="G35" s="2245">
        <v>0.72899999999999998</v>
      </c>
      <c r="H35" s="1463"/>
      <c r="I35" s="2245">
        <v>0</v>
      </c>
      <c r="J35" s="1475"/>
      <c r="K35" s="3039">
        <f t="shared" ref="K35:K58" si="2">ROUND(SUM(C35)+SUM(E35)-SUM(G35)+SUM(I35),3)</f>
        <v>2.331</v>
      </c>
      <c r="L35" s="1175"/>
      <c r="M35" s="1480"/>
      <c r="N35" s="1480"/>
    </row>
    <row r="36" spans="1:14">
      <c r="A36" s="1471" t="s">
        <v>268</v>
      </c>
      <c r="B36" s="1471"/>
      <c r="C36" s="2734">
        <v>5.6680000000000001</v>
      </c>
      <c r="D36"/>
      <c r="E36" s="2245">
        <v>0</v>
      </c>
      <c r="F36" s="1463"/>
      <c r="G36" s="2245">
        <v>0.76100000000000001</v>
      </c>
      <c r="H36" s="1463"/>
      <c r="I36" s="2245">
        <v>0</v>
      </c>
      <c r="J36" s="1471"/>
      <c r="K36" s="3039">
        <f t="shared" si="2"/>
        <v>4.907</v>
      </c>
      <c r="L36" s="1479"/>
      <c r="M36" s="1480"/>
      <c r="N36" s="1480"/>
    </row>
    <row r="37" spans="1:14">
      <c r="A37" s="1487" t="s">
        <v>269</v>
      </c>
      <c r="B37" s="1488"/>
      <c r="C37" s="2717">
        <v>0</v>
      </c>
      <c r="D37"/>
      <c r="E37" s="2245">
        <v>0</v>
      </c>
      <c r="F37" s="1463"/>
      <c r="G37" s="2245">
        <v>0</v>
      </c>
      <c r="H37" s="1463"/>
      <c r="I37" s="2245">
        <v>0</v>
      </c>
      <c r="J37" s="1479"/>
      <c r="K37" s="3039">
        <f t="shared" si="2"/>
        <v>0</v>
      </c>
      <c r="L37" s="1478"/>
      <c r="M37" s="1480"/>
      <c r="N37" s="1480"/>
    </row>
    <row r="38" spans="1:14">
      <c r="A38" s="1481" t="s">
        <v>270</v>
      </c>
      <c r="B38" s="1471"/>
      <c r="C38" s="2734">
        <v>41.637</v>
      </c>
      <c r="D38"/>
      <c r="E38" s="2245">
        <v>450.35399999999998</v>
      </c>
      <c r="F38" s="1463"/>
      <c r="G38" s="2245">
        <v>350.23500000000001</v>
      </c>
      <c r="H38" s="1463"/>
      <c r="I38" s="2245">
        <v>-0.74199999999999999</v>
      </c>
      <c r="J38" s="1471"/>
      <c r="K38" s="1175">
        <f t="shared" si="2"/>
        <v>141.01400000000001</v>
      </c>
      <c r="L38" s="1175"/>
      <c r="M38" s="1480"/>
      <c r="N38" s="1480"/>
    </row>
    <row r="39" spans="1:14">
      <c r="A39" s="1475" t="s">
        <v>271</v>
      </c>
      <c r="B39" s="1475"/>
      <c r="C39" s="2734">
        <v>67.126999999999995</v>
      </c>
      <c r="D39"/>
      <c r="E39" s="2245">
        <v>51.92</v>
      </c>
      <c r="F39" s="1463"/>
      <c r="G39" s="2245">
        <v>58.972000000000001</v>
      </c>
      <c r="H39" s="1463"/>
      <c r="I39" s="2245">
        <v>0</v>
      </c>
      <c r="J39" s="1475"/>
      <c r="K39" s="1175">
        <f t="shared" si="2"/>
        <v>60.075000000000003</v>
      </c>
      <c r="L39" s="1175"/>
      <c r="M39" s="1480"/>
      <c r="N39" s="1480"/>
    </row>
    <row r="40" spans="1:14">
      <c r="A40" s="1483" t="s">
        <v>272</v>
      </c>
      <c r="B40" s="1475"/>
      <c r="C40" s="2734">
        <v>342.29300000000001</v>
      </c>
      <c r="D40"/>
      <c r="E40" s="2245">
        <v>264.63099999999997</v>
      </c>
      <c r="F40" s="1463"/>
      <c r="G40" s="2245">
        <v>5.234</v>
      </c>
      <c r="H40" s="1463"/>
      <c r="I40" s="2245">
        <v>0</v>
      </c>
      <c r="J40" s="1475"/>
      <c r="K40" s="1175">
        <f t="shared" si="2"/>
        <v>601.69000000000005</v>
      </c>
      <c r="L40" s="1175"/>
      <c r="M40" s="1480"/>
      <c r="N40" s="1480"/>
    </row>
    <row r="41" spans="1:14">
      <c r="A41" s="1481" t="s">
        <v>273</v>
      </c>
      <c r="B41" s="1471"/>
      <c r="C41" s="2734">
        <v>13.25</v>
      </c>
      <c r="D41"/>
      <c r="E41" s="2245">
        <v>2.8759999999999999</v>
      </c>
      <c r="F41" s="1463"/>
      <c r="G41" s="2245">
        <v>0.76800000000000002</v>
      </c>
      <c r="H41" s="1463"/>
      <c r="I41" s="2245">
        <v>0</v>
      </c>
      <c r="J41" s="1471"/>
      <c r="K41" s="1175">
        <f t="shared" si="2"/>
        <v>15.358000000000001</v>
      </c>
      <c r="L41" s="1175"/>
      <c r="M41" s="1480"/>
      <c r="N41" s="1480"/>
    </row>
    <row r="42" spans="1:14">
      <c r="A42" s="1475" t="s">
        <v>274</v>
      </c>
      <c r="B42" s="1471"/>
      <c r="C42" s="2734">
        <v>-0.97899999999999998</v>
      </c>
      <c r="D42"/>
      <c r="E42" s="2245">
        <v>0</v>
      </c>
      <c r="F42" s="1463"/>
      <c r="G42" s="2245">
        <v>1.2609999999999999</v>
      </c>
      <c r="H42" s="1463"/>
      <c r="I42" s="2245">
        <v>0</v>
      </c>
      <c r="J42" s="1471"/>
      <c r="K42" s="3039">
        <f t="shared" si="2"/>
        <v>-2.2400000000000002</v>
      </c>
      <c r="L42" s="1175"/>
      <c r="M42" s="1480"/>
      <c r="N42" s="1480"/>
    </row>
    <row r="43" spans="1:14">
      <c r="A43" s="1475" t="s">
        <v>1526</v>
      </c>
      <c r="B43" s="1471"/>
      <c r="C43" s="2734">
        <v>-17.79</v>
      </c>
      <c r="D43"/>
      <c r="E43" s="2245">
        <v>2.8170000000000002</v>
      </c>
      <c r="F43" s="1463"/>
      <c r="G43" s="2245">
        <v>9.9730000000000008</v>
      </c>
      <c r="H43" s="1463"/>
      <c r="I43" s="2245">
        <v>0</v>
      </c>
      <c r="J43" s="1471"/>
      <c r="K43" s="1175">
        <f t="shared" si="2"/>
        <v>-24.946000000000002</v>
      </c>
      <c r="L43" s="1175"/>
      <c r="M43" s="1480"/>
      <c r="N43" s="1480"/>
    </row>
    <row r="44" spans="1:14">
      <c r="A44" s="1471" t="s">
        <v>275</v>
      </c>
      <c r="B44" s="1471"/>
      <c r="C44" s="2734">
        <v>85.221000000000004</v>
      </c>
      <c r="D44"/>
      <c r="E44" s="2245">
        <v>1.8939999999999999</v>
      </c>
      <c r="F44" s="1463"/>
      <c r="G44" s="2245">
        <v>5.5339999999999998</v>
      </c>
      <c r="H44" s="1463"/>
      <c r="I44" s="2245">
        <v>0</v>
      </c>
      <c r="J44" s="1471"/>
      <c r="K44" s="1175">
        <f t="shared" si="2"/>
        <v>81.581000000000003</v>
      </c>
      <c r="L44" s="1175"/>
      <c r="M44" s="1480"/>
      <c r="N44" s="1480"/>
    </row>
    <row r="45" spans="1:14">
      <c r="A45" s="1471" t="s">
        <v>276</v>
      </c>
      <c r="B45" s="1471"/>
      <c r="C45" s="2734">
        <v>18.649999999999999</v>
      </c>
      <c r="D45"/>
      <c r="E45" s="2245">
        <v>2.5449999999999999</v>
      </c>
      <c r="F45" s="1463"/>
      <c r="G45" s="2245">
        <v>2.5310000000000001</v>
      </c>
      <c r="H45" s="1463"/>
      <c r="I45" s="2245">
        <v>0</v>
      </c>
      <c r="J45" s="1471"/>
      <c r="K45" s="3039">
        <f t="shared" si="2"/>
        <v>18.664000000000001</v>
      </c>
      <c r="L45" s="1175"/>
      <c r="M45" s="1480"/>
      <c r="N45" s="1480"/>
    </row>
    <row r="46" spans="1:14">
      <c r="A46" s="1471" t="s">
        <v>277</v>
      </c>
      <c r="B46" s="1471"/>
      <c r="C46" s="2734">
        <v>1.7789999999999999</v>
      </c>
      <c r="D46"/>
      <c r="E46" s="2245">
        <v>7.1340000000000003</v>
      </c>
      <c r="F46" s="1463"/>
      <c r="G46" s="2245">
        <v>2.8119999999999998</v>
      </c>
      <c r="H46" s="1463"/>
      <c r="I46" s="2245">
        <v>0</v>
      </c>
      <c r="J46" s="1471"/>
      <c r="K46" s="3039">
        <f t="shared" si="2"/>
        <v>6.101</v>
      </c>
      <c r="L46" s="1175"/>
      <c r="M46" s="1480"/>
      <c r="N46" s="1480"/>
    </row>
    <row r="47" spans="1:14">
      <c r="A47" s="1471" t="s">
        <v>278</v>
      </c>
      <c r="B47" s="1471"/>
      <c r="C47" s="2734">
        <v>10.223000000000001</v>
      </c>
      <c r="D47"/>
      <c r="E47" s="2245">
        <v>0.78300000000000003</v>
      </c>
      <c r="F47" s="1463"/>
      <c r="G47" s="2245">
        <v>3.3330000000000002</v>
      </c>
      <c r="H47" s="1463"/>
      <c r="I47" s="2245">
        <v>0</v>
      </c>
      <c r="J47" s="1471"/>
      <c r="K47" s="3039">
        <f t="shared" si="2"/>
        <v>7.673</v>
      </c>
      <c r="L47" s="1175"/>
      <c r="M47" s="1480"/>
      <c r="N47" s="1480"/>
    </row>
    <row r="48" spans="1:14">
      <c r="A48" s="1481" t="s">
        <v>279</v>
      </c>
      <c r="B48" s="1471"/>
      <c r="C48" s="2734">
        <v>0.503</v>
      </c>
      <c r="D48"/>
      <c r="E48" s="2245">
        <v>4.0000000000000001E-3</v>
      </c>
      <c r="F48" s="1463"/>
      <c r="G48" s="2245">
        <v>0</v>
      </c>
      <c r="H48" s="1463"/>
      <c r="I48" s="2245">
        <v>0</v>
      </c>
      <c r="J48" s="1471"/>
      <c r="K48" s="1175">
        <f t="shared" si="2"/>
        <v>0.50700000000000001</v>
      </c>
      <c r="L48" s="1175"/>
      <c r="M48" s="1480"/>
      <c r="N48" s="1480"/>
    </row>
    <row r="49" spans="1:14">
      <c r="A49" s="1471" t="s">
        <v>280</v>
      </c>
      <c r="B49" s="1471"/>
      <c r="C49" s="2734">
        <v>282.02600000000001</v>
      </c>
      <c r="D49"/>
      <c r="E49" s="2245">
        <v>79.623999999999995</v>
      </c>
      <c r="F49" s="1463"/>
      <c r="G49" s="2245">
        <v>283.12400000000002</v>
      </c>
      <c r="H49" s="1463"/>
      <c r="I49" s="2245">
        <v>14.878</v>
      </c>
      <c r="J49" s="1471"/>
      <c r="K49" s="3039">
        <f t="shared" si="2"/>
        <v>93.403999999999996</v>
      </c>
      <c r="L49" s="1175"/>
      <c r="M49" s="1480"/>
      <c r="N49" s="1480"/>
    </row>
    <row r="50" spans="1:14">
      <c r="A50" s="1471" t="s">
        <v>281</v>
      </c>
      <c r="B50" s="1471"/>
      <c r="C50" s="2734">
        <v>-18.905999999999999</v>
      </c>
      <c r="D50"/>
      <c r="E50" s="2245">
        <v>2.919</v>
      </c>
      <c r="F50" s="1463"/>
      <c r="G50" s="2245">
        <v>2.9380000000000002</v>
      </c>
      <c r="H50" s="1463"/>
      <c r="I50" s="2245">
        <v>0</v>
      </c>
      <c r="J50" s="1471"/>
      <c r="K50" s="3039">
        <f t="shared" si="2"/>
        <v>-18.925000000000001</v>
      </c>
      <c r="L50" s="1175"/>
      <c r="M50" s="1480"/>
      <c r="N50" s="1480"/>
    </row>
    <row r="51" spans="1:14">
      <c r="A51" s="1471" t="s">
        <v>282</v>
      </c>
      <c r="B51" s="1471"/>
      <c r="C51" s="2734">
        <v>6.7000000000000004E-2</v>
      </c>
      <c r="D51"/>
      <c r="E51" s="2245">
        <v>0</v>
      </c>
      <c r="F51" s="1463"/>
      <c r="G51" s="2245">
        <v>0</v>
      </c>
      <c r="H51" s="1463"/>
      <c r="I51" s="2245">
        <v>0</v>
      </c>
      <c r="J51" s="1471"/>
      <c r="K51" s="3039">
        <f>ROUND(SUM(C51)+SUM(E51)-SUM(G51)+SUM(I51),3)</f>
        <v>6.7000000000000004E-2</v>
      </c>
      <c r="L51" s="1175"/>
      <c r="M51" s="1480"/>
      <c r="N51" s="1480"/>
    </row>
    <row r="52" spans="1:14">
      <c r="A52" s="1471" t="s">
        <v>1268</v>
      </c>
      <c r="B52" s="1471"/>
      <c r="C52" s="2734">
        <v>10.867000000000001</v>
      </c>
      <c r="D52"/>
      <c r="E52" s="2245">
        <v>0.151</v>
      </c>
      <c r="F52" s="1463"/>
      <c r="G52" s="2245">
        <v>7.5999999999999998E-2</v>
      </c>
      <c r="H52" s="1463"/>
      <c r="I52" s="2245">
        <v>0</v>
      </c>
      <c r="J52" s="1471"/>
      <c r="K52" s="1175">
        <f t="shared" si="2"/>
        <v>10.942</v>
      </c>
      <c r="L52" s="1175"/>
      <c r="M52" s="1480"/>
      <c r="N52" s="1480"/>
    </row>
    <row r="53" spans="1:14">
      <c r="A53" s="1471" t="s">
        <v>283</v>
      </c>
      <c r="B53" s="1471"/>
      <c r="C53" s="2717">
        <v>0</v>
      </c>
      <c r="D53"/>
      <c r="E53" s="2245">
        <v>0</v>
      </c>
      <c r="F53" s="1463"/>
      <c r="G53" s="2245">
        <v>0</v>
      </c>
      <c r="H53" s="1463"/>
      <c r="I53" s="2245">
        <v>0</v>
      </c>
      <c r="J53" s="1471"/>
      <c r="K53" s="1175">
        <f t="shared" si="2"/>
        <v>0</v>
      </c>
      <c r="L53" s="1478"/>
      <c r="M53" s="1480"/>
      <c r="N53" s="1480"/>
    </row>
    <row r="54" spans="1:14">
      <c r="A54" s="1481" t="s">
        <v>284</v>
      </c>
      <c r="B54" s="1471"/>
      <c r="C54" s="2735">
        <v>3.4889999999999999</v>
      </c>
      <c r="D54"/>
      <c r="E54" s="2245">
        <v>6.0000000000000001E-3</v>
      </c>
      <c r="F54" s="1463"/>
      <c r="G54" s="2245">
        <v>0</v>
      </c>
      <c r="H54" s="1463"/>
      <c r="I54" s="2245">
        <v>-5.0000000000000001E-3</v>
      </c>
      <c r="J54" s="1471"/>
      <c r="K54" s="1175">
        <f t="shared" si="2"/>
        <v>3.49</v>
      </c>
      <c r="L54" s="1175"/>
      <c r="M54" s="1480"/>
      <c r="N54" s="1480"/>
    </row>
    <row r="55" spans="1:14">
      <c r="A55" s="1481" t="s">
        <v>285</v>
      </c>
      <c r="B55" s="1471"/>
      <c r="C55" s="2717">
        <v>0</v>
      </c>
      <c r="D55"/>
      <c r="E55" s="2245">
        <v>0</v>
      </c>
      <c r="F55" s="1463"/>
      <c r="G55" s="2245">
        <v>0</v>
      </c>
      <c r="H55" s="1463"/>
      <c r="I55" s="2245">
        <v>0</v>
      </c>
      <c r="J55" s="1471"/>
      <c r="K55" s="1175">
        <f t="shared" si="2"/>
        <v>0</v>
      </c>
      <c r="L55" s="1175"/>
      <c r="M55" s="1480"/>
      <c r="N55" s="1480"/>
    </row>
    <row r="56" spans="1:14">
      <c r="A56" s="1481" t="s">
        <v>286</v>
      </c>
      <c r="B56" s="1471"/>
      <c r="C56" s="2785">
        <v>1E-3</v>
      </c>
      <c r="D56"/>
      <c r="E56" s="2245">
        <v>0</v>
      </c>
      <c r="F56" s="1463"/>
      <c r="G56" s="2245">
        <v>0</v>
      </c>
      <c r="H56" s="1463"/>
      <c r="I56" s="2245">
        <v>0</v>
      </c>
      <c r="J56" s="1471"/>
      <c r="K56" s="1175">
        <f t="shared" si="2"/>
        <v>1E-3</v>
      </c>
      <c r="L56" s="1175"/>
      <c r="M56" s="1480"/>
      <c r="N56" s="1480"/>
    </row>
    <row r="57" spans="1:14">
      <c r="A57" s="1481" t="s">
        <v>287</v>
      </c>
      <c r="B57" s="1471"/>
      <c r="C57" s="2735">
        <v>0.81899999999999995</v>
      </c>
      <c r="D57"/>
      <c r="E57" s="2245">
        <v>1E-3</v>
      </c>
      <c r="F57" s="1463"/>
      <c r="G57" s="2245">
        <v>0</v>
      </c>
      <c r="H57" s="1463"/>
      <c r="I57" s="2245">
        <v>0</v>
      </c>
      <c r="J57" s="1471"/>
      <c r="K57" s="1175">
        <f t="shared" si="2"/>
        <v>0.82</v>
      </c>
      <c r="L57" s="1175"/>
      <c r="M57" s="1480"/>
      <c r="N57" s="1480"/>
    </row>
    <row r="58" spans="1:14">
      <c r="A58" s="1481" t="s">
        <v>288</v>
      </c>
      <c r="B58" s="1471"/>
      <c r="C58" s="2734">
        <v>1142.5630000000001</v>
      </c>
      <c r="D58"/>
      <c r="E58" s="2245">
        <v>238.93700000000001</v>
      </c>
      <c r="F58" s="1463"/>
      <c r="G58" s="2245">
        <v>550.48199999999997</v>
      </c>
      <c r="H58" s="1463"/>
      <c r="I58" s="2245">
        <v>569.53099999999995</v>
      </c>
      <c r="J58" s="1471"/>
      <c r="K58" s="1175">
        <f t="shared" si="2"/>
        <v>1400.549</v>
      </c>
      <c r="L58" s="1175"/>
      <c r="M58" s="1489"/>
      <c r="N58" s="1480"/>
    </row>
    <row r="59" spans="1:14">
      <c r="A59" s="798"/>
      <c r="B59" s="799"/>
      <c r="C59" s="2736"/>
      <c r="D59" s="799"/>
      <c r="E59" s="2249"/>
      <c r="F59" s="2249"/>
      <c r="G59" s="2249"/>
      <c r="H59" s="2249"/>
      <c r="I59" s="2249"/>
      <c r="J59" s="799"/>
      <c r="K59" s="1568"/>
      <c r="L59" s="816"/>
      <c r="M59" s="1480"/>
      <c r="N59" s="1480"/>
    </row>
    <row r="60" spans="1:14">
      <c r="A60" s="798"/>
      <c r="B60" s="799"/>
      <c r="C60" s="2736"/>
      <c r="D60" s="799"/>
      <c r="E60" s="2249"/>
      <c r="F60" s="2249"/>
      <c r="G60" s="2249"/>
      <c r="H60" s="2249"/>
      <c r="I60" s="2249"/>
      <c r="J60" s="799"/>
      <c r="K60" s="1568"/>
      <c r="L60" s="799"/>
    </row>
    <row r="61" spans="1:14">
      <c r="A61" s="810" t="s">
        <v>1179</v>
      </c>
      <c r="B61" s="1471"/>
      <c r="C61" s="2737"/>
      <c r="E61" s="1885"/>
      <c r="F61" s="1885"/>
      <c r="G61" s="1885"/>
      <c r="H61" s="1885"/>
      <c r="I61" s="1885"/>
      <c r="K61" s="1494"/>
      <c r="L61" s="1479"/>
      <c r="M61" s="1480"/>
      <c r="N61" s="1480"/>
    </row>
    <row r="62" spans="1:14">
      <c r="A62" s="1471" t="s">
        <v>289</v>
      </c>
      <c r="B62" s="1471"/>
      <c r="C62" s="2734">
        <v>78.108000000000004</v>
      </c>
      <c r="D62"/>
      <c r="E62" s="2245">
        <v>3.0000000000000001E-3</v>
      </c>
      <c r="F62" s="1463"/>
      <c r="G62" s="2245">
        <v>6.4169999999999998</v>
      </c>
      <c r="H62" s="1463"/>
      <c r="I62" s="2245">
        <v>0</v>
      </c>
      <c r="J62" s="1471"/>
      <c r="K62" s="1175">
        <f>ROUND(SUM(C62)+SUM(E62)-SUM(G62)+SUM(I62),3)</f>
        <v>71.694000000000003</v>
      </c>
      <c r="L62" s="1479"/>
      <c r="M62" s="1480"/>
      <c r="N62" s="1480"/>
    </row>
    <row r="63" spans="1:14">
      <c r="A63" s="1471" t="s">
        <v>290</v>
      </c>
      <c r="B63" s="1473"/>
      <c r="C63" s="2785">
        <v>4.9000000000000002E-2</v>
      </c>
      <c r="D63"/>
      <c r="E63" s="2245">
        <v>0</v>
      </c>
      <c r="F63" s="1463"/>
      <c r="G63" s="2245">
        <v>0</v>
      </c>
      <c r="H63" s="1463"/>
      <c r="I63" s="2245">
        <v>0</v>
      </c>
      <c r="J63" s="1473"/>
      <c r="K63" s="1175">
        <f>ROUND(SUM(C63)+SUM(E63)-SUM(G63)+SUM(I63),3)</f>
        <v>4.9000000000000002E-2</v>
      </c>
      <c r="L63" s="1479"/>
      <c r="M63" s="1480"/>
      <c r="N63" s="1480"/>
    </row>
    <row r="64" spans="1:14">
      <c r="A64" s="1475" t="s">
        <v>291</v>
      </c>
      <c r="B64" s="1471"/>
      <c r="C64" s="2734">
        <v>795.88400000000001</v>
      </c>
      <c r="D64"/>
      <c r="E64" s="2245">
        <v>243.28200000000001</v>
      </c>
      <c r="F64" s="1463"/>
      <c r="G64" s="2246">
        <v>428.18299999999999</v>
      </c>
      <c r="H64" s="1463"/>
      <c r="I64" s="2245">
        <v>230.87700000000001</v>
      </c>
      <c r="J64" s="1471"/>
      <c r="K64" s="1175">
        <f>ROUND(SUM(C64)+SUM(E64)-SUM(G64)+SUM(I64),3)</f>
        <v>841.86</v>
      </c>
      <c r="L64" s="1479"/>
      <c r="M64" s="1480"/>
      <c r="N64" s="1480"/>
    </row>
    <row r="65" spans="1:14">
      <c r="A65" s="1481" t="s">
        <v>292</v>
      </c>
      <c r="B65" s="1471"/>
      <c r="C65" s="2734">
        <v>21.515999999999998</v>
      </c>
      <c r="D65"/>
      <c r="E65" s="2245">
        <v>310.38400000000001</v>
      </c>
      <c r="F65" s="1463"/>
      <c r="G65" s="2245">
        <v>8.0000000000000002E-3</v>
      </c>
      <c r="H65" s="1463"/>
      <c r="I65" s="2245">
        <v>-292.88799999999998</v>
      </c>
      <c r="J65" s="1471"/>
      <c r="K65" s="1175">
        <f>ROUND(SUM(C65)+SUM(E65)-SUM(G65)+SUM(I65),3)</f>
        <v>39.003999999999998</v>
      </c>
      <c r="L65" s="1479"/>
      <c r="M65" s="1480"/>
      <c r="N65" s="1480"/>
    </row>
    <row r="66" spans="1:14">
      <c r="A66" s="1471" t="s">
        <v>293</v>
      </c>
      <c r="B66" s="1471"/>
      <c r="C66" s="2734">
        <v>0.32300000000000001</v>
      </c>
      <c r="D66"/>
      <c r="E66" s="2245">
        <v>0</v>
      </c>
      <c r="F66" s="1463"/>
      <c r="G66" s="2245">
        <v>5.8999999999999997E-2</v>
      </c>
      <c r="H66" s="1463"/>
      <c r="I66" s="2245">
        <v>0</v>
      </c>
      <c r="J66" s="1471"/>
      <c r="K66" s="1175">
        <f>ROUND(SUM(C66)+SUM(E66)-SUM(G66)+SUM(I66),3)</f>
        <v>0.26400000000000001</v>
      </c>
      <c r="L66" s="1479"/>
      <c r="M66" s="1480"/>
      <c r="N66" s="1480"/>
    </row>
    <row r="67" spans="1:14">
      <c r="A67" s="1471" t="s">
        <v>294</v>
      </c>
      <c r="B67" s="1471"/>
      <c r="C67" s="2785" t="s">
        <v>16</v>
      </c>
      <c r="D67"/>
      <c r="E67" s="2246"/>
      <c r="F67" s="1463"/>
      <c r="G67" s="2246"/>
      <c r="H67" s="1463"/>
      <c r="I67" s="2245"/>
      <c r="J67" s="1471"/>
      <c r="K67" s="1175" t="s">
        <v>16</v>
      </c>
      <c r="L67" s="1479"/>
      <c r="M67" s="1480"/>
      <c r="N67" s="1480"/>
    </row>
    <row r="68" spans="1:14">
      <c r="A68" s="1471" t="s">
        <v>295</v>
      </c>
      <c r="B68" s="1471"/>
      <c r="C68" s="2734">
        <v>17.989000000000001</v>
      </c>
      <c r="D68"/>
      <c r="E68" s="2245">
        <v>14.962</v>
      </c>
      <c r="F68" s="1463"/>
      <c r="G68" s="2245">
        <v>0.121</v>
      </c>
      <c r="H68" s="1463"/>
      <c r="I68" s="2245">
        <v>0</v>
      </c>
      <c r="J68" s="1471"/>
      <c r="K68" s="1175">
        <f>ROUND(SUM(C68)+SUM(E68)-SUM(G68)+SUM(I68),3)</f>
        <v>32.83</v>
      </c>
      <c r="L68" s="1479"/>
      <c r="M68" s="1480"/>
      <c r="N68" s="1480"/>
    </row>
    <row r="69" spans="1:14">
      <c r="A69" s="1471" t="s">
        <v>296</v>
      </c>
      <c r="B69" s="802"/>
      <c r="C69" s="2734">
        <v>0.47199999999999998</v>
      </c>
      <c r="D69"/>
      <c r="E69" s="2245">
        <v>0</v>
      </c>
      <c r="F69" s="1463"/>
      <c r="G69" s="2245">
        <v>8.4000000000000005E-2</v>
      </c>
      <c r="H69" s="1463"/>
      <c r="I69" s="2245">
        <v>0</v>
      </c>
      <c r="J69" s="816"/>
      <c r="K69" s="1175">
        <f t="shared" ref="K69:K84" si="3">ROUND(SUM(C69)+SUM(E69)-SUM(G69)+SUM(I69),3)</f>
        <v>0.38800000000000001</v>
      </c>
      <c r="L69" s="1479"/>
      <c r="M69" s="1480"/>
      <c r="N69" s="1480"/>
    </row>
    <row r="70" spans="1:14">
      <c r="A70" s="1471" t="s">
        <v>297</v>
      </c>
      <c r="B70" s="1471"/>
      <c r="C70" s="2785">
        <v>2.3E-2</v>
      </c>
      <c r="D70"/>
      <c r="E70" s="2245">
        <v>0</v>
      </c>
      <c r="F70" s="1463"/>
      <c r="G70" s="2245">
        <v>0</v>
      </c>
      <c r="H70" s="1463"/>
      <c r="I70" s="2245">
        <v>0</v>
      </c>
      <c r="J70" s="1471"/>
      <c r="K70" s="1175">
        <f t="shared" si="3"/>
        <v>2.3E-2</v>
      </c>
      <c r="L70" s="1479"/>
      <c r="M70" s="1480"/>
      <c r="N70" s="1480"/>
    </row>
    <row r="71" spans="1:14">
      <c r="A71" s="1481" t="s">
        <v>298</v>
      </c>
      <c r="B71" s="1471"/>
      <c r="C71" s="2735">
        <v>10.436999999999999</v>
      </c>
      <c r="D71"/>
      <c r="E71" s="2245">
        <v>5.0000000000000001E-3</v>
      </c>
      <c r="F71" s="1463"/>
      <c r="G71" s="2245">
        <v>0.20499999999999999</v>
      </c>
      <c r="H71" s="1463"/>
      <c r="I71" s="2245">
        <v>0</v>
      </c>
      <c r="J71" s="1471"/>
      <c r="K71" s="1175">
        <f t="shared" si="3"/>
        <v>10.237</v>
      </c>
      <c r="L71" s="1479"/>
      <c r="M71" s="1480"/>
      <c r="N71" s="1480"/>
    </row>
    <row r="72" spans="1:14">
      <c r="A72" s="1471" t="s">
        <v>299</v>
      </c>
      <c r="B72" s="1471"/>
      <c r="C72" s="2734">
        <v>-6.6710000000000003</v>
      </c>
      <c r="D72"/>
      <c r="E72" s="2245">
        <v>-1E-3</v>
      </c>
      <c r="F72" s="1463"/>
      <c r="G72" s="2245">
        <v>0.26300000000000001</v>
      </c>
      <c r="H72" s="1463"/>
      <c r="I72" s="2245">
        <v>0</v>
      </c>
      <c r="J72" s="1471"/>
      <c r="K72" s="1175">
        <f t="shared" si="3"/>
        <v>-6.9349999999999996</v>
      </c>
      <c r="L72" s="1479"/>
      <c r="M72" s="1480"/>
      <c r="N72" s="1480"/>
    </row>
    <row r="73" spans="1:14">
      <c r="A73" s="1471" t="s">
        <v>300</v>
      </c>
      <c r="B73" s="1471"/>
      <c r="C73" s="2734">
        <v>0.14299999999999999</v>
      </c>
      <c r="D73"/>
      <c r="E73" s="2245">
        <v>8.0000000000000002E-3</v>
      </c>
      <c r="F73" s="1463"/>
      <c r="G73" s="2245">
        <v>7.0000000000000001E-3</v>
      </c>
      <c r="H73" s="1463"/>
      <c r="I73" s="2245">
        <v>0</v>
      </c>
      <c r="J73" s="1471"/>
      <c r="K73" s="1175">
        <f t="shared" si="3"/>
        <v>0.14399999999999999</v>
      </c>
      <c r="L73" s="1479"/>
      <c r="M73" s="1480"/>
      <c r="N73" s="1480"/>
    </row>
    <row r="74" spans="1:14">
      <c r="A74" s="1471" t="s">
        <v>301</v>
      </c>
      <c r="B74" s="1471"/>
      <c r="C74" s="2785"/>
      <c r="D74"/>
      <c r="E74" s="2246"/>
      <c r="F74" s="1463"/>
      <c r="G74" s="2246"/>
      <c r="H74" s="1463"/>
      <c r="I74" s="2246"/>
      <c r="J74" s="1471"/>
      <c r="K74" s="1175"/>
      <c r="L74" s="1479"/>
      <c r="M74" s="1480"/>
      <c r="N74" s="1480"/>
    </row>
    <row r="75" spans="1:14">
      <c r="A75" s="1471" t="s">
        <v>302</v>
      </c>
      <c r="B75" s="1471"/>
      <c r="C75" s="2734">
        <v>-6.1890000000000001</v>
      </c>
      <c r="D75"/>
      <c r="E75" s="2245">
        <v>0</v>
      </c>
      <c r="F75" s="1463"/>
      <c r="G75" s="2245">
        <v>0.30599999999999999</v>
      </c>
      <c r="H75" s="1463"/>
      <c r="I75" s="2245">
        <v>0</v>
      </c>
      <c r="J75" s="1471"/>
      <c r="K75" s="1175">
        <f t="shared" si="3"/>
        <v>-6.4950000000000001</v>
      </c>
      <c r="L75" s="1479"/>
      <c r="M75" s="1480"/>
      <c r="N75" s="1480"/>
    </row>
    <row r="76" spans="1:14">
      <c r="A76" s="1471" t="s">
        <v>303</v>
      </c>
      <c r="B76" s="1471"/>
      <c r="C76" s="2734">
        <v>-22.54</v>
      </c>
      <c r="D76"/>
      <c r="E76" s="2245">
        <v>0</v>
      </c>
      <c r="F76" s="1463"/>
      <c r="G76" s="2245">
        <v>5.4720000000000004</v>
      </c>
      <c r="H76" s="1463"/>
      <c r="I76" s="2245">
        <v>0</v>
      </c>
      <c r="J76" s="1471"/>
      <c r="K76" s="1175">
        <f t="shared" si="3"/>
        <v>-28.012</v>
      </c>
      <c r="L76" s="1175"/>
      <c r="M76" s="1480"/>
      <c r="N76" s="1480"/>
    </row>
    <row r="77" spans="1:14">
      <c r="A77" s="1471" t="s">
        <v>304</v>
      </c>
      <c r="B77" s="1471"/>
      <c r="C77" s="2734">
        <v>4.367</v>
      </c>
      <c r="D77"/>
      <c r="E77" s="2245">
        <v>3.641</v>
      </c>
      <c r="F77" s="1463"/>
      <c r="G77" s="2245">
        <v>4.944</v>
      </c>
      <c r="H77" s="1463"/>
      <c r="I77" s="2245">
        <v>0</v>
      </c>
      <c r="J77" s="1471"/>
      <c r="K77" s="1175">
        <f t="shared" si="3"/>
        <v>3.0640000000000001</v>
      </c>
      <c r="L77" s="1479"/>
      <c r="M77" s="1480"/>
      <c r="N77" s="1480"/>
    </row>
    <row r="78" spans="1:14">
      <c r="A78" s="1471" t="s">
        <v>1215</v>
      </c>
      <c r="B78" s="1471"/>
      <c r="C78" s="2734">
        <v>128.65899999999999</v>
      </c>
      <c r="D78"/>
      <c r="E78" s="2245">
        <v>11.747999999999999</v>
      </c>
      <c r="F78" s="1463"/>
      <c r="G78" s="2245">
        <v>6.2789999999999999</v>
      </c>
      <c r="H78" s="1463"/>
      <c r="I78" s="2245">
        <v>0</v>
      </c>
      <c r="J78" s="1471"/>
      <c r="K78" s="1175">
        <f t="shared" si="3"/>
        <v>134.12799999999999</v>
      </c>
      <c r="L78" s="1479"/>
      <c r="M78" s="1480"/>
      <c r="N78" s="1480"/>
    </row>
    <row r="79" spans="1:14">
      <c r="A79" s="1471" t="s">
        <v>305</v>
      </c>
      <c r="B79" s="1471"/>
      <c r="C79" s="2734">
        <v>0.112</v>
      </c>
      <c r="D79"/>
      <c r="E79" s="2245">
        <v>5.0000000000000001E-3</v>
      </c>
      <c r="F79" s="1463"/>
      <c r="G79" s="2245">
        <v>0</v>
      </c>
      <c r="H79" s="1463"/>
      <c r="I79" s="2245">
        <v>0</v>
      </c>
      <c r="J79" s="1471"/>
      <c r="K79" s="1175">
        <f t="shared" si="3"/>
        <v>0.11700000000000001</v>
      </c>
      <c r="L79" s="1175"/>
      <c r="M79" s="1480"/>
      <c r="N79" s="1480"/>
    </row>
    <row r="80" spans="1:14">
      <c r="A80" s="1481" t="s">
        <v>306</v>
      </c>
      <c r="B80" s="1471"/>
      <c r="C80" s="2734">
        <v>111.099</v>
      </c>
      <c r="D80"/>
      <c r="E80" s="2245">
        <v>9.1069999999999993</v>
      </c>
      <c r="F80" s="1463"/>
      <c r="G80" s="2245">
        <v>2.1280000000000001</v>
      </c>
      <c r="H80" s="1463"/>
      <c r="I80" s="2245">
        <v>0</v>
      </c>
      <c r="J80" s="1471"/>
      <c r="K80" s="1175">
        <f t="shared" si="3"/>
        <v>118.078</v>
      </c>
      <c r="L80" s="1479"/>
      <c r="M80" s="1480"/>
      <c r="N80" s="1480"/>
    </row>
    <row r="81" spans="1:15">
      <c r="A81" s="1471" t="s">
        <v>307</v>
      </c>
      <c r="B81" s="1471"/>
      <c r="C81" s="2734">
        <v>15.244999999999999</v>
      </c>
      <c r="D81"/>
      <c r="E81" s="2245">
        <v>1.28</v>
      </c>
      <c r="F81" s="1463"/>
      <c r="G81" s="2245">
        <v>1.2999999999999999E-2</v>
      </c>
      <c r="H81" s="1463"/>
      <c r="I81" s="2245">
        <v>0</v>
      </c>
      <c r="J81" s="1471"/>
      <c r="K81" s="1175">
        <f t="shared" si="3"/>
        <v>16.512</v>
      </c>
      <c r="L81" s="1479"/>
      <c r="M81" s="1480"/>
      <c r="N81" s="1480"/>
    </row>
    <row r="82" spans="1:15">
      <c r="A82" s="1481" t="s">
        <v>308</v>
      </c>
      <c r="B82" s="1471"/>
      <c r="C82" s="2734">
        <v>123.38200000000001</v>
      </c>
      <c r="D82" s="1201"/>
      <c r="E82" s="2245">
        <v>105.75</v>
      </c>
      <c r="F82" s="1463"/>
      <c r="G82" s="2245">
        <v>128.76499999999999</v>
      </c>
      <c r="H82" s="1463"/>
      <c r="I82" s="2245">
        <v>62.033000000000001</v>
      </c>
      <c r="J82" s="1471"/>
      <c r="K82" s="1175">
        <f t="shared" si="3"/>
        <v>162.4</v>
      </c>
      <c r="L82" s="1175"/>
      <c r="M82" s="1480"/>
      <c r="N82" s="1480"/>
    </row>
    <row r="83" spans="1:15">
      <c r="A83" s="1481" t="s">
        <v>1524</v>
      </c>
      <c r="B83" s="1471"/>
      <c r="C83" s="2734">
        <v>-2.0979999999999999</v>
      </c>
      <c r="D83"/>
      <c r="E83" s="2245">
        <v>0</v>
      </c>
      <c r="F83" s="1463"/>
      <c r="G83" s="2245">
        <v>1.264</v>
      </c>
      <c r="H83" s="1463"/>
      <c r="I83" s="2245">
        <v>0</v>
      </c>
      <c r="J83" s="1471"/>
      <c r="K83" s="1175">
        <f t="shared" si="3"/>
        <v>-3.3620000000000001</v>
      </c>
      <c r="L83" s="1175"/>
      <c r="M83" s="1480"/>
      <c r="N83" s="1480"/>
    </row>
    <row r="84" spans="1:15">
      <c r="A84" s="1481" t="s">
        <v>1533</v>
      </c>
      <c r="B84" s="1471"/>
      <c r="C84" s="2734">
        <v>6.74</v>
      </c>
      <c r="D84"/>
      <c r="E84" s="2245">
        <v>0</v>
      </c>
      <c r="F84" s="1463"/>
      <c r="G84" s="2245">
        <v>0</v>
      </c>
      <c r="H84" s="1463"/>
      <c r="I84" s="2245">
        <v>0</v>
      </c>
      <c r="J84" s="1471"/>
      <c r="K84" s="1175">
        <f t="shared" si="3"/>
        <v>6.74</v>
      </c>
      <c r="L84" s="1175"/>
      <c r="M84" s="1480"/>
      <c r="N84" s="1480"/>
    </row>
    <row r="85" spans="1:15">
      <c r="A85" s="1463" t="s">
        <v>1146</v>
      </c>
      <c r="B85" s="1471"/>
      <c r="C85" s="2734">
        <v>189.797</v>
      </c>
      <c r="D85"/>
      <c r="E85" s="2245">
        <v>19.866</v>
      </c>
      <c r="F85" s="1463"/>
      <c r="G85" s="2245">
        <v>0</v>
      </c>
      <c r="H85" s="1463"/>
      <c r="I85" s="2245">
        <v>-22.012</v>
      </c>
      <c r="J85" s="1471"/>
      <c r="K85" s="1175">
        <f>ROUND(SUM(C85)+SUM(E85)-SUM(G85)+SUM(I85),3)</f>
        <v>187.65100000000001</v>
      </c>
      <c r="L85" s="1175"/>
      <c r="M85" s="1480"/>
      <c r="N85" s="1480"/>
    </row>
    <row r="86" spans="1:15">
      <c r="A86" s="803" t="s">
        <v>309</v>
      </c>
      <c r="B86" s="1471"/>
      <c r="C86" s="821">
        <f>ROUND(SUM(C27:C85),3)</f>
        <v>3548.252</v>
      </c>
      <c r="D86" s="798"/>
      <c r="E86" s="821">
        <f>ROUND(SUM(E27:E85),3)</f>
        <v>1830.3430000000001</v>
      </c>
      <c r="F86" s="819"/>
      <c r="G86" s="821">
        <f>ROUND(SUM(G27:G85),3)</f>
        <v>1864.8720000000001</v>
      </c>
      <c r="H86" s="798"/>
      <c r="I86" s="821">
        <f>ROUND(SUM(I27:I85),3)</f>
        <v>561.97199999999998</v>
      </c>
      <c r="J86" s="798"/>
      <c r="K86" s="827">
        <f>ROUND(SUM(K27:K85),3)</f>
        <v>4075.6950000000002</v>
      </c>
      <c r="L86" s="804"/>
      <c r="M86" s="824"/>
      <c r="N86" s="1480"/>
      <c r="O86" s="1490"/>
    </row>
    <row r="87" spans="1:15" ht="11.25" customHeight="1">
      <c r="A87" s="1471"/>
      <c r="B87" s="1471"/>
      <c r="C87" s="1472"/>
      <c r="D87" s="1471"/>
      <c r="E87" s="1484"/>
      <c r="F87" s="1471"/>
      <c r="G87" s="1472"/>
      <c r="H87" s="1471"/>
      <c r="I87" s="1472"/>
      <c r="J87" s="1471"/>
      <c r="K87" s="1484"/>
      <c r="L87" s="1472"/>
      <c r="M87" s="1480"/>
      <c r="N87" s="1480"/>
    </row>
    <row r="88" spans="1:15">
      <c r="A88" s="810" t="s">
        <v>310</v>
      </c>
      <c r="B88" s="1471"/>
      <c r="C88" s="1471"/>
      <c r="D88" s="1471"/>
      <c r="E88" s="1475"/>
      <c r="F88" s="1471"/>
      <c r="G88" s="1475"/>
      <c r="H88" s="1471"/>
      <c r="I88" s="1475"/>
      <c r="J88" s="1471"/>
      <c r="K88" s="1475"/>
      <c r="L88" s="1471"/>
      <c r="M88" s="1480"/>
      <c r="N88" s="1480"/>
    </row>
    <row r="89" spans="1:15">
      <c r="A89" s="1471" t="s">
        <v>1216</v>
      </c>
      <c r="B89" s="1471"/>
      <c r="C89" s="1479">
        <v>-27.314</v>
      </c>
      <c r="D89" s="1471"/>
      <c r="E89" s="2245">
        <v>232.25800000000001</v>
      </c>
      <c r="F89" s="1463"/>
      <c r="G89" s="2245">
        <v>207.53</v>
      </c>
      <c r="H89" s="1463"/>
      <c r="I89" s="2245">
        <v>0</v>
      </c>
      <c r="J89" s="1471"/>
      <c r="K89" s="1175">
        <f>ROUND(SUM(C89)+SUM(E89)-SUM(G89)+SUM(I89),3)</f>
        <v>-2.5859999999999999</v>
      </c>
      <c r="L89" s="1479"/>
      <c r="M89" s="1480"/>
      <c r="N89" s="1480"/>
    </row>
    <row r="90" spans="1:15">
      <c r="A90" s="1471" t="s">
        <v>311</v>
      </c>
      <c r="B90" s="1471"/>
      <c r="C90" s="1479">
        <v>-620.43799999999999</v>
      </c>
      <c r="D90" s="1471"/>
      <c r="E90" s="2245">
        <v>3755.462</v>
      </c>
      <c r="F90" s="1463"/>
      <c r="G90" s="2245">
        <v>2974.2379999999998</v>
      </c>
      <c r="H90" s="1463"/>
      <c r="I90" s="2245">
        <v>-23.356000000000002</v>
      </c>
      <c r="J90" s="1471"/>
      <c r="K90" s="1175">
        <f t="shared" ref="K90:K95" si="4">ROUND(SUM(C90)+SUM(E90)-SUM(G90)+SUM(I90),3)</f>
        <v>137.43</v>
      </c>
      <c r="L90" s="1479"/>
      <c r="M90" s="1480"/>
      <c r="N90" s="1480"/>
    </row>
    <row r="91" spans="1:15">
      <c r="A91" s="1471" t="s">
        <v>312</v>
      </c>
      <c r="B91" s="816"/>
      <c r="C91" s="1479">
        <v>-15.791</v>
      </c>
      <c r="D91" s="1471"/>
      <c r="E91" s="2245">
        <v>368.96</v>
      </c>
      <c r="F91" s="1463"/>
      <c r="G91" s="2245">
        <v>367.93200000000002</v>
      </c>
      <c r="H91" s="1463"/>
      <c r="I91" s="2245">
        <v>0</v>
      </c>
      <c r="J91" s="1471"/>
      <c r="K91" s="1175">
        <f t="shared" si="4"/>
        <v>-14.763</v>
      </c>
      <c r="L91" s="1175"/>
      <c r="M91" s="1480"/>
      <c r="N91" s="1480"/>
    </row>
    <row r="92" spans="1:15">
      <c r="A92" s="1471" t="s">
        <v>313</v>
      </c>
      <c r="B92" s="1471"/>
      <c r="C92" s="1479">
        <v>-234.232</v>
      </c>
      <c r="D92" s="1471"/>
      <c r="E92" s="2245">
        <v>193.071</v>
      </c>
      <c r="F92" s="1463"/>
      <c r="G92" s="2245">
        <v>123.821</v>
      </c>
      <c r="H92" s="1463"/>
      <c r="I92" s="2245">
        <v>-0.495</v>
      </c>
      <c r="J92" s="1471"/>
      <c r="K92" s="1175">
        <f t="shared" si="4"/>
        <v>-165.477</v>
      </c>
      <c r="L92" s="1479"/>
      <c r="M92" s="1480"/>
      <c r="N92" s="1480"/>
    </row>
    <row r="93" spans="1:15">
      <c r="A93" s="1471" t="s">
        <v>314</v>
      </c>
      <c r="B93" s="1471"/>
      <c r="C93" s="1479">
        <v>49.735999999999997</v>
      </c>
      <c r="D93" s="1471"/>
      <c r="E93" s="2245">
        <v>65.459000000000003</v>
      </c>
      <c r="F93" s="1463"/>
      <c r="G93" s="2245">
        <v>41.258000000000003</v>
      </c>
      <c r="H93" s="1463"/>
      <c r="I93" s="2245">
        <v>0</v>
      </c>
      <c r="J93" s="1471"/>
      <c r="K93" s="1175">
        <f t="shared" si="4"/>
        <v>73.936999999999998</v>
      </c>
      <c r="L93" s="1175"/>
      <c r="M93" s="1480"/>
      <c r="N93" s="1480"/>
    </row>
    <row r="94" spans="1:15">
      <c r="A94" s="1475" t="s">
        <v>315</v>
      </c>
      <c r="B94" s="1471"/>
      <c r="C94" s="1478">
        <v>1.4990000000000001</v>
      </c>
      <c r="D94" s="1471"/>
      <c r="E94" s="2245">
        <v>0.5</v>
      </c>
      <c r="F94" s="1463"/>
      <c r="G94" s="2245">
        <v>0.68899999999999995</v>
      </c>
      <c r="H94" s="1463"/>
      <c r="I94" s="2245">
        <v>0</v>
      </c>
      <c r="J94" s="1475"/>
      <c r="K94" s="1175">
        <f t="shared" si="4"/>
        <v>1.31</v>
      </c>
      <c r="L94" s="1479"/>
      <c r="M94" s="1480"/>
      <c r="N94" s="1480"/>
    </row>
    <row r="95" spans="1:15">
      <c r="A95" s="1481" t="s">
        <v>316</v>
      </c>
      <c r="B95" s="1471"/>
      <c r="C95" s="1478">
        <v>-1.2809999999999999</v>
      </c>
      <c r="D95" s="1471"/>
      <c r="E95" s="2245">
        <v>14.035</v>
      </c>
      <c r="F95" s="1463"/>
      <c r="G95" s="2245">
        <v>13.199</v>
      </c>
      <c r="H95" s="1463"/>
      <c r="I95" s="2245">
        <v>0</v>
      </c>
      <c r="J95" s="1471"/>
      <c r="K95" s="1175">
        <f t="shared" si="4"/>
        <v>-0.44500000000000001</v>
      </c>
      <c r="L95" s="1175"/>
      <c r="M95" s="1480"/>
      <c r="N95" s="1480"/>
    </row>
    <row r="96" spans="1:15">
      <c r="A96" s="803" t="s">
        <v>317</v>
      </c>
      <c r="B96" s="1471"/>
      <c r="C96" s="821">
        <f>ROUND(SUM(C89:C95),3)</f>
        <v>-847.82100000000003</v>
      </c>
      <c r="D96" s="798"/>
      <c r="E96" s="827">
        <f>ROUND(SUM(E89:E95),3)</f>
        <v>4629.7449999999999</v>
      </c>
      <c r="F96" s="798"/>
      <c r="G96" s="827">
        <f>ROUND(SUM(G89:G95),3)</f>
        <v>3728.6669999999999</v>
      </c>
      <c r="H96" s="819"/>
      <c r="I96" s="827">
        <f>ROUND(SUM(I89:I95),3)</f>
        <v>-23.850999999999999</v>
      </c>
      <c r="J96" s="798"/>
      <c r="K96" s="821">
        <f>ROUND(SUM(K89:K95),3)</f>
        <v>29.405999999999999</v>
      </c>
      <c r="L96" s="804"/>
      <c r="M96" s="1480"/>
      <c r="N96" s="1480"/>
    </row>
    <row r="97" spans="1:15" ht="12" customHeight="1">
      <c r="A97" s="798"/>
      <c r="B97" s="1471"/>
      <c r="C97" s="1472"/>
      <c r="D97" s="1471"/>
      <c r="E97" s="1472"/>
      <c r="F97" s="1471"/>
      <c r="G97" s="1472"/>
      <c r="H97" s="1471"/>
      <c r="I97" s="1472"/>
      <c r="J97" s="1471"/>
      <c r="K97" s="1472"/>
      <c r="L97" s="1472"/>
      <c r="M97" s="1480"/>
      <c r="N97" s="1480"/>
    </row>
    <row r="98" spans="1:15">
      <c r="A98" s="822" t="s">
        <v>318</v>
      </c>
      <c r="B98" s="1471"/>
      <c r="C98" s="823">
        <f>C86+C96</f>
        <v>2700.431</v>
      </c>
      <c r="D98" s="798"/>
      <c r="E98" s="823">
        <f>E86+E96</f>
        <v>6460.0879999999997</v>
      </c>
      <c r="F98" s="798"/>
      <c r="G98" s="823">
        <f>G86+G96</f>
        <v>5593.5389999999998</v>
      </c>
      <c r="H98" s="798"/>
      <c r="I98" s="823">
        <f>I86+I96</f>
        <v>538.12099999999998</v>
      </c>
      <c r="J98" s="798"/>
      <c r="K98" s="823">
        <f>K86+K96</f>
        <v>4105.1010000000006</v>
      </c>
      <c r="L98" s="804"/>
      <c r="M98" s="824"/>
      <c r="N98" s="824"/>
      <c r="O98" s="1480"/>
    </row>
    <row r="99" spans="1:15" ht="10.5" customHeight="1">
      <c r="A99" s="1491"/>
      <c r="B99" s="1471"/>
      <c r="C99" s="1472"/>
      <c r="D99" s="1471"/>
      <c r="E99" s="1484"/>
      <c r="F99" s="1475"/>
      <c r="G99" s="1484"/>
      <c r="H99" s="1475"/>
      <c r="I99" s="1484"/>
      <c r="J99" s="1475"/>
      <c r="K99" s="1484"/>
      <c r="L99" s="1484"/>
      <c r="M99" s="1480"/>
      <c r="N99" s="1480"/>
    </row>
    <row r="100" spans="1:15" ht="17.25">
      <c r="A100" s="810" t="s">
        <v>191</v>
      </c>
      <c r="B100" s="1471"/>
      <c r="C100" s="1471"/>
      <c r="D100" s="1471"/>
      <c r="E100" s="1337"/>
      <c r="F100" s="1337"/>
      <c r="G100" s="1337"/>
      <c r="H100" s="1337"/>
      <c r="I100" s="1337"/>
      <c r="J100" s="816"/>
      <c r="K100" s="1337"/>
      <c r="L100" s="1471"/>
      <c r="M100" s="1480"/>
      <c r="N100" s="1480"/>
    </row>
    <row r="101" spans="1:15">
      <c r="A101" s="1471" t="s">
        <v>319</v>
      </c>
      <c r="B101" s="1471"/>
      <c r="C101" s="1492">
        <v>0</v>
      </c>
      <c r="D101" s="1471"/>
      <c r="E101" s="2250">
        <v>0</v>
      </c>
      <c r="F101" s="1463"/>
      <c r="G101" s="2250">
        <v>0</v>
      </c>
      <c r="H101" s="1463"/>
      <c r="I101" s="2250">
        <v>0</v>
      </c>
      <c r="J101" s="1471"/>
      <c r="K101" s="1478">
        <f>ROUND(SUM(C101)+SUM(E101)+SUM(I101)-SUM(G101),3)</f>
        <v>0</v>
      </c>
      <c r="L101" s="1478"/>
      <c r="M101" s="1480"/>
      <c r="N101" s="1480"/>
    </row>
    <row r="102" spans="1:15">
      <c r="A102" s="1475" t="s">
        <v>320</v>
      </c>
      <c r="B102" s="1475"/>
      <c r="C102" s="1478">
        <v>129.482</v>
      </c>
      <c r="D102" s="1469"/>
      <c r="E102" s="2245">
        <v>92.384</v>
      </c>
      <c r="F102" s="2243"/>
      <c r="G102" s="2245">
        <v>0</v>
      </c>
      <c r="H102" s="2243"/>
      <c r="I102" s="2253">
        <v>-122.374</v>
      </c>
      <c r="J102" s="1475"/>
      <c r="K102" s="1478">
        <f t="shared" ref="K102:K107" si="5">ROUND(SUM(C102)+SUM(E102)+SUM(I102)-SUM(G102),3)</f>
        <v>99.492000000000004</v>
      </c>
      <c r="L102" s="1485"/>
      <c r="M102" s="1480"/>
      <c r="N102" s="1480"/>
    </row>
    <row r="103" spans="1:15">
      <c r="A103" s="1471" t="s">
        <v>321</v>
      </c>
      <c r="B103" s="1471"/>
      <c r="C103" s="1478">
        <v>240.76499999999999</v>
      </c>
      <c r="D103" s="1473"/>
      <c r="E103" s="2251">
        <v>812.89800000000002</v>
      </c>
      <c r="F103" s="2243"/>
      <c r="G103" s="2251">
        <v>240.89400000000001</v>
      </c>
      <c r="H103" s="2243"/>
      <c r="I103" s="2251">
        <v>-689.58</v>
      </c>
      <c r="J103" s="1471"/>
      <c r="K103" s="1478">
        <f t="shared" si="5"/>
        <v>123.18899999999999</v>
      </c>
      <c r="L103" s="1485"/>
      <c r="M103" s="1480"/>
      <c r="N103" s="1480"/>
    </row>
    <row r="104" spans="1:15">
      <c r="A104" s="1471" t="s">
        <v>322</v>
      </c>
      <c r="B104" s="1471"/>
      <c r="C104" s="1478">
        <v>0</v>
      </c>
      <c r="D104" s="1473"/>
      <c r="E104" s="2251">
        <v>0.51800000000000002</v>
      </c>
      <c r="F104" s="2243"/>
      <c r="G104" s="2251">
        <v>0</v>
      </c>
      <c r="H104" s="2243"/>
      <c r="I104" s="2251">
        <v>-0.51800000000000002</v>
      </c>
      <c r="J104" s="1471"/>
      <c r="K104" s="1478">
        <f t="shared" si="5"/>
        <v>0</v>
      </c>
      <c r="L104" s="1478"/>
      <c r="M104" s="1480"/>
      <c r="N104" s="1480"/>
    </row>
    <row r="105" spans="1:15">
      <c r="A105" s="1471" t="s">
        <v>323</v>
      </c>
      <c r="B105" s="1471"/>
      <c r="C105" s="1175">
        <v>42.256</v>
      </c>
      <c r="D105" s="1473"/>
      <c r="E105" s="2253">
        <v>1.7569999999999999</v>
      </c>
      <c r="F105" s="2242"/>
      <c r="G105" s="2245">
        <v>14.961</v>
      </c>
      <c r="H105" s="2242"/>
      <c r="I105" s="2251">
        <v>-1.7889999999999999</v>
      </c>
      <c r="J105" s="1471"/>
      <c r="K105" s="1478">
        <f>ROUND(SUM(C105)+SUM(E105)+SUM(I105)-SUM(G105),3)</f>
        <v>27.263000000000002</v>
      </c>
      <c r="L105" s="1485"/>
      <c r="M105" s="1480"/>
      <c r="N105" s="1480"/>
    </row>
    <row r="106" spans="1:15">
      <c r="A106" s="1471" t="s">
        <v>324</v>
      </c>
      <c r="B106" s="1471"/>
      <c r="C106" s="1478">
        <v>0</v>
      </c>
      <c r="D106" s="1473"/>
      <c r="E106" s="2245">
        <v>97.057000000000002</v>
      </c>
      <c r="F106" s="2242"/>
      <c r="G106" s="2245">
        <v>0</v>
      </c>
      <c r="H106" s="2242"/>
      <c r="I106" s="2251">
        <v>-97.054000000000002</v>
      </c>
      <c r="J106" s="1471"/>
      <c r="K106" s="1478">
        <f t="shared" si="5"/>
        <v>3.0000000000000001E-3</v>
      </c>
      <c r="L106" s="1485"/>
      <c r="M106" s="1480"/>
      <c r="N106" s="1480"/>
    </row>
    <row r="107" spans="1:15">
      <c r="A107" s="1481" t="s">
        <v>325</v>
      </c>
      <c r="B107" s="1475"/>
      <c r="C107" s="1478">
        <v>2.1030000000000002</v>
      </c>
      <c r="D107" s="1475"/>
      <c r="E107" s="2251">
        <v>232.71100000000001</v>
      </c>
      <c r="F107" s="2243"/>
      <c r="G107" s="2245">
        <v>0</v>
      </c>
      <c r="H107" s="2243"/>
      <c r="I107" s="2251">
        <v>-32.722000000000001</v>
      </c>
      <c r="J107" s="1475"/>
      <c r="K107" s="1478">
        <f t="shared" si="5"/>
        <v>202.09200000000001</v>
      </c>
      <c r="L107" s="1485"/>
      <c r="M107" s="1480"/>
      <c r="N107" s="1480"/>
    </row>
    <row r="108" spans="1:15">
      <c r="A108" s="825" t="s">
        <v>326</v>
      </c>
      <c r="B108" s="1493"/>
      <c r="C108" s="821">
        <f>ROUND(SUM(C101:C107),3)</f>
        <v>414.60599999999999</v>
      </c>
      <c r="D108" s="1338"/>
      <c r="E108" s="821">
        <f>ROUND(SUM(E101:E107),3)</f>
        <v>1237.325</v>
      </c>
      <c r="F108" s="1338"/>
      <c r="G108" s="821">
        <f>ROUND(SUM(G101:G107),3)</f>
        <v>255.85499999999999</v>
      </c>
      <c r="H108" s="1338"/>
      <c r="I108" s="1339">
        <f>ROUND(SUM(I101:I107),3)</f>
        <v>-944.03700000000003</v>
      </c>
      <c r="J108" s="1338"/>
      <c r="K108" s="1339">
        <f>ROUND(SUM(K101:K107),3)</f>
        <v>452.03899999999999</v>
      </c>
      <c r="L108" s="1340"/>
      <c r="M108" s="824"/>
      <c r="N108" s="1480"/>
    </row>
    <row r="109" spans="1:15">
      <c r="A109" s="1471"/>
      <c r="B109" s="1471"/>
      <c r="C109" s="1472"/>
      <c r="D109" s="1471"/>
      <c r="E109" s="1472"/>
      <c r="F109" s="1471"/>
      <c r="G109" s="1472"/>
      <c r="H109" s="1471"/>
      <c r="I109" s="1472"/>
      <c r="J109" s="1471"/>
      <c r="K109" s="1472" t="s">
        <v>16</v>
      </c>
      <c r="L109" s="1472"/>
      <c r="M109" s="1480"/>
      <c r="N109" s="1480"/>
    </row>
    <row r="110" spans="1:15">
      <c r="A110" s="798"/>
      <c r="B110" s="799"/>
      <c r="C110" s="799"/>
      <c r="D110" s="799"/>
      <c r="E110" s="799"/>
      <c r="F110" s="799"/>
      <c r="G110" s="799"/>
      <c r="H110" s="799"/>
      <c r="I110" s="799"/>
      <c r="J110" s="799"/>
      <c r="K110" s="799"/>
      <c r="L110" s="799"/>
    </row>
    <row r="111" spans="1:15">
      <c r="A111" s="826" t="s">
        <v>1180</v>
      </c>
      <c r="B111" s="1471"/>
      <c r="K111" s="1480"/>
      <c r="L111" s="1479"/>
      <c r="M111" s="1480"/>
      <c r="N111" s="1480"/>
    </row>
    <row r="112" spans="1:15" s="1495" customFormat="1">
      <c r="A112" s="1475" t="s">
        <v>327</v>
      </c>
      <c r="B112" s="1469"/>
      <c r="C112" s="2717">
        <v>0</v>
      </c>
      <c r="D112"/>
      <c r="E112" s="2252">
        <v>0</v>
      </c>
      <c r="F112" s="2243">
        <v>0</v>
      </c>
      <c r="G112" s="2252">
        <v>149.78200000000001</v>
      </c>
      <c r="H112" s="2243">
        <v>0</v>
      </c>
      <c r="I112" s="2252">
        <v>149.78200000000001</v>
      </c>
      <c r="J112" s="1469"/>
      <c r="K112" s="1486">
        <f>ROUND(SUM(C112)+SUM(E112)-SUM(G112)+SUM(I112),3)</f>
        <v>0</v>
      </c>
      <c r="L112" s="1486"/>
      <c r="M112" s="1494"/>
      <c r="N112" s="1494"/>
    </row>
    <row r="113" spans="1:14" s="1495" customFormat="1">
      <c r="A113" s="1475" t="s">
        <v>328</v>
      </c>
      <c r="B113" s="1483"/>
      <c r="C113" s="1469">
        <v>-91.582999999999998</v>
      </c>
      <c r="D113" s="3474"/>
      <c r="E113" s="2252">
        <v>216.37200000000001</v>
      </c>
      <c r="F113" s="2243">
        <v>0</v>
      </c>
      <c r="G113" s="2252">
        <v>192.48400000000001</v>
      </c>
      <c r="H113" s="2243">
        <v>0</v>
      </c>
      <c r="I113" s="2252">
        <v>-74.055000000000007</v>
      </c>
      <c r="J113" s="1475"/>
      <c r="K113" s="1486">
        <f t="shared" ref="K113:K127" si="6">ROUND(SUM(C113)+SUM(E113)-SUM(G113)+SUM(I113),3)</f>
        <v>-141.75</v>
      </c>
      <c r="L113" s="1175"/>
      <c r="M113" s="1494"/>
      <c r="N113" s="1494"/>
    </row>
    <row r="114" spans="1:14" s="1495" customFormat="1">
      <c r="A114" s="1475" t="s">
        <v>329</v>
      </c>
      <c r="B114" s="1475"/>
      <c r="C114" s="1469">
        <v>112.018</v>
      </c>
      <c r="D114" s="3474"/>
      <c r="E114" s="2252">
        <v>3.9420000000000002</v>
      </c>
      <c r="F114" s="2243">
        <v>0</v>
      </c>
      <c r="G114" s="2252">
        <v>10.455</v>
      </c>
      <c r="H114" s="2243">
        <v>0</v>
      </c>
      <c r="I114" s="2252">
        <v>0</v>
      </c>
      <c r="J114" s="1475"/>
      <c r="K114" s="1486">
        <f>ROUND(SUM(C114)+SUM(E114)-SUM(G114)+SUM(I114),3)</f>
        <v>105.505</v>
      </c>
      <c r="L114" s="1175"/>
      <c r="M114" s="1494"/>
      <c r="N114" s="1494"/>
    </row>
    <row r="115" spans="1:14" s="1495" customFormat="1">
      <c r="A115" s="1475" t="s">
        <v>330</v>
      </c>
      <c r="B115" s="1475"/>
      <c r="C115" s="3475">
        <v>3.3180000000000001</v>
      </c>
      <c r="D115" s="3474"/>
      <c r="E115" s="2252">
        <v>0.48099999999999998</v>
      </c>
      <c r="F115" s="2243">
        <v>0</v>
      </c>
      <c r="G115" s="2252">
        <v>0</v>
      </c>
      <c r="H115" s="2243">
        <v>0</v>
      </c>
      <c r="I115" s="2253">
        <v>0</v>
      </c>
      <c r="J115" s="1475"/>
      <c r="K115" s="1486">
        <f t="shared" si="6"/>
        <v>3.7989999999999999</v>
      </c>
      <c r="L115" s="1175"/>
      <c r="M115" s="1494"/>
      <c r="N115" s="1494"/>
    </row>
    <row r="116" spans="1:14" s="1495" customFormat="1">
      <c r="A116" s="1475" t="s">
        <v>331</v>
      </c>
      <c r="B116" s="1475"/>
      <c r="C116" s="1469">
        <v>-92.884</v>
      </c>
      <c r="D116" s="3474"/>
      <c r="E116" s="2252">
        <v>0</v>
      </c>
      <c r="F116" s="2243">
        <v>0</v>
      </c>
      <c r="G116" s="2252">
        <v>8.5150000000000006</v>
      </c>
      <c r="H116" s="2243">
        <v>0</v>
      </c>
      <c r="I116" s="2253">
        <v>0</v>
      </c>
      <c r="J116" s="1475"/>
      <c r="K116" s="1486">
        <f t="shared" si="6"/>
        <v>-101.399</v>
      </c>
      <c r="L116" s="1175"/>
      <c r="M116" s="1494"/>
      <c r="N116" s="1494"/>
    </row>
    <row r="117" spans="1:14" s="1495" customFormat="1">
      <c r="A117" s="1475" t="s">
        <v>332</v>
      </c>
      <c r="B117" s="1475"/>
      <c r="C117" s="3475">
        <v>1.4E-2</v>
      </c>
      <c r="D117" s="3474"/>
      <c r="E117" s="2253">
        <v>0</v>
      </c>
      <c r="F117" s="2243">
        <v>0</v>
      </c>
      <c r="G117" s="2253">
        <v>0</v>
      </c>
      <c r="H117" s="2243">
        <v>0</v>
      </c>
      <c r="I117" s="2253">
        <v>0</v>
      </c>
      <c r="J117" s="1475"/>
      <c r="K117" s="1486">
        <f t="shared" si="6"/>
        <v>1.4E-2</v>
      </c>
      <c r="L117" s="1175"/>
      <c r="M117" s="1494"/>
      <c r="N117" s="1494"/>
    </row>
    <row r="118" spans="1:14" s="1495" customFormat="1">
      <c r="A118" s="1475" t="s">
        <v>333</v>
      </c>
      <c r="B118" s="1475"/>
      <c r="C118" s="1469">
        <v>35.994999999999997</v>
      </c>
      <c r="D118" s="3474"/>
      <c r="E118" s="2252">
        <v>0.90600000000000003</v>
      </c>
      <c r="F118" s="2243">
        <v>0</v>
      </c>
      <c r="G118" s="2252">
        <v>0.42699999999999999</v>
      </c>
      <c r="H118" s="2243">
        <v>0</v>
      </c>
      <c r="I118" s="2253">
        <v>5</v>
      </c>
      <c r="J118" s="1475"/>
      <c r="K118" s="1486">
        <f t="shared" si="6"/>
        <v>41.473999999999997</v>
      </c>
      <c r="L118" s="1175"/>
      <c r="M118" s="1494"/>
      <c r="N118" s="1494"/>
    </row>
    <row r="119" spans="1:14" s="1495" customFormat="1">
      <c r="A119" s="1475" t="s">
        <v>334</v>
      </c>
      <c r="B119" s="1475"/>
      <c r="C119" s="3475">
        <v>0</v>
      </c>
      <c r="D119" s="3474"/>
      <c r="E119" s="2253">
        <v>0</v>
      </c>
      <c r="F119" s="2243">
        <v>0</v>
      </c>
      <c r="G119" s="2253">
        <v>0</v>
      </c>
      <c r="H119" s="2243">
        <v>0</v>
      </c>
      <c r="I119" s="2253">
        <v>0</v>
      </c>
      <c r="J119" s="1475"/>
      <c r="K119" s="1486">
        <f t="shared" si="6"/>
        <v>0</v>
      </c>
      <c r="L119" s="1175"/>
      <c r="M119" s="1494"/>
      <c r="N119" s="1494"/>
    </row>
    <row r="120" spans="1:14" s="1495" customFormat="1">
      <c r="A120" s="1475" t="s">
        <v>335</v>
      </c>
      <c r="B120" s="1475"/>
      <c r="C120" s="3475">
        <v>0.16400000000000001</v>
      </c>
      <c r="D120" s="3474"/>
      <c r="E120" s="2253">
        <v>0</v>
      </c>
      <c r="F120" s="2243">
        <v>0</v>
      </c>
      <c r="G120" s="2253">
        <v>0</v>
      </c>
      <c r="H120" s="2243">
        <v>0</v>
      </c>
      <c r="I120" s="2253">
        <v>0</v>
      </c>
      <c r="J120" s="1475"/>
      <c r="K120" s="1486">
        <f t="shared" si="6"/>
        <v>0.16400000000000001</v>
      </c>
      <c r="L120" s="1175"/>
      <c r="M120" s="1494"/>
      <c r="N120" s="1494"/>
    </row>
    <row r="121" spans="1:14" s="1495" customFormat="1">
      <c r="A121" s="1475" t="s">
        <v>1214</v>
      </c>
      <c r="B121" s="1475"/>
      <c r="C121" s="3475">
        <v>0</v>
      </c>
      <c r="D121" s="3474"/>
      <c r="E121" s="2253">
        <v>0</v>
      </c>
      <c r="F121" s="2243">
        <v>0</v>
      </c>
      <c r="G121" s="2253">
        <v>0</v>
      </c>
      <c r="H121" s="2243">
        <v>0</v>
      </c>
      <c r="I121" s="2253">
        <v>0</v>
      </c>
      <c r="J121" s="1475"/>
      <c r="K121" s="1486">
        <f t="shared" si="6"/>
        <v>0</v>
      </c>
      <c r="L121" s="1175"/>
      <c r="M121" s="1494"/>
      <c r="N121" s="1494"/>
    </row>
    <row r="122" spans="1:14" s="1495" customFormat="1">
      <c r="A122" s="1475" t="s">
        <v>336</v>
      </c>
      <c r="B122" s="1475"/>
      <c r="C122" s="1469">
        <v>0.66800000000000004</v>
      </c>
      <c r="D122" s="3474"/>
      <c r="E122" s="2253">
        <v>0</v>
      </c>
      <c r="F122" s="2243">
        <v>0</v>
      </c>
      <c r="G122" s="2253">
        <v>0</v>
      </c>
      <c r="H122" s="2243">
        <v>0</v>
      </c>
      <c r="I122" s="2253">
        <v>0</v>
      </c>
      <c r="J122" s="1475"/>
      <c r="K122" s="1486">
        <f t="shared" si="6"/>
        <v>0.66800000000000004</v>
      </c>
      <c r="L122" s="1175"/>
      <c r="M122" s="1494"/>
      <c r="N122" s="1494"/>
    </row>
    <row r="123" spans="1:14" s="1495" customFormat="1">
      <c r="A123" s="1475" t="s">
        <v>337</v>
      </c>
      <c r="B123" s="1475"/>
      <c r="C123" s="3475">
        <v>3.3279999999999998</v>
      </c>
      <c r="D123" s="3474"/>
      <c r="E123" s="2253">
        <v>0</v>
      </c>
      <c r="F123" s="2243">
        <v>0</v>
      </c>
      <c r="G123" s="2253">
        <v>0</v>
      </c>
      <c r="H123" s="2243">
        <v>0</v>
      </c>
      <c r="I123" s="2253">
        <v>0</v>
      </c>
      <c r="J123" s="1475"/>
      <c r="K123" s="1486">
        <f t="shared" si="6"/>
        <v>3.3279999999999998</v>
      </c>
      <c r="L123" s="1175"/>
      <c r="M123" s="1494"/>
      <c r="N123" s="1494"/>
    </row>
    <row r="124" spans="1:14" s="1495" customFormat="1">
      <c r="A124" s="1475" t="s">
        <v>338</v>
      </c>
      <c r="B124" s="1475"/>
      <c r="C124" s="3475">
        <v>1.4510000000000001</v>
      </c>
      <c r="D124" s="3474"/>
      <c r="E124" s="2253">
        <v>0</v>
      </c>
      <c r="F124" s="2243">
        <v>0</v>
      </c>
      <c r="G124" s="2253">
        <v>0</v>
      </c>
      <c r="H124" s="2243">
        <v>0</v>
      </c>
      <c r="I124" s="2252">
        <v>0</v>
      </c>
      <c r="J124" s="1475"/>
      <c r="K124" s="1486">
        <f t="shared" si="6"/>
        <v>1.4510000000000001</v>
      </c>
      <c r="L124" s="1175"/>
      <c r="M124" s="1494"/>
      <c r="N124" s="1494"/>
    </row>
    <row r="125" spans="1:14" s="1495" customFormat="1">
      <c r="A125" s="1475" t="s">
        <v>339</v>
      </c>
      <c r="B125" s="1475"/>
      <c r="C125" s="1469">
        <v>52.606000000000002</v>
      </c>
      <c r="D125" s="3474"/>
      <c r="E125" s="2253">
        <v>0</v>
      </c>
      <c r="F125" s="2243">
        <v>0</v>
      </c>
      <c r="G125" s="2253">
        <v>0</v>
      </c>
      <c r="H125" s="2243">
        <v>0</v>
      </c>
      <c r="I125" s="2252">
        <v>-5.2859999999999996</v>
      </c>
      <c r="J125" s="1475"/>
      <c r="K125" s="1486">
        <f t="shared" si="6"/>
        <v>47.32</v>
      </c>
      <c r="L125" s="1175"/>
      <c r="M125" s="1494"/>
      <c r="N125" s="1494"/>
    </row>
    <row r="126" spans="1:14" s="1495" customFormat="1">
      <c r="A126" s="1475" t="s">
        <v>340</v>
      </c>
      <c r="B126" s="1475"/>
      <c r="C126" s="3475">
        <v>4.2549999999999999</v>
      </c>
      <c r="D126" s="3474"/>
      <c r="E126" s="2253">
        <v>0</v>
      </c>
      <c r="F126" s="2243">
        <v>0</v>
      </c>
      <c r="G126" s="2253">
        <v>0</v>
      </c>
      <c r="H126" s="2243">
        <v>0</v>
      </c>
      <c r="I126" s="2253">
        <v>0</v>
      </c>
      <c r="J126" s="1475"/>
      <c r="K126" s="1486">
        <f t="shared" si="6"/>
        <v>4.2549999999999999</v>
      </c>
      <c r="L126" s="1175"/>
      <c r="M126" s="1494"/>
      <c r="N126" s="1494"/>
    </row>
    <row r="127" spans="1:14" s="1495" customFormat="1">
      <c r="A127" s="1475" t="s">
        <v>341</v>
      </c>
      <c r="B127" s="1475"/>
      <c r="C127" s="3475">
        <v>5.5759999999999996</v>
      </c>
      <c r="D127" s="3474"/>
      <c r="E127" s="2253">
        <v>0</v>
      </c>
      <c r="F127" s="2243">
        <v>0</v>
      </c>
      <c r="G127" s="2253">
        <v>0</v>
      </c>
      <c r="H127" s="2243">
        <v>0</v>
      </c>
      <c r="I127" s="2252">
        <v>0</v>
      </c>
      <c r="J127" s="1475"/>
      <c r="K127" s="1486">
        <f t="shared" si="6"/>
        <v>5.5759999999999996</v>
      </c>
      <c r="L127" s="1175"/>
      <c r="M127" s="1494"/>
      <c r="N127" s="1494"/>
    </row>
    <row r="128" spans="1:14" s="1495" customFormat="1">
      <c r="A128" s="1475" t="s">
        <v>342</v>
      </c>
      <c r="B128" s="1475"/>
      <c r="C128" s="3475"/>
      <c r="D128" s="3474"/>
      <c r="E128" s="2251" t="s">
        <v>16</v>
      </c>
      <c r="F128" s="2243">
        <v>0</v>
      </c>
      <c r="G128" s="2251" t="s">
        <v>16</v>
      </c>
      <c r="H128" s="2243">
        <v>0</v>
      </c>
      <c r="I128" s="2251" t="s">
        <v>16</v>
      </c>
      <c r="J128" s="1475"/>
      <c r="K128" s="1486"/>
      <c r="L128" s="1175"/>
      <c r="M128" s="1494"/>
      <c r="N128" s="1494"/>
    </row>
    <row r="129" spans="1:14" s="1495" customFormat="1">
      <c r="A129" s="1475" t="s">
        <v>343</v>
      </c>
      <c r="B129" s="1475"/>
      <c r="C129" s="3475">
        <v>2.8140000000000001</v>
      </c>
      <c r="D129" s="3474"/>
      <c r="E129" s="2253">
        <v>0</v>
      </c>
      <c r="F129" s="2243">
        <v>0</v>
      </c>
      <c r="G129" s="2253">
        <v>0</v>
      </c>
      <c r="H129" s="2243">
        <v>0</v>
      </c>
      <c r="I129" s="2253">
        <v>0</v>
      </c>
      <c r="J129" s="1475"/>
      <c r="K129" s="1486">
        <f>ROUND(SUM(C129)+SUM(E129)-SUM(G129)+SUM(I129),3)</f>
        <v>2.8140000000000001</v>
      </c>
      <c r="L129" s="1175"/>
      <c r="M129" s="1494"/>
      <c r="N129" s="1494"/>
    </row>
    <row r="130" spans="1:14" s="1495" customFormat="1">
      <c r="A130" s="1475" t="s">
        <v>344</v>
      </c>
      <c r="B130" s="1475"/>
      <c r="C130" s="3475">
        <v>18.963000000000001</v>
      </c>
      <c r="D130" s="3474"/>
      <c r="E130" s="2253">
        <v>0</v>
      </c>
      <c r="F130" s="2243">
        <v>0</v>
      </c>
      <c r="G130" s="2253">
        <v>0</v>
      </c>
      <c r="H130" s="2243">
        <v>0</v>
      </c>
      <c r="I130" s="2253">
        <v>-1.466</v>
      </c>
      <c r="J130" s="1475"/>
      <c r="K130" s="1486">
        <f t="shared" ref="K130:K149" si="7">ROUND(SUM(C130)+SUM(E130)-SUM(G130)+SUM(I130),3)</f>
        <v>17.497</v>
      </c>
      <c r="L130" s="1175"/>
      <c r="M130" s="1494"/>
      <c r="N130" s="1494"/>
    </row>
    <row r="131" spans="1:14" s="1495" customFormat="1">
      <c r="A131" s="1475" t="s">
        <v>1531</v>
      </c>
      <c r="B131" s="1475"/>
      <c r="C131" s="3475">
        <v>0</v>
      </c>
      <c r="D131" s="3474"/>
      <c r="E131" s="2253">
        <v>0</v>
      </c>
      <c r="F131" s="2243">
        <v>0</v>
      </c>
      <c r="G131" s="2253">
        <v>0</v>
      </c>
      <c r="H131" s="2243">
        <v>0</v>
      </c>
      <c r="I131" s="2253">
        <v>0</v>
      </c>
      <c r="J131" s="1475"/>
      <c r="K131" s="1486">
        <f t="shared" si="7"/>
        <v>0</v>
      </c>
      <c r="L131" s="1175"/>
      <c r="M131" s="1494"/>
      <c r="N131" s="1494"/>
    </row>
    <row r="132" spans="1:14" s="1495" customFormat="1">
      <c r="A132" s="1475" t="s">
        <v>1530</v>
      </c>
      <c r="B132" s="1475"/>
      <c r="C132" s="3475">
        <v>0</v>
      </c>
      <c r="D132" s="3474"/>
      <c r="E132" s="2253">
        <v>0</v>
      </c>
      <c r="F132" s="2243"/>
      <c r="G132" s="2253">
        <v>0</v>
      </c>
      <c r="H132" s="2243"/>
      <c r="I132" s="2253">
        <v>0</v>
      </c>
      <c r="J132" s="1475" t="s">
        <v>16</v>
      </c>
      <c r="K132" s="1175">
        <f t="shared" si="7"/>
        <v>0</v>
      </c>
      <c r="L132" s="1175"/>
      <c r="M132" s="1494"/>
      <c r="N132" s="1494"/>
    </row>
    <row r="133" spans="1:14" s="1495" customFormat="1">
      <c r="A133" s="1475" t="s">
        <v>345</v>
      </c>
      <c r="B133" s="1475"/>
      <c r="C133" s="3475">
        <v>0</v>
      </c>
      <c r="D133" s="3474"/>
      <c r="E133" s="2253">
        <v>0</v>
      </c>
      <c r="F133" s="2243">
        <v>0</v>
      </c>
      <c r="G133" s="2253">
        <v>0</v>
      </c>
      <c r="H133" s="2243">
        <v>0</v>
      </c>
      <c r="I133" s="2253">
        <v>0</v>
      </c>
      <c r="J133" s="1475"/>
      <c r="K133" s="1175">
        <f t="shared" si="7"/>
        <v>0</v>
      </c>
      <c r="L133" s="1175"/>
      <c r="M133" s="1494"/>
      <c r="N133" s="1494"/>
    </row>
    <row r="134" spans="1:14" s="1495" customFormat="1">
      <c r="A134" s="1475" t="s">
        <v>346</v>
      </c>
      <c r="B134" s="1475"/>
      <c r="C134" s="3475">
        <v>0</v>
      </c>
      <c r="D134" s="3474"/>
      <c r="E134" s="2253">
        <v>0</v>
      </c>
      <c r="F134" s="2243">
        <v>0</v>
      </c>
      <c r="G134" s="2253">
        <v>0</v>
      </c>
      <c r="H134" s="2243">
        <v>0</v>
      </c>
      <c r="I134" s="2253">
        <v>0</v>
      </c>
      <c r="J134" s="1475"/>
      <c r="K134" s="1175">
        <f t="shared" si="7"/>
        <v>0</v>
      </c>
      <c r="L134" s="1175"/>
      <c r="M134" s="1494"/>
      <c r="N134" s="1494"/>
    </row>
    <row r="135" spans="1:14" s="1495" customFormat="1">
      <c r="A135" s="1475" t="s">
        <v>347</v>
      </c>
      <c r="B135" s="1475"/>
      <c r="C135" s="1469">
        <v>-386.01900000000001</v>
      </c>
      <c r="D135" s="3474"/>
      <c r="E135" s="2252">
        <v>69.835999999999999</v>
      </c>
      <c r="F135" s="2243">
        <v>0</v>
      </c>
      <c r="G135" s="2252">
        <v>115.526</v>
      </c>
      <c r="H135" s="2243">
        <v>0</v>
      </c>
      <c r="I135" s="2252">
        <v>0</v>
      </c>
      <c r="J135" s="1475"/>
      <c r="K135" s="1486">
        <f t="shared" si="7"/>
        <v>-431.709</v>
      </c>
      <c r="L135" s="1175"/>
      <c r="M135" s="1494"/>
      <c r="N135" s="1494"/>
    </row>
    <row r="136" spans="1:14" s="1495" customFormat="1">
      <c r="A136" s="1475" t="s">
        <v>348</v>
      </c>
      <c r="B136" s="1475"/>
      <c r="C136" s="3475">
        <v>0.89800000000000002</v>
      </c>
      <c r="D136" s="3474"/>
      <c r="E136" s="2253">
        <v>0</v>
      </c>
      <c r="F136" s="2243">
        <v>0</v>
      </c>
      <c r="G136" s="2253">
        <v>0</v>
      </c>
      <c r="H136" s="2243">
        <v>0</v>
      </c>
      <c r="I136" s="2253">
        <v>0</v>
      </c>
      <c r="J136" s="1475"/>
      <c r="K136" s="1486">
        <f t="shared" si="7"/>
        <v>0.89800000000000002</v>
      </c>
      <c r="L136" s="1175"/>
      <c r="M136" s="1494"/>
      <c r="N136" s="1494"/>
    </row>
    <row r="137" spans="1:14" s="1495" customFormat="1">
      <c r="A137" s="1483" t="s">
        <v>349</v>
      </c>
      <c r="B137" s="1475"/>
      <c r="C137" s="1469">
        <v>-127.648</v>
      </c>
      <c r="D137" s="3474"/>
      <c r="E137" s="2252">
        <v>1.796</v>
      </c>
      <c r="F137" s="2243">
        <v>0</v>
      </c>
      <c r="G137" s="2252">
        <v>9.1929999999999996</v>
      </c>
      <c r="H137" s="2243">
        <v>0</v>
      </c>
      <c r="I137" s="2252">
        <v>-1.179</v>
      </c>
      <c r="J137" s="1475"/>
      <c r="K137" s="1486">
        <f t="shared" si="7"/>
        <v>-136.22399999999999</v>
      </c>
      <c r="L137" s="1175"/>
      <c r="M137" s="1494"/>
      <c r="N137" s="1494"/>
    </row>
    <row r="138" spans="1:14" s="1495" customFormat="1">
      <c r="A138" s="1475" t="s">
        <v>350</v>
      </c>
      <c r="B138" s="1475"/>
      <c r="C138" s="3475">
        <v>0.50600000000000001</v>
      </c>
      <c r="D138" s="3474"/>
      <c r="E138" s="2253">
        <v>1E-3</v>
      </c>
      <c r="F138" s="2243">
        <v>0</v>
      </c>
      <c r="G138" s="2253">
        <v>0</v>
      </c>
      <c r="H138" s="2243">
        <v>0</v>
      </c>
      <c r="I138" s="2253">
        <v>0</v>
      </c>
      <c r="J138" s="1475"/>
      <c r="K138" s="1486">
        <f t="shared" si="7"/>
        <v>0.50700000000000001</v>
      </c>
      <c r="L138" s="1175"/>
      <c r="M138" s="1494"/>
      <c r="N138" s="1494"/>
    </row>
    <row r="139" spans="1:14" s="1495" customFormat="1">
      <c r="A139" s="1475" t="s">
        <v>351</v>
      </c>
      <c r="B139" s="1475"/>
      <c r="C139" s="1469">
        <v>-8.7560000000000002</v>
      </c>
      <c r="D139" s="3474"/>
      <c r="E139" s="2253">
        <v>0</v>
      </c>
      <c r="F139" s="2243">
        <v>0</v>
      </c>
      <c r="G139" s="2252">
        <v>1.905</v>
      </c>
      <c r="H139" s="2243">
        <v>0</v>
      </c>
      <c r="I139" s="2253">
        <v>0</v>
      </c>
      <c r="J139" s="1475"/>
      <c r="K139" s="1486">
        <f t="shared" si="7"/>
        <v>-10.661</v>
      </c>
      <c r="L139" s="1175"/>
      <c r="M139" s="1494"/>
      <c r="N139" s="1494"/>
    </row>
    <row r="140" spans="1:14" s="1495" customFormat="1">
      <c r="A140" s="1475" t="s">
        <v>352</v>
      </c>
      <c r="B140" s="1475"/>
      <c r="C140" s="3475">
        <v>-13.973000000000001</v>
      </c>
      <c r="D140" s="3474"/>
      <c r="E140" s="2253">
        <v>0</v>
      </c>
      <c r="F140" s="2243">
        <v>0</v>
      </c>
      <c r="G140" s="2253">
        <v>0</v>
      </c>
      <c r="H140" s="2243">
        <v>0</v>
      </c>
      <c r="I140" s="2253">
        <v>0</v>
      </c>
      <c r="J140" s="1475"/>
      <c r="K140" s="1486">
        <f t="shared" si="7"/>
        <v>-13.973000000000001</v>
      </c>
      <c r="L140" s="1175"/>
      <c r="M140" s="1494"/>
      <c r="N140" s="1494"/>
    </row>
    <row r="141" spans="1:14" s="1495" customFormat="1">
      <c r="A141" s="1475" t="s">
        <v>353</v>
      </c>
      <c r="B141" s="1475"/>
      <c r="C141" s="1469">
        <v>-129.833</v>
      </c>
      <c r="D141" s="3474"/>
      <c r="E141" s="2253">
        <v>0</v>
      </c>
      <c r="F141" s="2243">
        <v>0</v>
      </c>
      <c r="G141" s="2252">
        <v>2.1000000000000001E-2</v>
      </c>
      <c r="H141" s="2243">
        <v>0</v>
      </c>
      <c r="I141" s="2252">
        <v>0</v>
      </c>
      <c r="J141" s="1475"/>
      <c r="K141" s="1486">
        <f t="shared" si="7"/>
        <v>-129.85400000000001</v>
      </c>
      <c r="L141" s="1175"/>
      <c r="M141" s="1494"/>
      <c r="N141" s="1494"/>
    </row>
    <row r="142" spans="1:14" s="1495" customFormat="1">
      <c r="A142" s="1475" t="s">
        <v>354</v>
      </c>
      <c r="B142" s="1475"/>
      <c r="C142" s="1486">
        <v>14.994999999999999</v>
      </c>
      <c r="D142" s="3474"/>
      <c r="E142" s="2252">
        <v>1E-3</v>
      </c>
      <c r="F142" s="2243"/>
      <c r="G142" s="2252">
        <v>4.3999999999999997E-2</v>
      </c>
      <c r="H142" s="2243"/>
      <c r="I142" s="2253">
        <v>0</v>
      </c>
      <c r="J142" s="1475"/>
      <c r="K142" s="1486">
        <f t="shared" si="7"/>
        <v>14.952</v>
      </c>
      <c r="L142" s="1175"/>
      <c r="M142" s="1494"/>
      <c r="N142" s="1494"/>
    </row>
    <row r="143" spans="1:14" s="1495" customFormat="1">
      <c r="A143" s="1475" t="s">
        <v>1223</v>
      </c>
      <c r="B143" s="1475"/>
      <c r="C143" s="1469">
        <v>-12.616</v>
      </c>
      <c r="D143" s="3474"/>
      <c r="E143" s="2253">
        <v>0</v>
      </c>
      <c r="F143" s="2243">
        <v>0</v>
      </c>
      <c r="G143" s="2252">
        <v>0</v>
      </c>
      <c r="H143" s="2243">
        <v>0</v>
      </c>
      <c r="I143" s="2252">
        <v>0</v>
      </c>
      <c r="J143" s="1475"/>
      <c r="K143" s="1486">
        <f t="shared" si="7"/>
        <v>-12.616</v>
      </c>
      <c r="L143" s="1175"/>
      <c r="M143" s="1494"/>
      <c r="N143" s="1494"/>
    </row>
    <row r="144" spans="1:14" s="1495" customFormat="1">
      <c r="A144" s="1475" t="s">
        <v>355</v>
      </c>
      <c r="B144" s="1475"/>
      <c r="C144" s="1469">
        <v>37.261000000000003</v>
      </c>
      <c r="D144" s="3474"/>
      <c r="E144" s="2252">
        <v>2.1080000000000001</v>
      </c>
      <c r="F144" s="2243">
        <v>0</v>
      </c>
      <c r="G144" s="2252">
        <v>1.17</v>
      </c>
      <c r="H144" s="2243">
        <v>0</v>
      </c>
      <c r="I144" s="2253">
        <v>0</v>
      </c>
      <c r="J144" s="1475"/>
      <c r="K144" s="1486">
        <f t="shared" si="7"/>
        <v>38.198999999999998</v>
      </c>
      <c r="L144" s="1175"/>
      <c r="M144" s="1494"/>
      <c r="N144" s="1494"/>
    </row>
    <row r="145" spans="1:15" s="1495" customFormat="1">
      <c r="A145" s="1475" t="s">
        <v>356</v>
      </c>
      <c r="B145" s="1475"/>
      <c r="C145" s="3475">
        <v>-2.3E-2</v>
      </c>
      <c r="D145" s="3474"/>
      <c r="E145" s="2253">
        <v>0</v>
      </c>
      <c r="F145" s="2243">
        <v>0</v>
      </c>
      <c r="G145" s="2253">
        <v>0</v>
      </c>
      <c r="H145" s="2243">
        <v>0</v>
      </c>
      <c r="I145" s="2253">
        <v>0</v>
      </c>
      <c r="J145" s="1475"/>
      <c r="K145" s="1486">
        <f t="shared" si="7"/>
        <v>-2.3E-2</v>
      </c>
      <c r="L145" s="1175"/>
      <c r="M145" s="1494"/>
      <c r="N145" s="1494"/>
    </row>
    <row r="146" spans="1:15" s="1495" customFormat="1">
      <c r="A146" s="1475" t="s">
        <v>357</v>
      </c>
      <c r="B146" s="1475"/>
      <c r="C146" s="1469">
        <v>-407.03500000000003</v>
      </c>
      <c r="D146" s="3474"/>
      <c r="E146" s="2252">
        <v>0</v>
      </c>
      <c r="F146" s="2243">
        <v>0</v>
      </c>
      <c r="G146" s="2252">
        <v>10.125999999999999</v>
      </c>
      <c r="H146" s="2243">
        <v>0</v>
      </c>
      <c r="I146" s="2253">
        <v>0</v>
      </c>
      <c r="J146" s="1475"/>
      <c r="K146" s="1486">
        <f t="shared" si="7"/>
        <v>-417.161</v>
      </c>
      <c r="L146" s="1175"/>
      <c r="M146" s="1494"/>
      <c r="N146" s="1494"/>
    </row>
    <row r="147" spans="1:15" s="1495" customFormat="1">
      <c r="A147" s="1475" t="s">
        <v>358</v>
      </c>
      <c r="B147" s="1475"/>
      <c r="C147" s="1468">
        <v>-50.853999999999999</v>
      </c>
      <c r="D147" s="3474"/>
      <c r="E147" s="2253">
        <v>0</v>
      </c>
      <c r="F147" s="2243">
        <v>0</v>
      </c>
      <c r="G147" s="2252">
        <v>27.137</v>
      </c>
      <c r="H147" s="2243">
        <v>0</v>
      </c>
      <c r="I147" s="2253">
        <v>0</v>
      </c>
      <c r="J147" s="1475"/>
      <c r="K147" s="1486">
        <f t="shared" si="7"/>
        <v>-77.991</v>
      </c>
      <c r="L147" s="1175"/>
      <c r="M147" s="1494"/>
      <c r="N147" s="1494"/>
    </row>
    <row r="148" spans="1:15" s="1495" customFormat="1">
      <c r="A148" s="1475" t="s">
        <v>359</v>
      </c>
      <c r="B148" s="1475"/>
      <c r="C148" s="1469">
        <v>274.74</v>
      </c>
      <c r="D148" s="3474"/>
      <c r="E148" s="2252">
        <v>2.5000000000000001E-2</v>
      </c>
      <c r="F148" s="2243">
        <v>0</v>
      </c>
      <c r="G148" s="2252">
        <v>1.867</v>
      </c>
      <c r="H148" s="2243">
        <v>0</v>
      </c>
      <c r="I148" s="2253">
        <v>0</v>
      </c>
      <c r="J148" s="1475"/>
      <c r="K148" s="1486">
        <f t="shared" si="7"/>
        <v>272.89800000000002</v>
      </c>
      <c r="L148" s="1175"/>
      <c r="M148" s="1494"/>
      <c r="N148" s="1494"/>
    </row>
    <row r="149" spans="1:15" s="1495" customFormat="1">
      <c r="A149" s="1475" t="s">
        <v>360</v>
      </c>
      <c r="B149" s="1475"/>
      <c r="C149" s="3475">
        <v>-43.372</v>
      </c>
      <c r="D149" s="3474"/>
      <c r="E149" s="2253">
        <v>0</v>
      </c>
      <c r="F149" s="2243"/>
      <c r="G149" s="2253">
        <v>0.39100000000000001</v>
      </c>
      <c r="H149" s="2243"/>
      <c r="I149" s="2253">
        <v>0</v>
      </c>
      <c r="J149" s="1475"/>
      <c r="K149" s="1486">
        <f t="shared" si="7"/>
        <v>-43.762999999999998</v>
      </c>
      <c r="L149" s="1175"/>
      <c r="M149" s="1494"/>
      <c r="N149" s="1494"/>
    </row>
    <row r="150" spans="1:15">
      <c r="A150" s="819" t="s">
        <v>361</v>
      </c>
      <c r="B150" s="1475"/>
      <c r="C150" s="827">
        <f>ROUND(SUM(C112:C149),3)</f>
        <v>-795.02599999999995</v>
      </c>
      <c r="D150" s="819"/>
      <c r="E150" s="827">
        <f>ROUND(SUM(E112:E149),3)</f>
        <v>295.46800000000002</v>
      </c>
      <c r="F150" s="819"/>
      <c r="G150" s="827">
        <f>ROUND(SUM(G112:G149),3)</f>
        <v>529.04300000000001</v>
      </c>
      <c r="H150" s="819"/>
      <c r="I150" s="827">
        <f>ROUND(SUM(I112:I149),3)</f>
        <v>72.796000000000006</v>
      </c>
      <c r="J150" s="819"/>
      <c r="K150" s="827">
        <f>ROUND(SUM(K113:K149),3)</f>
        <v>-955.80499999999995</v>
      </c>
      <c r="L150" s="828"/>
      <c r="M150" s="824"/>
      <c r="N150" s="824"/>
      <c r="O150" s="820"/>
    </row>
    <row r="151" spans="1:15">
      <c r="A151" s="819"/>
      <c r="B151" s="1475"/>
      <c r="C151" s="1484"/>
      <c r="D151" s="1475"/>
      <c r="E151" s="1496"/>
      <c r="F151" s="1497"/>
      <c r="G151" s="1496"/>
      <c r="H151" s="1497"/>
      <c r="I151" s="1496"/>
      <c r="J151" s="1475"/>
      <c r="K151" s="1484"/>
      <c r="L151" s="1484"/>
    </row>
    <row r="152" spans="1:15" ht="16.5" thickBot="1">
      <c r="A152" s="819" t="s">
        <v>362</v>
      </c>
      <c r="B152" s="829"/>
      <c r="C152" s="830">
        <f>ROUND(SUM(C23+C98+C108+C150),3)</f>
        <v>12663.59</v>
      </c>
      <c r="D152" s="829"/>
      <c r="E152" s="830">
        <f>ROUND(SUM(E23+E98+E108+E150),3)</f>
        <v>12808.849</v>
      </c>
      <c r="F152" s="831"/>
      <c r="G152" s="830">
        <f>ROUND(SUM(G23+G98+G108+G150),3)</f>
        <v>12276.793</v>
      </c>
      <c r="H152" s="831"/>
      <c r="I152" s="830">
        <f>ROUND(SUM(I23+I98+I108+I150),3)</f>
        <v>-2.9510000000000001</v>
      </c>
      <c r="J152" s="829"/>
      <c r="K152" s="830">
        <f>ROUND(SUM(K23+K98+K108+K150),3)</f>
        <v>13192.695</v>
      </c>
      <c r="L152" s="832"/>
    </row>
    <row r="153" spans="1:15" ht="16.5" thickTop="1">
      <c r="A153" s="1475"/>
      <c r="B153" s="1475"/>
      <c r="C153" s="1484" t="s">
        <v>16</v>
      </c>
      <c r="D153" s="1475"/>
      <c r="E153" s="1484"/>
      <c r="F153" s="1475"/>
      <c r="G153" s="1484"/>
      <c r="H153" s="1475"/>
      <c r="I153" s="1484"/>
      <c r="J153" s="1475"/>
      <c r="K153" s="1484" t="s">
        <v>16</v>
      </c>
      <c r="L153" s="1484"/>
    </row>
    <row r="154" spans="1:15">
      <c r="A154" s="1475"/>
      <c r="B154" s="1475"/>
      <c r="C154" s="1475"/>
      <c r="D154" s="1475"/>
      <c r="E154" s="1475"/>
      <c r="F154" s="1475"/>
      <c r="G154" s="1475"/>
      <c r="H154" s="1475"/>
      <c r="I154" s="1475"/>
      <c r="J154" s="1475"/>
      <c r="K154" s="1475"/>
      <c r="L154" s="1475"/>
    </row>
    <row r="155" spans="1:15">
      <c r="A155" s="818"/>
      <c r="B155" s="1475"/>
      <c r="C155" s="1475"/>
      <c r="D155" s="1475"/>
      <c r="E155" s="1475"/>
      <c r="F155" s="1475"/>
      <c r="G155" s="1475"/>
      <c r="H155" s="1475"/>
      <c r="I155" s="1497"/>
      <c r="J155" s="1475"/>
      <c r="K155" s="1475" t="s">
        <v>16</v>
      </c>
      <c r="L155" s="1475"/>
    </row>
    <row r="156" spans="1:15">
      <c r="A156" s="1475" t="s">
        <v>16</v>
      </c>
      <c r="B156" s="1475"/>
      <c r="C156" s="1475"/>
      <c r="D156" s="1475"/>
      <c r="E156" s="1475"/>
      <c r="F156" s="1475"/>
      <c r="G156" s="1475"/>
      <c r="H156" s="1475"/>
      <c r="I156" s="1475"/>
      <c r="J156" s="1475"/>
      <c r="K156" s="1475"/>
      <c r="L156" s="1475"/>
    </row>
    <row r="157" spans="1:15">
      <c r="A157" s="1475"/>
      <c r="B157" s="1475"/>
      <c r="C157" s="1475"/>
      <c r="D157" s="1475"/>
      <c r="E157" s="1475"/>
      <c r="F157" s="1475"/>
      <c r="G157" s="1475"/>
      <c r="H157" s="1475"/>
      <c r="I157" s="1475"/>
      <c r="J157" s="1475"/>
      <c r="K157" s="1475"/>
      <c r="L157" s="1475"/>
    </row>
    <row r="158" spans="1:15">
      <c r="A158" s="1498"/>
      <c r="B158" s="1475"/>
      <c r="C158" s="1475"/>
      <c r="D158" s="1475"/>
      <c r="E158" s="1475"/>
      <c r="F158" s="1475"/>
      <c r="G158" s="1475"/>
      <c r="H158" s="1475"/>
      <c r="I158" s="1499"/>
      <c r="J158" s="1475"/>
      <c r="K158" s="1475" t="s">
        <v>16</v>
      </c>
      <c r="L158" s="1475"/>
    </row>
    <row r="159" spans="1:15">
      <c r="I159" s="1296"/>
    </row>
    <row r="160" spans="1:15">
      <c r="I160" s="1296"/>
    </row>
    <row r="161" spans="9:9">
      <c r="I161" s="1296"/>
    </row>
    <row r="162" spans="9:9">
      <c r="I162" s="1296"/>
    </row>
    <row r="163" spans="9:9">
      <c r="I163" s="832"/>
    </row>
    <row r="164" spans="9:9">
      <c r="I164" s="1296"/>
    </row>
    <row r="165" spans="9:9">
      <c r="I165" s="1296"/>
    </row>
    <row r="166" spans="9:9">
      <c r="I166" s="1296"/>
    </row>
    <row r="167" spans="9:9">
      <c r="I167" s="1296"/>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72" customWidth="1"/>
    <col min="2" max="2" width="6.33203125" style="872" customWidth="1"/>
    <col min="3" max="3" width="20.21875" style="872" customWidth="1"/>
    <col min="4" max="4" width="3.109375" style="872" customWidth="1"/>
    <col min="5" max="5" width="17.33203125" style="872" customWidth="1"/>
    <col min="6" max="6" width="3.5546875" style="872" customWidth="1"/>
    <col min="7" max="7" width="18.21875" style="872" customWidth="1"/>
    <col min="8" max="8" width="3.109375" style="872" customWidth="1"/>
    <col min="9" max="9" width="18.5546875" style="872" customWidth="1"/>
    <col min="10" max="10" width="3.44140625" style="872" customWidth="1"/>
    <col min="11" max="11" width="22.109375" style="872" customWidth="1"/>
    <col min="12" max="12" width="15.5546875" style="872" customWidth="1"/>
    <col min="13" max="16384" width="8.88671875" style="872"/>
  </cols>
  <sheetData>
    <row r="1" spans="1:15">
      <c r="A1" s="1190" t="s">
        <v>1231</v>
      </c>
    </row>
    <row r="2" spans="1:15">
      <c r="A2" s="1741"/>
    </row>
    <row r="3" spans="1:15" s="838" customFormat="1" ht="18" customHeight="1">
      <c r="A3" s="833" t="s">
        <v>0</v>
      </c>
      <c r="B3" s="834"/>
      <c r="C3" s="834"/>
      <c r="D3" s="834"/>
      <c r="E3" s="835"/>
      <c r="F3" s="835"/>
      <c r="G3" s="836"/>
      <c r="H3" s="836"/>
      <c r="I3" s="833"/>
      <c r="J3" s="833"/>
      <c r="K3" s="837" t="s">
        <v>363</v>
      </c>
      <c r="L3" s="836"/>
      <c r="M3" s="836"/>
      <c r="N3" s="836"/>
      <c r="O3" s="836"/>
    </row>
    <row r="4" spans="1:15" s="838" customFormat="1" ht="18" customHeight="1">
      <c r="A4" s="833" t="s">
        <v>364</v>
      </c>
      <c r="B4" s="834"/>
      <c r="C4" s="834"/>
      <c r="D4" s="834"/>
      <c r="E4" s="835"/>
      <c r="F4" s="835"/>
      <c r="G4" s="836"/>
      <c r="H4" s="836"/>
      <c r="I4" s="833"/>
      <c r="J4" s="833"/>
      <c r="K4" s="833"/>
      <c r="L4" s="836"/>
      <c r="M4" s="836"/>
      <c r="N4" s="836"/>
      <c r="O4" s="836"/>
    </row>
    <row r="5" spans="1:15" s="838" customFormat="1" ht="18" customHeight="1">
      <c r="A5" s="839" t="s">
        <v>365</v>
      </c>
      <c r="B5" s="834"/>
      <c r="C5" s="834"/>
      <c r="D5" s="834"/>
      <c r="E5" s="835"/>
      <c r="F5" s="835"/>
      <c r="G5" s="836"/>
      <c r="H5" s="836"/>
      <c r="I5" s="833"/>
      <c r="J5" s="833"/>
      <c r="K5" s="833"/>
      <c r="L5" s="836"/>
      <c r="M5" s="836"/>
      <c r="N5" s="836"/>
      <c r="O5" s="836"/>
    </row>
    <row r="6" spans="1:15" s="838" customFormat="1" ht="18" customHeight="1">
      <c r="A6" s="839" t="s">
        <v>366</v>
      </c>
      <c r="B6" s="834"/>
      <c r="C6" s="834"/>
      <c r="D6" s="834"/>
      <c r="E6" s="835"/>
      <c r="F6" s="835"/>
      <c r="G6" s="836"/>
      <c r="H6" s="836"/>
      <c r="I6" s="833"/>
      <c r="J6" s="833"/>
      <c r="K6" s="833"/>
      <c r="L6" s="836"/>
      <c r="M6" s="836"/>
      <c r="N6" s="836"/>
      <c r="O6" s="836"/>
    </row>
    <row r="7" spans="1:15" s="838" customFormat="1" ht="18" customHeight="1">
      <c r="A7" s="2108" t="s">
        <v>1601</v>
      </c>
      <c r="B7" s="834"/>
      <c r="C7" s="834"/>
      <c r="D7" s="834"/>
      <c r="E7" s="835"/>
      <c r="F7" s="835"/>
      <c r="G7" s="836"/>
      <c r="H7" s="836"/>
      <c r="I7" s="833"/>
      <c r="J7" s="833"/>
      <c r="K7" s="833"/>
      <c r="L7" s="836"/>
      <c r="M7" s="836"/>
      <c r="N7" s="836"/>
      <c r="O7" s="836"/>
    </row>
    <row r="8" spans="1:15" s="838" customFormat="1" ht="18" customHeight="1">
      <c r="A8" s="833" t="s">
        <v>1116</v>
      </c>
      <c r="B8" s="834"/>
      <c r="C8" s="834"/>
      <c r="D8" s="834"/>
      <c r="E8" s="835"/>
      <c r="F8" s="835"/>
      <c r="G8" s="836"/>
      <c r="H8" s="836"/>
      <c r="I8" s="833"/>
      <c r="J8" s="833"/>
      <c r="K8" s="833"/>
      <c r="L8" s="836"/>
      <c r="M8" s="836"/>
      <c r="N8" s="836"/>
      <c r="O8" s="836"/>
    </row>
    <row r="9" spans="1:15" s="838" customFormat="1">
      <c r="A9" s="833"/>
      <c r="B9" s="833"/>
      <c r="C9" s="836"/>
      <c r="D9" s="833"/>
      <c r="E9" s="836"/>
      <c r="F9" s="836"/>
      <c r="G9" s="836"/>
      <c r="H9" s="836"/>
      <c r="I9" s="836"/>
      <c r="J9" s="836"/>
      <c r="K9" s="836"/>
      <c r="L9" s="836"/>
      <c r="M9" s="836"/>
      <c r="N9" s="836"/>
      <c r="O9" s="836"/>
    </row>
    <row r="10" spans="1:15" s="838" customFormat="1">
      <c r="A10" s="833"/>
      <c r="B10" s="833"/>
      <c r="C10" s="833"/>
      <c r="D10" s="833"/>
      <c r="E10" s="833"/>
      <c r="F10" s="833"/>
      <c r="G10" s="833"/>
      <c r="H10" s="833"/>
      <c r="I10" s="833"/>
      <c r="J10" s="833"/>
      <c r="K10" s="833"/>
      <c r="L10" s="836"/>
      <c r="M10" s="836"/>
      <c r="N10" s="836"/>
      <c r="O10" s="836"/>
    </row>
    <row r="11" spans="1:15" s="838" customFormat="1">
      <c r="A11" s="833"/>
      <c r="B11" s="833"/>
      <c r="C11" s="840"/>
      <c r="D11" s="833"/>
      <c r="E11" s="833"/>
      <c r="F11" s="833"/>
      <c r="G11" s="833"/>
      <c r="H11" s="833"/>
      <c r="I11" s="840" t="s">
        <v>367</v>
      </c>
      <c r="J11" s="833"/>
      <c r="K11" s="840"/>
      <c r="L11" s="836"/>
      <c r="M11" s="836"/>
      <c r="N11" s="836"/>
      <c r="O11" s="836"/>
    </row>
    <row r="12" spans="1:15" s="838" customFormat="1">
      <c r="A12" s="833"/>
      <c r="B12" s="833"/>
      <c r="C12" s="840" t="s">
        <v>243</v>
      </c>
      <c r="D12" s="833"/>
      <c r="E12" s="833"/>
      <c r="F12" s="833"/>
      <c r="G12" s="833"/>
      <c r="H12" s="833"/>
      <c r="I12" s="840" t="s">
        <v>368</v>
      </c>
      <c r="J12" s="833"/>
      <c r="K12" s="840" t="s">
        <v>243</v>
      </c>
      <c r="L12" s="836"/>
      <c r="M12" s="836"/>
      <c r="N12" s="836"/>
      <c r="O12" s="836"/>
    </row>
    <row r="13" spans="1:15" s="838" customFormat="1">
      <c r="A13" s="841" t="s">
        <v>369</v>
      </c>
      <c r="B13" s="833"/>
      <c r="C13" s="1857" t="s">
        <v>1600</v>
      </c>
      <c r="D13" s="833"/>
      <c r="E13" s="840" t="s">
        <v>245</v>
      </c>
      <c r="F13" s="833"/>
      <c r="G13" s="840" t="s">
        <v>246</v>
      </c>
      <c r="H13" s="833"/>
      <c r="I13" s="840" t="s">
        <v>247</v>
      </c>
      <c r="J13" s="833"/>
      <c r="K13" s="1858" t="s">
        <v>1596</v>
      </c>
      <c r="L13" s="836"/>
      <c r="M13" s="836"/>
      <c r="N13" s="836"/>
      <c r="O13" s="836"/>
    </row>
    <row r="14" spans="1:15" s="838" customFormat="1" ht="12" customHeight="1">
      <c r="A14" s="836"/>
      <c r="B14" s="836"/>
      <c r="C14" s="842"/>
      <c r="D14" s="836"/>
      <c r="E14" s="843"/>
      <c r="F14" s="836"/>
      <c r="G14" s="843"/>
      <c r="H14" s="836"/>
      <c r="I14" s="843"/>
      <c r="J14" s="836"/>
      <c r="K14" s="843"/>
      <c r="L14" s="836"/>
      <c r="M14" s="836"/>
      <c r="N14" s="836"/>
      <c r="O14" s="836"/>
    </row>
    <row r="15" spans="1:15" s="838" customFormat="1">
      <c r="A15" s="844" t="s">
        <v>224</v>
      </c>
      <c r="B15" s="836"/>
      <c r="C15" s="836"/>
      <c r="D15" s="836"/>
      <c r="E15" s="845"/>
      <c r="F15" s="836"/>
      <c r="G15" s="836"/>
      <c r="H15" s="836"/>
      <c r="I15" s="836"/>
      <c r="J15" s="836"/>
      <c r="K15" s="846"/>
      <c r="L15" s="836"/>
      <c r="M15" s="836"/>
      <c r="N15" s="836"/>
      <c r="O15" s="836"/>
    </row>
    <row r="16" spans="1:15" s="838" customFormat="1" ht="12" customHeight="1">
      <c r="A16" s="836"/>
      <c r="B16" s="836"/>
      <c r="C16" s="836"/>
      <c r="D16" s="836"/>
      <c r="E16" s="845"/>
      <c r="F16" s="836"/>
      <c r="G16" s="836"/>
      <c r="H16" s="836"/>
      <c r="I16" s="836"/>
      <c r="J16" s="836"/>
      <c r="K16" s="846"/>
      <c r="L16" s="836"/>
      <c r="M16" s="836"/>
      <c r="N16" s="836"/>
      <c r="O16" s="836"/>
    </row>
    <row r="17" spans="1:15" s="849" customFormat="1" ht="15.95" customHeight="1">
      <c r="A17" s="846" t="s">
        <v>370</v>
      </c>
      <c r="B17" s="847"/>
      <c r="C17" s="848">
        <v>0.19500000000000001</v>
      </c>
      <c r="D17" s="848"/>
      <c r="E17" s="848">
        <v>5.0000000000000001E-3</v>
      </c>
      <c r="F17" s="848"/>
      <c r="G17" s="848">
        <v>4.0000000000000001E-3</v>
      </c>
      <c r="H17" s="848"/>
      <c r="I17" s="848">
        <v>0</v>
      </c>
      <c r="J17" s="848"/>
      <c r="K17" s="848">
        <f t="shared" ref="K17:K24" si="0">ROUND(SUM(C17,E17,I17) - SUM(G17),3)</f>
        <v>0.19600000000000001</v>
      </c>
      <c r="L17" s="846"/>
      <c r="M17" s="846"/>
      <c r="N17" s="846"/>
      <c r="O17" s="846"/>
    </row>
    <row r="18" spans="1:15" s="849" customFormat="1" ht="15.75" customHeight="1">
      <c r="A18" s="846" t="s">
        <v>371</v>
      </c>
      <c r="B18" s="846"/>
      <c r="C18" s="850">
        <v>1.101</v>
      </c>
      <c r="D18" s="851"/>
      <c r="E18" s="850">
        <v>0.41699999999999998</v>
      </c>
      <c r="F18" s="850"/>
      <c r="G18" s="850">
        <v>0.50700000000000001</v>
      </c>
      <c r="H18" s="851"/>
      <c r="I18" s="850">
        <v>0</v>
      </c>
      <c r="J18" s="851"/>
      <c r="K18" s="850">
        <f t="shared" si="0"/>
        <v>1.0109999999999999</v>
      </c>
      <c r="L18" s="846"/>
      <c r="M18" s="846"/>
      <c r="N18" s="846"/>
      <c r="O18" s="846"/>
    </row>
    <row r="19" spans="1:15" s="849" customFormat="1" ht="15.95" customHeight="1">
      <c r="A19" s="846" t="s">
        <v>372</v>
      </c>
      <c r="B19" s="846"/>
      <c r="C19" s="850">
        <v>3.0169999999999999</v>
      </c>
      <c r="D19" s="851"/>
      <c r="E19" s="850">
        <v>3.302</v>
      </c>
      <c r="F19" s="850"/>
      <c r="G19" s="850">
        <v>3.4060000000000001</v>
      </c>
      <c r="H19" s="851"/>
      <c r="I19" s="850">
        <v>0</v>
      </c>
      <c r="J19" s="851"/>
      <c r="K19" s="850">
        <f t="shared" si="0"/>
        <v>2.9129999999999998</v>
      </c>
      <c r="L19" s="846"/>
      <c r="M19" s="846"/>
      <c r="N19" s="846"/>
      <c r="O19" s="846"/>
    </row>
    <row r="20" spans="1:15" s="849" customFormat="1" ht="15.95" customHeight="1">
      <c r="A20" s="846" t="s">
        <v>1288</v>
      </c>
      <c r="B20" s="846"/>
      <c r="C20" s="850">
        <v>3.2770000000000001</v>
      </c>
      <c r="D20" s="851"/>
      <c r="E20" s="850">
        <v>7.8E-2</v>
      </c>
      <c r="F20" s="850"/>
      <c r="G20" s="850">
        <v>0.30299999999999999</v>
      </c>
      <c r="H20" s="851"/>
      <c r="I20" s="850">
        <v>0</v>
      </c>
      <c r="J20" s="851"/>
      <c r="K20" s="850">
        <f t="shared" si="0"/>
        <v>3.052</v>
      </c>
      <c r="L20" s="846"/>
      <c r="M20" s="846"/>
      <c r="N20" s="846"/>
      <c r="O20" s="846"/>
    </row>
    <row r="21" spans="1:15" s="849" customFormat="1" ht="15.95" customHeight="1">
      <c r="A21" s="846" t="s">
        <v>1289</v>
      </c>
      <c r="B21" s="846"/>
      <c r="C21" s="850">
        <v>1.91</v>
      </c>
      <c r="D21" s="851"/>
      <c r="E21" s="853">
        <v>5.3999999999999999E-2</v>
      </c>
      <c r="F21" s="850"/>
      <c r="G21" s="850">
        <v>9.6000000000000002E-2</v>
      </c>
      <c r="H21" s="851"/>
      <c r="I21" s="850">
        <v>0</v>
      </c>
      <c r="J21" s="851"/>
      <c r="K21" s="850">
        <f t="shared" si="0"/>
        <v>1.8680000000000001</v>
      </c>
      <c r="L21" s="846"/>
      <c r="M21" s="846"/>
      <c r="N21" s="846"/>
      <c r="O21" s="846"/>
    </row>
    <row r="22" spans="1:15" s="849" customFormat="1" ht="15.95" customHeight="1">
      <c r="A22" s="846" t="s">
        <v>1290</v>
      </c>
      <c r="B22" s="846"/>
      <c r="C22" s="850">
        <v>1.492</v>
      </c>
      <c r="D22" s="851"/>
      <c r="E22" s="853">
        <v>1.2999999999999999E-2</v>
      </c>
      <c r="F22" s="850"/>
      <c r="G22" s="851">
        <v>1.7000000000000001E-2</v>
      </c>
      <c r="H22" s="851"/>
      <c r="I22" s="850">
        <v>0</v>
      </c>
      <c r="J22" s="851"/>
      <c r="K22" s="850">
        <f t="shared" si="0"/>
        <v>1.488</v>
      </c>
      <c r="L22" s="846"/>
      <c r="M22" s="846"/>
      <c r="N22" s="846"/>
      <c r="O22" s="846"/>
    </row>
    <row r="23" spans="1:15" s="849" customFormat="1" ht="15.95" customHeight="1">
      <c r="A23" s="846" t="s">
        <v>373</v>
      </c>
      <c r="B23" s="846"/>
      <c r="C23" s="850">
        <v>3.99</v>
      </c>
      <c r="D23" s="851"/>
      <c r="E23" s="850">
        <v>0.114</v>
      </c>
      <c r="F23" s="850"/>
      <c r="G23" s="850">
        <v>8.3000000000000004E-2</v>
      </c>
      <c r="H23" s="851"/>
      <c r="I23" s="850">
        <v>0</v>
      </c>
      <c r="J23" s="851"/>
      <c r="K23" s="850">
        <f t="shared" si="0"/>
        <v>4.0209999999999999</v>
      </c>
      <c r="L23" s="846"/>
      <c r="M23" s="846"/>
      <c r="N23" s="846"/>
      <c r="O23" s="846"/>
    </row>
    <row r="24" spans="1:15" s="849" customFormat="1" ht="15.95" customHeight="1">
      <c r="A24" s="854" t="s">
        <v>374</v>
      </c>
      <c r="B24" s="846"/>
      <c r="C24" s="850">
        <v>62.115000000000002</v>
      </c>
      <c r="D24" s="855"/>
      <c r="E24" s="850">
        <v>163.74700000000001</v>
      </c>
      <c r="F24" s="856"/>
      <c r="G24" s="850">
        <v>162.51599999999999</v>
      </c>
      <c r="H24" s="851"/>
      <c r="I24" s="850">
        <v>0</v>
      </c>
      <c r="J24" s="851"/>
      <c r="K24" s="850">
        <f t="shared" si="0"/>
        <v>63.345999999999997</v>
      </c>
      <c r="L24" s="846"/>
      <c r="M24" s="846"/>
      <c r="N24" s="846"/>
      <c r="O24" s="846"/>
    </row>
    <row r="25" spans="1:15" s="838" customFormat="1" ht="20.100000000000001" customHeight="1">
      <c r="A25" s="833" t="s">
        <v>375</v>
      </c>
      <c r="B25" s="836"/>
      <c r="C25" s="857">
        <f>ROUND(SUM(C17:C24),3)</f>
        <v>77.096999999999994</v>
      </c>
      <c r="D25" s="858"/>
      <c r="E25" s="857">
        <f>ROUND(SUM(E17:E24),3)</f>
        <v>167.73</v>
      </c>
      <c r="F25" s="858"/>
      <c r="G25" s="857">
        <f>ROUND(SUM(G17:G24),3)</f>
        <v>166.93199999999999</v>
      </c>
      <c r="H25" s="859"/>
      <c r="I25" s="857">
        <f>ROUND(SUM(I17:I24),3)</f>
        <v>0</v>
      </c>
      <c r="J25" s="859"/>
      <c r="K25" s="857">
        <f>ROUND(SUM(K17:K24),3)</f>
        <v>77.894999999999996</v>
      </c>
      <c r="L25" s="860"/>
      <c r="M25" s="836"/>
      <c r="N25" s="836"/>
      <c r="O25" s="836"/>
    </row>
    <row r="26" spans="1:15" s="838" customFormat="1" ht="15" customHeight="1">
      <c r="A26" s="836"/>
      <c r="B26" s="836"/>
      <c r="C26" s="1341"/>
      <c r="D26" s="921"/>
      <c r="E26" s="1341"/>
      <c r="F26" s="921"/>
      <c r="G26" s="1341"/>
      <c r="H26" s="921"/>
      <c r="I26" s="1342"/>
      <c r="J26" s="921"/>
      <c r="K26" s="1341"/>
      <c r="L26" s="836"/>
      <c r="M26" s="836"/>
      <c r="N26" s="836"/>
      <c r="O26" s="836"/>
    </row>
    <row r="27" spans="1:15" s="838" customFormat="1" ht="15" customHeight="1">
      <c r="A27" s="836"/>
      <c r="B27" s="836"/>
      <c r="C27" s="921"/>
      <c r="D27" s="1343" t="s">
        <v>242</v>
      </c>
      <c r="E27" s="921"/>
      <c r="F27" s="921"/>
      <c r="G27" s="921"/>
      <c r="H27" s="921"/>
      <c r="I27" s="921"/>
      <c r="J27" s="921"/>
      <c r="K27" s="921"/>
      <c r="L27" s="836"/>
      <c r="M27" s="836"/>
      <c r="N27" s="836"/>
      <c r="O27" s="836"/>
    </row>
    <row r="28" spans="1:15" s="838" customFormat="1" ht="15" customHeight="1">
      <c r="A28" s="836"/>
      <c r="B28" s="836"/>
      <c r="C28" s="921"/>
      <c r="D28" s="921"/>
      <c r="E28" s="921"/>
      <c r="F28" s="921"/>
      <c r="G28" s="921"/>
      <c r="H28" s="921"/>
      <c r="I28" s="921"/>
      <c r="J28" s="921"/>
      <c r="K28" s="921"/>
      <c r="L28" s="836"/>
      <c r="M28" s="836"/>
      <c r="N28" s="836"/>
      <c r="O28" s="836"/>
    </row>
    <row r="29" spans="1:15" s="838" customFormat="1" ht="15" customHeight="1">
      <c r="A29" s="844" t="s">
        <v>229</v>
      </c>
      <c r="B29" s="836"/>
      <c r="C29" s="921"/>
      <c r="D29" s="921"/>
      <c r="E29" s="921"/>
      <c r="F29" s="921"/>
      <c r="G29" s="921"/>
      <c r="H29" s="921"/>
      <c r="I29" s="921"/>
      <c r="J29" s="921"/>
      <c r="K29" s="921"/>
      <c r="L29" s="836"/>
      <c r="M29" s="836"/>
      <c r="N29" s="836"/>
      <c r="O29" s="836"/>
    </row>
    <row r="30" spans="1:15" s="838" customFormat="1" ht="15" customHeight="1">
      <c r="A30" s="844"/>
      <c r="B30" s="836"/>
      <c r="C30" s="921"/>
      <c r="D30" s="921"/>
      <c r="E30" s="921"/>
      <c r="F30" s="921"/>
      <c r="G30" s="921"/>
      <c r="H30" s="921"/>
      <c r="I30" s="921"/>
      <c r="J30" s="921"/>
      <c r="K30" s="921"/>
      <c r="L30" s="836"/>
      <c r="M30" s="836"/>
      <c r="N30" s="836"/>
      <c r="O30" s="836"/>
    </row>
    <row r="31" spans="1:15" s="838" customFormat="1" ht="15.95" customHeight="1">
      <c r="A31" s="836" t="s">
        <v>1291</v>
      </c>
      <c r="B31" s="836"/>
      <c r="C31" s="1344">
        <v>-108.304</v>
      </c>
      <c r="D31" s="921"/>
      <c r="E31" s="850">
        <v>31.884</v>
      </c>
      <c r="F31" s="3469"/>
      <c r="G31" s="850">
        <v>4.4089999999999998</v>
      </c>
      <c r="H31" s="851"/>
      <c r="I31" s="853">
        <v>2.9540000000000002</v>
      </c>
      <c r="J31" s="921"/>
      <c r="K31" s="850">
        <f t="shared" ref="K31:K38" si="1">ROUND(SUM(C31,E31,I31) - SUM(G31),3)</f>
        <v>-77.875</v>
      </c>
      <c r="L31" s="836"/>
      <c r="M31" s="836"/>
      <c r="N31" s="836"/>
      <c r="O31" s="836"/>
    </row>
    <row r="32" spans="1:15" s="838" customFormat="1" ht="15.95" customHeight="1">
      <c r="A32" s="836" t="s">
        <v>376</v>
      </c>
      <c r="B32" s="836"/>
      <c r="C32" s="1344">
        <v>-90.197000000000003</v>
      </c>
      <c r="D32" s="921"/>
      <c r="E32" s="850">
        <v>4.5940000000000003</v>
      </c>
      <c r="F32" s="851"/>
      <c r="G32" s="850">
        <v>22.428000000000001</v>
      </c>
      <c r="H32" s="851"/>
      <c r="I32" s="853">
        <v>0.124</v>
      </c>
      <c r="J32" s="851"/>
      <c r="K32" s="850">
        <f t="shared" si="1"/>
        <v>-107.907</v>
      </c>
      <c r="L32" s="836"/>
      <c r="M32" s="836"/>
      <c r="N32" s="836"/>
      <c r="O32" s="836"/>
    </row>
    <row r="33" spans="1:15" s="838" customFormat="1" ht="15.95" customHeight="1">
      <c r="A33" s="836" t="s">
        <v>377</v>
      </c>
      <c r="B33" s="836"/>
      <c r="C33" s="1344">
        <v>3.6999999999999998E-2</v>
      </c>
      <c r="D33" s="921"/>
      <c r="E33" s="853">
        <v>0.20300000000000001</v>
      </c>
      <c r="F33" s="851"/>
      <c r="G33" s="850">
        <v>5.3999999999999999E-2</v>
      </c>
      <c r="H33" s="851"/>
      <c r="I33" s="850">
        <v>0</v>
      </c>
      <c r="J33" s="851"/>
      <c r="K33" s="850">
        <f t="shared" si="1"/>
        <v>0.186</v>
      </c>
      <c r="L33" s="836"/>
      <c r="M33" s="836"/>
      <c r="N33" s="836"/>
      <c r="O33" s="836"/>
    </row>
    <row r="34" spans="1:15" s="838" customFormat="1" ht="15.95" customHeight="1">
      <c r="A34" s="836" t="s">
        <v>378</v>
      </c>
      <c r="B34" s="836"/>
      <c r="C34" s="1344">
        <v>5.2999999999999999E-2</v>
      </c>
      <c r="D34" s="921"/>
      <c r="E34" s="850">
        <v>2E-3</v>
      </c>
      <c r="F34" s="851"/>
      <c r="G34" s="864">
        <v>1E-3</v>
      </c>
      <c r="H34" s="851"/>
      <c r="I34" s="850">
        <v>0</v>
      </c>
      <c r="J34" s="851"/>
      <c r="K34" s="850">
        <f t="shared" si="1"/>
        <v>5.3999999999999999E-2</v>
      </c>
      <c r="L34" s="836"/>
      <c r="M34" s="836"/>
      <c r="N34" s="836"/>
      <c r="O34" s="836"/>
    </row>
    <row r="35" spans="1:15" s="838" customFormat="1" ht="15.95" customHeight="1">
      <c r="A35" s="836" t="s">
        <v>1292</v>
      </c>
      <c r="B35" s="836"/>
      <c r="C35" s="1344">
        <v>1.145</v>
      </c>
      <c r="D35" s="921"/>
      <c r="E35" s="850">
        <v>0</v>
      </c>
      <c r="F35" s="851"/>
      <c r="G35" s="853">
        <v>7.9000000000000001E-2</v>
      </c>
      <c r="H35" s="851"/>
      <c r="I35" s="850">
        <v>0</v>
      </c>
      <c r="J35" s="851"/>
      <c r="K35" s="850">
        <f t="shared" si="1"/>
        <v>1.0660000000000001</v>
      </c>
      <c r="L35" s="836"/>
      <c r="M35" s="836"/>
      <c r="N35" s="836"/>
      <c r="O35" s="836"/>
    </row>
    <row r="36" spans="1:15" s="838" customFormat="1" ht="15.95" customHeight="1">
      <c r="A36" s="836" t="s">
        <v>379</v>
      </c>
      <c r="B36" s="836"/>
      <c r="C36" s="1344">
        <v>-2.1000000000000001E-2</v>
      </c>
      <c r="D36" s="921"/>
      <c r="E36" s="850">
        <v>0</v>
      </c>
      <c r="F36" s="851"/>
      <c r="G36" s="853">
        <v>1.304</v>
      </c>
      <c r="H36" s="851"/>
      <c r="I36" s="850">
        <v>-2.4E-2</v>
      </c>
      <c r="J36" s="851"/>
      <c r="K36" s="850">
        <f t="shared" si="1"/>
        <v>-1.349</v>
      </c>
      <c r="L36" s="836"/>
      <c r="M36" s="836"/>
      <c r="N36" s="836"/>
      <c r="O36" s="836"/>
    </row>
    <row r="37" spans="1:15" s="838" customFormat="1" ht="15.95" customHeight="1">
      <c r="A37" s="836" t="s">
        <v>380</v>
      </c>
      <c r="B37" s="836"/>
      <c r="C37" s="1344">
        <v>-12.234</v>
      </c>
      <c r="D37" s="921"/>
      <c r="E37" s="850">
        <v>6.4000000000000001E-2</v>
      </c>
      <c r="F37" s="851"/>
      <c r="G37" s="850">
        <v>1.0409999999999999</v>
      </c>
      <c r="H37" s="851"/>
      <c r="I37" s="1345">
        <v>-2E-3</v>
      </c>
      <c r="J37" s="851"/>
      <c r="K37" s="850">
        <f t="shared" si="1"/>
        <v>-13.212999999999999</v>
      </c>
      <c r="L37" s="836"/>
      <c r="M37" s="836"/>
      <c r="N37" s="836"/>
      <c r="O37" s="836"/>
    </row>
    <row r="38" spans="1:15" s="838" customFormat="1" ht="15.95" customHeight="1">
      <c r="A38" s="836" t="s">
        <v>381</v>
      </c>
      <c r="B38" s="836"/>
      <c r="C38" s="1344">
        <v>-16.420000000000002</v>
      </c>
      <c r="D38" s="1342"/>
      <c r="E38" s="850">
        <v>3.8860000000000001</v>
      </c>
      <c r="F38" s="855"/>
      <c r="G38" s="850">
        <v>6.4340000000000002</v>
      </c>
      <c r="H38" s="851"/>
      <c r="I38" s="853">
        <v>-0.106</v>
      </c>
      <c r="J38" s="851"/>
      <c r="K38" s="850">
        <f t="shared" si="1"/>
        <v>-19.074000000000002</v>
      </c>
      <c r="L38" s="836"/>
      <c r="M38" s="836"/>
      <c r="N38" s="836"/>
      <c r="O38" s="836"/>
    </row>
    <row r="39" spans="1:15" s="838" customFormat="1" ht="20.100000000000001" customHeight="1">
      <c r="A39" s="833" t="s">
        <v>382</v>
      </c>
      <c r="B39" s="836"/>
      <c r="C39" s="857">
        <f>ROUND(SUM(C31:C38),3)</f>
        <v>-225.941</v>
      </c>
      <c r="D39" s="1346"/>
      <c r="E39" s="3470">
        <f>ROUND(SUM(E31:E38),3)</f>
        <v>40.633000000000003</v>
      </c>
      <c r="F39" s="1386"/>
      <c r="G39" s="3470">
        <f>ROUND(SUM(G31:G38),3)</f>
        <v>35.75</v>
      </c>
      <c r="H39" s="1384"/>
      <c r="I39" s="3470">
        <f>ROUND(SUM(I31:I38),3)</f>
        <v>2.9460000000000002</v>
      </c>
      <c r="J39" s="1347"/>
      <c r="K39" s="857">
        <f>ROUND(SUM(K31:K38),3)</f>
        <v>-218.11199999999999</v>
      </c>
      <c r="L39" s="865"/>
      <c r="M39" s="836"/>
      <c r="N39" s="836"/>
      <c r="O39" s="836"/>
    </row>
    <row r="40" spans="1:15" s="838" customFormat="1" ht="15" customHeight="1">
      <c r="A40" s="833"/>
      <c r="B40" s="836"/>
      <c r="C40" s="866"/>
      <c r="D40" s="862"/>
      <c r="E40" s="861"/>
      <c r="F40" s="862"/>
      <c r="G40" s="861"/>
      <c r="H40" s="862"/>
      <c r="I40" s="863"/>
      <c r="J40" s="862"/>
      <c r="K40" s="861"/>
      <c r="L40" s="836"/>
      <c r="M40" s="836"/>
      <c r="N40" s="836"/>
      <c r="O40" s="836"/>
    </row>
    <row r="41" spans="1:15" s="838" customFormat="1" ht="15" customHeight="1">
      <c r="A41" s="833"/>
      <c r="B41" s="836"/>
      <c r="C41" s="863"/>
      <c r="D41" s="862"/>
      <c r="E41" s="862"/>
      <c r="F41" s="862"/>
      <c r="G41" s="862" t="s">
        <v>16</v>
      </c>
      <c r="H41" s="862"/>
      <c r="I41" s="867"/>
      <c r="J41" s="862"/>
      <c r="K41" s="862"/>
      <c r="L41" s="836"/>
      <c r="M41" s="836"/>
      <c r="N41" s="836"/>
      <c r="O41" s="836"/>
    </row>
    <row r="42" spans="1:15" s="838" customFormat="1" ht="20.100000000000001" customHeight="1" thickBot="1">
      <c r="A42" s="833" t="s">
        <v>67</v>
      </c>
      <c r="B42" s="868"/>
      <c r="C42" s="1348">
        <f>ROUND(SUM(C39)+SUM(C25),3)</f>
        <v>-148.84399999999999</v>
      </c>
      <c r="D42" s="925"/>
      <c r="E42" s="1348">
        <f>ROUND(SUM(E39)+SUM(E25),3)</f>
        <v>208.363</v>
      </c>
      <c r="F42" s="925"/>
      <c r="G42" s="1348">
        <f>ROUND(SUM(G39)+SUM(G25),3)</f>
        <v>202.68199999999999</v>
      </c>
      <c r="H42" s="925"/>
      <c r="I42" s="1348">
        <f>ROUND(SUM(I39)+SUM(I25),3)</f>
        <v>2.9460000000000002</v>
      </c>
      <c r="J42" s="925"/>
      <c r="K42" s="1348">
        <f>ROUND(SUM(K39)+SUM(K25),3)</f>
        <v>-140.21700000000001</v>
      </c>
      <c r="L42" s="860"/>
      <c r="M42" s="836"/>
      <c r="N42" s="836"/>
      <c r="O42" s="836"/>
    </row>
    <row r="43" spans="1:15" s="838" customFormat="1" ht="18.75" thickTop="1">
      <c r="A43" s="836"/>
      <c r="B43" s="836"/>
      <c r="C43" s="869"/>
      <c r="D43" s="862"/>
      <c r="E43" s="869"/>
      <c r="F43" s="862"/>
      <c r="G43" s="869"/>
      <c r="H43" s="862"/>
      <c r="I43" s="870"/>
      <c r="J43" s="862"/>
      <c r="K43" s="869"/>
      <c r="L43" s="836"/>
      <c r="M43" s="836"/>
      <c r="N43" s="836"/>
      <c r="O43" s="836"/>
    </row>
    <row r="44" spans="1:15" s="838" customFormat="1">
      <c r="A44" s="871"/>
      <c r="B44" s="872"/>
      <c r="C44" s="873"/>
      <c r="D44" s="873"/>
      <c r="E44" s="874"/>
      <c r="F44" s="874"/>
      <c r="G44" s="874"/>
      <c r="H44" s="874"/>
      <c r="I44" s="875"/>
      <c r="J44" s="873"/>
      <c r="K44" s="876"/>
      <c r="L44" s="872"/>
      <c r="M44" s="872"/>
      <c r="N44" s="872"/>
      <c r="O44" s="872"/>
    </row>
    <row r="45" spans="1:15" s="838" customFormat="1">
      <c r="A45" s="872"/>
      <c r="B45" s="872"/>
      <c r="C45" s="873"/>
      <c r="D45" s="873"/>
      <c r="E45" s="873"/>
      <c r="F45" s="873"/>
      <c r="G45" s="873"/>
      <c r="H45" s="872"/>
      <c r="I45" s="877"/>
      <c r="J45" s="873"/>
      <c r="K45" s="873"/>
      <c r="L45" s="872"/>
      <c r="M45" s="872"/>
      <c r="N45" s="872"/>
      <c r="O45" s="872"/>
    </row>
    <row r="46" spans="1:15" s="838" customFormat="1">
      <c r="A46" s="872"/>
      <c r="B46" s="872"/>
      <c r="C46" s="873"/>
      <c r="D46" s="873"/>
      <c r="E46" s="873"/>
      <c r="F46" s="873"/>
      <c r="G46" s="878"/>
      <c r="H46" s="872"/>
      <c r="I46" s="877"/>
      <c r="J46" s="873"/>
      <c r="K46" s="873"/>
      <c r="L46" s="872"/>
      <c r="M46" s="872"/>
      <c r="N46" s="872"/>
      <c r="O46" s="872"/>
    </row>
    <row r="47" spans="1:15" s="838" customFormat="1">
      <c r="A47" s="872"/>
      <c r="B47" s="872"/>
      <c r="C47" s="873"/>
      <c r="D47" s="873"/>
      <c r="E47" s="873"/>
      <c r="F47" s="873"/>
      <c r="G47" s="873"/>
      <c r="H47" s="872"/>
      <c r="I47" s="877"/>
      <c r="J47" s="873"/>
      <c r="K47" s="873"/>
      <c r="L47" s="872"/>
      <c r="M47" s="872"/>
      <c r="N47" s="872"/>
      <c r="O47" s="872"/>
    </row>
    <row r="48" spans="1:15" s="838" customFormat="1">
      <c r="A48" s="872"/>
      <c r="B48" s="872"/>
      <c r="C48" s="873"/>
      <c r="D48" s="873"/>
      <c r="E48" s="873"/>
      <c r="F48" s="873"/>
      <c r="G48" s="873"/>
      <c r="H48" s="872"/>
      <c r="I48" s="877"/>
      <c r="J48" s="873"/>
      <c r="K48" s="873"/>
      <c r="L48" s="872"/>
      <c r="M48" s="872"/>
      <c r="N48" s="872"/>
      <c r="O48" s="872"/>
    </row>
    <row r="49" spans="1:15" s="838" customFormat="1">
      <c r="A49" s="872"/>
      <c r="B49" s="872"/>
      <c r="C49" s="873"/>
      <c r="D49" s="873"/>
      <c r="E49" s="873"/>
      <c r="F49" s="873"/>
      <c r="G49" s="873"/>
      <c r="H49" s="872"/>
      <c r="I49" s="877"/>
      <c r="J49" s="873"/>
      <c r="K49" s="873"/>
      <c r="L49" s="872"/>
      <c r="M49" s="872"/>
      <c r="N49" s="872"/>
      <c r="O49" s="872"/>
    </row>
    <row r="50" spans="1:15" s="838" customFormat="1">
      <c r="A50" s="836"/>
      <c r="B50" s="872"/>
      <c r="C50" s="873"/>
      <c r="D50" s="873"/>
      <c r="E50" s="873"/>
      <c r="F50" s="873"/>
      <c r="G50" s="873"/>
      <c r="H50" s="872"/>
      <c r="I50" s="872"/>
      <c r="J50" s="873"/>
      <c r="K50" s="873"/>
      <c r="L50" s="872"/>
      <c r="M50" s="872"/>
      <c r="N50" s="872"/>
      <c r="O50" s="872"/>
    </row>
    <row r="51" spans="1:15" s="838" customFormat="1">
      <c r="A51" s="872"/>
      <c r="B51" s="872"/>
      <c r="C51" s="873"/>
      <c r="D51" s="873"/>
      <c r="E51" s="873"/>
      <c r="F51" s="873"/>
      <c r="G51" s="873"/>
      <c r="H51" s="872"/>
      <c r="I51" s="872"/>
      <c r="J51" s="873"/>
      <c r="K51" s="873"/>
      <c r="L51" s="872"/>
      <c r="M51" s="872"/>
      <c r="N51" s="872"/>
      <c r="O51" s="872"/>
    </row>
    <row r="52" spans="1:15" s="838" customFormat="1">
      <c r="A52" s="872"/>
      <c r="B52" s="872"/>
      <c r="C52" s="873"/>
      <c r="D52" s="873"/>
      <c r="E52" s="873"/>
      <c r="F52" s="873"/>
      <c r="G52" s="873"/>
      <c r="H52" s="872"/>
      <c r="I52" s="872"/>
      <c r="J52" s="873"/>
      <c r="K52" s="873"/>
      <c r="L52" s="872"/>
      <c r="M52" s="872"/>
      <c r="N52" s="872"/>
      <c r="O52" s="872"/>
    </row>
    <row r="53" spans="1:15" s="838" customFormat="1">
      <c r="A53" s="872"/>
      <c r="B53" s="872"/>
      <c r="C53" s="873"/>
      <c r="D53" s="873"/>
      <c r="E53" s="873"/>
      <c r="F53" s="873"/>
      <c r="G53" s="873"/>
      <c r="H53" s="872"/>
      <c r="I53" s="872"/>
      <c r="J53" s="873"/>
      <c r="K53" s="873"/>
      <c r="L53" s="872"/>
      <c r="M53" s="872"/>
      <c r="N53" s="872"/>
      <c r="O53" s="872"/>
    </row>
    <row r="54" spans="1:15" s="838" customFormat="1">
      <c r="A54" s="872"/>
      <c r="B54" s="872"/>
      <c r="C54" s="873"/>
      <c r="D54" s="873"/>
      <c r="E54" s="873"/>
      <c r="F54" s="873"/>
      <c r="G54" s="873"/>
      <c r="H54" s="872"/>
      <c r="I54" s="872"/>
      <c r="J54" s="873"/>
      <c r="K54" s="873"/>
      <c r="L54" s="872"/>
      <c r="M54" s="872"/>
      <c r="N54" s="872"/>
      <c r="O54" s="872"/>
    </row>
    <row r="55" spans="1:15" s="838" customFormat="1">
      <c r="A55" s="872"/>
      <c r="B55" s="872"/>
      <c r="C55" s="873"/>
      <c r="D55" s="873"/>
      <c r="E55" s="873"/>
      <c r="F55" s="873"/>
      <c r="G55" s="873"/>
      <c r="H55" s="872"/>
      <c r="I55" s="872"/>
      <c r="J55" s="873"/>
      <c r="K55" s="873"/>
      <c r="L55" s="872"/>
      <c r="M55" s="872"/>
      <c r="N55" s="872"/>
      <c r="O55" s="872"/>
    </row>
    <row r="56" spans="1:15" s="838" customFormat="1">
      <c r="A56" s="872"/>
      <c r="B56" s="872"/>
      <c r="C56" s="873"/>
      <c r="D56" s="873"/>
      <c r="E56" s="873"/>
      <c r="F56" s="873"/>
      <c r="G56" s="873"/>
      <c r="H56" s="872"/>
      <c r="I56" s="872"/>
      <c r="J56" s="873"/>
      <c r="K56" s="873"/>
      <c r="L56" s="872"/>
      <c r="M56" s="872"/>
      <c r="N56" s="872"/>
      <c r="O56" s="872"/>
    </row>
    <row r="57" spans="1:15" s="838" customFormat="1">
      <c r="A57" s="872"/>
      <c r="B57" s="872"/>
      <c r="C57" s="873"/>
      <c r="D57" s="873"/>
      <c r="E57" s="873"/>
      <c r="F57" s="873"/>
      <c r="G57" s="873"/>
      <c r="H57" s="872"/>
      <c r="I57" s="872"/>
      <c r="J57" s="873"/>
      <c r="K57" s="873"/>
      <c r="L57" s="872"/>
      <c r="M57" s="872"/>
      <c r="N57" s="872"/>
      <c r="O57" s="872"/>
    </row>
    <row r="58" spans="1:15" s="838" customFormat="1">
      <c r="A58" s="872"/>
      <c r="B58" s="872"/>
      <c r="C58" s="873"/>
      <c r="D58" s="873"/>
      <c r="E58" s="873"/>
      <c r="F58" s="873"/>
      <c r="G58" s="873"/>
      <c r="H58" s="872"/>
      <c r="I58" s="872"/>
      <c r="J58" s="873"/>
      <c r="K58" s="873"/>
      <c r="L58" s="872"/>
      <c r="M58" s="872"/>
      <c r="N58" s="872"/>
      <c r="O58" s="872"/>
    </row>
    <row r="59" spans="1:15" s="838" customFormat="1">
      <c r="A59" s="872"/>
      <c r="B59" s="872"/>
      <c r="C59" s="873"/>
      <c r="D59" s="873"/>
      <c r="E59" s="873"/>
      <c r="F59" s="873"/>
      <c r="G59" s="873"/>
      <c r="H59" s="872"/>
      <c r="I59" s="872"/>
      <c r="J59" s="873"/>
      <c r="K59" s="873"/>
      <c r="L59" s="872"/>
      <c r="M59" s="872"/>
      <c r="N59" s="872"/>
      <c r="O59" s="872"/>
    </row>
    <row r="60" spans="1:15" s="838" customFormat="1">
      <c r="A60" s="872"/>
      <c r="B60" s="872"/>
      <c r="C60" s="873"/>
      <c r="D60" s="873"/>
      <c r="E60" s="873"/>
      <c r="F60" s="873"/>
      <c r="G60" s="873"/>
      <c r="H60" s="872"/>
      <c r="I60" s="872"/>
      <c r="J60" s="873"/>
      <c r="K60" s="873"/>
      <c r="L60" s="872"/>
      <c r="M60" s="872"/>
      <c r="N60" s="872"/>
      <c r="O60" s="872"/>
    </row>
    <row r="61" spans="1:15" s="838" customFormat="1">
      <c r="A61" s="872"/>
      <c r="B61" s="872"/>
      <c r="C61" s="873"/>
      <c r="D61" s="873"/>
      <c r="E61" s="873"/>
      <c r="F61" s="873"/>
      <c r="G61" s="873"/>
      <c r="H61" s="872"/>
      <c r="I61" s="872"/>
      <c r="J61" s="873"/>
      <c r="K61" s="873"/>
      <c r="L61" s="872"/>
      <c r="M61" s="872"/>
      <c r="N61" s="872"/>
      <c r="O61" s="872"/>
    </row>
    <row r="62" spans="1:15" s="838" customFormat="1">
      <c r="A62" s="872"/>
      <c r="B62" s="872"/>
      <c r="C62" s="873"/>
      <c r="D62" s="873"/>
      <c r="E62" s="873"/>
      <c r="F62" s="873"/>
      <c r="G62" s="873"/>
      <c r="H62" s="872"/>
      <c r="I62" s="872"/>
      <c r="J62" s="873"/>
      <c r="K62" s="873"/>
      <c r="L62" s="872"/>
      <c r="M62" s="872"/>
      <c r="N62" s="872"/>
      <c r="O62" s="872"/>
    </row>
    <row r="63" spans="1:15" s="838" customFormat="1">
      <c r="A63" s="872"/>
      <c r="B63" s="872"/>
      <c r="C63" s="873"/>
      <c r="D63" s="873"/>
      <c r="E63" s="873"/>
      <c r="F63" s="873"/>
      <c r="G63" s="873"/>
      <c r="H63" s="872"/>
      <c r="I63" s="872"/>
      <c r="J63" s="873"/>
      <c r="K63" s="873"/>
      <c r="L63" s="872"/>
      <c r="M63" s="872"/>
      <c r="N63" s="872"/>
      <c r="O63" s="872"/>
    </row>
    <row r="64" spans="1:15" s="838" customFormat="1">
      <c r="A64" s="872"/>
      <c r="B64" s="872"/>
      <c r="C64" s="873"/>
      <c r="D64" s="873"/>
      <c r="E64" s="873"/>
      <c r="F64" s="873"/>
      <c r="G64" s="873"/>
      <c r="H64" s="872"/>
      <c r="I64" s="872"/>
      <c r="J64" s="873"/>
      <c r="K64" s="873"/>
      <c r="L64" s="872"/>
      <c r="M64" s="872"/>
      <c r="N64" s="872"/>
      <c r="O64" s="872"/>
    </row>
    <row r="65" spans="1:15" s="838" customFormat="1">
      <c r="A65" s="872"/>
      <c r="B65" s="872"/>
      <c r="C65" s="873"/>
      <c r="D65" s="873"/>
      <c r="E65" s="873"/>
      <c r="F65" s="873"/>
      <c r="G65" s="873"/>
      <c r="H65" s="872"/>
      <c r="I65" s="872"/>
      <c r="J65" s="873"/>
      <c r="K65" s="873"/>
      <c r="L65" s="872"/>
      <c r="M65" s="872"/>
      <c r="N65" s="872"/>
      <c r="O65" s="872"/>
    </row>
    <row r="66" spans="1:15" s="838" customFormat="1">
      <c r="A66" s="872"/>
      <c r="B66" s="872"/>
      <c r="C66" s="873"/>
      <c r="D66" s="873"/>
      <c r="E66" s="873"/>
      <c r="F66" s="873"/>
      <c r="G66" s="873"/>
      <c r="H66" s="872"/>
      <c r="I66" s="872"/>
      <c r="J66" s="873"/>
      <c r="K66" s="873"/>
      <c r="L66" s="872"/>
      <c r="M66" s="872"/>
      <c r="N66" s="872"/>
      <c r="O66" s="872"/>
    </row>
    <row r="67" spans="1:15" s="838" customFormat="1">
      <c r="A67" s="872"/>
      <c r="B67" s="872"/>
      <c r="C67" s="873"/>
      <c r="D67" s="873"/>
      <c r="E67" s="873"/>
      <c r="F67" s="873"/>
      <c r="G67" s="873"/>
      <c r="H67" s="872"/>
      <c r="I67" s="872"/>
      <c r="J67" s="873"/>
      <c r="K67" s="873"/>
      <c r="L67" s="872"/>
      <c r="M67" s="872"/>
      <c r="N67" s="872"/>
      <c r="O67" s="872"/>
    </row>
    <row r="68" spans="1:15" s="838" customFormat="1">
      <c r="A68" s="872"/>
      <c r="B68" s="872"/>
      <c r="C68" s="873"/>
      <c r="D68" s="873"/>
      <c r="E68" s="873"/>
      <c r="F68" s="873"/>
      <c r="G68" s="873"/>
      <c r="H68" s="872"/>
      <c r="I68" s="872"/>
      <c r="J68" s="873"/>
      <c r="K68" s="873"/>
      <c r="L68" s="872"/>
      <c r="M68" s="872"/>
      <c r="N68" s="872"/>
      <c r="O68" s="872"/>
    </row>
    <row r="69" spans="1:15" s="838" customFormat="1">
      <c r="A69" s="872"/>
      <c r="B69" s="872"/>
      <c r="C69" s="873"/>
      <c r="D69" s="873"/>
      <c r="E69" s="873"/>
      <c r="F69" s="873"/>
      <c r="G69" s="873"/>
      <c r="H69" s="872"/>
      <c r="I69" s="872"/>
      <c r="J69" s="873"/>
      <c r="K69" s="873"/>
      <c r="L69" s="872"/>
      <c r="M69" s="872"/>
      <c r="N69" s="872"/>
      <c r="O69" s="872"/>
    </row>
    <row r="70" spans="1:15" s="838" customFormat="1">
      <c r="A70" s="872"/>
      <c r="B70" s="872"/>
      <c r="C70" s="873"/>
      <c r="D70" s="873"/>
      <c r="E70" s="873"/>
      <c r="F70" s="873"/>
      <c r="G70" s="873"/>
      <c r="H70" s="872"/>
      <c r="I70" s="872"/>
      <c r="J70" s="873"/>
      <c r="K70" s="873"/>
      <c r="L70" s="872"/>
      <c r="M70" s="872"/>
      <c r="N70" s="872"/>
      <c r="O70" s="872"/>
    </row>
    <row r="71" spans="1:15" s="838" customFormat="1">
      <c r="A71" s="872"/>
      <c r="B71" s="872"/>
      <c r="C71" s="873"/>
      <c r="D71" s="873"/>
      <c r="E71" s="873"/>
      <c r="F71" s="873"/>
      <c r="G71" s="873"/>
      <c r="H71" s="872"/>
      <c r="I71" s="872"/>
      <c r="J71" s="873"/>
      <c r="K71" s="873"/>
      <c r="L71" s="872"/>
      <c r="M71" s="872"/>
      <c r="N71" s="872"/>
      <c r="O71" s="872"/>
    </row>
    <row r="72" spans="1:15" s="838" customFormat="1">
      <c r="A72" s="872"/>
      <c r="B72" s="872"/>
      <c r="C72" s="873"/>
      <c r="D72" s="873"/>
      <c r="E72" s="873"/>
      <c r="F72" s="873"/>
      <c r="G72" s="873"/>
      <c r="H72" s="872"/>
      <c r="I72" s="872"/>
      <c r="J72" s="873"/>
      <c r="K72" s="873"/>
      <c r="L72" s="872"/>
      <c r="M72" s="872"/>
      <c r="N72" s="872"/>
      <c r="O72" s="872"/>
    </row>
    <row r="73" spans="1:15" s="838" customFormat="1">
      <c r="A73" s="872"/>
      <c r="B73" s="872"/>
      <c r="C73" s="873"/>
      <c r="D73" s="873"/>
      <c r="E73" s="873"/>
      <c r="F73" s="873"/>
      <c r="G73" s="873"/>
      <c r="H73" s="872"/>
      <c r="I73" s="872"/>
      <c r="J73" s="873"/>
      <c r="K73" s="873"/>
      <c r="L73" s="872"/>
      <c r="M73" s="872"/>
      <c r="N73" s="872"/>
      <c r="O73" s="872"/>
    </row>
    <row r="74" spans="1:15" s="838" customFormat="1">
      <c r="A74" s="872"/>
      <c r="B74" s="872"/>
      <c r="C74" s="873"/>
      <c r="D74" s="873"/>
      <c r="E74" s="873"/>
      <c r="F74" s="873"/>
      <c r="G74" s="873"/>
      <c r="H74" s="872"/>
      <c r="I74" s="872"/>
      <c r="J74" s="873"/>
      <c r="K74" s="873"/>
      <c r="L74" s="872"/>
      <c r="M74" s="872"/>
      <c r="N74" s="872"/>
      <c r="O74" s="872"/>
    </row>
    <row r="75" spans="1:15" s="838" customFormat="1">
      <c r="A75" s="872"/>
      <c r="B75" s="872"/>
      <c r="C75" s="873"/>
      <c r="D75" s="873"/>
      <c r="E75" s="873"/>
      <c r="F75" s="873"/>
      <c r="G75" s="873"/>
      <c r="H75" s="872"/>
      <c r="I75" s="872"/>
      <c r="J75" s="873"/>
      <c r="K75" s="873"/>
      <c r="L75" s="872"/>
      <c r="M75" s="872"/>
      <c r="N75" s="872"/>
      <c r="O75" s="872"/>
    </row>
    <row r="76" spans="1:15" s="838" customFormat="1">
      <c r="A76" s="872"/>
      <c r="B76" s="872"/>
      <c r="C76" s="873"/>
      <c r="D76" s="873"/>
      <c r="E76" s="873"/>
      <c r="F76" s="873"/>
      <c r="G76" s="873"/>
      <c r="H76" s="872"/>
      <c r="I76" s="872"/>
      <c r="J76" s="873"/>
      <c r="K76" s="873"/>
      <c r="L76" s="872"/>
      <c r="M76" s="872"/>
      <c r="N76" s="872"/>
      <c r="O76" s="872"/>
    </row>
    <row r="77" spans="1:15" s="838" customFormat="1">
      <c r="A77" s="872"/>
      <c r="B77" s="872"/>
      <c r="C77" s="873"/>
      <c r="D77" s="873"/>
      <c r="E77" s="873"/>
      <c r="F77" s="873"/>
      <c r="G77" s="873"/>
      <c r="H77" s="872"/>
      <c r="I77" s="872"/>
      <c r="J77" s="873"/>
      <c r="K77" s="873"/>
      <c r="L77" s="872"/>
      <c r="M77" s="872"/>
      <c r="N77" s="872"/>
      <c r="O77" s="872"/>
    </row>
    <row r="78" spans="1:15" s="838" customFormat="1">
      <c r="A78" s="872"/>
      <c r="B78" s="872"/>
      <c r="C78" s="873"/>
      <c r="D78" s="873"/>
      <c r="E78" s="873"/>
      <c r="F78" s="873"/>
      <c r="G78" s="873"/>
      <c r="H78" s="872"/>
      <c r="I78" s="872"/>
      <c r="J78" s="873"/>
      <c r="K78" s="873"/>
      <c r="L78" s="872"/>
      <c r="M78" s="872"/>
      <c r="N78" s="872"/>
      <c r="O78" s="872"/>
    </row>
    <row r="79" spans="1:15" s="838" customFormat="1">
      <c r="A79" s="872"/>
      <c r="B79" s="872"/>
      <c r="C79" s="873"/>
      <c r="D79" s="873"/>
      <c r="E79" s="873"/>
      <c r="F79" s="873"/>
      <c r="G79" s="873"/>
      <c r="H79" s="872"/>
      <c r="I79" s="872"/>
      <c r="J79" s="873"/>
      <c r="K79" s="873"/>
      <c r="L79" s="872"/>
      <c r="M79" s="872"/>
      <c r="N79" s="872"/>
      <c r="O79" s="872"/>
    </row>
    <row r="80" spans="1:15" s="838" customFormat="1">
      <c r="A80" s="872"/>
      <c r="B80" s="872"/>
      <c r="C80" s="873"/>
      <c r="D80" s="873"/>
      <c r="E80" s="873"/>
      <c r="F80" s="873"/>
      <c r="G80" s="873"/>
      <c r="H80" s="872"/>
      <c r="I80" s="872"/>
      <c r="J80" s="873"/>
      <c r="K80" s="873"/>
      <c r="L80" s="872"/>
      <c r="M80" s="872"/>
      <c r="N80" s="872"/>
      <c r="O80" s="872"/>
    </row>
    <row r="81" spans="1:15" s="838" customFormat="1">
      <c r="A81" s="872"/>
      <c r="B81" s="872"/>
      <c r="C81" s="873"/>
      <c r="D81" s="873"/>
      <c r="E81" s="873"/>
      <c r="F81" s="873"/>
      <c r="G81" s="873"/>
      <c r="H81" s="872"/>
      <c r="I81" s="872"/>
      <c r="J81" s="873"/>
      <c r="K81" s="873"/>
      <c r="L81" s="872"/>
      <c r="M81" s="872"/>
      <c r="N81" s="872"/>
      <c r="O81" s="872"/>
    </row>
    <row r="82" spans="1:15" s="838" customFormat="1">
      <c r="A82" s="872"/>
      <c r="B82" s="872"/>
      <c r="C82" s="873"/>
      <c r="D82" s="873"/>
      <c r="E82" s="873"/>
      <c r="F82" s="873"/>
      <c r="G82" s="873"/>
      <c r="H82" s="872"/>
      <c r="I82" s="872"/>
      <c r="J82" s="873"/>
      <c r="K82" s="873"/>
      <c r="L82" s="872"/>
      <c r="M82" s="872"/>
      <c r="N82" s="872"/>
      <c r="O82" s="872"/>
    </row>
    <row r="83" spans="1:15" s="838" customFormat="1">
      <c r="A83" s="872"/>
      <c r="B83" s="872"/>
      <c r="C83" s="873"/>
      <c r="D83" s="873"/>
      <c r="E83" s="873"/>
      <c r="F83" s="873"/>
      <c r="G83" s="873"/>
      <c r="H83" s="872"/>
      <c r="I83" s="872"/>
      <c r="J83" s="873"/>
      <c r="K83" s="873"/>
      <c r="L83" s="872"/>
      <c r="M83" s="872"/>
      <c r="N83" s="872"/>
      <c r="O83" s="872"/>
    </row>
    <row r="84" spans="1:15" s="838" customFormat="1">
      <c r="A84" s="872"/>
      <c r="B84" s="872"/>
      <c r="C84" s="873"/>
      <c r="D84" s="873"/>
      <c r="E84" s="873"/>
      <c r="F84" s="873"/>
      <c r="G84" s="873"/>
      <c r="H84" s="872"/>
      <c r="I84" s="872"/>
      <c r="J84" s="873"/>
      <c r="K84" s="873"/>
      <c r="L84" s="872"/>
      <c r="M84" s="872"/>
      <c r="N84" s="872"/>
      <c r="O84" s="872"/>
    </row>
    <row r="85" spans="1:15" s="838" customFormat="1">
      <c r="A85" s="872"/>
      <c r="B85" s="872"/>
      <c r="C85" s="873"/>
      <c r="D85" s="873"/>
      <c r="E85" s="873"/>
      <c r="F85" s="873"/>
      <c r="G85" s="873"/>
      <c r="H85" s="872"/>
      <c r="I85" s="872"/>
      <c r="J85" s="873"/>
      <c r="K85" s="873"/>
      <c r="L85" s="872"/>
      <c r="M85" s="872"/>
      <c r="N85" s="872"/>
      <c r="O85" s="872"/>
    </row>
    <row r="86" spans="1:15" s="838" customFormat="1">
      <c r="A86" s="872"/>
      <c r="B86" s="872"/>
      <c r="C86" s="873"/>
      <c r="D86" s="873"/>
      <c r="E86" s="873"/>
      <c r="F86" s="873"/>
      <c r="G86" s="873"/>
      <c r="H86" s="872"/>
      <c r="I86" s="872"/>
      <c r="J86" s="873"/>
      <c r="K86" s="873"/>
      <c r="L86" s="872"/>
      <c r="M86" s="872"/>
      <c r="N86" s="872"/>
      <c r="O86" s="872"/>
    </row>
    <row r="87" spans="1:15" s="838" customFormat="1">
      <c r="A87" s="872"/>
      <c r="B87" s="872"/>
      <c r="C87" s="873"/>
      <c r="D87" s="873"/>
      <c r="E87" s="873"/>
      <c r="F87" s="873"/>
      <c r="G87" s="873"/>
      <c r="H87" s="872"/>
      <c r="I87" s="872"/>
      <c r="J87" s="873"/>
      <c r="K87" s="873"/>
      <c r="L87" s="872"/>
      <c r="M87" s="872"/>
      <c r="N87" s="872"/>
      <c r="O87" s="872"/>
    </row>
    <row r="88" spans="1:15" s="838" customFormat="1">
      <c r="A88" s="872"/>
      <c r="B88" s="872"/>
      <c r="C88" s="873"/>
      <c r="D88" s="873"/>
      <c r="E88" s="873"/>
      <c r="F88" s="873"/>
      <c r="G88" s="873"/>
      <c r="H88" s="872"/>
      <c r="I88" s="872"/>
      <c r="J88" s="873"/>
      <c r="K88" s="873"/>
      <c r="L88" s="872"/>
      <c r="M88" s="872"/>
      <c r="N88" s="872"/>
      <c r="O88" s="872"/>
    </row>
    <row r="89" spans="1:15" s="838" customFormat="1">
      <c r="A89" s="872"/>
      <c r="B89" s="872"/>
      <c r="C89" s="873"/>
      <c r="D89" s="873"/>
      <c r="E89" s="873"/>
      <c r="F89" s="873"/>
      <c r="G89" s="873"/>
      <c r="H89" s="872"/>
      <c r="I89" s="872"/>
      <c r="J89" s="873"/>
      <c r="K89" s="873"/>
      <c r="L89" s="872"/>
      <c r="M89" s="872"/>
      <c r="N89" s="872"/>
      <c r="O89" s="872"/>
    </row>
    <row r="90" spans="1:15" s="838" customFormat="1">
      <c r="A90" s="872"/>
      <c r="B90" s="872"/>
      <c r="C90" s="873"/>
      <c r="D90" s="873"/>
      <c r="E90" s="873"/>
      <c r="F90" s="873"/>
      <c r="G90" s="873"/>
      <c r="H90" s="872"/>
      <c r="I90" s="872"/>
      <c r="J90" s="873"/>
      <c r="K90" s="873"/>
      <c r="L90" s="872"/>
      <c r="M90" s="872"/>
      <c r="N90" s="872"/>
      <c r="O90" s="872"/>
    </row>
    <row r="91" spans="1:15" s="838" customFormat="1">
      <c r="A91" s="872"/>
      <c r="B91" s="872"/>
      <c r="C91" s="873"/>
      <c r="D91" s="873"/>
      <c r="E91" s="873"/>
      <c r="F91" s="873"/>
      <c r="G91" s="873"/>
      <c r="H91" s="872"/>
      <c r="I91" s="872"/>
      <c r="J91" s="873"/>
      <c r="K91" s="873"/>
      <c r="L91" s="872"/>
      <c r="M91" s="872"/>
      <c r="N91" s="872"/>
      <c r="O91" s="872"/>
    </row>
    <row r="92" spans="1:15" s="838" customFormat="1">
      <c r="A92" s="872"/>
      <c r="B92" s="872"/>
      <c r="C92" s="873"/>
      <c r="D92" s="873"/>
      <c r="E92" s="873"/>
      <c r="F92" s="873"/>
      <c r="G92" s="873"/>
      <c r="H92" s="872"/>
      <c r="I92" s="872"/>
      <c r="J92" s="873"/>
      <c r="K92" s="873"/>
      <c r="L92" s="872"/>
      <c r="M92" s="872"/>
      <c r="N92" s="872"/>
      <c r="O92" s="87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79" customWidth="1"/>
    <col min="2" max="2" width="5.88671875" style="879" customWidth="1"/>
    <col min="3" max="3" width="9.77734375" style="879" customWidth="1"/>
    <col min="4" max="4" width="21.33203125" style="879" customWidth="1"/>
    <col min="5" max="5" width="1.77734375" style="879" customWidth="1"/>
    <col min="6" max="6" width="16.88671875" style="879" customWidth="1"/>
    <col min="7" max="7" width="2.33203125" style="879" customWidth="1"/>
    <col min="8" max="8" width="19.21875" style="879" customWidth="1"/>
    <col min="9" max="9" width="1.6640625" style="879" customWidth="1"/>
    <col min="10" max="10" width="20.77734375" style="879" customWidth="1"/>
    <col min="11" max="11" width="2.109375" style="879" customWidth="1"/>
    <col min="12" max="12" width="22.44140625" style="879" customWidth="1"/>
    <col min="13" max="13" width="2.44140625" style="879" customWidth="1"/>
    <col min="14" max="14" width="10.77734375" style="879" bestFit="1" customWidth="1"/>
    <col min="15" max="15" width="12.5546875" style="879" bestFit="1" customWidth="1"/>
    <col min="16" max="16384" width="8.88671875" style="879"/>
  </cols>
  <sheetData>
    <row r="1" spans="1:256" ht="15">
      <c r="A1" s="1190" t="s">
        <v>1231</v>
      </c>
    </row>
    <row r="2" spans="1:256" ht="18" customHeight="1"/>
    <row r="3" spans="1:256" ht="18">
      <c r="A3" s="880" t="s">
        <v>0</v>
      </c>
      <c r="B3" s="881"/>
      <c r="C3" s="881"/>
      <c r="D3" s="882"/>
      <c r="E3" s="882"/>
      <c r="F3" s="881"/>
      <c r="G3" s="881" t="s">
        <v>16</v>
      </c>
      <c r="H3" s="881"/>
      <c r="I3" s="881"/>
      <c r="J3" s="881"/>
      <c r="K3" s="881"/>
      <c r="L3" s="883" t="s">
        <v>383</v>
      </c>
      <c r="M3" s="882"/>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84"/>
      <c r="BM3" s="884"/>
      <c r="BN3" s="884"/>
      <c r="BO3" s="884"/>
      <c r="BP3" s="884"/>
      <c r="BQ3" s="884"/>
      <c r="BR3" s="884"/>
      <c r="BS3" s="884"/>
      <c r="BT3" s="884"/>
      <c r="BU3" s="884"/>
      <c r="BV3" s="884"/>
      <c r="BW3" s="884"/>
      <c r="BX3" s="884"/>
      <c r="BY3" s="884"/>
      <c r="BZ3" s="884"/>
      <c r="CA3" s="884"/>
      <c r="CB3" s="884"/>
      <c r="CC3" s="884"/>
      <c r="CD3" s="884"/>
      <c r="CE3" s="884"/>
      <c r="CF3" s="884"/>
      <c r="CG3" s="884"/>
      <c r="CH3" s="884"/>
      <c r="CI3" s="884"/>
      <c r="CJ3" s="884"/>
      <c r="CK3" s="884"/>
      <c r="CL3" s="884"/>
      <c r="CM3" s="884"/>
      <c r="CN3" s="884"/>
      <c r="CO3" s="884"/>
      <c r="CP3" s="884"/>
      <c r="CQ3" s="884"/>
      <c r="CR3" s="884"/>
      <c r="CS3" s="884"/>
      <c r="CT3" s="884"/>
      <c r="CU3" s="884"/>
      <c r="CV3" s="884"/>
      <c r="CW3" s="884"/>
      <c r="CX3" s="884"/>
      <c r="CY3" s="884"/>
      <c r="CZ3" s="884"/>
      <c r="DA3" s="884"/>
      <c r="DB3" s="884"/>
      <c r="DC3" s="884"/>
      <c r="DD3" s="884"/>
      <c r="DE3" s="884"/>
      <c r="DF3" s="884"/>
      <c r="DG3" s="884"/>
      <c r="DH3" s="884"/>
      <c r="DI3" s="884"/>
      <c r="DJ3" s="884"/>
      <c r="DK3" s="884"/>
      <c r="DL3" s="884"/>
      <c r="DM3" s="884"/>
      <c r="DN3" s="884"/>
      <c r="DO3" s="884"/>
      <c r="DP3" s="884"/>
      <c r="DQ3" s="884"/>
      <c r="DR3" s="884"/>
      <c r="DS3" s="884"/>
      <c r="DT3" s="884"/>
      <c r="DU3" s="884"/>
      <c r="DV3" s="884"/>
      <c r="DW3" s="884"/>
      <c r="DX3" s="884"/>
      <c r="DY3" s="884"/>
      <c r="DZ3" s="884"/>
      <c r="EA3" s="884"/>
      <c r="EB3" s="884"/>
      <c r="EC3" s="884"/>
      <c r="ED3" s="884"/>
      <c r="EE3" s="884"/>
      <c r="EF3" s="884"/>
      <c r="EG3" s="884"/>
      <c r="EH3" s="884"/>
      <c r="EI3" s="884"/>
      <c r="EJ3" s="884"/>
      <c r="EK3" s="884"/>
      <c r="EL3" s="884"/>
      <c r="EM3" s="884"/>
      <c r="EN3" s="884"/>
      <c r="EO3" s="884"/>
      <c r="EP3" s="884"/>
      <c r="EQ3" s="884"/>
      <c r="ER3" s="884"/>
      <c r="ES3" s="884"/>
      <c r="ET3" s="884"/>
      <c r="EU3" s="884"/>
      <c r="EV3" s="884"/>
      <c r="EW3" s="884"/>
      <c r="EX3" s="884"/>
      <c r="EY3" s="884"/>
      <c r="EZ3" s="884"/>
      <c r="FA3" s="884"/>
      <c r="FB3" s="884"/>
      <c r="FC3" s="884"/>
      <c r="FD3" s="884"/>
      <c r="FE3" s="884"/>
      <c r="FF3" s="884"/>
      <c r="FG3" s="884"/>
      <c r="FH3" s="884"/>
      <c r="FI3" s="884"/>
      <c r="FJ3" s="884"/>
      <c r="FK3" s="884"/>
      <c r="FL3" s="884"/>
      <c r="FM3" s="884"/>
      <c r="FN3" s="884"/>
      <c r="FO3" s="884"/>
      <c r="FP3" s="884"/>
      <c r="FQ3" s="884"/>
      <c r="FR3" s="884"/>
      <c r="FS3" s="884"/>
      <c r="FT3" s="884"/>
      <c r="FU3" s="884"/>
      <c r="FV3" s="884"/>
      <c r="FW3" s="884"/>
      <c r="FX3" s="884"/>
      <c r="FY3" s="884"/>
      <c r="FZ3" s="884"/>
      <c r="GA3" s="884"/>
      <c r="GB3" s="884"/>
      <c r="GC3" s="884"/>
      <c r="GD3" s="884"/>
      <c r="GE3" s="884"/>
      <c r="GF3" s="884"/>
      <c r="GG3" s="884"/>
      <c r="GH3" s="884"/>
      <c r="GI3" s="884"/>
      <c r="GJ3" s="884"/>
      <c r="GK3" s="884"/>
      <c r="GL3" s="884"/>
      <c r="GM3" s="884"/>
      <c r="GN3" s="884"/>
      <c r="GO3" s="884"/>
      <c r="GP3" s="884"/>
      <c r="GQ3" s="884"/>
      <c r="GR3" s="884"/>
      <c r="GS3" s="884"/>
      <c r="GT3" s="884"/>
      <c r="GU3" s="884"/>
      <c r="GV3" s="884"/>
      <c r="GW3" s="884"/>
      <c r="GX3" s="884"/>
      <c r="GY3" s="884"/>
      <c r="GZ3" s="884"/>
      <c r="HA3" s="884"/>
      <c r="HB3" s="884"/>
      <c r="HC3" s="884"/>
      <c r="HD3" s="884"/>
      <c r="HE3" s="884"/>
      <c r="HF3" s="884"/>
      <c r="HG3" s="884"/>
      <c r="HH3" s="884"/>
      <c r="HI3" s="884"/>
      <c r="HJ3" s="884"/>
      <c r="HK3" s="884"/>
      <c r="HL3" s="884"/>
      <c r="HM3" s="884"/>
      <c r="HN3" s="884"/>
      <c r="HO3" s="884"/>
      <c r="HP3" s="884"/>
      <c r="HQ3" s="884"/>
      <c r="HR3" s="884"/>
      <c r="HS3" s="884"/>
      <c r="HT3" s="884"/>
      <c r="HU3" s="884"/>
      <c r="HV3" s="884"/>
      <c r="HW3" s="884"/>
      <c r="HX3" s="884"/>
      <c r="HY3" s="884"/>
      <c r="HZ3" s="884"/>
      <c r="IA3" s="884"/>
      <c r="IB3" s="884"/>
      <c r="IC3" s="884"/>
      <c r="ID3" s="884"/>
      <c r="IE3" s="884"/>
      <c r="IF3" s="884"/>
      <c r="IG3" s="884"/>
      <c r="IH3" s="884"/>
      <c r="II3" s="884"/>
      <c r="IJ3" s="884"/>
      <c r="IK3" s="884"/>
      <c r="IL3" s="884"/>
      <c r="IM3" s="884"/>
      <c r="IN3" s="884"/>
      <c r="IO3" s="884"/>
      <c r="IP3" s="884"/>
      <c r="IQ3" s="884"/>
      <c r="IR3" s="884"/>
      <c r="IS3" s="884"/>
      <c r="IT3" s="884"/>
      <c r="IU3" s="884"/>
      <c r="IV3" s="884"/>
    </row>
    <row r="4" spans="1:256" ht="18">
      <c r="A4" s="880" t="s">
        <v>384</v>
      </c>
      <c r="B4" s="881"/>
      <c r="C4" s="881"/>
      <c r="D4" s="882"/>
      <c r="E4" s="882"/>
      <c r="F4" s="881"/>
      <c r="G4" s="881"/>
      <c r="H4" s="881"/>
      <c r="I4" s="881"/>
      <c r="J4" s="881"/>
      <c r="K4" s="881"/>
      <c r="L4" s="885"/>
      <c r="M4" s="882"/>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c r="BU4" s="884"/>
      <c r="BV4" s="884"/>
      <c r="BW4" s="884"/>
      <c r="BX4" s="884"/>
      <c r="BY4" s="884"/>
      <c r="BZ4" s="884"/>
      <c r="CA4" s="884"/>
      <c r="CB4" s="884"/>
      <c r="CC4" s="884"/>
      <c r="CD4" s="884"/>
      <c r="CE4" s="884"/>
      <c r="CF4" s="884"/>
      <c r="CG4" s="884"/>
      <c r="CH4" s="884"/>
      <c r="CI4" s="884"/>
      <c r="CJ4" s="884"/>
      <c r="CK4" s="884"/>
      <c r="CL4" s="884"/>
      <c r="CM4" s="884"/>
      <c r="CN4" s="884"/>
      <c r="CO4" s="884"/>
      <c r="CP4" s="884"/>
      <c r="CQ4" s="884"/>
      <c r="CR4" s="884"/>
      <c r="CS4" s="884"/>
      <c r="CT4" s="884"/>
      <c r="CU4" s="884"/>
      <c r="CV4" s="884"/>
      <c r="CW4" s="884"/>
      <c r="CX4" s="884"/>
      <c r="CY4" s="884"/>
      <c r="CZ4" s="884"/>
      <c r="DA4" s="884"/>
      <c r="DB4" s="884"/>
      <c r="DC4" s="884"/>
      <c r="DD4" s="884"/>
      <c r="DE4" s="884"/>
      <c r="DF4" s="884"/>
      <c r="DG4" s="884"/>
      <c r="DH4" s="884"/>
      <c r="DI4" s="884"/>
      <c r="DJ4" s="884"/>
      <c r="DK4" s="884"/>
      <c r="DL4" s="884"/>
      <c r="DM4" s="884"/>
      <c r="DN4" s="884"/>
      <c r="DO4" s="884"/>
      <c r="DP4" s="884"/>
      <c r="DQ4" s="884"/>
      <c r="DR4" s="884"/>
      <c r="DS4" s="884"/>
      <c r="DT4" s="884"/>
      <c r="DU4" s="884"/>
      <c r="DV4" s="884"/>
      <c r="DW4" s="884"/>
      <c r="DX4" s="884"/>
      <c r="DY4" s="884"/>
      <c r="DZ4" s="884"/>
      <c r="EA4" s="884"/>
      <c r="EB4" s="884"/>
      <c r="EC4" s="884"/>
      <c r="ED4" s="884"/>
      <c r="EE4" s="884"/>
      <c r="EF4" s="884"/>
      <c r="EG4" s="884"/>
      <c r="EH4" s="884"/>
      <c r="EI4" s="884"/>
      <c r="EJ4" s="884"/>
      <c r="EK4" s="884"/>
      <c r="EL4" s="884"/>
      <c r="EM4" s="884"/>
      <c r="EN4" s="884"/>
      <c r="EO4" s="884"/>
      <c r="EP4" s="884"/>
      <c r="EQ4" s="884"/>
      <c r="ER4" s="884"/>
      <c r="ES4" s="884"/>
      <c r="ET4" s="884"/>
      <c r="EU4" s="884"/>
      <c r="EV4" s="884"/>
      <c r="EW4" s="884"/>
      <c r="EX4" s="884"/>
      <c r="EY4" s="884"/>
      <c r="EZ4" s="884"/>
      <c r="FA4" s="884"/>
      <c r="FB4" s="884"/>
      <c r="FC4" s="884"/>
      <c r="FD4" s="884"/>
      <c r="FE4" s="884"/>
      <c r="FF4" s="884"/>
      <c r="FG4" s="884"/>
      <c r="FH4" s="884"/>
      <c r="FI4" s="884"/>
      <c r="FJ4" s="884"/>
      <c r="FK4" s="884"/>
      <c r="FL4" s="884"/>
      <c r="FM4" s="884"/>
      <c r="FN4" s="884"/>
      <c r="FO4" s="884"/>
      <c r="FP4" s="884"/>
      <c r="FQ4" s="884"/>
      <c r="FR4" s="884"/>
      <c r="FS4" s="884"/>
      <c r="FT4" s="884"/>
      <c r="FU4" s="884"/>
      <c r="FV4" s="884"/>
      <c r="FW4" s="884"/>
      <c r="FX4" s="884"/>
      <c r="FY4" s="884"/>
      <c r="FZ4" s="884"/>
      <c r="GA4" s="884"/>
      <c r="GB4" s="884"/>
      <c r="GC4" s="884"/>
      <c r="GD4" s="884"/>
      <c r="GE4" s="884"/>
      <c r="GF4" s="884"/>
      <c r="GG4" s="884"/>
      <c r="GH4" s="884"/>
      <c r="GI4" s="884"/>
      <c r="GJ4" s="884"/>
      <c r="GK4" s="884"/>
      <c r="GL4" s="884"/>
      <c r="GM4" s="884"/>
      <c r="GN4" s="884"/>
      <c r="GO4" s="884"/>
      <c r="GP4" s="884"/>
      <c r="GQ4" s="884"/>
      <c r="GR4" s="884"/>
      <c r="GS4" s="884"/>
      <c r="GT4" s="884"/>
      <c r="GU4" s="884"/>
      <c r="GV4" s="884"/>
      <c r="GW4" s="884"/>
      <c r="GX4" s="884"/>
      <c r="GY4" s="884"/>
      <c r="GZ4" s="884"/>
      <c r="HA4" s="884"/>
      <c r="HB4" s="884"/>
      <c r="HC4" s="884"/>
      <c r="HD4" s="884"/>
      <c r="HE4" s="884"/>
      <c r="HF4" s="884"/>
      <c r="HG4" s="884"/>
      <c r="HH4" s="884"/>
      <c r="HI4" s="884"/>
      <c r="HJ4" s="884"/>
      <c r="HK4" s="884"/>
      <c r="HL4" s="884"/>
      <c r="HM4" s="884"/>
      <c r="HN4" s="884"/>
      <c r="HO4" s="884"/>
      <c r="HP4" s="884"/>
      <c r="HQ4" s="884"/>
      <c r="HR4" s="884"/>
      <c r="HS4" s="884"/>
      <c r="HT4" s="884"/>
      <c r="HU4" s="884"/>
      <c r="HV4" s="884"/>
      <c r="HW4" s="884"/>
      <c r="HX4" s="884"/>
      <c r="HY4" s="884"/>
      <c r="HZ4" s="884"/>
      <c r="IA4" s="884"/>
      <c r="IB4" s="884"/>
      <c r="IC4" s="884"/>
      <c r="ID4" s="884"/>
      <c r="IE4" s="884"/>
      <c r="IF4" s="884"/>
      <c r="IG4" s="884"/>
      <c r="IH4" s="884"/>
      <c r="II4" s="884"/>
      <c r="IJ4" s="884"/>
      <c r="IK4" s="884"/>
      <c r="IL4" s="884"/>
      <c r="IM4" s="884"/>
      <c r="IN4" s="884"/>
      <c r="IO4" s="884"/>
      <c r="IP4" s="884"/>
      <c r="IQ4" s="884"/>
      <c r="IR4" s="884"/>
      <c r="IS4" s="884"/>
      <c r="IT4" s="884"/>
      <c r="IU4" s="884"/>
      <c r="IV4" s="884"/>
    </row>
    <row r="5" spans="1:256" ht="18">
      <c r="A5" s="886" t="s">
        <v>385</v>
      </c>
      <c r="B5" s="881"/>
      <c r="C5" s="881"/>
      <c r="D5" s="882"/>
      <c r="E5" s="882"/>
      <c r="F5" s="881"/>
      <c r="G5" s="881"/>
      <c r="H5" s="881"/>
      <c r="I5" s="881"/>
      <c r="J5" s="881"/>
      <c r="K5" s="881"/>
      <c r="L5" s="881"/>
      <c r="M5" s="882"/>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4"/>
      <c r="BE5" s="884"/>
      <c r="BF5" s="884"/>
      <c r="BG5" s="884"/>
      <c r="BH5" s="884"/>
      <c r="BI5" s="884"/>
      <c r="BJ5" s="884"/>
      <c r="BK5" s="884"/>
      <c r="BL5" s="884"/>
      <c r="BM5" s="884"/>
      <c r="BN5" s="884"/>
      <c r="BO5" s="884"/>
      <c r="BP5" s="884"/>
      <c r="BQ5" s="884"/>
      <c r="BR5" s="884"/>
      <c r="BS5" s="884"/>
      <c r="BT5" s="884"/>
      <c r="BU5" s="884"/>
      <c r="BV5" s="884"/>
      <c r="BW5" s="884"/>
      <c r="BX5" s="884"/>
      <c r="BY5" s="884"/>
      <c r="BZ5" s="884"/>
      <c r="CA5" s="884"/>
      <c r="CB5" s="884"/>
      <c r="CC5" s="884"/>
      <c r="CD5" s="884"/>
      <c r="CE5" s="884"/>
      <c r="CF5" s="884"/>
      <c r="CG5" s="884"/>
      <c r="CH5" s="884"/>
      <c r="CI5" s="884"/>
      <c r="CJ5" s="884"/>
      <c r="CK5" s="884"/>
      <c r="CL5" s="884"/>
      <c r="CM5" s="884"/>
      <c r="CN5" s="884"/>
      <c r="CO5" s="884"/>
      <c r="CP5" s="884"/>
      <c r="CQ5" s="884"/>
      <c r="CR5" s="884"/>
      <c r="CS5" s="884"/>
      <c r="CT5" s="884"/>
      <c r="CU5" s="884"/>
      <c r="CV5" s="884"/>
      <c r="CW5" s="884"/>
      <c r="CX5" s="884"/>
      <c r="CY5" s="884"/>
      <c r="CZ5" s="884"/>
      <c r="DA5" s="884"/>
      <c r="DB5" s="884"/>
      <c r="DC5" s="884"/>
      <c r="DD5" s="884"/>
      <c r="DE5" s="884"/>
      <c r="DF5" s="884"/>
      <c r="DG5" s="884"/>
      <c r="DH5" s="884"/>
      <c r="DI5" s="884"/>
      <c r="DJ5" s="884"/>
      <c r="DK5" s="884"/>
      <c r="DL5" s="884"/>
      <c r="DM5" s="884"/>
      <c r="DN5" s="884"/>
      <c r="DO5" s="884"/>
      <c r="DP5" s="884"/>
      <c r="DQ5" s="884"/>
      <c r="DR5" s="884"/>
      <c r="DS5" s="884"/>
      <c r="DT5" s="884"/>
      <c r="DU5" s="884"/>
      <c r="DV5" s="884"/>
      <c r="DW5" s="884"/>
      <c r="DX5" s="884"/>
      <c r="DY5" s="884"/>
      <c r="DZ5" s="884"/>
      <c r="EA5" s="884"/>
      <c r="EB5" s="884"/>
      <c r="EC5" s="884"/>
      <c r="ED5" s="884"/>
      <c r="EE5" s="884"/>
      <c r="EF5" s="884"/>
      <c r="EG5" s="884"/>
      <c r="EH5" s="884"/>
      <c r="EI5" s="884"/>
      <c r="EJ5" s="884"/>
      <c r="EK5" s="884"/>
      <c r="EL5" s="884"/>
      <c r="EM5" s="884"/>
      <c r="EN5" s="884"/>
      <c r="EO5" s="884"/>
      <c r="EP5" s="884"/>
      <c r="EQ5" s="884"/>
      <c r="ER5" s="884"/>
      <c r="ES5" s="884"/>
      <c r="ET5" s="884"/>
      <c r="EU5" s="884"/>
      <c r="EV5" s="884"/>
      <c r="EW5" s="884"/>
      <c r="EX5" s="884"/>
      <c r="EY5" s="884"/>
      <c r="EZ5" s="884"/>
      <c r="FA5" s="884"/>
      <c r="FB5" s="884"/>
      <c r="FC5" s="884"/>
      <c r="FD5" s="884"/>
      <c r="FE5" s="884"/>
      <c r="FF5" s="884"/>
      <c r="FG5" s="884"/>
      <c r="FH5" s="884"/>
      <c r="FI5" s="884"/>
      <c r="FJ5" s="884"/>
      <c r="FK5" s="884"/>
      <c r="FL5" s="884"/>
      <c r="FM5" s="884"/>
      <c r="FN5" s="884"/>
      <c r="FO5" s="884"/>
      <c r="FP5" s="884"/>
      <c r="FQ5" s="884"/>
      <c r="FR5" s="884"/>
      <c r="FS5" s="884"/>
      <c r="FT5" s="884"/>
      <c r="FU5" s="884"/>
      <c r="FV5" s="884"/>
      <c r="FW5" s="884"/>
      <c r="FX5" s="884"/>
      <c r="FY5" s="884"/>
      <c r="FZ5" s="884"/>
      <c r="GA5" s="884"/>
      <c r="GB5" s="884"/>
      <c r="GC5" s="884"/>
      <c r="GD5" s="884"/>
      <c r="GE5" s="884"/>
      <c r="GF5" s="884"/>
      <c r="GG5" s="884"/>
      <c r="GH5" s="884"/>
      <c r="GI5" s="884"/>
      <c r="GJ5" s="884"/>
      <c r="GK5" s="884"/>
      <c r="GL5" s="884"/>
      <c r="GM5" s="884"/>
      <c r="GN5" s="884"/>
      <c r="GO5" s="884"/>
      <c r="GP5" s="884"/>
      <c r="GQ5" s="884"/>
      <c r="GR5" s="884"/>
      <c r="GS5" s="884"/>
      <c r="GT5" s="884"/>
      <c r="GU5" s="884"/>
      <c r="GV5" s="884"/>
      <c r="GW5" s="884"/>
      <c r="GX5" s="884"/>
      <c r="GY5" s="884"/>
      <c r="GZ5" s="884"/>
      <c r="HA5" s="884"/>
      <c r="HB5" s="884"/>
      <c r="HC5" s="884"/>
      <c r="HD5" s="884"/>
      <c r="HE5" s="884"/>
      <c r="HF5" s="884"/>
      <c r="HG5" s="884"/>
      <c r="HH5" s="884"/>
      <c r="HI5" s="884"/>
      <c r="HJ5" s="884"/>
      <c r="HK5" s="884"/>
      <c r="HL5" s="884"/>
      <c r="HM5" s="884"/>
      <c r="HN5" s="884"/>
      <c r="HO5" s="884"/>
      <c r="HP5" s="884"/>
      <c r="HQ5" s="884"/>
      <c r="HR5" s="884"/>
      <c r="HS5" s="884"/>
      <c r="HT5" s="884"/>
      <c r="HU5" s="884"/>
      <c r="HV5" s="884"/>
      <c r="HW5" s="884"/>
      <c r="HX5" s="884"/>
      <c r="HY5" s="884"/>
      <c r="HZ5" s="884"/>
      <c r="IA5" s="884"/>
      <c r="IB5" s="884"/>
      <c r="IC5" s="884"/>
      <c r="ID5" s="884"/>
      <c r="IE5" s="884"/>
      <c r="IF5" s="884"/>
      <c r="IG5" s="884"/>
      <c r="IH5" s="884"/>
      <c r="II5" s="884"/>
      <c r="IJ5" s="884"/>
      <c r="IK5" s="884"/>
      <c r="IL5" s="884"/>
      <c r="IM5" s="884"/>
      <c r="IN5" s="884"/>
      <c r="IO5" s="884"/>
      <c r="IP5" s="884"/>
      <c r="IQ5" s="884"/>
      <c r="IR5" s="884"/>
      <c r="IS5" s="884"/>
      <c r="IT5" s="884"/>
      <c r="IU5" s="884"/>
      <c r="IV5" s="884"/>
    </row>
    <row r="6" spans="1:256" ht="18">
      <c r="A6" s="886" t="s">
        <v>1601</v>
      </c>
      <c r="B6" s="881"/>
      <c r="C6" s="881"/>
      <c r="D6" s="882"/>
      <c r="E6" s="882"/>
      <c r="F6" s="881"/>
      <c r="G6" s="881"/>
      <c r="H6" s="881"/>
      <c r="I6" s="881"/>
      <c r="J6" s="881"/>
      <c r="K6" s="881"/>
      <c r="L6" s="881"/>
      <c r="M6" s="882"/>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4"/>
      <c r="CA6" s="884"/>
      <c r="CB6" s="884"/>
      <c r="CC6" s="884"/>
      <c r="CD6" s="884"/>
      <c r="CE6" s="884"/>
      <c r="CF6" s="884"/>
      <c r="CG6" s="884"/>
      <c r="CH6" s="884"/>
      <c r="CI6" s="884"/>
      <c r="CJ6" s="884"/>
      <c r="CK6" s="884"/>
      <c r="CL6" s="884"/>
      <c r="CM6" s="884"/>
      <c r="CN6" s="884"/>
      <c r="CO6" s="884"/>
      <c r="CP6" s="884"/>
      <c r="CQ6" s="884"/>
      <c r="CR6" s="884"/>
      <c r="CS6" s="884"/>
      <c r="CT6" s="884"/>
      <c r="CU6" s="884"/>
      <c r="CV6" s="884"/>
      <c r="CW6" s="884"/>
      <c r="CX6" s="884"/>
      <c r="CY6" s="884"/>
      <c r="CZ6" s="884"/>
      <c r="DA6" s="884"/>
      <c r="DB6" s="884"/>
      <c r="DC6" s="884"/>
      <c r="DD6" s="884"/>
      <c r="DE6" s="884"/>
      <c r="DF6" s="884"/>
      <c r="DG6" s="884"/>
      <c r="DH6" s="884"/>
      <c r="DI6" s="884"/>
      <c r="DJ6" s="884"/>
      <c r="DK6" s="884"/>
      <c r="DL6" s="884"/>
      <c r="DM6" s="884"/>
      <c r="DN6" s="884"/>
      <c r="DO6" s="884"/>
      <c r="DP6" s="884"/>
      <c r="DQ6" s="884"/>
      <c r="DR6" s="884"/>
      <c r="DS6" s="884"/>
      <c r="DT6" s="884"/>
      <c r="DU6" s="884"/>
      <c r="DV6" s="884"/>
      <c r="DW6" s="884"/>
      <c r="DX6" s="884"/>
      <c r="DY6" s="884"/>
      <c r="DZ6" s="884"/>
      <c r="EA6" s="884"/>
      <c r="EB6" s="884"/>
      <c r="EC6" s="884"/>
      <c r="ED6" s="884"/>
      <c r="EE6" s="884"/>
      <c r="EF6" s="884"/>
      <c r="EG6" s="884"/>
      <c r="EH6" s="884"/>
      <c r="EI6" s="884"/>
      <c r="EJ6" s="884"/>
      <c r="EK6" s="884"/>
      <c r="EL6" s="884"/>
      <c r="EM6" s="884"/>
      <c r="EN6" s="884"/>
      <c r="EO6" s="884"/>
      <c r="EP6" s="884"/>
      <c r="EQ6" s="884"/>
      <c r="ER6" s="884"/>
      <c r="ES6" s="884"/>
      <c r="ET6" s="884"/>
      <c r="EU6" s="884"/>
      <c r="EV6" s="884"/>
      <c r="EW6" s="884"/>
      <c r="EX6" s="884"/>
      <c r="EY6" s="884"/>
      <c r="EZ6" s="884"/>
      <c r="FA6" s="884"/>
      <c r="FB6" s="884"/>
      <c r="FC6" s="884"/>
      <c r="FD6" s="884"/>
      <c r="FE6" s="884"/>
      <c r="FF6" s="884"/>
      <c r="FG6" s="884"/>
      <c r="FH6" s="884"/>
      <c r="FI6" s="884"/>
      <c r="FJ6" s="884"/>
      <c r="FK6" s="884"/>
      <c r="FL6" s="884"/>
      <c r="FM6" s="884"/>
      <c r="FN6" s="884"/>
      <c r="FO6" s="884"/>
      <c r="FP6" s="884"/>
      <c r="FQ6" s="884"/>
      <c r="FR6" s="884"/>
      <c r="FS6" s="884"/>
      <c r="FT6" s="884"/>
      <c r="FU6" s="884"/>
      <c r="FV6" s="884"/>
      <c r="FW6" s="884"/>
      <c r="FX6" s="884"/>
      <c r="FY6" s="884"/>
      <c r="FZ6" s="884"/>
      <c r="GA6" s="884"/>
      <c r="GB6" s="884"/>
      <c r="GC6" s="884"/>
      <c r="GD6" s="884"/>
      <c r="GE6" s="884"/>
      <c r="GF6" s="884"/>
      <c r="GG6" s="884"/>
      <c r="GH6" s="884"/>
      <c r="GI6" s="884"/>
      <c r="GJ6" s="884"/>
      <c r="GK6" s="884"/>
      <c r="GL6" s="884"/>
      <c r="GM6" s="884"/>
      <c r="GN6" s="884"/>
      <c r="GO6" s="884"/>
      <c r="GP6" s="884"/>
      <c r="GQ6" s="884"/>
      <c r="GR6" s="884"/>
      <c r="GS6" s="884"/>
      <c r="GT6" s="884"/>
      <c r="GU6" s="884"/>
      <c r="GV6" s="884"/>
      <c r="GW6" s="884"/>
      <c r="GX6" s="884"/>
      <c r="GY6" s="884"/>
      <c r="GZ6" s="884"/>
      <c r="HA6" s="884"/>
      <c r="HB6" s="884"/>
      <c r="HC6" s="884"/>
      <c r="HD6" s="884"/>
      <c r="HE6" s="884"/>
      <c r="HF6" s="884"/>
      <c r="HG6" s="884"/>
      <c r="HH6" s="884"/>
      <c r="HI6" s="884"/>
      <c r="HJ6" s="884"/>
      <c r="HK6" s="884"/>
      <c r="HL6" s="884"/>
      <c r="HM6" s="884"/>
      <c r="HN6" s="884"/>
      <c r="HO6" s="884"/>
      <c r="HP6" s="884"/>
      <c r="HQ6" s="884"/>
      <c r="HR6" s="884"/>
      <c r="HS6" s="884"/>
      <c r="HT6" s="884"/>
      <c r="HU6" s="884"/>
      <c r="HV6" s="884"/>
      <c r="HW6" s="884"/>
      <c r="HX6" s="884"/>
      <c r="HY6" s="884"/>
      <c r="HZ6" s="884"/>
      <c r="IA6" s="884"/>
      <c r="IB6" s="884"/>
      <c r="IC6" s="884"/>
      <c r="ID6" s="884"/>
      <c r="IE6" s="884"/>
      <c r="IF6" s="884"/>
      <c r="IG6" s="884"/>
      <c r="IH6" s="884"/>
      <c r="II6" s="884"/>
      <c r="IJ6" s="884"/>
      <c r="IK6" s="884"/>
      <c r="IL6" s="884"/>
      <c r="IM6" s="884"/>
      <c r="IN6" s="884"/>
      <c r="IO6" s="884"/>
      <c r="IP6" s="884"/>
      <c r="IQ6" s="884"/>
      <c r="IR6" s="884"/>
      <c r="IS6" s="884"/>
      <c r="IT6" s="884"/>
      <c r="IU6" s="884"/>
      <c r="IV6" s="884"/>
    </row>
    <row r="7" spans="1:256" ht="18">
      <c r="A7" s="1643" t="s">
        <v>1116</v>
      </c>
      <c r="B7" s="881"/>
      <c r="C7" s="881"/>
      <c r="D7" s="882"/>
      <c r="E7" s="882"/>
      <c r="F7" s="881"/>
      <c r="G7" s="881"/>
      <c r="H7" s="881"/>
      <c r="I7" s="881"/>
      <c r="J7" s="881"/>
      <c r="K7" s="881"/>
      <c r="L7" s="881"/>
      <c r="M7" s="882"/>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H7" s="884"/>
      <c r="CI7" s="884"/>
      <c r="CJ7" s="884"/>
      <c r="CK7" s="884"/>
      <c r="CL7" s="884"/>
      <c r="CM7" s="884"/>
      <c r="CN7" s="884"/>
      <c r="CO7" s="884"/>
      <c r="CP7" s="884"/>
      <c r="CQ7" s="884"/>
      <c r="CR7" s="884"/>
      <c r="CS7" s="884"/>
      <c r="CT7" s="884"/>
      <c r="CU7" s="884"/>
      <c r="CV7" s="884"/>
      <c r="CW7" s="884"/>
      <c r="CX7" s="884"/>
      <c r="CY7" s="884"/>
      <c r="CZ7" s="884"/>
      <c r="DA7" s="884"/>
      <c r="DB7" s="884"/>
      <c r="DC7" s="884"/>
      <c r="DD7" s="884"/>
      <c r="DE7" s="884"/>
      <c r="DF7" s="884"/>
      <c r="DG7" s="884"/>
      <c r="DH7" s="884"/>
      <c r="DI7" s="884"/>
      <c r="DJ7" s="884"/>
      <c r="DK7" s="884"/>
      <c r="DL7" s="884"/>
      <c r="DM7" s="884"/>
      <c r="DN7" s="884"/>
      <c r="DO7" s="884"/>
      <c r="DP7" s="884"/>
      <c r="DQ7" s="884"/>
      <c r="DR7" s="884"/>
      <c r="DS7" s="884"/>
      <c r="DT7" s="884"/>
      <c r="DU7" s="884"/>
      <c r="DV7" s="884"/>
      <c r="DW7" s="884"/>
      <c r="DX7" s="884"/>
      <c r="DY7" s="884"/>
      <c r="DZ7" s="884"/>
      <c r="EA7" s="884"/>
      <c r="EB7" s="884"/>
      <c r="EC7" s="884"/>
      <c r="ED7" s="884"/>
      <c r="EE7" s="884"/>
      <c r="EF7" s="884"/>
      <c r="EG7" s="884"/>
      <c r="EH7" s="884"/>
      <c r="EI7" s="884"/>
      <c r="EJ7" s="884"/>
      <c r="EK7" s="884"/>
      <c r="EL7" s="884"/>
      <c r="EM7" s="884"/>
      <c r="EN7" s="884"/>
      <c r="EO7" s="884"/>
      <c r="EP7" s="884"/>
      <c r="EQ7" s="884"/>
      <c r="ER7" s="884"/>
      <c r="ES7" s="884"/>
      <c r="ET7" s="884"/>
      <c r="EU7" s="884"/>
      <c r="EV7" s="884"/>
      <c r="EW7" s="884"/>
      <c r="EX7" s="884"/>
      <c r="EY7" s="884"/>
      <c r="EZ7" s="884"/>
      <c r="FA7" s="884"/>
      <c r="FB7" s="884"/>
      <c r="FC7" s="884"/>
      <c r="FD7" s="884"/>
      <c r="FE7" s="884"/>
      <c r="FF7" s="884"/>
      <c r="FG7" s="884"/>
      <c r="FH7" s="884"/>
      <c r="FI7" s="884"/>
      <c r="FJ7" s="884"/>
      <c r="FK7" s="884"/>
      <c r="FL7" s="884"/>
      <c r="FM7" s="884"/>
      <c r="FN7" s="884"/>
      <c r="FO7" s="884"/>
      <c r="FP7" s="884"/>
      <c r="FQ7" s="884"/>
      <c r="FR7" s="884"/>
      <c r="FS7" s="884"/>
      <c r="FT7" s="884"/>
      <c r="FU7" s="884"/>
      <c r="FV7" s="884"/>
      <c r="FW7" s="884"/>
      <c r="FX7" s="884"/>
      <c r="FY7" s="884"/>
      <c r="FZ7" s="884"/>
      <c r="GA7" s="884"/>
      <c r="GB7" s="884"/>
      <c r="GC7" s="884"/>
      <c r="GD7" s="884"/>
      <c r="GE7" s="884"/>
      <c r="GF7" s="884"/>
      <c r="GG7" s="884"/>
      <c r="GH7" s="884"/>
      <c r="GI7" s="884"/>
      <c r="GJ7" s="884"/>
      <c r="GK7" s="884"/>
      <c r="GL7" s="884"/>
      <c r="GM7" s="884"/>
      <c r="GN7" s="884"/>
      <c r="GO7" s="884"/>
      <c r="GP7" s="884"/>
      <c r="GQ7" s="884"/>
      <c r="GR7" s="884"/>
      <c r="GS7" s="884"/>
      <c r="GT7" s="884"/>
      <c r="GU7" s="884"/>
      <c r="GV7" s="884"/>
      <c r="GW7" s="884"/>
      <c r="GX7" s="884"/>
      <c r="GY7" s="884"/>
      <c r="GZ7" s="884"/>
      <c r="HA7" s="884"/>
      <c r="HB7" s="884"/>
      <c r="HC7" s="884"/>
      <c r="HD7" s="884"/>
      <c r="HE7" s="884"/>
      <c r="HF7" s="884"/>
      <c r="HG7" s="884"/>
      <c r="HH7" s="884"/>
      <c r="HI7" s="884"/>
      <c r="HJ7" s="884"/>
      <c r="HK7" s="884"/>
      <c r="HL7" s="884"/>
      <c r="HM7" s="884"/>
      <c r="HN7" s="884"/>
      <c r="HO7" s="884"/>
      <c r="HP7" s="884"/>
      <c r="HQ7" s="884"/>
      <c r="HR7" s="884"/>
      <c r="HS7" s="884"/>
      <c r="HT7" s="884"/>
      <c r="HU7" s="884"/>
      <c r="HV7" s="884"/>
      <c r="HW7" s="884"/>
      <c r="HX7" s="884"/>
      <c r="HY7" s="884"/>
      <c r="HZ7" s="884"/>
      <c r="IA7" s="884"/>
      <c r="IB7" s="884"/>
      <c r="IC7" s="884"/>
      <c r="ID7" s="884"/>
      <c r="IE7" s="884"/>
      <c r="IF7" s="884"/>
      <c r="IG7" s="884"/>
      <c r="IH7" s="884"/>
      <c r="II7" s="884"/>
      <c r="IJ7" s="884"/>
      <c r="IK7" s="884"/>
      <c r="IL7" s="884"/>
      <c r="IM7" s="884"/>
      <c r="IN7" s="884"/>
      <c r="IO7" s="884"/>
      <c r="IP7" s="884"/>
      <c r="IQ7" s="884"/>
      <c r="IR7" s="884"/>
      <c r="IS7" s="884"/>
      <c r="IT7" s="884"/>
      <c r="IU7" s="884"/>
      <c r="IV7" s="884"/>
    </row>
    <row r="8" spans="1:256" ht="18">
      <c r="A8" s="880"/>
      <c r="B8" s="880"/>
      <c r="C8" s="880"/>
      <c r="D8" s="1371"/>
      <c r="E8" s="880"/>
      <c r="F8" s="880"/>
      <c r="G8" s="880"/>
      <c r="H8" s="880"/>
      <c r="I8" s="880"/>
      <c r="J8" s="1371" t="s">
        <v>367</v>
      </c>
      <c r="K8" s="880"/>
      <c r="L8" s="1371"/>
      <c r="M8" s="882"/>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884"/>
      <c r="AS8" s="884"/>
      <c r="AT8" s="884"/>
      <c r="AU8" s="884"/>
      <c r="AV8" s="884"/>
      <c r="AW8" s="884"/>
      <c r="AX8" s="884"/>
      <c r="AY8" s="884"/>
      <c r="AZ8" s="884"/>
      <c r="BA8" s="884"/>
      <c r="BB8" s="884"/>
      <c r="BC8" s="884"/>
      <c r="BD8" s="884"/>
      <c r="BE8" s="884"/>
      <c r="BF8" s="884"/>
      <c r="BG8" s="884"/>
      <c r="BH8" s="884"/>
      <c r="BI8" s="884"/>
      <c r="BJ8" s="884"/>
      <c r="BK8" s="884"/>
      <c r="BL8" s="884"/>
      <c r="BM8" s="884"/>
      <c r="BN8" s="884"/>
      <c r="BO8" s="884"/>
      <c r="BP8" s="884"/>
      <c r="BQ8" s="884"/>
      <c r="BR8" s="884"/>
      <c r="BS8" s="884"/>
      <c r="BT8" s="884"/>
      <c r="BU8" s="884"/>
      <c r="BV8" s="884"/>
      <c r="BW8" s="884"/>
      <c r="BX8" s="884"/>
      <c r="BY8" s="884"/>
      <c r="BZ8" s="884"/>
      <c r="CA8" s="884"/>
      <c r="CB8" s="884"/>
      <c r="CC8" s="884"/>
      <c r="CD8" s="884"/>
      <c r="CE8" s="884"/>
      <c r="CF8" s="884"/>
      <c r="CG8" s="884"/>
      <c r="CH8" s="884"/>
      <c r="CI8" s="884"/>
      <c r="CJ8" s="884"/>
      <c r="CK8" s="884"/>
      <c r="CL8" s="884"/>
      <c r="CM8" s="884"/>
      <c r="CN8" s="884"/>
      <c r="CO8" s="884"/>
      <c r="CP8" s="884"/>
      <c r="CQ8" s="884"/>
      <c r="CR8" s="884"/>
      <c r="CS8" s="884"/>
      <c r="CT8" s="884"/>
      <c r="CU8" s="884"/>
      <c r="CV8" s="884"/>
      <c r="CW8" s="884"/>
      <c r="CX8" s="884"/>
      <c r="CY8" s="884"/>
      <c r="CZ8" s="884"/>
      <c r="DA8" s="884"/>
      <c r="DB8" s="884"/>
      <c r="DC8" s="884"/>
      <c r="DD8" s="884"/>
      <c r="DE8" s="884"/>
      <c r="DF8" s="884"/>
      <c r="DG8" s="884"/>
      <c r="DH8" s="884"/>
      <c r="DI8" s="884"/>
      <c r="DJ8" s="884"/>
      <c r="DK8" s="884"/>
      <c r="DL8" s="884"/>
      <c r="DM8" s="884"/>
      <c r="DN8" s="884"/>
      <c r="DO8" s="884"/>
      <c r="DP8" s="884"/>
      <c r="DQ8" s="884"/>
      <c r="DR8" s="884"/>
      <c r="DS8" s="884"/>
      <c r="DT8" s="884"/>
      <c r="DU8" s="884"/>
      <c r="DV8" s="884"/>
      <c r="DW8" s="884"/>
      <c r="DX8" s="884"/>
      <c r="DY8" s="884"/>
      <c r="DZ8" s="884"/>
      <c r="EA8" s="884"/>
      <c r="EB8" s="884"/>
      <c r="EC8" s="884"/>
      <c r="ED8" s="884"/>
      <c r="EE8" s="884"/>
      <c r="EF8" s="884"/>
      <c r="EG8" s="884"/>
      <c r="EH8" s="884"/>
      <c r="EI8" s="884"/>
      <c r="EJ8" s="884"/>
      <c r="EK8" s="884"/>
      <c r="EL8" s="884"/>
      <c r="EM8" s="884"/>
      <c r="EN8" s="884"/>
      <c r="EO8" s="884"/>
      <c r="EP8" s="884"/>
      <c r="EQ8" s="884"/>
      <c r="ER8" s="884"/>
      <c r="ES8" s="884"/>
      <c r="ET8" s="884"/>
      <c r="EU8" s="884"/>
      <c r="EV8" s="884"/>
      <c r="EW8" s="884"/>
      <c r="EX8" s="884"/>
      <c r="EY8" s="884"/>
      <c r="EZ8" s="884"/>
      <c r="FA8" s="884"/>
      <c r="FB8" s="884"/>
      <c r="FC8" s="884"/>
      <c r="FD8" s="884"/>
      <c r="FE8" s="884"/>
      <c r="FF8" s="884"/>
      <c r="FG8" s="884"/>
      <c r="FH8" s="884"/>
      <c r="FI8" s="884"/>
      <c r="FJ8" s="884"/>
      <c r="FK8" s="884"/>
      <c r="FL8" s="884"/>
      <c r="FM8" s="884"/>
      <c r="FN8" s="884"/>
      <c r="FO8" s="884"/>
      <c r="FP8" s="884"/>
      <c r="FQ8" s="884"/>
      <c r="FR8" s="884"/>
      <c r="FS8" s="884"/>
      <c r="FT8" s="884"/>
      <c r="FU8" s="884"/>
      <c r="FV8" s="884"/>
      <c r="FW8" s="884"/>
      <c r="FX8" s="884"/>
      <c r="FY8" s="884"/>
      <c r="FZ8" s="884"/>
      <c r="GA8" s="884"/>
      <c r="GB8" s="884"/>
      <c r="GC8" s="884"/>
      <c r="GD8" s="884"/>
      <c r="GE8" s="884"/>
      <c r="GF8" s="884"/>
      <c r="GG8" s="884"/>
      <c r="GH8" s="884"/>
      <c r="GI8" s="884"/>
      <c r="GJ8" s="884"/>
      <c r="GK8" s="884"/>
      <c r="GL8" s="884"/>
      <c r="GM8" s="884"/>
      <c r="GN8" s="884"/>
      <c r="GO8" s="884"/>
      <c r="GP8" s="884"/>
      <c r="GQ8" s="884"/>
      <c r="GR8" s="884"/>
      <c r="GS8" s="884"/>
      <c r="GT8" s="884"/>
      <c r="GU8" s="884"/>
      <c r="GV8" s="884"/>
      <c r="GW8" s="884"/>
      <c r="GX8" s="884"/>
      <c r="GY8" s="884"/>
      <c r="GZ8" s="884"/>
      <c r="HA8" s="884"/>
      <c r="HB8" s="884"/>
      <c r="HC8" s="884"/>
      <c r="HD8" s="884"/>
      <c r="HE8" s="884"/>
      <c r="HF8" s="884"/>
      <c r="HG8" s="884"/>
      <c r="HH8" s="884"/>
      <c r="HI8" s="884"/>
      <c r="HJ8" s="884"/>
      <c r="HK8" s="884"/>
      <c r="HL8" s="884"/>
      <c r="HM8" s="884"/>
      <c r="HN8" s="884"/>
      <c r="HO8" s="884"/>
      <c r="HP8" s="884"/>
      <c r="HQ8" s="884"/>
      <c r="HR8" s="884"/>
      <c r="HS8" s="884"/>
      <c r="HT8" s="884"/>
      <c r="HU8" s="884"/>
      <c r="HV8" s="884"/>
      <c r="HW8" s="884"/>
      <c r="HX8" s="884"/>
      <c r="HY8" s="884"/>
      <c r="HZ8" s="884"/>
      <c r="IA8" s="884"/>
      <c r="IB8" s="884"/>
      <c r="IC8" s="884"/>
      <c r="ID8" s="884"/>
      <c r="IE8" s="884"/>
      <c r="IF8" s="884"/>
      <c r="IG8" s="884"/>
      <c r="IH8" s="884"/>
      <c r="II8" s="884"/>
      <c r="IJ8" s="884"/>
      <c r="IK8" s="884"/>
      <c r="IL8" s="884"/>
      <c r="IM8" s="884"/>
      <c r="IN8" s="884"/>
      <c r="IO8" s="884"/>
      <c r="IP8" s="884"/>
      <c r="IQ8" s="884"/>
      <c r="IR8" s="884"/>
      <c r="IS8" s="884"/>
      <c r="IT8" s="884"/>
      <c r="IU8" s="884"/>
      <c r="IV8" s="884"/>
    </row>
    <row r="9" spans="1:256" ht="18">
      <c r="A9" s="880"/>
      <c r="B9" s="880"/>
      <c r="C9" s="880"/>
      <c r="D9" s="1371" t="s">
        <v>243</v>
      </c>
      <c r="E9" s="880"/>
      <c r="F9" s="880"/>
      <c r="G9" s="880"/>
      <c r="H9" s="880"/>
      <c r="I9" s="880"/>
      <c r="J9" s="1371" t="s">
        <v>368</v>
      </c>
      <c r="K9" s="880"/>
      <c r="L9" s="1371" t="s">
        <v>243</v>
      </c>
      <c r="M9" s="882"/>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row>
    <row r="10" spans="1:256" ht="18">
      <c r="A10" s="900" t="s">
        <v>369</v>
      </c>
      <c r="B10" s="880"/>
      <c r="C10" s="880"/>
      <c r="D10" s="1859" t="s">
        <v>1600</v>
      </c>
      <c r="E10" s="880"/>
      <c r="F10" s="1371" t="s">
        <v>245</v>
      </c>
      <c r="G10" s="880"/>
      <c r="H10" s="1371" t="s">
        <v>246</v>
      </c>
      <c r="I10" s="880"/>
      <c r="J10" s="1371" t="s">
        <v>247</v>
      </c>
      <c r="K10" s="880"/>
      <c r="L10" s="1859" t="s">
        <v>1596</v>
      </c>
      <c r="M10" s="882"/>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884"/>
      <c r="AS10" s="884"/>
      <c r="AT10" s="884"/>
      <c r="AU10" s="884"/>
      <c r="AV10" s="884"/>
      <c r="AW10" s="884"/>
      <c r="AX10" s="884"/>
      <c r="AY10" s="884"/>
      <c r="AZ10" s="884"/>
      <c r="BA10" s="884"/>
      <c r="BB10" s="884"/>
      <c r="BC10" s="884"/>
      <c r="BD10" s="884"/>
      <c r="BE10" s="884"/>
      <c r="BF10" s="884"/>
      <c r="BG10" s="884"/>
      <c r="BH10" s="884"/>
      <c r="BI10" s="884"/>
      <c r="BJ10" s="884"/>
      <c r="BK10" s="884"/>
      <c r="BL10" s="884"/>
      <c r="BM10" s="884"/>
      <c r="BN10" s="884"/>
      <c r="BO10" s="884"/>
      <c r="BP10" s="884"/>
      <c r="BQ10" s="884"/>
      <c r="BR10" s="884"/>
      <c r="BS10" s="884"/>
      <c r="BT10" s="884"/>
      <c r="BU10" s="884"/>
      <c r="BV10" s="884"/>
      <c r="BW10" s="884"/>
      <c r="BX10" s="884"/>
      <c r="BY10" s="884"/>
      <c r="BZ10" s="884"/>
      <c r="CA10" s="884"/>
      <c r="CB10" s="884"/>
      <c r="CC10" s="884"/>
      <c r="CD10" s="884"/>
      <c r="CE10" s="884"/>
      <c r="CF10" s="884"/>
      <c r="CG10" s="884"/>
      <c r="CH10" s="884"/>
      <c r="CI10" s="884"/>
      <c r="CJ10" s="884"/>
      <c r="CK10" s="884"/>
      <c r="CL10" s="884"/>
      <c r="CM10" s="884"/>
      <c r="CN10" s="884"/>
      <c r="CO10" s="884"/>
      <c r="CP10" s="884"/>
      <c r="CQ10" s="884"/>
      <c r="CR10" s="884"/>
      <c r="CS10" s="884"/>
      <c r="CT10" s="884"/>
      <c r="CU10" s="884"/>
      <c r="CV10" s="884"/>
      <c r="CW10" s="884"/>
      <c r="CX10" s="884"/>
      <c r="CY10" s="884"/>
      <c r="CZ10" s="884"/>
      <c r="DA10" s="884"/>
      <c r="DB10" s="884"/>
      <c r="DC10" s="884"/>
      <c r="DD10" s="884"/>
      <c r="DE10" s="884"/>
      <c r="DF10" s="884"/>
      <c r="DG10" s="884"/>
      <c r="DH10" s="884"/>
      <c r="DI10" s="884"/>
      <c r="DJ10" s="884"/>
      <c r="DK10" s="884"/>
      <c r="DL10" s="884"/>
      <c r="DM10" s="884"/>
      <c r="DN10" s="884"/>
      <c r="DO10" s="884"/>
      <c r="DP10" s="884"/>
      <c r="DQ10" s="884"/>
      <c r="DR10" s="884"/>
      <c r="DS10" s="884"/>
      <c r="DT10" s="884"/>
      <c r="DU10" s="884"/>
      <c r="DV10" s="884"/>
      <c r="DW10" s="884"/>
      <c r="DX10" s="884"/>
      <c r="DY10" s="884"/>
      <c r="DZ10" s="884"/>
      <c r="EA10" s="884"/>
      <c r="EB10" s="884"/>
      <c r="EC10" s="884"/>
      <c r="ED10" s="884"/>
      <c r="EE10" s="884"/>
      <c r="EF10" s="884"/>
      <c r="EG10" s="884"/>
      <c r="EH10" s="884"/>
      <c r="EI10" s="884"/>
      <c r="EJ10" s="884"/>
      <c r="EK10" s="884"/>
      <c r="EL10" s="884"/>
      <c r="EM10" s="884"/>
      <c r="EN10" s="884"/>
      <c r="EO10" s="884"/>
      <c r="EP10" s="884"/>
      <c r="EQ10" s="884"/>
      <c r="ER10" s="884"/>
      <c r="ES10" s="884"/>
      <c r="ET10" s="884"/>
      <c r="EU10" s="884"/>
      <c r="EV10" s="884"/>
      <c r="EW10" s="884"/>
      <c r="EX10" s="884"/>
      <c r="EY10" s="884"/>
      <c r="EZ10" s="884"/>
      <c r="FA10" s="884"/>
      <c r="FB10" s="884"/>
      <c r="FC10" s="884"/>
      <c r="FD10" s="884"/>
      <c r="FE10" s="884"/>
      <c r="FF10" s="884"/>
      <c r="FG10" s="884"/>
      <c r="FH10" s="884"/>
      <c r="FI10" s="884"/>
      <c r="FJ10" s="884"/>
      <c r="FK10" s="884"/>
      <c r="FL10" s="884"/>
      <c r="FM10" s="884"/>
      <c r="FN10" s="884"/>
      <c r="FO10" s="884"/>
      <c r="FP10" s="884"/>
      <c r="FQ10" s="884"/>
      <c r="FR10" s="884"/>
      <c r="FS10" s="884"/>
      <c r="FT10" s="884"/>
      <c r="FU10" s="884"/>
      <c r="FV10" s="884"/>
      <c r="FW10" s="884"/>
      <c r="FX10" s="884"/>
      <c r="FY10" s="884"/>
      <c r="FZ10" s="884"/>
      <c r="GA10" s="884"/>
      <c r="GB10" s="884"/>
      <c r="GC10" s="884"/>
      <c r="GD10" s="884"/>
      <c r="GE10" s="884"/>
      <c r="GF10" s="884"/>
      <c r="GG10" s="884"/>
      <c r="GH10" s="884"/>
      <c r="GI10" s="884"/>
      <c r="GJ10" s="884"/>
      <c r="GK10" s="884"/>
      <c r="GL10" s="884"/>
      <c r="GM10" s="884"/>
      <c r="GN10" s="884"/>
      <c r="GO10" s="884"/>
      <c r="GP10" s="884"/>
      <c r="GQ10" s="884"/>
      <c r="GR10" s="884"/>
      <c r="GS10" s="884"/>
      <c r="GT10" s="884"/>
      <c r="GU10" s="884"/>
      <c r="GV10" s="884"/>
      <c r="GW10" s="884"/>
      <c r="GX10" s="884"/>
      <c r="GY10" s="884"/>
      <c r="GZ10" s="884"/>
      <c r="HA10" s="884"/>
      <c r="HB10" s="884"/>
      <c r="HC10" s="884"/>
      <c r="HD10" s="884"/>
      <c r="HE10" s="884"/>
      <c r="HF10" s="884"/>
      <c r="HG10" s="884"/>
      <c r="HH10" s="884"/>
      <c r="HI10" s="884"/>
      <c r="HJ10" s="884"/>
      <c r="HK10" s="884"/>
      <c r="HL10" s="884"/>
      <c r="HM10" s="884"/>
      <c r="HN10" s="884"/>
      <c r="HO10" s="884"/>
      <c r="HP10" s="884"/>
      <c r="HQ10" s="884"/>
      <c r="HR10" s="884"/>
      <c r="HS10" s="884"/>
      <c r="HT10" s="884"/>
      <c r="HU10" s="884"/>
      <c r="HV10" s="884"/>
      <c r="HW10" s="884"/>
      <c r="HX10" s="884"/>
      <c r="HY10" s="884"/>
      <c r="HZ10" s="884"/>
      <c r="IA10" s="884"/>
      <c r="IB10" s="884"/>
      <c r="IC10" s="884"/>
      <c r="ID10" s="884"/>
      <c r="IE10" s="884"/>
      <c r="IF10" s="884"/>
      <c r="IG10" s="884"/>
      <c r="IH10" s="884"/>
      <c r="II10" s="884"/>
      <c r="IJ10" s="884"/>
      <c r="IK10" s="884"/>
      <c r="IL10" s="884"/>
      <c r="IM10" s="884"/>
      <c r="IN10" s="884"/>
      <c r="IO10" s="884"/>
      <c r="IP10" s="884"/>
      <c r="IQ10" s="884"/>
      <c r="IR10" s="884"/>
      <c r="IS10" s="884"/>
      <c r="IT10" s="884"/>
      <c r="IU10" s="884"/>
      <c r="IV10" s="884"/>
    </row>
    <row r="11" spans="1:256" ht="9.75" customHeight="1">
      <c r="A11" s="880" t="s">
        <v>16</v>
      </c>
      <c r="B11" s="880"/>
      <c r="C11" s="880"/>
      <c r="D11" s="1372" t="s">
        <v>16</v>
      </c>
      <c r="E11" s="880"/>
      <c r="F11" s="1372" t="s">
        <v>16</v>
      </c>
      <c r="G11" s="880"/>
      <c r="H11" s="1372" t="s">
        <v>16</v>
      </c>
      <c r="I11" s="880"/>
      <c r="J11" s="1372" t="s">
        <v>16</v>
      </c>
      <c r="K11" s="880" t="s">
        <v>16</v>
      </c>
      <c r="L11" s="1372" t="s">
        <v>16</v>
      </c>
      <c r="M11" s="882"/>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4"/>
      <c r="AR11" s="884"/>
      <c r="AS11" s="884"/>
      <c r="AT11" s="884"/>
      <c r="AU11" s="884"/>
      <c r="AV11" s="884"/>
      <c r="AW11" s="884"/>
      <c r="AX11" s="884"/>
      <c r="AY11" s="884"/>
      <c r="AZ11" s="884"/>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84"/>
      <c r="CG11" s="884"/>
      <c r="CH11" s="884"/>
      <c r="CI11" s="884"/>
      <c r="CJ11" s="884"/>
      <c r="CK11" s="884"/>
      <c r="CL11" s="884"/>
      <c r="CM11" s="884"/>
      <c r="CN11" s="884"/>
      <c r="CO11" s="884"/>
      <c r="CP11" s="884"/>
      <c r="CQ11" s="884"/>
      <c r="CR11" s="884"/>
      <c r="CS11" s="884"/>
      <c r="CT11" s="884"/>
      <c r="CU11" s="884"/>
      <c r="CV11" s="884"/>
      <c r="CW11" s="884"/>
      <c r="CX11" s="884"/>
      <c r="CY11" s="884"/>
      <c r="CZ11" s="884"/>
      <c r="DA11" s="884"/>
      <c r="DB11" s="884"/>
      <c r="DC11" s="884"/>
      <c r="DD11" s="884"/>
      <c r="DE11" s="884"/>
      <c r="DF11" s="884"/>
      <c r="DG11" s="884"/>
      <c r="DH11" s="884"/>
      <c r="DI11" s="884"/>
      <c r="DJ11" s="884"/>
      <c r="DK11" s="884"/>
      <c r="DL11" s="884"/>
      <c r="DM11" s="884"/>
      <c r="DN11" s="884"/>
      <c r="DO11" s="884"/>
      <c r="DP11" s="884"/>
      <c r="DQ11" s="884"/>
      <c r="DR11" s="884"/>
      <c r="DS11" s="884"/>
      <c r="DT11" s="884"/>
      <c r="DU11" s="884"/>
      <c r="DV11" s="884"/>
      <c r="DW11" s="884"/>
      <c r="DX11" s="884"/>
      <c r="DY11" s="884"/>
      <c r="DZ11" s="884"/>
      <c r="EA11" s="884"/>
      <c r="EB11" s="884"/>
      <c r="EC11" s="884"/>
      <c r="ED11" s="884"/>
      <c r="EE11" s="884"/>
      <c r="EF11" s="884"/>
      <c r="EG11" s="884"/>
      <c r="EH11" s="884"/>
      <c r="EI11" s="884"/>
      <c r="EJ11" s="884"/>
      <c r="EK11" s="884"/>
      <c r="EL11" s="884"/>
      <c r="EM11" s="884"/>
      <c r="EN11" s="884"/>
      <c r="EO11" s="884"/>
      <c r="EP11" s="884"/>
      <c r="EQ11" s="884"/>
      <c r="ER11" s="884"/>
      <c r="ES11" s="884"/>
      <c r="ET11" s="884"/>
      <c r="EU11" s="884"/>
      <c r="EV11" s="884"/>
      <c r="EW11" s="884"/>
      <c r="EX11" s="884"/>
      <c r="EY11" s="884"/>
      <c r="EZ11" s="884"/>
      <c r="FA11" s="884"/>
      <c r="FB11" s="884"/>
      <c r="FC11" s="884"/>
      <c r="FD11" s="884"/>
      <c r="FE11" s="884"/>
      <c r="FF11" s="884"/>
      <c r="FG11" s="884"/>
      <c r="FH11" s="884"/>
      <c r="FI11" s="884"/>
      <c r="FJ11" s="884"/>
      <c r="FK11" s="884"/>
      <c r="FL11" s="884"/>
      <c r="FM11" s="884"/>
      <c r="FN11" s="884"/>
      <c r="FO11" s="884"/>
      <c r="FP11" s="884"/>
      <c r="FQ11" s="884"/>
      <c r="FR11" s="884"/>
      <c r="FS11" s="884"/>
      <c r="FT11" s="884"/>
      <c r="FU11" s="884"/>
      <c r="FV11" s="884"/>
      <c r="FW11" s="884"/>
      <c r="FX11" s="884"/>
      <c r="FY11" s="884"/>
      <c r="FZ11" s="884"/>
      <c r="GA11" s="884"/>
      <c r="GB11" s="884"/>
      <c r="GC11" s="884"/>
      <c r="GD11" s="884"/>
      <c r="GE11" s="884"/>
      <c r="GF11" s="884"/>
      <c r="GG11" s="884"/>
      <c r="GH11" s="884"/>
      <c r="GI11" s="884"/>
      <c r="GJ11" s="884"/>
      <c r="GK11" s="884"/>
      <c r="GL11" s="884"/>
      <c r="GM11" s="884"/>
      <c r="GN11" s="884"/>
      <c r="GO11" s="884"/>
      <c r="GP11" s="884"/>
      <c r="GQ11" s="884"/>
      <c r="GR11" s="884"/>
      <c r="GS11" s="884"/>
      <c r="GT11" s="884"/>
      <c r="GU11" s="884"/>
      <c r="GV11" s="884"/>
      <c r="GW11" s="884"/>
      <c r="GX11" s="884"/>
      <c r="GY11" s="884"/>
      <c r="GZ11" s="884"/>
      <c r="HA11" s="884"/>
      <c r="HB11" s="884"/>
      <c r="HC11" s="884"/>
      <c r="HD11" s="884"/>
      <c r="HE11" s="884"/>
      <c r="HF11" s="884"/>
      <c r="HG11" s="884"/>
      <c r="HH11" s="884"/>
      <c r="HI11" s="884"/>
      <c r="HJ11" s="884"/>
      <c r="HK11" s="884"/>
      <c r="HL11" s="884"/>
      <c r="HM11" s="884"/>
      <c r="HN11" s="884"/>
      <c r="HO11" s="884"/>
      <c r="HP11" s="884"/>
      <c r="HQ11" s="884"/>
      <c r="HR11" s="884"/>
      <c r="HS11" s="884"/>
      <c r="HT11" s="884"/>
      <c r="HU11" s="884"/>
      <c r="HV11" s="884"/>
      <c r="HW11" s="884"/>
      <c r="HX11" s="884"/>
      <c r="HY11" s="884"/>
      <c r="HZ11" s="884"/>
      <c r="IA11" s="884"/>
      <c r="IB11" s="884"/>
      <c r="IC11" s="884"/>
      <c r="ID11" s="884"/>
      <c r="IE11" s="884"/>
      <c r="IF11" s="884"/>
      <c r="IG11" s="884"/>
      <c r="IH11" s="884"/>
      <c r="II11" s="884"/>
      <c r="IJ11" s="884"/>
      <c r="IK11" s="884"/>
      <c r="IL11" s="884"/>
      <c r="IM11" s="884"/>
      <c r="IN11" s="884"/>
      <c r="IO11" s="884"/>
      <c r="IP11" s="884"/>
      <c r="IQ11" s="884"/>
      <c r="IR11" s="884"/>
      <c r="IS11" s="884"/>
      <c r="IT11" s="884"/>
      <c r="IU11" s="884"/>
      <c r="IV11" s="884"/>
    </row>
    <row r="12" spans="1:256" ht="18" customHeight="1">
      <c r="A12" s="887" t="s">
        <v>232</v>
      </c>
      <c r="B12" s="884"/>
      <c r="C12" s="884"/>
      <c r="D12" s="1373"/>
      <c r="E12" s="1373"/>
      <c r="F12" s="903"/>
      <c r="G12" s="846"/>
      <c r="H12" s="903"/>
      <c r="I12" s="1373"/>
      <c r="J12" s="1373"/>
      <c r="K12" s="1373"/>
      <c r="L12" s="1373"/>
      <c r="M12" s="888"/>
      <c r="N12" s="889"/>
      <c r="O12" s="890"/>
      <c r="P12" s="890"/>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884"/>
      <c r="AS12" s="884"/>
      <c r="AT12" s="884"/>
      <c r="AU12" s="884"/>
      <c r="AV12" s="884"/>
      <c r="AW12" s="884"/>
      <c r="AX12" s="884"/>
      <c r="AY12" s="884"/>
      <c r="AZ12" s="884"/>
      <c r="BA12" s="884"/>
      <c r="BB12" s="884"/>
      <c r="BC12" s="884"/>
      <c r="BD12" s="884"/>
      <c r="BE12" s="884"/>
      <c r="BF12" s="884"/>
      <c r="BG12" s="884"/>
      <c r="BH12" s="884"/>
      <c r="BI12" s="884"/>
      <c r="BJ12" s="884"/>
      <c r="BK12" s="884"/>
      <c r="BL12" s="884"/>
      <c r="BM12" s="884"/>
      <c r="BN12" s="884"/>
      <c r="BO12" s="884"/>
      <c r="BP12" s="884"/>
      <c r="BQ12" s="884"/>
      <c r="BR12" s="884"/>
      <c r="BS12" s="884"/>
      <c r="BT12" s="884"/>
      <c r="BU12" s="884"/>
      <c r="BV12" s="884"/>
      <c r="BW12" s="884"/>
      <c r="BX12" s="884"/>
      <c r="BY12" s="884"/>
      <c r="BZ12" s="884"/>
      <c r="CA12" s="884"/>
      <c r="CB12" s="884"/>
      <c r="CC12" s="884"/>
      <c r="CD12" s="884"/>
      <c r="CE12" s="884"/>
      <c r="CF12" s="884"/>
      <c r="CG12" s="884"/>
      <c r="CH12" s="884"/>
      <c r="CI12" s="884"/>
      <c r="CJ12" s="884"/>
      <c r="CK12" s="884"/>
      <c r="CL12" s="884"/>
      <c r="CM12" s="884"/>
      <c r="CN12" s="884"/>
      <c r="CO12" s="884"/>
      <c r="CP12" s="884"/>
      <c r="CQ12" s="884"/>
      <c r="CR12" s="884"/>
      <c r="CS12" s="884"/>
      <c r="CT12" s="884"/>
      <c r="CU12" s="884"/>
      <c r="CV12" s="884"/>
      <c r="CW12" s="884"/>
      <c r="CX12" s="884"/>
      <c r="CY12" s="884"/>
      <c r="CZ12" s="884"/>
      <c r="DA12" s="884"/>
      <c r="DB12" s="884"/>
      <c r="DC12" s="884"/>
      <c r="DD12" s="884"/>
      <c r="DE12" s="884"/>
      <c r="DF12" s="884"/>
      <c r="DG12" s="884"/>
      <c r="DH12" s="884"/>
      <c r="DI12" s="884"/>
      <c r="DJ12" s="884"/>
      <c r="DK12" s="884"/>
      <c r="DL12" s="884"/>
      <c r="DM12" s="884"/>
      <c r="DN12" s="884"/>
      <c r="DO12" s="884"/>
      <c r="DP12" s="884"/>
      <c r="DQ12" s="884"/>
      <c r="DR12" s="884"/>
      <c r="DS12" s="884"/>
      <c r="DT12" s="884"/>
      <c r="DU12" s="884"/>
      <c r="DV12" s="884"/>
      <c r="DW12" s="884"/>
      <c r="DX12" s="884"/>
      <c r="DY12" s="884"/>
      <c r="DZ12" s="884"/>
      <c r="EA12" s="884"/>
      <c r="EB12" s="884"/>
      <c r="EC12" s="884"/>
      <c r="ED12" s="884"/>
      <c r="EE12" s="884"/>
      <c r="EF12" s="884"/>
      <c r="EG12" s="884"/>
      <c r="EH12" s="884"/>
      <c r="EI12" s="884"/>
      <c r="EJ12" s="884"/>
      <c r="EK12" s="884"/>
      <c r="EL12" s="884"/>
      <c r="EM12" s="884"/>
      <c r="EN12" s="884"/>
      <c r="EO12" s="884"/>
      <c r="EP12" s="884"/>
      <c r="EQ12" s="884"/>
      <c r="ER12" s="884"/>
      <c r="ES12" s="884"/>
      <c r="ET12" s="884"/>
      <c r="EU12" s="884"/>
      <c r="EV12" s="884"/>
      <c r="EW12" s="884"/>
      <c r="EX12" s="884"/>
      <c r="EY12" s="884"/>
      <c r="EZ12" s="884"/>
      <c r="FA12" s="884"/>
      <c r="FB12" s="884"/>
      <c r="FC12" s="884"/>
      <c r="FD12" s="884"/>
      <c r="FE12" s="884"/>
      <c r="FF12" s="884"/>
      <c r="FG12" s="884"/>
      <c r="FH12" s="884"/>
      <c r="FI12" s="884"/>
      <c r="FJ12" s="884"/>
      <c r="FK12" s="884"/>
      <c r="FL12" s="884"/>
      <c r="FM12" s="884"/>
      <c r="FN12" s="884"/>
      <c r="FO12" s="884"/>
      <c r="FP12" s="884"/>
      <c r="FQ12" s="884"/>
      <c r="FR12" s="884"/>
      <c r="FS12" s="884"/>
      <c r="FT12" s="884"/>
      <c r="FU12" s="884"/>
      <c r="FV12" s="884"/>
      <c r="FW12" s="884"/>
      <c r="FX12" s="884"/>
      <c r="FY12" s="884"/>
      <c r="FZ12" s="884"/>
      <c r="GA12" s="884"/>
      <c r="GB12" s="884"/>
      <c r="GC12" s="884"/>
      <c r="GD12" s="884"/>
      <c r="GE12" s="884"/>
      <c r="GF12" s="884"/>
      <c r="GG12" s="884"/>
      <c r="GH12" s="884"/>
      <c r="GI12" s="884"/>
      <c r="GJ12" s="884"/>
      <c r="GK12" s="884"/>
      <c r="GL12" s="884"/>
      <c r="GM12" s="884"/>
      <c r="GN12" s="884"/>
      <c r="GO12" s="884"/>
      <c r="GP12" s="884"/>
      <c r="GQ12" s="884"/>
      <c r="GR12" s="884"/>
      <c r="GS12" s="884"/>
      <c r="GT12" s="884"/>
      <c r="GU12" s="884"/>
      <c r="GV12" s="884"/>
      <c r="GW12" s="884"/>
      <c r="GX12" s="884"/>
      <c r="GY12" s="884"/>
      <c r="GZ12" s="884"/>
      <c r="HA12" s="884"/>
      <c r="HB12" s="884"/>
      <c r="HC12" s="884"/>
      <c r="HD12" s="884"/>
      <c r="HE12" s="884"/>
      <c r="HF12" s="884"/>
      <c r="HG12" s="884"/>
      <c r="HH12" s="884"/>
      <c r="HI12" s="884"/>
      <c r="HJ12" s="884"/>
      <c r="HK12" s="884"/>
      <c r="HL12" s="884"/>
      <c r="HM12" s="884"/>
      <c r="HN12" s="884"/>
      <c r="HO12" s="884"/>
      <c r="HP12" s="884"/>
      <c r="HQ12" s="884"/>
      <c r="HR12" s="884"/>
      <c r="HS12" s="884"/>
      <c r="HT12" s="884"/>
      <c r="HU12" s="884"/>
      <c r="HV12" s="884"/>
      <c r="HW12" s="884"/>
      <c r="HX12" s="884"/>
      <c r="HY12" s="884"/>
      <c r="HZ12" s="884"/>
      <c r="IA12" s="884"/>
      <c r="IB12" s="884"/>
      <c r="IC12" s="884"/>
      <c r="ID12" s="884"/>
      <c r="IE12" s="884"/>
      <c r="IF12" s="884"/>
      <c r="IG12" s="884"/>
      <c r="IH12" s="884"/>
      <c r="II12" s="884"/>
      <c r="IJ12" s="884"/>
      <c r="IK12" s="884"/>
      <c r="IL12" s="884"/>
      <c r="IM12" s="884"/>
      <c r="IN12" s="884"/>
      <c r="IO12" s="884"/>
      <c r="IP12" s="884"/>
      <c r="IQ12" s="884"/>
      <c r="IR12" s="884"/>
      <c r="IS12" s="884"/>
      <c r="IT12" s="884"/>
      <c r="IU12" s="884"/>
      <c r="IV12" s="884"/>
    </row>
    <row r="13" spans="1:256" ht="7.5" customHeight="1">
      <c r="A13" s="880"/>
      <c r="B13" s="884"/>
      <c r="C13" s="884"/>
      <c r="D13" s="1373"/>
      <c r="E13" s="1373"/>
      <c r="F13" s="1373"/>
      <c r="G13" s="1373"/>
      <c r="H13" s="1373"/>
      <c r="I13" s="1373"/>
      <c r="J13" s="1373"/>
      <c r="K13" s="1373"/>
      <c r="L13" s="1373"/>
      <c r="M13" s="888"/>
      <c r="N13" s="889"/>
      <c r="O13" s="890"/>
      <c r="P13" s="890"/>
      <c r="Q13" s="884"/>
      <c r="R13" s="884"/>
      <c r="S13" s="884"/>
      <c r="T13" s="884"/>
      <c r="U13" s="884"/>
      <c r="V13" s="884"/>
      <c r="W13" s="884"/>
      <c r="X13" s="884"/>
      <c r="Y13" s="884"/>
      <c r="Z13" s="884"/>
      <c r="AA13" s="884"/>
      <c r="AB13" s="884"/>
      <c r="AC13" s="884"/>
      <c r="AD13" s="884"/>
      <c r="AE13" s="884"/>
      <c r="AF13" s="884"/>
      <c r="AG13" s="884"/>
      <c r="AH13" s="884"/>
      <c r="AI13" s="884"/>
      <c r="AJ13" s="884"/>
      <c r="AK13" s="884"/>
      <c r="AL13" s="884"/>
      <c r="AM13" s="884"/>
      <c r="AN13" s="884"/>
      <c r="AO13" s="884"/>
      <c r="AP13" s="884"/>
      <c r="AQ13" s="884"/>
      <c r="AR13" s="884"/>
      <c r="AS13" s="884"/>
      <c r="AT13" s="884"/>
      <c r="AU13" s="884"/>
      <c r="AV13" s="884"/>
      <c r="AW13" s="884"/>
      <c r="AX13" s="884"/>
      <c r="AY13" s="884"/>
      <c r="AZ13" s="884"/>
      <c r="BA13" s="884"/>
      <c r="BB13" s="884"/>
      <c r="BC13" s="884"/>
      <c r="BD13" s="884"/>
      <c r="BE13" s="884"/>
      <c r="BF13" s="884"/>
      <c r="BG13" s="884"/>
      <c r="BH13" s="884"/>
      <c r="BI13" s="884"/>
      <c r="BJ13" s="884"/>
      <c r="BK13" s="884"/>
      <c r="BL13" s="884"/>
      <c r="BM13" s="884"/>
      <c r="BN13" s="884"/>
      <c r="BO13" s="884"/>
      <c r="BP13" s="884"/>
      <c r="BQ13" s="884"/>
      <c r="BR13" s="884"/>
      <c r="BS13" s="884"/>
      <c r="BT13" s="884"/>
      <c r="BU13" s="884"/>
      <c r="BV13" s="884"/>
      <c r="BW13" s="884"/>
      <c r="BX13" s="884"/>
      <c r="BY13" s="884"/>
      <c r="BZ13" s="884"/>
      <c r="CA13" s="884"/>
      <c r="CB13" s="884"/>
      <c r="CC13" s="884"/>
      <c r="CD13" s="884"/>
      <c r="CE13" s="884"/>
      <c r="CF13" s="884"/>
      <c r="CG13" s="884"/>
      <c r="CH13" s="884"/>
      <c r="CI13" s="884"/>
      <c r="CJ13" s="884"/>
      <c r="CK13" s="884"/>
      <c r="CL13" s="884"/>
      <c r="CM13" s="884"/>
      <c r="CN13" s="884"/>
      <c r="CO13" s="884"/>
      <c r="CP13" s="884"/>
      <c r="CQ13" s="884"/>
      <c r="CR13" s="884"/>
      <c r="CS13" s="884"/>
      <c r="CT13" s="884"/>
      <c r="CU13" s="884"/>
      <c r="CV13" s="884"/>
      <c r="CW13" s="884"/>
      <c r="CX13" s="884"/>
      <c r="CY13" s="884"/>
      <c r="CZ13" s="884"/>
      <c r="DA13" s="884"/>
      <c r="DB13" s="884"/>
      <c r="DC13" s="884"/>
      <c r="DD13" s="884"/>
      <c r="DE13" s="884"/>
      <c r="DF13" s="884"/>
      <c r="DG13" s="884"/>
      <c r="DH13" s="884"/>
      <c r="DI13" s="884"/>
      <c r="DJ13" s="884"/>
      <c r="DK13" s="884"/>
      <c r="DL13" s="884"/>
      <c r="DM13" s="884"/>
      <c r="DN13" s="884"/>
      <c r="DO13" s="884"/>
      <c r="DP13" s="884"/>
      <c r="DQ13" s="884"/>
      <c r="DR13" s="884"/>
      <c r="DS13" s="884"/>
      <c r="DT13" s="884"/>
      <c r="DU13" s="884"/>
      <c r="DV13" s="884"/>
      <c r="DW13" s="884"/>
      <c r="DX13" s="884"/>
      <c r="DY13" s="884"/>
      <c r="DZ13" s="884"/>
      <c r="EA13" s="884"/>
      <c r="EB13" s="884"/>
      <c r="EC13" s="884"/>
      <c r="ED13" s="884"/>
      <c r="EE13" s="884"/>
      <c r="EF13" s="884"/>
      <c r="EG13" s="884"/>
      <c r="EH13" s="884"/>
      <c r="EI13" s="884"/>
      <c r="EJ13" s="884"/>
      <c r="EK13" s="884"/>
      <c r="EL13" s="884"/>
      <c r="EM13" s="884"/>
      <c r="EN13" s="884"/>
      <c r="EO13" s="884"/>
      <c r="EP13" s="884"/>
      <c r="EQ13" s="884"/>
      <c r="ER13" s="884"/>
      <c r="ES13" s="884"/>
      <c r="ET13" s="884"/>
      <c r="EU13" s="884"/>
      <c r="EV13" s="884"/>
      <c r="EW13" s="884"/>
      <c r="EX13" s="884"/>
      <c r="EY13" s="884"/>
      <c r="EZ13" s="884"/>
      <c r="FA13" s="884"/>
      <c r="FB13" s="884"/>
      <c r="FC13" s="884"/>
      <c r="FD13" s="884"/>
      <c r="FE13" s="884"/>
      <c r="FF13" s="884"/>
      <c r="FG13" s="884"/>
      <c r="FH13" s="884"/>
      <c r="FI13" s="884"/>
      <c r="FJ13" s="884"/>
      <c r="FK13" s="884"/>
      <c r="FL13" s="884"/>
      <c r="FM13" s="884"/>
      <c r="FN13" s="884"/>
      <c r="FO13" s="884"/>
      <c r="FP13" s="884"/>
      <c r="FQ13" s="884"/>
      <c r="FR13" s="884"/>
      <c r="FS13" s="884"/>
      <c r="FT13" s="884"/>
      <c r="FU13" s="884"/>
      <c r="FV13" s="884"/>
      <c r="FW13" s="884"/>
      <c r="FX13" s="884"/>
      <c r="FY13" s="884"/>
      <c r="FZ13" s="884"/>
      <c r="GA13" s="884"/>
      <c r="GB13" s="884"/>
      <c r="GC13" s="884"/>
      <c r="GD13" s="884"/>
      <c r="GE13" s="884"/>
      <c r="GF13" s="884"/>
      <c r="GG13" s="884"/>
      <c r="GH13" s="884"/>
      <c r="GI13" s="884"/>
      <c r="GJ13" s="884"/>
      <c r="GK13" s="884"/>
      <c r="GL13" s="884"/>
      <c r="GM13" s="884"/>
      <c r="GN13" s="884"/>
      <c r="GO13" s="884"/>
      <c r="GP13" s="884"/>
      <c r="GQ13" s="884"/>
      <c r="GR13" s="884"/>
      <c r="GS13" s="884"/>
      <c r="GT13" s="884"/>
      <c r="GU13" s="884"/>
      <c r="GV13" s="884"/>
      <c r="GW13" s="884"/>
      <c r="GX13" s="884"/>
      <c r="GY13" s="884"/>
      <c r="GZ13" s="884"/>
      <c r="HA13" s="884"/>
      <c r="HB13" s="884"/>
      <c r="HC13" s="884"/>
      <c r="HD13" s="884"/>
      <c r="HE13" s="884"/>
      <c r="HF13" s="884"/>
      <c r="HG13" s="884"/>
      <c r="HH13" s="884"/>
      <c r="HI13" s="884"/>
      <c r="HJ13" s="884"/>
      <c r="HK13" s="884"/>
      <c r="HL13" s="884"/>
      <c r="HM13" s="884"/>
      <c r="HN13" s="884"/>
      <c r="HO13" s="884"/>
      <c r="HP13" s="884"/>
      <c r="HQ13" s="884"/>
      <c r="HR13" s="884"/>
      <c r="HS13" s="884"/>
      <c r="HT13" s="884"/>
      <c r="HU13" s="884"/>
      <c r="HV13" s="884"/>
      <c r="HW13" s="884"/>
      <c r="HX13" s="884"/>
      <c r="HY13" s="884"/>
      <c r="HZ13" s="884"/>
      <c r="IA13" s="884"/>
      <c r="IB13" s="884"/>
      <c r="IC13" s="884"/>
      <c r="ID13" s="884"/>
      <c r="IE13" s="884"/>
      <c r="IF13" s="884"/>
      <c r="IG13" s="884"/>
      <c r="IH13" s="884"/>
      <c r="II13" s="884"/>
      <c r="IJ13" s="884"/>
      <c r="IK13" s="884"/>
      <c r="IL13" s="884"/>
      <c r="IM13" s="884"/>
      <c r="IN13" s="884"/>
      <c r="IO13" s="884"/>
      <c r="IP13" s="884"/>
      <c r="IQ13" s="884"/>
      <c r="IR13" s="884"/>
      <c r="IS13" s="884"/>
      <c r="IT13" s="884"/>
      <c r="IU13" s="884"/>
      <c r="IV13" s="884"/>
    </row>
    <row r="14" spans="1:256" ht="15.75" customHeight="1">
      <c r="A14" s="884" t="s">
        <v>1293</v>
      </c>
      <c r="B14" s="884"/>
      <c r="C14" s="884"/>
      <c r="D14" s="1374">
        <v>-0.375</v>
      </c>
      <c r="E14" s="1375"/>
      <c r="F14" s="1376">
        <v>4.7919999999999998</v>
      </c>
      <c r="G14" s="1375"/>
      <c r="H14" s="1376">
        <v>11.971</v>
      </c>
      <c r="I14" s="1375"/>
      <c r="J14" s="1377">
        <v>0</v>
      </c>
      <c r="K14" s="1375"/>
      <c r="L14" s="1376">
        <f>ROUND(D14+F14-H14+J14,3)</f>
        <v>-7.5540000000000003</v>
      </c>
      <c r="M14" s="888"/>
      <c r="N14" s="889"/>
      <c r="O14" s="890"/>
      <c r="P14" s="890"/>
      <c r="Q14" s="884"/>
      <c r="R14" s="884"/>
      <c r="S14" s="884"/>
      <c r="T14" s="884"/>
      <c r="U14" s="884"/>
      <c r="V14" s="884"/>
      <c r="W14" s="884"/>
      <c r="X14" s="884"/>
      <c r="Y14" s="884"/>
      <c r="Z14" s="884"/>
      <c r="AA14" s="884"/>
      <c r="AB14" s="884"/>
      <c r="AC14" s="884"/>
      <c r="AD14" s="884"/>
      <c r="AE14" s="884"/>
      <c r="AF14" s="884"/>
      <c r="AG14" s="884"/>
      <c r="AH14" s="884"/>
      <c r="AI14" s="884"/>
      <c r="AJ14" s="884"/>
      <c r="AK14" s="884"/>
      <c r="AL14" s="884"/>
      <c r="AM14" s="884"/>
      <c r="AN14" s="884"/>
      <c r="AO14" s="884"/>
      <c r="AP14" s="884"/>
      <c r="AQ14" s="884"/>
      <c r="AR14" s="884"/>
      <c r="AS14" s="884"/>
      <c r="AT14" s="884"/>
      <c r="AU14" s="884"/>
      <c r="AV14" s="884"/>
      <c r="AW14" s="884"/>
      <c r="AX14" s="884"/>
      <c r="AY14" s="884"/>
      <c r="AZ14" s="884"/>
      <c r="BA14" s="884"/>
      <c r="BB14" s="884"/>
      <c r="BC14" s="884"/>
      <c r="BD14" s="884"/>
      <c r="BE14" s="884"/>
      <c r="BF14" s="884"/>
      <c r="BG14" s="884"/>
      <c r="BH14" s="884"/>
      <c r="BI14" s="884"/>
      <c r="BJ14" s="884"/>
      <c r="BK14" s="884"/>
      <c r="BL14" s="884"/>
      <c r="BM14" s="884"/>
      <c r="BN14" s="884"/>
      <c r="BO14" s="884"/>
      <c r="BP14" s="884"/>
      <c r="BQ14" s="884"/>
      <c r="BR14" s="884"/>
      <c r="BS14" s="884"/>
      <c r="BT14" s="884"/>
      <c r="BU14" s="884"/>
      <c r="BV14" s="884"/>
      <c r="BW14" s="884"/>
      <c r="BX14" s="884"/>
      <c r="BY14" s="884"/>
      <c r="BZ14" s="884"/>
      <c r="CA14" s="884"/>
      <c r="CB14" s="884"/>
      <c r="CC14" s="884"/>
      <c r="CD14" s="884"/>
      <c r="CE14" s="884"/>
      <c r="CF14" s="884"/>
      <c r="CG14" s="884"/>
      <c r="CH14" s="884"/>
      <c r="CI14" s="884"/>
      <c r="CJ14" s="884"/>
      <c r="CK14" s="884"/>
      <c r="CL14" s="884"/>
      <c r="CM14" s="884"/>
      <c r="CN14" s="884"/>
      <c r="CO14" s="884"/>
      <c r="CP14" s="884"/>
      <c r="CQ14" s="884"/>
      <c r="CR14" s="884"/>
      <c r="CS14" s="884"/>
      <c r="CT14" s="884"/>
      <c r="CU14" s="884"/>
      <c r="CV14" s="884"/>
      <c r="CW14" s="884"/>
      <c r="CX14" s="884"/>
      <c r="CY14" s="884"/>
      <c r="CZ14" s="884"/>
      <c r="DA14" s="884"/>
      <c r="DB14" s="884"/>
      <c r="DC14" s="884"/>
      <c r="DD14" s="884"/>
      <c r="DE14" s="884"/>
      <c r="DF14" s="884"/>
      <c r="DG14" s="884"/>
      <c r="DH14" s="884"/>
      <c r="DI14" s="884"/>
      <c r="DJ14" s="884"/>
      <c r="DK14" s="884"/>
      <c r="DL14" s="884"/>
      <c r="DM14" s="884"/>
      <c r="DN14" s="884"/>
      <c r="DO14" s="884"/>
      <c r="DP14" s="884"/>
      <c r="DQ14" s="884"/>
      <c r="DR14" s="884"/>
      <c r="DS14" s="884"/>
      <c r="DT14" s="884"/>
      <c r="DU14" s="884"/>
      <c r="DV14" s="884"/>
      <c r="DW14" s="884"/>
      <c r="DX14" s="884"/>
      <c r="DY14" s="884"/>
      <c r="DZ14" s="884"/>
      <c r="EA14" s="884"/>
      <c r="EB14" s="884"/>
      <c r="EC14" s="884"/>
      <c r="ED14" s="884"/>
      <c r="EE14" s="884"/>
      <c r="EF14" s="884"/>
      <c r="EG14" s="884"/>
      <c r="EH14" s="884"/>
      <c r="EI14" s="884"/>
      <c r="EJ14" s="884"/>
      <c r="EK14" s="884"/>
      <c r="EL14" s="884"/>
      <c r="EM14" s="884"/>
      <c r="EN14" s="884"/>
      <c r="EO14" s="884"/>
      <c r="EP14" s="884"/>
      <c r="EQ14" s="884"/>
      <c r="ER14" s="884"/>
      <c r="ES14" s="884"/>
      <c r="ET14" s="884"/>
      <c r="EU14" s="884"/>
      <c r="EV14" s="884"/>
      <c r="EW14" s="884"/>
      <c r="EX14" s="884"/>
      <c r="EY14" s="884"/>
      <c r="EZ14" s="884"/>
      <c r="FA14" s="884"/>
      <c r="FB14" s="884"/>
      <c r="FC14" s="884"/>
      <c r="FD14" s="884"/>
      <c r="FE14" s="884"/>
      <c r="FF14" s="884"/>
      <c r="FG14" s="884"/>
      <c r="FH14" s="884"/>
      <c r="FI14" s="884"/>
      <c r="FJ14" s="884"/>
      <c r="FK14" s="884"/>
      <c r="FL14" s="884"/>
      <c r="FM14" s="884"/>
      <c r="FN14" s="884"/>
      <c r="FO14" s="884"/>
      <c r="FP14" s="884"/>
      <c r="FQ14" s="884"/>
      <c r="FR14" s="884"/>
      <c r="FS14" s="884"/>
      <c r="FT14" s="884"/>
      <c r="FU14" s="884"/>
      <c r="FV14" s="884"/>
      <c r="FW14" s="884"/>
      <c r="FX14" s="884"/>
      <c r="FY14" s="884"/>
      <c r="FZ14" s="884"/>
      <c r="GA14" s="884"/>
      <c r="GB14" s="884"/>
      <c r="GC14" s="884"/>
      <c r="GD14" s="884"/>
      <c r="GE14" s="884"/>
      <c r="GF14" s="884"/>
      <c r="GG14" s="884"/>
      <c r="GH14" s="884"/>
      <c r="GI14" s="884"/>
      <c r="GJ14" s="884"/>
      <c r="GK14" s="884"/>
      <c r="GL14" s="884"/>
      <c r="GM14" s="884"/>
      <c r="GN14" s="884"/>
      <c r="GO14" s="884"/>
      <c r="GP14" s="884"/>
      <c r="GQ14" s="884"/>
      <c r="GR14" s="884"/>
      <c r="GS14" s="884"/>
      <c r="GT14" s="884"/>
      <c r="GU14" s="884"/>
      <c r="GV14" s="884"/>
      <c r="GW14" s="884"/>
      <c r="GX14" s="884"/>
      <c r="GY14" s="884"/>
      <c r="GZ14" s="884"/>
      <c r="HA14" s="884"/>
      <c r="HB14" s="884"/>
      <c r="HC14" s="884"/>
      <c r="HD14" s="884"/>
      <c r="HE14" s="884"/>
      <c r="HF14" s="884"/>
      <c r="HG14" s="884"/>
      <c r="HH14" s="884"/>
      <c r="HI14" s="884"/>
      <c r="HJ14" s="884"/>
      <c r="HK14" s="884"/>
      <c r="HL14" s="884"/>
      <c r="HM14" s="884"/>
      <c r="HN14" s="884"/>
      <c r="HO14" s="884"/>
      <c r="HP14" s="884"/>
      <c r="HQ14" s="884"/>
      <c r="HR14" s="884"/>
      <c r="HS14" s="884"/>
      <c r="HT14" s="884"/>
      <c r="HU14" s="884"/>
      <c r="HV14" s="884"/>
      <c r="HW14" s="884"/>
      <c r="HX14" s="884"/>
      <c r="HY14" s="884"/>
      <c r="HZ14" s="884"/>
      <c r="IA14" s="884"/>
      <c r="IB14" s="884"/>
      <c r="IC14" s="884"/>
      <c r="ID14" s="884"/>
      <c r="IE14" s="884"/>
      <c r="IF14" s="884"/>
      <c r="IG14" s="884"/>
      <c r="IH14" s="884"/>
      <c r="II14" s="884"/>
      <c r="IJ14" s="884"/>
      <c r="IK14" s="884"/>
      <c r="IL14" s="884"/>
      <c r="IM14" s="884"/>
      <c r="IN14" s="884"/>
      <c r="IO14" s="884"/>
      <c r="IP14" s="884"/>
      <c r="IQ14" s="884"/>
      <c r="IR14" s="884"/>
      <c r="IS14" s="884"/>
      <c r="IT14" s="884"/>
      <c r="IU14" s="884"/>
      <c r="IV14" s="884"/>
    </row>
    <row r="15" spans="1:256" ht="6.75" customHeight="1">
      <c r="A15" s="880"/>
      <c r="B15" s="884"/>
      <c r="C15" s="884"/>
      <c r="D15" s="1378" t="s">
        <v>16</v>
      </c>
      <c r="E15" s="1379"/>
      <c r="F15" s="1380" t="s">
        <v>16</v>
      </c>
      <c r="G15" s="1379"/>
      <c r="H15" s="1380" t="s">
        <v>16</v>
      </c>
      <c r="I15" s="1379"/>
      <c r="J15" s="1381" t="s">
        <v>16</v>
      </c>
      <c r="K15" s="1379"/>
      <c r="L15" s="1382" t="s">
        <v>16</v>
      </c>
      <c r="M15" s="891"/>
      <c r="N15" s="884"/>
      <c r="O15" s="890"/>
      <c r="P15" s="890"/>
      <c r="Q15" s="884"/>
      <c r="R15" s="884"/>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884"/>
      <c r="AS15" s="884"/>
      <c r="AT15" s="884"/>
      <c r="AU15" s="884"/>
      <c r="AV15" s="884"/>
      <c r="AW15" s="884"/>
      <c r="AX15" s="884"/>
      <c r="AY15" s="884"/>
      <c r="AZ15" s="884"/>
      <c r="BA15" s="884"/>
      <c r="BB15" s="884"/>
      <c r="BC15" s="884"/>
      <c r="BD15" s="884"/>
      <c r="BE15" s="884"/>
      <c r="BF15" s="884"/>
      <c r="BG15" s="884"/>
      <c r="BH15" s="884"/>
      <c r="BI15" s="884"/>
      <c r="BJ15" s="884"/>
      <c r="BK15" s="884"/>
      <c r="BL15" s="884"/>
      <c r="BM15" s="884"/>
      <c r="BN15" s="884"/>
      <c r="BO15" s="884"/>
      <c r="BP15" s="884"/>
      <c r="BQ15" s="884"/>
      <c r="BR15" s="884"/>
      <c r="BS15" s="884"/>
      <c r="BT15" s="884"/>
      <c r="BU15" s="884"/>
      <c r="BV15" s="884"/>
      <c r="BW15" s="884"/>
      <c r="BX15" s="884"/>
      <c r="BY15" s="884"/>
      <c r="BZ15" s="884"/>
      <c r="CA15" s="884"/>
      <c r="CB15" s="884"/>
      <c r="CC15" s="884"/>
      <c r="CD15" s="884"/>
      <c r="CE15" s="884"/>
      <c r="CF15" s="884"/>
      <c r="CG15" s="884"/>
      <c r="CH15" s="884"/>
      <c r="CI15" s="884"/>
      <c r="CJ15" s="884"/>
      <c r="CK15" s="884"/>
      <c r="CL15" s="884"/>
      <c r="CM15" s="884"/>
      <c r="CN15" s="884"/>
      <c r="CO15" s="884"/>
      <c r="CP15" s="884"/>
      <c r="CQ15" s="884"/>
      <c r="CR15" s="884"/>
      <c r="CS15" s="884"/>
      <c r="CT15" s="884"/>
      <c r="CU15" s="884"/>
      <c r="CV15" s="884"/>
      <c r="CW15" s="884"/>
      <c r="CX15" s="884"/>
      <c r="CY15" s="884"/>
      <c r="CZ15" s="884"/>
      <c r="DA15" s="884"/>
      <c r="DB15" s="884"/>
      <c r="DC15" s="884"/>
      <c r="DD15" s="884"/>
      <c r="DE15" s="884"/>
      <c r="DF15" s="884"/>
      <c r="DG15" s="884"/>
      <c r="DH15" s="884"/>
      <c r="DI15" s="884"/>
      <c r="DJ15" s="884"/>
      <c r="DK15" s="884"/>
      <c r="DL15" s="884"/>
      <c r="DM15" s="884"/>
      <c r="DN15" s="884"/>
      <c r="DO15" s="884"/>
      <c r="DP15" s="884"/>
      <c r="DQ15" s="884"/>
      <c r="DR15" s="884"/>
      <c r="DS15" s="884"/>
      <c r="DT15" s="884"/>
      <c r="DU15" s="884"/>
      <c r="DV15" s="884"/>
      <c r="DW15" s="884"/>
      <c r="DX15" s="884"/>
      <c r="DY15" s="884"/>
      <c r="DZ15" s="884"/>
      <c r="EA15" s="884"/>
      <c r="EB15" s="884"/>
      <c r="EC15" s="884"/>
      <c r="ED15" s="884"/>
      <c r="EE15" s="884"/>
      <c r="EF15" s="884"/>
      <c r="EG15" s="884"/>
      <c r="EH15" s="884"/>
      <c r="EI15" s="884"/>
      <c r="EJ15" s="884"/>
      <c r="EK15" s="884"/>
      <c r="EL15" s="884"/>
      <c r="EM15" s="884"/>
      <c r="EN15" s="884"/>
      <c r="EO15" s="884"/>
      <c r="EP15" s="884"/>
      <c r="EQ15" s="884"/>
      <c r="ER15" s="884"/>
      <c r="ES15" s="884"/>
      <c r="ET15" s="884"/>
      <c r="EU15" s="884"/>
      <c r="EV15" s="884"/>
      <c r="EW15" s="884"/>
      <c r="EX15" s="884"/>
      <c r="EY15" s="884"/>
      <c r="EZ15" s="884"/>
      <c r="FA15" s="884"/>
      <c r="FB15" s="884"/>
      <c r="FC15" s="884"/>
      <c r="FD15" s="884"/>
      <c r="FE15" s="884"/>
      <c r="FF15" s="884"/>
      <c r="FG15" s="884"/>
      <c r="FH15" s="884"/>
      <c r="FI15" s="884"/>
      <c r="FJ15" s="884"/>
      <c r="FK15" s="884"/>
      <c r="FL15" s="884"/>
      <c r="FM15" s="884"/>
      <c r="FN15" s="884"/>
      <c r="FO15" s="884"/>
      <c r="FP15" s="884"/>
      <c r="FQ15" s="884"/>
      <c r="FR15" s="884"/>
      <c r="FS15" s="884"/>
      <c r="FT15" s="884"/>
      <c r="FU15" s="884"/>
      <c r="FV15" s="884"/>
      <c r="FW15" s="884"/>
      <c r="FX15" s="884"/>
      <c r="FY15" s="884"/>
      <c r="FZ15" s="884"/>
      <c r="GA15" s="884"/>
      <c r="GB15" s="884"/>
      <c r="GC15" s="884"/>
      <c r="GD15" s="884"/>
      <c r="GE15" s="884"/>
      <c r="GF15" s="884"/>
      <c r="GG15" s="884"/>
      <c r="GH15" s="884"/>
      <c r="GI15" s="884"/>
      <c r="GJ15" s="884"/>
      <c r="GK15" s="884"/>
      <c r="GL15" s="884"/>
      <c r="GM15" s="884"/>
      <c r="GN15" s="884"/>
      <c r="GO15" s="884"/>
      <c r="GP15" s="884"/>
      <c r="GQ15" s="884"/>
      <c r="GR15" s="884"/>
      <c r="GS15" s="884"/>
      <c r="GT15" s="884"/>
      <c r="GU15" s="884"/>
      <c r="GV15" s="884"/>
      <c r="GW15" s="884"/>
      <c r="GX15" s="884"/>
      <c r="GY15" s="884"/>
      <c r="GZ15" s="884"/>
      <c r="HA15" s="884"/>
      <c r="HB15" s="884"/>
      <c r="HC15" s="884"/>
      <c r="HD15" s="884"/>
      <c r="HE15" s="884"/>
      <c r="HF15" s="884"/>
      <c r="HG15" s="884"/>
      <c r="HH15" s="884"/>
      <c r="HI15" s="884"/>
      <c r="HJ15" s="884"/>
      <c r="HK15" s="884"/>
      <c r="HL15" s="884"/>
      <c r="HM15" s="884"/>
      <c r="HN15" s="884"/>
      <c r="HO15" s="884"/>
      <c r="HP15" s="884"/>
      <c r="HQ15" s="884"/>
      <c r="HR15" s="884"/>
      <c r="HS15" s="884"/>
      <c r="HT15" s="884"/>
      <c r="HU15" s="884"/>
      <c r="HV15" s="884"/>
      <c r="HW15" s="884"/>
      <c r="HX15" s="884"/>
      <c r="HY15" s="884"/>
      <c r="HZ15" s="884"/>
      <c r="IA15" s="884"/>
      <c r="IB15" s="884"/>
      <c r="IC15" s="884"/>
      <c r="ID15" s="884"/>
      <c r="IE15" s="884"/>
      <c r="IF15" s="884"/>
      <c r="IG15" s="884"/>
      <c r="IH15" s="884"/>
      <c r="II15" s="884"/>
      <c r="IJ15" s="884"/>
      <c r="IK15" s="884"/>
      <c r="IL15" s="884"/>
      <c r="IM15" s="884"/>
      <c r="IN15" s="884"/>
      <c r="IO15" s="884"/>
      <c r="IP15" s="884"/>
      <c r="IQ15" s="884"/>
      <c r="IR15" s="884"/>
      <c r="IS15" s="884"/>
      <c r="IT15" s="884"/>
      <c r="IU15" s="884"/>
      <c r="IV15" s="884"/>
    </row>
    <row r="16" spans="1:256" ht="17.25" customHeight="1">
      <c r="A16" s="880" t="s">
        <v>386</v>
      </c>
      <c r="B16" s="884"/>
      <c r="C16" s="884"/>
      <c r="D16" s="1383">
        <f>ROUND(SUM(D14),3)</f>
        <v>-0.375</v>
      </c>
      <c r="E16" s="1384"/>
      <c r="F16" s="1383">
        <f>ROUND(SUM(F14),3)</f>
        <v>4.7919999999999998</v>
      </c>
      <c r="G16" s="1384"/>
      <c r="H16" s="1383">
        <f>ROUND(SUM(H14),3)</f>
        <v>11.971</v>
      </c>
      <c r="I16" s="1384"/>
      <c r="J16" s="1844">
        <f>ROUND(SUM(J14),3)</f>
        <v>0</v>
      </c>
      <c r="K16" s="1384"/>
      <c r="L16" s="1383">
        <f>ROUND(SUM(L14),3)</f>
        <v>-7.5540000000000003</v>
      </c>
      <c r="M16" s="892"/>
      <c r="N16" s="884"/>
      <c r="O16" s="890"/>
      <c r="P16" s="890"/>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c r="BC16" s="884"/>
      <c r="BD16" s="884"/>
      <c r="BE16" s="884"/>
      <c r="BF16" s="884"/>
      <c r="BG16" s="884"/>
      <c r="BH16" s="884"/>
      <c r="BI16" s="884"/>
      <c r="BJ16" s="884"/>
      <c r="BK16" s="884"/>
      <c r="BL16" s="884"/>
      <c r="BM16" s="884"/>
      <c r="BN16" s="884"/>
      <c r="BO16" s="884"/>
      <c r="BP16" s="884"/>
      <c r="BQ16" s="884"/>
      <c r="BR16" s="884"/>
      <c r="BS16" s="884"/>
      <c r="BT16" s="884"/>
      <c r="BU16" s="884"/>
      <c r="BV16" s="884"/>
      <c r="BW16" s="884"/>
      <c r="BX16" s="884"/>
      <c r="BY16" s="884"/>
      <c r="BZ16" s="884"/>
      <c r="CA16" s="884"/>
      <c r="CB16" s="884"/>
      <c r="CC16" s="884"/>
      <c r="CD16" s="884"/>
      <c r="CE16" s="884"/>
      <c r="CF16" s="884"/>
      <c r="CG16" s="884"/>
      <c r="CH16" s="884"/>
      <c r="CI16" s="884"/>
      <c r="CJ16" s="884"/>
      <c r="CK16" s="884"/>
      <c r="CL16" s="884"/>
      <c r="CM16" s="884"/>
      <c r="CN16" s="884"/>
      <c r="CO16" s="884"/>
      <c r="CP16" s="884"/>
      <c r="CQ16" s="884"/>
      <c r="CR16" s="884"/>
      <c r="CS16" s="884"/>
      <c r="CT16" s="884"/>
      <c r="CU16" s="884"/>
      <c r="CV16" s="884"/>
      <c r="CW16" s="884"/>
      <c r="CX16" s="884"/>
      <c r="CY16" s="884"/>
      <c r="CZ16" s="884"/>
      <c r="DA16" s="884"/>
      <c r="DB16" s="884"/>
      <c r="DC16" s="884"/>
      <c r="DD16" s="884"/>
      <c r="DE16" s="884"/>
      <c r="DF16" s="884"/>
      <c r="DG16" s="884"/>
      <c r="DH16" s="884"/>
      <c r="DI16" s="884"/>
      <c r="DJ16" s="884"/>
      <c r="DK16" s="884"/>
      <c r="DL16" s="884"/>
      <c r="DM16" s="884"/>
      <c r="DN16" s="884"/>
      <c r="DO16" s="884"/>
      <c r="DP16" s="884"/>
      <c r="DQ16" s="884"/>
      <c r="DR16" s="884"/>
      <c r="DS16" s="884"/>
      <c r="DT16" s="884"/>
      <c r="DU16" s="884"/>
      <c r="DV16" s="884"/>
      <c r="DW16" s="884"/>
      <c r="DX16" s="884"/>
      <c r="DY16" s="884"/>
      <c r="DZ16" s="884"/>
      <c r="EA16" s="884"/>
      <c r="EB16" s="884"/>
      <c r="EC16" s="884"/>
      <c r="ED16" s="884"/>
      <c r="EE16" s="884"/>
      <c r="EF16" s="884"/>
      <c r="EG16" s="884"/>
      <c r="EH16" s="884"/>
      <c r="EI16" s="884"/>
      <c r="EJ16" s="884"/>
      <c r="EK16" s="884"/>
      <c r="EL16" s="884"/>
      <c r="EM16" s="884"/>
      <c r="EN16" s="884"/>
      <c r="EO16" s="884"/>
      <c r="EP16" s="884"/>
      <c r="EQ16" s="884"/>
      <c r="ER16" s="884"/>
      <c r="ES16" s="884"/>
      <c r="ET16" s="884"/>
      <c r="EU16" s="884"/>
      <c r="EV16" s="884"/>
      <c r="EW16" s="884"/>
      <c r="EX16" s="884"/>
      <c r="EY16" s="884"/>
      <c r="EZ16" s="884"/>
      <c r="FA16" s="884"/>
      <c r="FB16" s="884"/>
      <c r="FC16" s="884"/>
      <c r="FD16" s="884"/>
      <c r="FE16" s="884"/>
      <c r="FF16" s="884"/>
      <c r="FG16" s="884"/>
      <c r="FH16" s="884"/>
      <c r="FI16" s="884"/>
      <c r="FJ16" s="884"/>
      <c r="FK16" s="884"/>
      <c r="FL16" s="884"/>
      <c r="FM16" s="884"/>
      <c r="FN16" s="884"/>
      <c r="FO16" s="884"/>
      <c r="FP16" s="884"/>
      <c r="FQ16" s="884"/>
      <c r="FR16" s="884"/>
      <c r="FS16" s="884"/>
      <c r="FT16" s="884"/>
      <c r="FU16" s="884"/>
      <c r="FV16" s="884"/>
      <c r="FW16" s="884"/>
      <c r="FX16" s="884"/>
      <c r="FY16" s="884"/>
      <c r="FZ16" s="884"/>
      <c r="GA16" s="884"/>
      <c r="GB16" s="884"/>
      <c r="GC16" s="884"/>
      <c r="GD16" s="884"/>
      <c r="GE16" s="884"/>
      <c r="GF16" s="884"/>
      <c r="GG16" s="884"/>
      <c r="GH16" s="884"/>
      <c r="GI16" s="884"/>
      <c r="GJ16" s="884"/>
      <c r="GK16" s="884"/>
      <c r="GL16" s="884"/>
      <c r="GM16" s="884"/>
      <c r="GN16" s="884"/>
      <c r="GO16" s="884"/>
      <c r="GP16" s="884"/>
      <c r="GQ16" s="884"/>
      <c r="GR16" s="884"/>
      <c r="GS16" s="884"/>
      <c r="GT16" s="884"/>
      <c r="GU16" s="884"/>
      <c r="GV16" s="884"/>
      <c r="GW16" s="884"/>
      <c r="GX16" s="884"/>
      <c r="GY16" s="884"/>
      <c r="GZ16" s="884"/>
      <c r="HA16" s="884"/>
      <c r="HB16" s="884"/>
      <c r="HC16" s="884"/>
      <c r="HD16" s="884"/>
      <c r="HE16" s="884"/>
      <c r="HF16" s="884"/>
      <c r="HG16" s="884"/>
      <c r="HH16" s="884"/>
      <c r="HI16" s="884"/>
      <c r="HJ16" s="884"/>
      <c r="HK16" s="884"/>
      <c r="HL16" s="884"/>
      <c r="HM16" s="884"/>
      <c r="HN16" s="884"/>
      <c r="HO16" s="884"/>
      <c r="HP16" s="884"/>
      <c r="HQ16" s="884"/>
      <c r="HR16" s="884"/>
      <c r="HS16" s="884"/>
      <c r="HT16" s="884"/>
      <c r="HU16" s="884"/>
      <c r="HV16" s="884"/>
      <c r="HW16" s="884"/>
      <c r="HX16" s="884"/>
      <c r="HY16" s="884"/>
      <c r="HZ16" s="884"/>
      <c r="IA16" s="884"/>
      <c r="IB16" s="884"/>
      <c r="IC16" s="884"/>
      <c r="ID16" s="884"/>
      <c r="IE16" s="884"/>
      <c r="IF16" s="884"/>
      <c r="IG16" s="884"/>
      <c r="IH16" s="884"/>
      <c r="II16" s="884"/>
      <c r="IJ16" s="884"/>
      <c r="IK16" s="884"/>
      <c r="IL16" s="884"/>
      <c r="IM16" s="884"/>
      <c r="IN16" s="884"/>
      <c r="IO16" s="884"/>
      <c r="IP16" s="884"/>
      <c r="IQ16" s="884"/>
      <c r="IR16" s="884"/>
      <c r="IS16" s="884"/>
      <c r="IT16" s="884"/>
      <c r="IU16" s="884"/>
      <c r="IV16" s="884"/>
    </row>
    <row r="17" spans="1:256" ht="12" customHeight="1">
      <c r="A17" s="880"/>
      <c r="B17" s="884"/>
      <c r="C17" s="884"/>
      <c r="D17" s="1385"/>
      <c r="E17" s="851"/>
      <c r="F17" s="1385"/>
      <c r="G17" s="851"/>
      <c r="H17" s="1385"/>
      <c r="I17" s="851"/>
      <c r="J17" s="855"/>
      <c r="K17" s="851"/>
      <c r="L17" s="1385"/>
      <c r="M17" s="891"/>
      <c r="N17" s="884"/>
      <c r="O17" s="890"/>
      <c r="P17" s="890"/>
      <c r="Q17" s="884"/>
      <c r="R17" s="884"/>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c r="AX17" s="884"/>
      <c r="AY17" s="884"/>
      <c r="AZ17" s="884"/>
      <c r="BA17" s="884"/>
      <c r="BB17" s="884"/>
      <c r="BC17" s="884"/>
      <c r="BD17" s="884"/>
      <c r="BE17" s="884"/>
      <c r="BF17" s="884"/>
      <c r="BG17" s="884"/>
      <c r="BH17" s="884"/>
      <c r="BI17" s="884"/>
      <c r="BJ17" s="884"/>
      <c r="BK17" s="884"/>
      <c r="BL17" s="884"/>
      <c r="BM17" s="884"/>
      <c r="BN17" s="884"/>
      <c r="BO17" s="884"/>
      <c r="BP17" s="884"/>
      <c r="BQ17" s="884"/>
      <c r="BR17" s="884"/>
      <c r="BS17" s="884"/>
      <c r="BT17" s="884"/>
      <c r="BU17" s="884"/>
      <c r="BV17" s="884"/>
      <c r="BW17" s="884"/>
      <c r="BX17" s="884"/>
      <c r="BY17" s="884"/>
      <c r="BZ17" s="884"/>
      <c r="CA17" s="884"/>
      <c r="CB17" s="884"/>
      <c r="CC17" s="884"/>
      <c r="CD17" s="884"/>
      <c r="CE17" s="884"/>
      <c r="CF17" s="884"/>
      <c r="CG17" s="884"/>
      <c r="CH17" s="884"/>
      <c r="CI17" s="884"/>
      <c r="CJ17" s="884"/>
      <c r="CK17" s="884"/>
      <c r="CL17" s="884"/>
      <c r="CM17" s="884"/>
      <c r="CN17" s="884"/>
      <c r="CO17" s="884"/>
      <c r="CP17" s="884"/>
      <c r="CQ17" s="884"/>
      <c r="CR17" s="884"/>
      <c r="CS17" s="884"/>
      <c r="CT17" s="884"/>
      <c r="CU17" s="884"/>
      <c r="CV17" s="884"/>
      <c r="CW17" s="884"/>
      <c r="CX17" s="884"/>
      <c r="CY17" s="884"/>
      <c r="CZ17" s="884"/>
      <c r="DA17" s="884"/>
      <c r="DB17" s="884"/>
      <c r="DC17" s="884"/>
      <c r="DD17" s="884"/>
      <c r="DE17" s="884"/>
      <c r="DF17" s="884"/>
      <c r="DG17" s="884"/>
      <c r="DH17" s="884"/>
      <c r="DI17" s="884"/>
      <c r="DJ17" s="884"/>
      <c r="DK17" s="884"/>
      <c r="DL17" s="884"/>
      <c r="DM17" s="884"/>
      <c r="DN17" s="884"/>
      <c r="DO17" s="884"/>
      <c r="DP17" s="884"/>
      <c r="DQ17" s="884"/>
      <c r="DR17" s="884"/>
      <c r="DS17" s="884"/>
      <c r="DT17" s="884"/>
      <c r="DU17" s="884"/>
      <c r="DV17" s="884"/>
      <c r="DW17" s="884"/>
      <c r="DX17" s="884"/>
      <c r="DY17" s="884"/>
      <c r="DZ17" s="884"/>
      <c r="EA17" s="884"/>
      <c r="EB17" s="884"/>
      <c r="EC17" s="884"/>
      <c r="ED17" s="884"/>
      <c r="EE17" s="884"/>
      <c r="EF17" s="884"/>
      <c r="EG17" s="884"/>
      <c r="EH17" s="884"/>
      <c r="EI17" s="884"/>
      <c r="EJ17" s="884"/>
      <c r="EK17" s="884"/>
      <c r="EL17" s="884"/>
      <c r="EM17" s="884"/>
      <c r="EN17" s="884"/>
      <c r="EO17" s="884"/>
      <c r="EP17" s="884"/>
      <c r="EQ17" s="884"/>
      <c r="ER17" s="884"/>
      <c r="ES17" s="884"/>
      <c r="ET17" s="884"/>
      <c r="EU17" s="884"/>
      <c r="EV17" s="884"/>
      <c r="EW17" s="884"/>
      <c r="EX17" s="884"/>
      <c r="EY17" s="884"/>
      <c r="EZ17" s="884"/>
      <c r="FA17" s="884"/>
      <c r="FB17" s="884"/>
      <c r="FC17" s="884"/>
      <c r="FD17" s="884"/>
      <c r="FE17" s="884"/>
      <c r="FF17" s="884"/>
      <c r="FG17" s="884"/>
      <c r="FH17" s="884"/>
      <c r="FI17" s="884"/>
      <c r="FJ17" s="884"/>
      <c r="FK17" s="884"/>
      <c r="FL17" s="884"/>
      <c r="FM17" s="884"/>
      <c r="FN17" s="884"/>
      <c r="FO17" s="884"/>
      <c r="FP17" s="884"/>
      <c r="FQ17" s="884"/>
      <c r="FR17" s="884"/>
      <c r="FS17" s="884"/>
      <c r="FT17" s="884"/>
      <c r="FU17" s="884"/>
      <c r="FV17" s="884"/>
      <c r="FW17" s="884"/>
      <c r="FX17" s="884"/>
      <c r="FY17" s="884"/>
      <c r="FZ17" s="884"/>
      <c r="GA17" s="884"/>
      <c r="GB17" s="884"/>
      <c r="GC17" s="884"/>
      <c r="GD17" s="884"/>
      <c r="GE17" s="884"/>
      <c r="GF17" s="884"/>
      <c r="GG17" s="884"/>
      <c r="GH17" s="884"/>
      <c r="GI17" s="884"/>
      <c r="GJ17" s="884"/>
      <c r="GK17" s="884"/>
      <c r="GL17" s="884"/>
      <c r="GM17" s="884"/>
      <c r="GN17" s="884"/>
      <c r="GO17" s="884"/>
      <c r="GP17" s="884"/>
      <c r="GQ17" s="884"/>
      <c r="GR17" s="884"/>
      <c r="GS17" s="884"/>
      <c r="GT17" s="884"/>
      <c r="GU17" s="884"/>
      <c r="GV17" s="884"/>
      <c r="GW17" s="884"/>
      <c r="GX17" s="884"/>
      <c r="GY17" s="884"/>
      <c r="GZ17" s="884"/>
      <c r="HA17" s="884"/>
      <c r="HB17" s="884"/>
      <c r="HC17" s="884"/>
      <c r="HD17" s="884"/>
      <c r="HE17" s="884"/>
      <c r="HF17" s="884"/>
      <c r="HG17" s="884"/>
      <c r="HH17" s="884"/>
      <c r="HI17" s="884"/>
      <c r="HJ17" s="884"/>
      <c r="HK17" s="884"/>
      <c r="HL17" s="884"/>
      <c r="HM17" s="884"/>
      <c r="HN17" s="884"/>
      <c r="HO17" s="884"/>
      <c r="HP17" s="884"/>
      <c r="HQ17" s="884"/>
      <c r="HR17" s="884"/>
      <c r="HS17" s="884"/>
      <c r="HT17" s="884"/>
      <c r="HU17" s="884"/>
      <c r="HV17" s="884"/>
      <c r="HW17" s="884"/>
      <c r="HX17" s="884"/>
      <c r="HY17" s="884"/>
      <c r="HZ17" s="884"/>
      <c r="IA17" s="884"/>
      <c r="IB17" s="884"/>
      <c r="IC17" s="884"/>
      <c r="ID17" s="884"/>
      <c r="IE17" s="884"/>
      <c r="IF17" s="884"/>
      <c r="IG17" s="884"/>
      <c r="IH17" s="884"/>
      <c r="II17" s="884"/>
      <c r="IJ17" s="884"/>
      <c r="IK17" s="884"/>
      <c r="IL17" s="884"/>
      <c r="IM17" s="884"/>
      <c r="IN17" s="884"/>
      <c r="IO17" s="884"/>
      <c r="IP17" s="884"/>
      <c r="IQ17" s="884"/>
      <c r="IR17" s="884"/>
      <c r="IS17" s="884"/>
      <c r="IT17" s="884"/>
      <c r="IU17" s="884"/>
      <c r="IV17" s="884"/>
    </row>
    <row r="18" spans="1:256" ht="18" customHeight="1">
      <c r="A18" s="893" t="s">
        <v>236</v>
      </c>
      <c r="B18" s="880"/>
      <c r="C18" s="880"/>
      <c r="D18" s="1386"/>
      <c r="E18" s="1386"/>
      <c r="F18" s="1386"/>
      <c r="G18" s="1386"/>
      <c r="H18" s="1386"/>
      <c r="I18" s="1386"/>
      <c r="J18" s="1386"/>
      <c r="K18" s="1386"/>
      <c r="L18" s="1386"/>
      <c r="M18" s="882"/>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c r="AX18" s="884"/>
      <c r="AY18" s="884"/>
      <c r="AZ18" s="884"/>
      <c r="BA18" s="884"/>
      <c r="BB18" s="884"/>
      <c r="BC18" s="884"/>
      <c r="BD18" s="884"/>
      <c r="BE18" s="884"/>
      <c r="BF18" s="884"/>
      <c r="BG18" s="884"/>
      <c r="BH18" s="884"/>
      <c r="BI18" s="884"/>
      <c r="BJ18" s="884"/>
      <c r="BK18" s="884"/>
      <c r="BL18" s="884"/>
      <c r="BM18" s="884"/>
      <c r="BN18" s="884"/>
      <c r="BO18" s="884"/>
      <c r="BP18" s="884"/>
      <c r="BQ18" s="884"/>
      <c r="BR18" s="884"/>
      <c r="BS18" s="884"/>
      <c r="BT18" s="884"/>
      <c r="BU18" s="884"/>
      <c r="BV18" s="884"/>
      <c r="BW18" s="884"/>
      <c r="BX18" s="884"/>
      <c r="BY18" s="884"/>
      <c r="BZ18" s="884"/>
      <c r="CA18" s="884"/>
      <c r="CB18" s="884"/>
      <c r="CC18" s="884"/>
      <c r="CD18" s="884"/>
      <c r="CE18" s="884"/>
      <c r="CF18" s="884"/>
      <c r="CG18" s="884"/>
      <c r="CH18" s="884"/>
      <c r="CI18" s="884"/>
      <c r="CJ18" s="884"/>
      <c r="CK18" s="884"/>
      <c r="CL18" s="884"/>
      <c r="CM18" s="884"/>
      <c r="CN18" s="884"/>
      <c r="CO18" s="884"/>
      <c r="CP18" s="884"/>
      <c r="CQ18" s="884"/>
      <c r="CR18" s="884"/>
      <c r="CS18" s="884"/>
      <c r="CT18" s="884"/>
      <c r="CU18" s="884"/>
      <c r="CV18" s="884"/>
      <c r="CW18" s="884"/>
      <c r="CX18" s="884"/>
      <c r="CY18" s="884"/>
      <c r="CZ18" s="884"/>
      <c r="DA18" s="884"/>
      <c r="DB18" s="884"/>
      <c r="DC18" s="884"/>
      <c r="DD18" s="884"/>
      <c r="DE18" s="884"/>
      <c r="DF18" s="884"/>
      <c r="DG18" s="884"/>
      <c r="DH18" s="884"/>
      <c r="DI18" s="884"/>
      <c r="DJ18" s="884"/>
      <c r="DK18" s="884"/>
      <c r="DL18" s="884"/>
      <c r="DM18" s="884"/>
      <c r="DN18" s="884"/>
      <c r="DO18" s="884"/>
      <c r="DP18" s="884"/>
      <c r="DQ18" s="884"/>
      <c r="DR18" s="884"/>
      <c r="DS18" s="884"/>
      <c r="DT18" s="884"/>
      <c r="DU18" s="884"/>
      <c r="DV18" s="884"/>
      <c r="DW18" s="884"/>
      <c r="DX18" s="884"/>
      <c r="DY18" s="884"/>
      <c r="DZ18" s="884"/>
      <c r="EA18" s="884"/>
      <c r="EB18" s="884"/>
      <c r="EC18" s="884"/>
      <c r="ED18" s="884"/>
      <c r="EE18" s="884"/>
      <c r="EF18" s="884"/>
      <c r="EG18" s="884"/>
      <c r="EH18" s="884"/>
      <c r="EI18" s="884"/>
      <c r="EJ18" s="884"/>
      <c r="EK18" s="884"/>
      <c r="EL18" s="884"/>
      <c r="EM18" s="884"/>
      <c r="EN18" s="884"/>
      <c r="EO18" s="884"/>
      <c r="EP18" s="884"/>
      <c r="EQ18" s="884"/>
      <c r="ER18" s="884"/>
      <c r="ES18" s="884"/>
      <c r="ET18" s="884"/>
      <c r="EU18" s="884"/>
      <c r="EV18" s="884"/>
      <c r="EW18" s="884"/>
      <c r="EX18" s="884"/>
      <c r="EY18" s="884"/>
      <c r="EZ18" s="884"/>
      <c r="FA18" s="884"/>
      <c r="FB18" s="884"/>
      <c r="FC18" s="884"/>
      <c r="FD18" s="884"/>
      <c r="FE18" s="884"/>
      <c r="FF18" s="884"/>
      <c r="FG18" s="884"/>
      <c r="FH18" s="884"/>
      <c r="FI18" s="884"/>
      <c r="FJ18" s="884"/>
      <c r="FK18" s="884"/>
      <c r="FL18" s="884"/>
      <c r="FM18" s="884"/>
      <c r="FN18" s="884"/>
      <c r="FO18" s="884"/>
      <c r="FP18" s="884"/>
      <c r="FQ18" s="884"/>
      <c r="FR18" s="884"/>
      <c r="FS18" s="884"/>
      <c r="FT18" s="884"/>
      <c r="FU18" s="884"/>
      <c r="FV18" s="884"/>
      <c r="FW18" s="884"/>
      <c r="FX18" s="884"/>
      <c r="FY18" s="884"/>
      <c r="FZ18" s="884"/>
      <c r="GA18" s="884"/>
      <c r="GB18" s="884"/>
      <c r="GC18" s="884"/>
      <c r="GD18" s="884"/>
      <c r="GE18" s="884"/>
      <c r="GF18" s="884"/>
      <c r="GG18" s="884"/>
      <c r="GH18" s="884"/>
      <c r="GI18" s="884"/>
      <c r="GJ18" s="884"/>
      <c r="GK18" s="884"/>
      <c r="GL18" s="884"/>
      <c r="GM18" s="884"/>
      <c r="GN18" s="884"/>
      <c r="GO18" s="884"/>
      <c r="GP18" s="884"/>
      <c r="GQ18" s="884"/>
      <c r="GR18" s="884"/>
      <c r="GS18" s="884"/>
      <c r="GT18" s="884"/>
      <c r="GU18" s="884"/>
      <c r="GV18" s="884"/>
      <c r="GW18" s="884"/>
      <c r="GX18" s="884"/>
      <c r="GY18" s="884"/>
      <c r="GZ18" s="884"/>
      <c r="HA18" s="884"/>
      <c r="HB18" s="884"/>
      <c r="HC18" s="884"/>
      <c r="HD18" s="884"/>
      <c r="HE18" s="884"/>
      <c r="HF18" s="884"/>
      <c r="HG18" s="884"/>
      <c r="HH18" s="884"/>
      <c r="HI18" s="884"/>
      <c r="HJ18" s="884"/>
      <c r="HK18" s="884"/>
      <c r="HL18" s="884"/>
      <c r="HM18" s="884"/>
      <c r="HN18" s="884"/>
      <c r="HO18" s="884"/>
      <c r="HP18" s="884"/>
      <c r="HQ18" s="884"/>
      <c r="HR18" s="884"/>
      <c r="HS18" s="884"/>
      <c r="HT18" s="884"/>
      <c r="HU18" s="884"/>
      <c r="HV18" s="884"/>
      <c r="HW18" s="884"/>
      <c r="HX18" s="884"/>
      <c r="HY18" s="884"/>
      <c r="HZ18" s="884"/>
      <c r="IA18" s="884"/>
      <c r="IB18" s="884"/>
      <c r="IC18" s="884"/>
      <c r="ID18" s="884"/>
      <c r="IE18" s="884"/>
      <c r="IF18" s="884"/>
      <c r="IG18" s="884"/>
      <c r="IH18" s="884"/>
      <c r="II18" s="884"/>
      <c r="IJ18" s="884"/>
      <c r="IK18" s="884"/>
      <c r="IL18" s="884"/>
      <c r="IM18" s="884"/>
      <c r="IN18" s="884"/>
      <c r="IO18" s="884"/>
      <c r="IP18" s="884"/>
      <c r="IQ18" s="884"/>
      <c r="IR18" s="884"/>
      <c r="IS18" s="884"/>
      <c r="IT18" s="884"/>
      <c r="IU18" s="884"/>
      <c r="IV18" s="884"/>
    </row>
    <row r="19" spans="1:256" ht="7.5" customHeight="1">
      <c r="A19" s="880"/>
      <c r="B19" s="880"/>
      <c r="C19" s="880"/>
      <c r="D19" s="1386"/>
      <c r="E19" s="1386"/>
      <c r="F19" s="1386"/>
      <c r="G19" s="1386"/>
      <c r="H19" s="1386"/>
      <c r="I19" s="1386"/>
      <c r="J19" s="1386"/>
      <c r="K19" s="1386"/>
      <c r="L19" s="851"/>
      <c r="M19" s="882"/>
      <c r="N19" s="884"/>
      <c r="O19" s="884"/>
      <c r="P19" s="884"/>
      <c r="Q19" s="884"/>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4"/>
      <c r="BU19" s="884"/>
      <c r="BV19" s="884"/>
      <c r="BW19" s="884"/>
      <c r="BX19" s="884"/>
      <c r="BY19" s="884"/>
      <c r="BZ19" s="884"/>
      <c r="CA19" s="884"/>
      <c r="CB19" s="884"/>
      <c r="CC19" s="884"/>
      <c r="CD19" s="884"/>
      <c r="CE19" s="884"/>
      <c r="CF19" s="884"/>
      <c r="CG19" s="884"/>
      <c r="CH19" s="884"/>
      <c r="CI19" s="884"/>
      <c r="CJ19" s="884"/>
      <c r="CK19" s="884"/>
      <c r="CL19" s="884"/>
      <c r="CM19" s="884"/>
      <c r="CN19" s="884"/>
      <c r="CO19" s="884"/>
      <c r="CP19" s="884"/>
      <c r="CQ19" s="884"/>
      <c r="CR19" s="884"/>
      <c r="CS19" s="884"/>
      <c r="CT19" s="884"/>
      <c r="CU19" s="884"/>
      <c r="CV19" s="884"/>
      <c r="CW19" s="884"/>
      <c r="CX19" s="884"/>
      <c r="CY19" s="884"/>
      <c r="CZ19" s="884"/>
      <c r="DA19" s="884"/>
      <c r="DB19" s="884"/>
      <c r="DC19" s="884"/>
      <c r="DD19" s="884"/>
      <c r="DE19" s="884"/>
      <c r="DF19" s="884"/>
      <c r="DG19" s="884"/>
      <c r="DH19" s="884"/>
      <c r="DI19" s="884"/>
      <c r="DJ19" s="884"/>
      <c r="DK19" s="884"/>
      <c r="DL19" s="884"/>
      <c r="DM19" s="884"/>
      <c r="DN19" s="884"/>
      <c r="DO19" s="884"/>
      <c r="DP19" s="884"/>
      <c r="DQ19" s="884"/>
      <c r="DR19" s="884"/>
      <c r="DS19" s="884"/>
      <c r="DT19" s="884"/>
      <c r="DU19" s="884"/>
      <c r="DV19" s="884"/>
      <c r="DW19" s="884"/>
      <c r="DX19" s="884"/>
      <c r="DY19" s="884"/>
      <c r="DZ19" s="884"/>
      <c r="EA19" s="884"/>
      <c r="EB19" s="884"/>
      <c r="EC19" s="884"/>
      <c r="ED19" s="884"/>
      <c r="EE19" s="884"/>
      <c r="EF19" s="884"/>
      <c r="EG19" s="884"/>
      <c r="EH19" s="884"/>
      <c r="EI19" s="884"/>
      <c r="EJ19" s="884"/>
      <c r="EK19" s="884"/>
      <c r="EL19" s="884"/>
      <c r="EM19" s="884"/>
      <c r="EN19" s="884"/>
      <c r="EO19" s="884"/>
      <c r="EP19" s="884"/>
      <c r="EQ19" s="884"/>
      <c r="ER19" s="884"/>
      <c r="ES19" s="884"/>
      <c r="ET19" s="884"/>
      <c r="EU19" s="884"/>
      <c r="EV19" s="884"/>
      <c r="EW19" s="884"/>
      <c r="EX19" s="884"/>
      <c r="EY19" s="884"/>
      <c r="EZ19" s="884"/>
      <c r="FA19" s="884"/>
      <c r="FB19" s="884"/>
      <c r="FC19" s="884"/>
      <c r="FD19" s="884"/>
      <c r="FE19" s="884"/>
      <c r="FF19" s="884"/>
      <c r="FG19" s="884"/>
      <c r="FH19" s="884"/>
      <c r="FI19" s="884"/>
      <c r="FJ19" s="884"/>
      <c r="FK19" s="884"/>
      <c r="FL19" s="884"/>
      <c r="FM19" s="884"/>
      <c r="FN19" s="884"/>
      <c r="FO19" s="884"/>
      <c r="FP19" s="884"/>
      <c r="FQ19" s="884"/>
      <c r="FR19" s="884"/>
      <c r="FS19" s="884"/>
      <c r="FT19" s="884"/>
      <c r="FU19" s="884"/>
      <c r="FV19" s="884"/>
      <c r="FW19" s="884"/>
      <c r="FX19" s="884"/>
      <c r="FY19" s="884"/>
      <c r="FZ19" s="884"/>
      <c r="GA19" s="884"/>
      <c r="GB19" s="884"/>
      <c r="GC19" s="884"/>
      <c r="GD19" s="884"/>
      <c r="GE19" s="884"/>
      <c r="GF19" s="884"/>
      <c r="GG19" s="884"/>
      <c r="GH19" s="884"/>
      <c r="GI19" s="884"/>
      <c r="GJ19" s="884"/>
      <c r="GK19" s="884"/>
      <c r="GL19" s="884"/>
      <c r="GM19" s="884"/>
      <c r="GN19" s="884"/>
      <c r="GO19" s="884"/>
      <c r="GP19" s="884"/>
      <c r="GQ19" s="884"/>
      <c r="GR19" s="884"/>
      <c r="GS19" s="884"/>
      <c r="GT19" s="884"/>
      <c r="GU19" s="884"/>
      <c r="GV19" s="884"/>
      <c r="GW19" s="884"/>
      <c r="GX19" s="884"/>
      <c r="GY19" s="884"/>
      <c r="GZ19" s="884"/>
      <c r="HA19" s="884"/>
      <c r="HB19" s="884"/>
      <c r="HC19" s="884"/>
      <c r="HD19" s="884"/>
      <c r="HE19" s="884"/>
      <c r="HF19" s="884"/>
      <c r="HG19" s="884"/>
      <c r="HH19" s="884"/>
      <c r="HI19" s="884"/>
      <c r="HJ19" s="884"/>
      <c r="HK19" s="884"/>
      <c r="HL19" s="884"/>
      <c r="HM19" s="884"/>
      <c r="HN19" s="884"/>
      <c r="HO19" s="884"/>
      <c r="HP19" s="884"/>
      <c r="HQ19" s="884"/>
      <c r="HR19" s="884"/>
      <c r="HS19" s="884"/>
      <c r="HT19" s="884"/>
      <c r="HU19" s="884"/>
      <c r="HV19" s="884"/>
      <c r="HW19" s="884"/>
      <c r="HX19" s="884"/>
      <c r="HY19" s="884"/>
      <c r="HZ19" s="884"/>
      <c r="IA19" s="884"/>
      <c r="IB19" s="884"/>
      <c r="IC19" s="884"/>
      <c r="ID19" s="884"/>
      <c r="IE19" s="884"/>
      <c r="IF19" s="884"/>
      <c r="IG19" s="884"/>
      <c r="IH19" s="884"/>
      <c r="II19" s="884"/>
      <c r="IJ19" s="884"/>
      <c r="IK19" s="884"/>
      <c r="IL19" s="884"/>
      <c r="IM19" s="884"/>
      <c r="IN19" s="884"/>
      <c r="IO19" s="884"/>
      <c r="IP19" s="884"/>
      <c r="IQ19" s="884"/>
      <c r="IR19" s="884"/>
      <c r="IS19" s="884"/>
      <c r="IT19" s="884"/>
      <c r="IU19" s="884"/>
      <c r="IV19" s="884"/>
    </row>
    <row r="20" spans="1:256" ht="16.5" customHeight="1">
      <c r="A20" s="1387" t="s">
        <v>387</v>
      </c>
      <c r="B20" s="880"/>
      <c r="C20" s="902"/>
      <c r="D20" s="851">
        <v>2.3929999999999998</v>
      </c>
      <c r="E20" s="850"/>
      <c r="F20" s="1345">
        <v>-1.0999999999999999E-2</v>
      </c>
      <c r="G20" s="850"/>
      <c r="H20" s="853">
        <v>7.0000000000000001E-3</v>
      </c>
      <c r="I20" s="850"/>
      <c r="J20" s="1388">
        <v>0</v>
      </c>
      <c r="K20" s="850"/>
      <c r="L20" s="851">
        <f>ROUND(D20+F20-H20+J20,3)</f>
        <v>2.375</v>
      </c>
      <c r="M20" s="882"/>
      <c r="N20" s="884"/>
      <c r="O20" s="884"/>
      <c r="P20" s="884"/>
      <c r="Q20" s="884"/>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c r="BC20" s="884"/>
      <c r="BD20" s="884"/>
      <c r="BE20" s="884"/>
      <c r="BF20" s="884"/>
      <c r="BG20" s="884"/>
      <c r="BH20" s="884"/>
      <c r="BI20" s="884"/>
      <c r="BJ20" s="884"/>
      <c r="BK20" s="884"/>
      <c r="BL20" s="884"/>
      <c r="BM20" s="884"/>
      <c r="BN20" s="884"/>
      <c r="BO20" s="884"/>
      <c r="BP20" s="884"/>
      <c r="BQ20" s="884"/>
      <c r="BR20" s="884"/>
      <c r="BS20" s="884"/>
      <c r="BT20" s="884"/>
      <c r="BU20" s="884"/>
      <c r="BV20" s="884"/>
      <c r="BW20" s="884"/>
      <c r="BX20" s="884"/>
      <c r="BY20" s="884"/>
      <c r="BZ20" s="884"/>
      <c r="CA20" s="884"/>
      <c r="CB20" s="884"/>
      <c r="CC20" s="884"/>
      <c r="CD20" s="884"/>
      <c r="CE20" s="884"/>
      <c r="CF20" s="884"/>
      <c r="CG20" s="884"/>
      <c r="CH20" s="884"/>
      <c r="CI20" s="884"/>
      <c r="CJ20" s="884"/>
      <c r="CK20" s="884"/>
      <c r="CL20" s="884"/>
      <c r="CM20" s="884"/>
      <c r="CN20" s="884"/>
      <c r="CO20" s="884"/>
      <c r="CP20" s="884"/>
      <c r="CQ20" s="884"/>
      <c r="CR20" s="884"/>
      <c r="CS20" s="884"/>
      <c r="CT20" s="884"/>
      <c r="CU20" s="884"/>
      <c r="CV20" s="884"/>
      <c r="CW20" s="884"/>
      <c r="CX20" s="884"/>
      <c r="CY20" s="884"/>
      <c r="CZ20" s="884"/>
      <c r="DA20" s="884"/>
      <c r="DB20" s="884"/>
      <c r="DC20" s="884"/>
      <c r="DD20" s="884"/>
      <c r="DE20" s="884"/>
      <c r="DF20" s="884"/>
      <c r="DG20" s="884"/>
      <c r="DH20" s="884"/>
      <c r="DI20" s="884"/>
      <c r="DJ20" s="884"/>
      <c r="DK20" s="884"/>
      <c r="DL20" s="884"/>
      <c r="DM20" s="884"/>
      <c r="DN20" s="884"/>
      <c r="DO20" s="884"/>
      <c r="DP20" s="884"/>
      <c r="DQ20" s="884"/>
      <c r="DR20" s="884"/>
      <c r="DS20" s="884"/>
      <c r="DT20" s="884"/>
      <c r="DU20" s="884"/>
      <c r="DV20" s="884"/>
      <c r="DW20" s="884"/>
      <c r="DX20" s="884"/>
      <c r="DY20" s="884"/>
      <c r="DZ20" s="884"/>
      <c r="EA20" s="884"/>
      <c r="EB20" s="884"/>
      <c r="EC20" s="884"/>
      <c r="ED20" s="884"/>
      <c r="EE20" s="884"/>
      <c r="EF20" s="884"/>
      <c r="EG20" s="884"/>
      <c r="EH20" s="884"/>
      <c r="EI20" s="884"/>
      <c r="EJ20" s="884"/>
      <c r="EK20" s="884"/>
      <c r="EL20" s="884"/>
      <c r="EM20" s="884"/>
      <c r="EN20" s="884"/>
      <c r="EO20" s="884"/>
      <c r="EP20" s="884"/>
      <c r="EQ20" s="884"/>
      <c r="ER20" s="884"/>
      <c r="ES20" s="884"/>
      <c r="ET20" s="884"/>
      <c r="EU20" s="884"/>
      <c r="EV20" s="884"/>
      <c r="EW20" s="884"/>
      <c r="EX20" s="884"/>
      <c r="EY20" s="884"/>
      <c r="EZ20" s="884"/>
      <c r="FA20" s="884"/>
      <c r="FB20" s="884"/>
      <c r="FC20" s="884"/>
      <c r="FD20" s="884"/>
      <c r="FE20" s="884"/>
      <c r="FF20" s="884"/>
      <c r="FG20" s="884"/>
      <c r="FH20" s="884"/>
      <c r="FI20" s="884"/>
      <c r="FJ20" s="884"/>
      <c r="FK20" s="884"/>
      <c r="FL20" s="884"/>
      <c r="FM20" s="884"/>
      <c r="FN20" s="884"/>
      <c r="FO20" s="884"/>
      <c r="FP20" s="884"/>
      <c r="FQ20" s="884"/>
      <c r="FR20" s="884"/>
      <c r="FS20" s="884"/>
      <c r="FT20" s="884"/>
      <c r="FU20" s="884"/>
      <c r="FV20" s="884"/>
      <c r="FW20" s="884"/>
      <c r="FX20" s="884"/>
      <c r="FY20" s="884"/>
      <c r="FZ20" s="884"/>
      <c r="GA20" s="884"/>
      <c r="GB20" s="884"/>
      <c r="GC20" s="884"/>
      <c r="GD20" s="884"/>
      <c r="GE20" s="884"/>
      <c r="GF20" s="884"/>
      <c r="GG20" s="884"/>
      <c r="GH20" s="884"/>
      <c r="GI20" s="884"/>
      <c r="GJ20" s="884"/>
      <c r="GK20" s="884"/>
      <c r="GL20" s="884"/>
      <c r="GM20" s="884"/>
      <c r="GN20" s="884"/>
      <c r="GO20" s="884"/>
      <c r="GP20" s="884"/>
      <c r="GQ20" s="884"/>
      <c r="GR20" s="884"/>
      <c r="GS20" s="884"/>
      <c r="GT20" s="884"/>
      <c r="GU20" s="884"/>
      <c r="GV20" s="884"/>
      <c r="GW20" s="884"/>
      <c r="GX20" s="884"/>
      <c r="GY20" s="884"/>
      <c r="GZ20" s="884"/>
      <c r="HA20" s="884"/>
      <c r="HB20" s="884"/>
      <c r="HC20" s="884"/>
      <c r="HD20" s="884"/>
      <c r="HE20" s="884"/>
      <c r="HF20" s="884"/>
      <c r="HG20" s="884"/>
      <c r="HH20" s="884"/>
      <c r="HI20" s="884"/>
      <c r="HJ20" s="884"/>
      <c r="HK20" s="884"/>
      <c r="HL20" s="884"/>
      <c r="HM20" s="884"/>
      <c r="HN20" s="884"/>
      <c r="HO20" s="884"/>
      <c r="HP20" s="884"/>
      <c r="HQ20" s="884"/>
      <c r="HR20" s="884"/>
      <c r="HS20" s="884"/>
      <c r="HT20" s="884"/>
      <c r="HU20" s="884"/>
      <c r="HV20" s="884"/>
      <c r="HW20" s="884"/>
      <c r="HX20" s="884"/>
      <c r="HY20" s="884"/>
      <c r="HZ20" s="884"/>
      <c r="IA20" s="884"/>
      <c r="IB20" s="884"/>
      <c r="IC20" s="884"/>
      <c r="ID20" s="884"/>
      <c r="IE20" s="884"/>
      <c r="IF20" s="884"/>
      <c r="IG20" s="884"/>
      <c r="IH20" s="884"/>
      <c r="II20" s="884"/>
      <c r="IJ20" s="884"/>
      <c r="IK20" s="884"/>
      <c r="IL20" s="884"/>
      <c r="IM20" s="884"/>
      <c r="IN20" s="884"/>
      <c r="IO20" s="884"/>
      <c r="IP20" s="884"/>
      <c r="IQ20" s="884"/>
      <c r="IR20" s="884"/>
      <c r="IS20" s="884"/>
      <c r="IT20" s="884"/>
      <c r="IU20" s="884"/>
      <c r="IV20" s="884"/>
    </row>
    <row r="21" spans="1:256" ht="15.75" customHeight="1">
      <c r="A21" s="1387" t="s">
        <v>388</v>
      </c>
      <c r="B21" s="880"/>
      <c r="C21" s="880"/>
      <c r="D21" s="1389">
        <v>8.7970000000000006</v>
      </c>
      <c r="E21" s="851"/>
      <c r="F21" s="1390">
        <v>5.6000000000000001E-2</v>
      </c>
      <c r="G21" s="851"/>
      <c r="H21" s="1391">
        <v>1.4E-2</v>
      </c>
      <c r="I21" s="851"/>
      <c r="J21" s="1392">
        <v>0</v>
      </c>
      <c r="K21" s="851"/>
      <c r="L21" s="1845">
        <f>ROUND(D21+F21-H21+J21,3)</f>
        <v>8.8390000000000004</v>
      </c>
      <c r="M21" s="882"/>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c r="FI21" s="884"/>
      <c r="FJ21" s="884"/>
      <c r="FK21" s="884"/>
      <c r="FL21" s="884"/>
      <c r="FM21" s="884"/>
      <c r="FN21" s="884"/>
      <c r="FO21" s="884"/>
      <c r="FP21" s="884"/>
      <c r="FQ21" s="884"/>
      <c r="FR21" s="884"/>
      <c r="FS21" s="884"/>
      <c r="FT21" s="884"/>
      <c r="FU21" s="884"/>
      <c r="FV21" s="884"/>
      <c r="FW21" s="884"/>
      <c r="FX21" s="884"/>
      <c r="FY21" s="884"/>
      <c r="FZ21" s="884"/>
      <c r="GA21" s="884"/>
      <c r="GB21" s="884"/>
      <c r="GC21" s="884"/>
      <c r="GD21" s="884"/>
      <c r="GE21" s="884"/>
      <c r="GF21" s="884"/>
      <c r="GG21" s="884"/>
      <c r="GH21" s="884"/>
      <c r="GI21" s="884"/>
      <c r="GJ21" s="884"/>
      <c r="GK21" s="884"/>
      <c r="GL21" s="884"/>
      <c r="GM21" s="884"/>
      <c r="GN21" s="884"/>
      <c r="GO21" s="884"/>
      <c r="GP21" s="884"/>
      <c r="GQ21" s="884"/>
      <c r="GR21" s="884"/>
      <c r="GS21" s="884"/>
      <c r="GT21" s="884"/>
      <c r="GU21" s="884"/>
      <c r="GV21" s="884"/>
      <c r="GW21" s="884"/>
      <c r="GX21" s="884"/>
      <c r="GY21" s="884"/>
      <c r="GZ21" s="884"/>
      <c r="HA21" s="884"/>
      <c r="HB21" s="884"/>
      <c r="HC21" s="884"/>
      <c r="HD21" s="884"/>
      <c r="HE21" s="884"/>
      <c r="HF21" s="884"/>
      <c r="HG21" s="884"/>
      <c r="HH21" s="884"/>
      <c r="HI21" s="884"/>
      <c r="HJ21" s="884"/>
      <c r="HK21" s="884"/>
      <c r="HL21" s="884"/>
      <c r="HM21" s="884"/>
      <c r="HN21" s="884"/>
      <c r="HO21" s="884"/>
      <c r="HP21" s="884"/>
      <c r="HQ21" s="884"/>
      <c r="HR21" s="884"/>
      <c r="HS21" s="884"/>
      <c r="HT21" s="884"/>
      <c r="HU21" s="884"/>
      <c r="HV21" s="884"/>
      <c r="HW21" s="884"/>
      <c r="HX21" s="884"/>
      <c r="HY21" s="884"/>
      <c r="HZ21" s="884"/>
      <c r="IA21" s="884"/>
      <c r="IB21" s="884"/>
      <c r="IC21" s="884"/>
      <c r="ID21" s="884"/>
      <c r="IE21" s="884"/>
      <c r="IF21" s="884"/>
      <c r="IG21" s="884"/>
      <c r="IH21" s="884"/>
      <c r="II21" s="884"/>
      <c r="IJ21" s="884"/>
      <c r="IK21" s="884"/>
      <c r="IL21" s="884"/>
      <c r="IM21" s="884"/>
      <c r="IN21" s="884"/>
      <c r="IO21" s="884"/>
      <c r="IP21" s="884"/>
      <c r="IQ21" s="884"/>
      <c r="IR21" s="884"/>
      <c r="IS21" s="884"/>
      <c r="IT21" s="884"/>
      <c r="IU21" s="884"/>
      <c r="IV21" s="884"/>
    </row>
    <row r="22" spans="1:256" ht="6.75" customHeight="1">
      <c r="A22" s="1387"/>
      <c r="B22" s="880"/>
      <c r="C22" s="880"/>
      <c r="D22" s="855"/>
      <c r="E22" s="851"/>
      <c r="F22" s="855" t="s">
        <v>16</v>
      </c>
      <c r="G22" s="851"/>
      <c r="H22" s="1393"/>
      <c r="I22" s="851"/>
      <c r="J22" s="1394"/>
      <c r="K22" s="851"/>
      <c r="L22" s="855"/>
      <c r="M22" s="882"/>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4"/>
      <c r="EO22" s="884"/>
      <c r="EP22" s="884"/>
      <c r="EQ22" s="884"/>
      <c r="ER22" s="884"/>
      <c r="ES22" s="884"/>
      <c r="ET22" s="884"/>
      <c r="EU22" s="884"/>
      <c r="EV22" s="884"/>
      <c r="EW22" s="884"/>
      <c r="EX22" s="884"/>
      <c r="EY22" s="884"/>
      <c r="EZ22" s="884"/>
      <c r="FA22" s="884"/>
      <c r="FB22" s="884"/>
      <c r="FC22" s="884"/>
      <c r="FD22" s="884"/>
      <c r="FE22" s="884"/>
      <c r="FF22" s="884"/>
      <c r="FG22" s="884"/>
      <c r="FH22" s="884"/>
      <c r="FI22" s="884"/>
      <c r="FJ22" s="884"/>
      <c r="FK22" s="884"/>
      <c r="FL22" s="884"/>
      <c r="FM22" s="884"/>
      <c r="FN22" s="884"/>
      <c r="FO22" s="884"/>
      <c r="FP22" s="884"/>
      <c r="FQ22" s="884"/>
      <c r="FR22" s="884"/>
      <c r="FS22" s="884"/>
      <c r="FT22" s="884"/>
      <c r="FU22" s="884"/>
      <c r="FV22" s="884"/>
      <c r="FW22" s="884"/>
      <c r="FX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c r="GW22" s="884"/>
      <c r="GX22" s="884"/>
      <c r="GY22" s="884"/>
      <c r="GZ22" s="884"/>
      <c r="HA22" s="884"/>
      <c r="HB22" s="884"/>
      <c r="HC22" s="884"/>
      <c r="HD22" s="884"/>
      <c r="HE22" s="884"/>
      <c r="HF22" s="884"/>
      <c r="HG22" s="884"/>
      <c r="HH22" s="884"/>
      <c r="HI22" s="884"/>
      <c r="HJ22" s="884"/>
      <c r="HK22" s="884"/>
      <c r="HL22" s="884"/>
      <c r="HM22" s="884"/>
      <c r="HN22" s="884"/>
      <c r="HO22" s="884"/>
      <c r="HP22" s="884"/>
      <c r="HQ22" s="884"/>
      <c r="HR22" s="884"/>
      <c r="HS22" s="884"/>
      <c r="HT22" s="884"/>
      <c r="HU22" s="884"/>
      <c r="HV22" s="884"/>
      <c r="HW22" s="884"/>
      <c r="HX22" s="884"/>
      <c r="HY22" s="884"/>
      <c r="HZ22" s="884"/>
      <c r="IA22" s="884"/>
      <c r="IB22" s="884"/>
      <c r="IC22" s="884"/>
      <c r="ID22" s="884"/>
      <c r="IE22" s="884"/>
      <c r="IF22" s="884"/>
      <c r="IG22" s="884"/>
      <c r="IH22" s="884"/>
      <c r="II22" s="884"/>
      <c r="IJ22" s="884"/>
      <c r="IK22" s="884"/>
      <c r="IL22" s="884"/>
      <c r="IM22" s="884"/>
      <c r="IN22" s="884"/>
      <c r="IO22" s="884"/>
      <c r="IP22" s="884"/>
      <c r="IQ22" s="884"/>
      <c r="IR22" s="884"/>
      <c r="IS22" s="884"/>
      <c r="IT22" s="884"/>
      <c r="IU22" s="884"/>
      <c r="IV22" s="884"/>
    </row>
    <row r="23" spans="1:256" ht="17.25" customHeight="1">
      <c r="A23" s="886" t="s">
        <v>1632</v>
      </c>
      <c r="B23" s="880"/>
      <c r="C23" s="902"/>
      <c r="D23" s="1395">
        <f>ROUND(SUM(D20:D21),3)</f>
        <v>11.19</v>
      </c>
      <c r="E23" s="1386"/>
      <c r="F23" s="1395">
        <f>ROUND(SUM(F20:F21),3)</f>
        <v>4.4999999999999998E-2</v>
      </c>
      <c r="G23" s="1386"/>
      <c r="H23" s="1395">
        <f>ROUND(SUM(H20:H21),3)</f>
        <v>2.1000000000000001E-2</v>
      </c>
      <c r="I23" s="1386"/>
      <c r="J23" s="1395">
        <f>ROUND(SUM(J20:J21),3)</f>
        <v>0</v>
      </c>
      <c r="K23" s="1386"/>
      <c r="L23" s="1395">
        <f>ROUND(SUM(L20:L21),3)</f>
        <v>11.214</v>
      </c>
      <c r="M23" s="894"/>
      <c r="N23" s="895"/>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c r="BC23" s="884"/>
      <c r="BD23" s="884"/>
      <c r="BE23" s="884"/>
      <c r="BF23" s="884"/>
      <c r="BG23" s="884"/>
      <c r="BH23" s="884"/>
      <c r="BI23" s="884"/>
      <c r="BJ23" s="884"/>
      <c r="BK23" s="884"/>
      <c r="BL23" s="884"/>
      <c r="BM23" s="884"/>
      <c r="BN23" s="884"/>
      <c r="BO23" s="884"/>
      <c r="BP23" s="884"/>
      <c r="BQ23" s="884"/>
      <c r="BR23" s="884"/>
      <c r="BS23" s="884"/>
      <c r="BT23" s="884"/>
      <c r="BU23" s="884"/>
      <c r="BV23" s="884"/>
      <c r="BW23" s="884"/>
      <c r="BX23" s="884"/>
      <c r="BY23" s="884"/>
      <c r="BZ23" s="884"/>
      <c r="CA23" s="884"/>
      <c r="CB23" s="884"/>
      <c r="CC23" s="884"/>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c r="DE23" s="884"/>
      <c r="DF23" s="884"/>
      <c r="DG23" s="884"/>
      <c r="DH23" s="884"/>
      <c r="DI23" s="884"/>
      <c r="DJ23" s="884"/>
      <c r="DK23" s="884"/>
      <c r="DL23" s="884"/>
      <c r="DM23" s="884"/>
      <c r="DN23" s="884"/>
      <c r="DO23" s="884"/>
      <c r="DP23" s="884"/>
      <c r="DQ23" s="884"/>
      <c r="DR23" s="884"/>
      <c r="DS23" s="884"/>
      <c r="DT23" s="884"/>
      <c r="DU23" s="884"/>
      <c r="DV23" s="884"/>
      <c r="DW23" s="884"/>
      <c r="DX23" s="884"/>
      <c r="DY23" s="884"/>
      <c r="DZ23" s="884"/>
      <c r="EA23" s="884"/>
      <c r="EB23" s="884"/>
      <c r="EC23" s="884"/>
      <c r="ED23" s="884"/>
      <c r="EE23" s="884"/>
      <c r="EF23" s="884"/>
      <c r="EG23" s="884"/>
      <c r="EH23" s="884"/>
      <c r="EI23" s="884"/>
      <c r="EJ23" s="884"/>
      <c r="EK23" s="884"/>
      <c r="EL23" s="884"/>
      <c r="EM23" s="884"/>
      <c r="EN23" s="884"/>
      <c r="EO23" s="884"/>
      <c r="EP23" s="884"/>
      <c r="EQ23" s="884"/>
      <c r="ER23" s="884"/>
      <c r="ES23" s="884"/>
      <c r="ET23" s="884"/>
      <c r="EU23" s="884"/>
      <c r="EV23" s="884"/>
      <c r="EW23" s="884"/>
      <c r="EX23" s="884"/>
      <c r="EY23" s="884"/>
      <c r="EZ23" s="884"/>
      <c r="FA23" s="884"/>
      <c r="FB23" s="884"/>
      <c r="FC23" s="884"/>
      <c r="FD23" s="884"/>
      <c r="FE23" s="884"/>
      <c r="FF23" s="884"/>
      <c r="FG23" s="884"/>
      <c r="FH23" s="884"/>
      <c r="FI23" s="884"/>
      <c r="FJ23" s="884"/>
      <c r="FK23" s="884"/>
      <c r="FL23" s="884"/>
      <c r="FM23" s="884"/>
      <c r="FN23" s="884"/>
      <c r="FO23" s="884"/>
      <c r="FP23" s="884"/>
      <c r="FQ23" s="884"/>
      <c r="FR23" s="884"/>
      <c r="FS23" s="884"/>
      <c r="FT23" s="884"/>
      <c r="FU23" s="884"/>
      <c r="FV23" s="884"/>
      <c r="FW23" s="884"/>
      <c r="FX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c r="GW23" s="884"/>
      <c r="GX23" s="884"/>
      <c r="GY23" s="884"/>
      <c r="GZ23" s="884"/>
      <c r="HA23" s="884"/>
      <c r="HB23" s="884"/>
      <c r="HC23" s="884"/>
      <c r="HD23" s="884"/>
      <c r="HE23" s="884"/>
      <c r="HF23" s="884"/>
      <c r="HG23" s="884"/>
      <c r="HH23" s="884"/>
      <c r="HI23" s="884"/>
      <c r="HJ23" s="884"/>
      <c r="HK23" s="884"/>
      <c r="HL23" s="884"/>
      <c r="HM23" s="884"/>
      <c r="HN23" s="884"/>
      <c r="HO23" s="884"/>
      <c r="HP23" s="884"/>
      <c r="HQ23" s="884"/>
      <c r="HR23" s="884"/>
      <c r="HS23" s="884"/>
      <c r="HT23" s="884"/>
      <c r="HU23" s="884"/>
      <c r="HV23" s="884"/>
      <c r="HW23" s="884"/>
      <c r="HX23" s="884"/>
      <c r="HY23" s="884"/>
      <c r="HZ23" s="884"/>
      <c r="IA23" s="884"/>
      <c r="IB23" s="884"/>
      <c r="IC23" s="884"/>
      <c r="ID23" s="884"/>
      <c r="IE23" s="884"/>
      <c r="IF23" s="884"/>
      <c r="IG23" s="884"/>
      <c r="IH23" s="884"/>
      <c r="II23" s="884"/>
      <c r="IJ23" s="884"/>
      <c r="IK23" s="884"/>
      <c r="IL23" s="884"/>
      <c r="IM23" s="884"/>
      <c r="IN23" s="884"/>
      <c r="IO23" s="884"/>
      <c r="IP23" s="884"/>
      <c r="IQ23" s="884"/>
      <c r="IR23" s="884"/>
      <c r="IS23" s="884"/>
      <c r="IT23" s="884"/>
      <c r="IU23" s="884"/>
      <c r="IV23" s="884"/>
    </row>
    <row r="24" spans="1:256" ht="12" customHeight="1">
      <c r="A24" s="880"/>
      <c r="B24" s="880"/>
      <c r="C24" s="880"/>
      <c r="D24" s="1386"/>
      <c r="E24" s="1384"/>
      <c r="F24" s="1386"/>
      <c r="G24" s="1384"/>
      <c r="H24" s="1386"/>
      <c r="I24" s="1384"/>
      <c r="J24" s="1386"/>
      <c r="K24" s="1384"/>
      <c r="L24" s="1386"/>
      <c r="M24" s="882"/>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BJ24" s="884"/>
      <c r="BK24" s="884"/>
      <c r="BL24" s="884"/>
      <c r="BM24" s="884"/>
      <c r="BN24" s="884"/>
      <c r="BO24" s="884"/>
      <c r="BP24" s="884"/>
      <c r="BQ24" s="884"/>
      <c r="BR24" s="884"/>
      <c r="BS24" s="884"/>
      <c r="BT24" s="884"/>
      <c r="BU24" s="884"/>
      <c r="BV24" s="884"/>
      <c r="BW24" s="884"/>
      <c r="BX24" s="884"/>
      <c r="BY24" s="884"/>
      <c r="BZ24" s="884"/>
      <c r="CA24" s="884"/>
      <c r="CB24" s="884"/>
      <c r="CC24" s="884"/>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c r="DE24" s="884"/>
      <c r="DF24" s="884"/>
      <c r="DG24" s="884"/>
      <c r="DH24" s="884"/>
      <c r="DI24" s="884"/>
      <c r="DJ24" s="884"/>
      <c r="DK24" s="884"/>
      <c r="DL24" s="884"/>
      <c r="DM24" s="884"/>
      <c r="DN24" s="884"/>
      <c r="DO24" s="884"/>
      <c r="DP24" s="884"/>
      <c r="DQ24" s="884"/>
      <c r="DR24" s="884"/>
      <c r="DS24" s="884"/>
      <c r="DT24" s="884"/>
      <c r="DU24" s="884"/>
      <c r="DV24" s="884"/>
      <c r="DW24" s="884"/>
      <c r="DX24" s="884"/>
      <c r="DY24" s="884"/>
      <c r="DZ24" s="884"/>
      <c r="EA24" s="884"/>
      <c r="EB24" s="884"/>
      <c r="EC24" s="884"/>
      <c r="ED24" s="884"/>
      <c r="EE24" s="884"/>
      <c r="EF24" s="884"/>
      <c r="EG24" s="884"/>
      <c r="EH24" s="884"/>
      <c r="EI24" s="884"/>
      <c r="EJ24" s="884"/>
      <c r="EK24" s="884"/>
      <c r="EL24" s="884"/>
      <c r="EM24" s="884"/>
      <c r="EN24" s="884"/>
      <c r="EO24" s="884"/>
      <c r="EP24" s="884"/>
      <c r="EQ24" s="884"/>
      <c r="ER24" s="884"/>
      <c r="ES24" s="884"/>
      <c r="ET24" s="884"/>
      <c r="EU24" s="884"/>
      <c r="EV24" s="884"/>
      <c r="EW24" s="884"/>
      <c r="EX24" s="884"/>
      <c r="EY24" s="884"/>
      <c r="EZ24" s="884"/>
      <c r="FA24" s="884"/>
      <c r="FB24" s="884"/>
      <c r="FC24" s="884"/>
      <c r="FD24" s="884"/>
      <c r="FE24" s="884"/>
      <c r="FF24" s="884"/>
      <c r="FG24" s="884"/>
      <c r="FH24" s="884"/>
      <c r="FI24" s="884"/>
      <c r="FJ24" s="884"/>
      <c r="FK24" s="884"/>
      <c r="FL24" s="884"/>
      <c r="FM24" s="884"/>
      <c r="FN24" s="884"/>
      <c r="FO24" s="884"/>
      <c r="FP24" s="884"/>
      <c r="FQ24" s="884"/>
      <c r="FR24" s="884"/>
      <c r="FS24" s="884"/>
      <c r="FT24" s="884"/>
      <c r="FU24" s="884"/>
      <c r="FV24" s="884"/>
      <c r="FW24" s="884"/>
      <c r="FX24" s="884"/>
      <c r="FY24" s="884"/>
      <c r="FZ24" s="884"/>
      <c r="GA24" s="884"/>
      <c r="GB24" s="884"/>
      <c r="GC24" s="884"/>
      <c r="GD24" s="884"/>
      <c r="GE24" s="884"/>
      <c r="GF24" s="884"/>
      <c r="GG24" s="884"/>
      <c r="GH24" s="884"/>
      <c r="GI24" s="884"/>
      <c r="GJ24" s="884"/>
      <c r="GK24" s="884"/>
      <c r="GL24" s="884"/>
      <c r="GM24" s="884"/>
      <c r="GN24" s="884"/>
      <c r="GO24" s="884"/>
      <c r="GP24" s="884"/>
      <c r="GQ24" s="884"/>
      <c r="GR24" s="884"/>
      <c r="GS24" s="884"/>
      <c r="GT24" s="884"/>
      <c r="GU24" s="884"/>
      <c r="GV24" s="884"/>
      <c r="GW24" s="884"/>
      <c r="GX24" s="884"/>
      <c r="GY24" s="884"/>
      <c r="GZ24" s="884"/>
      <c r="HA24" s="884"/>
      <c r="HB24" s="884"/>
      <c r="HC24" s="884"/>
      <c r="HD24" s="884"/>
      <c r="HE24" s="884"/>
      <c r="HF24" s="884"/>
      <c r="HG24" s="884"/>
      <c r="HH24" s="884"/>
      <c r="HI24" s="884"/>
      <c r="HJ24" s="884"/>
      <c r="HK24" s="884"/>
      <c r="HL24" s="884"/>
      <c r="HM24" s="884"/>
      <c r="HN24" s="884"/>
      <c r="HO24" s="884"/>
      <c r="HP24" s="884"/>
      <c r="HQ24" s="884"/>
      <c r="HR24" s="884"/>
      <c r="HS24" s="884"/>
      <c r="HT24" s="884"/>
      <c r="HU24" s="884"/>
      <c r="HV24" s="884"/>
      <c r="HW24" s="884"/>
      <c r="HX24" s="884"/>
      <c r="HY24" s="884"/>
      <c r="HZ24" s="884"/>
      <c r="IA24" s="884"/>
      <c r="IB24" s="884"/>
      <c r="IC24" s="884"/>
      <c r="ID24" s="884"/>
      <c r="IE24" s="884"/>
      <c r="IF24" s="884"/>
      <c r="IG24" s="884"/>
      <c r="IH24" s="884"/>
      <c r="II24" s="884"/>
      <c r="IJ24" s="884"/>
      <c r="IK24" s="884"/>
      <c r="IL24" s="884"/>
      <c r="IM24" s="884"/>
      <c r="IN24" s="884"/>
      <c r="IO24" s="884"/>
      <c r="IP24" s="884"/>
      <c r="IQ24" s="884"/>
      <c r="IR24" s="884"/>
      <c r="IS24" s="884"/>
      <c r="IT24" s="884"/>
      <c r="IU24" s="884"/>
      <c r="IV24" s="884"/>
    </row>
    <row r="25" spans="1:256" ht="18">
      <c r="A25" s="887" t="s">
        <v>389</v>
      </c>
      <c r="B25" s="880"/>
      <c r="C25" s="880"/>
      <c r="D25" s="1384"/>
      <c r="E25" s="1384"/>
      <c r="F25" s="1384"/>
      <c r="G25" s="1384"/>
      <c r="H25" s="1384"/>
      <c r="I25" s="1384"/>
      <c r="J25" s="1384"/>
      <c r="K25" s="1384"/>
      <c r="L25" s="1384"/>
      <c r="M25" s="882"/>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884"/>
      <c r="BL25" s="884"/>
      <c r="BM25" s="884"/>
      <c r="BN25" s="884"/>
      <c r="BO25" s="884"/>
      <c r="BP25" s="884"/>
      <c r="BQ25" s="884"/>
      <c r="BR25" s="884"/>
      <c r="BS25" s="884"/>
      <c r="BT25" s="884"/>
      <c r="BU25" s="884"/>
      <c r="BV25" s="884"/>
      <c r="BW25" s="884"/>
      <c r="BX25" s="884"/>
      <c r="BY25" s="884"/>
      <c r="BZ25" s="884"/>
      <c r="CA25" s="884"/>
      <c r="CB25" s="884"/>
      <c r="CC25" s="884"/>
      <c r="CD25" s="884"/>
      <c r="CE25" s="884"/>
      <c r="CF25" s="884"/>
      <c r="CG25" s="884"/>
      <c r="CH25" s="884"/>
      <c r="CI25" s="884"/>
      <c r="CJ25" s="884"/>
      <c r="CK25" s="884"/>
      <c r="CL25" s="884"/>
      <c r="CM25" s="884"/>
      <c r="CN25" s="884"/>
      <c r="CO25" s="884"/>
      <c r="CP25" s="884"/>
      <c r="CQ25" s="884"/>
      <c r="CR25" s="884"/>
      <c r="CS25" s="884"/>
      <c r="CT25" s="884"/>
      <c r="CU25" s="884"/>
      <c r="CV25" s="884"/>
      <c r="CW25" s="884"/>
      <c r="CX25" s="884"/>
      <c r="CY25" s="884"/>
      <c r="CZ25" s="884"/>
      <c r="DA25" s="884"/>
      <c r="DB25" s="884"/>
      <c r="DC25" s="884"/>
      <c r="DD25" s="884"/>
      <c r="DE25" s="884"/>
      <c r="DF25" s="884"/>
      <c r="DG25" s="884"/>
      <c r="DH25" s="884"/>
      <c r="DI25" s="884"/>
      <c r="DJ25" s="884"/>
      <c r="DK25" s="884"/>
      <c r="DL25" s="884"/>
      <c r="DM25" s="884"/>
      <c r="DN25" s="884"/>
      <c r="DO25" s="884"/>
      <c r="DP25" s="884"/>
      <c r="DQ25" s="884"/>
      <c r="DR25" s="884"/>
      <c r="DS25" s="884"/>
      <c r="DT25" s="884"/>
      <c r="DU25" s="884"/>
      <c r="DV25" s="884"/>
      <c r="DW25" s="884"/>
      <c r="DX25" s="884"/>
      <c r="DY25" s="884"/>
      <c r="DZ25" s="884"/>
      <c r="EA25" s="884"/>
      <c r="EB25" s="884"/>
      <c r="EC25" s="884"/>
      <c r="ED25" s="884"/>
      <c r="EE25" s="884"/>
      <c r="EF25" s="884"/>
      <c r="EG25" s="884"/>
      <c r="EH25" s="884"/>
      <c r="EI25" s="884"/>
      <c r="EJ25" s="884"/>
      <c r="EK25" s="884"/>
      <c r="EL25" s="884"/>
      <c r="EM25" s="884"/>
      <c r="EN25" s="884"/>
      <c r="EO25" s="884"/>
      <c r="EP25" s="884"/>
      <c r="EQ25" s="884"/>
      <c r="ER25" s="884"/>
      <c r="ES25" s="884"/>
      <c r="ET25" s="884"/>
      <c r="EU25" s="884"/>
      <c r="EV25" s="884"/>
      <c r="EW25" s="884"/>
      <c r="EX25" s="884"/>
      <c r="EY25" s="884"/>
      <c r="EZ25" s="884"/>
      <c r="FA25" s="884"/>
      <c r="FB25" s="884"/>
      <c r="FC25" s="884"/>
      <c r="FD25" s="884"/>
      <c r="FE25" s="884"/>
      <c r="FF25" s="884"/>
      <c r="FG25" s="884"/>
      <c r="FH25" s="884"/>
      <c r="FI25" s="884"/>
      <c r="FJ25" s="884"/>
      <c r="FK25" s="884"/>
      <c r="FL25" s="884"/>
      <c r="FM25" s="884"/>
      <c r="FN25" s="884"/>
      <c r="FO25" s="884"/>
      <c r="FP25" s="884"/>
      <c r="FQ25" s="884"/>
      <c r="FR25" s="884"/>
      <c r="FS25" s="884"/>
      <c r="FT25" s="884"/>
      <c r="FU25" s="884"/>
      <c r="FV25" s="884"/>
      <c r="FW25" s="884"/>
      <c r="FX25" s="884"/>
      <c r="FY25" s="884"/>
      <c r="FZ25" s="884"/>
      <c r="GA25" s="884"/>
      <c r="GB25" s="884"/>
      <c r="GC25" s="884"/>
      <c r="GD25" s="884"/>
      <c r="GE25" s="884"/>
      <c r="GF25" s="884"/>
      <c r="GG25" s="884"/>
      <c r="GH25" s="884"/>
      <c r="GI25" s="884"/>
      <c r="GJ25" s="884"/>
      <c r="GK25" s="884"/>
      <c r="GL25" s="884"/>
      <c r="GM25" s="884"/>
      <c r="GN25" s="884"/>
      <c r="GO25" s="884"/>
      <c r="GP25" s="884"/>
      <c r="GQ25" s="884"/>
      <c r="GR25" s="884"/>
      <c r="GS25" s="884"/>
      <c r="GT25" s="884"/>
      <c r="GU25" s="884"/>
      <c r="GV25" s="884"/>
      <c r="GW25" s="884"/>
      <c r="GX25" s="884"/>
      <c r="GY25" s="884"/>
      <c r="GZ25" s="884"/>
      <c r="HA25" s="884"/>
      <c r="HB25" s="884"/>
      <c r="HC25" s="884"/>
      <c r="HD25" s="884"/>
      <c r="HE25" s="884"/>
      <c r="HF25" s="884"/>
      <c r="HG25" s="884"/>
      <c r="HH25" s="884"/>
      <c r="HI25" s="884"/>
      <c r="HJ25" s="884"/>
      <c r="HK25" s="884"/>
      <c r="HL25" s="884"/>
      <c r="HM25" s="884"/>
      <c r="HN25" s="884"/>
      <c r="HO25" s="884"/>
      <c r="HP25" s="884"/>
      <c r="HQ25" s="884"/>
      <c r="HR25" s="884"/>
      <c r="HS25" s="884"/>
      <c r="HT25" s="884"/>
      <c r="HU25" s="884"/>
      <c r="HV25" s="884"/>
      <c r="HW25" s="884"/>
      <c r="HX25" s="884"/>
      <c r="HY25" s="884"/>
      <c r="HZ25" s="884"/>
      <c r="IA25" s="884"/>
      <c r="IB25" s="884"/>
      <c r="IC25" s="884"/>
      <c r="ID25" s="884"/>
      <c r="IE25" s="884"/>
      <c r="IF25" s="884"/>
      <c r="IG25" s="884"/>
      <c r="IH25" s="884"/>
      <c r="II25" s="884"/>
      <c r="IJ25" s="884"/>
      <c r="IK25" s="884"/>
      <c r="IL25" s="884"/>
      <c r="IM25" s="884"/>
      <c r="IN25" s="884"/>
      <c r="IO25" s="884"/>
      <c r="IP25" s="884"/>
      <c r="IQ25" s="884"/>
      <c r="IR25" s="884"/>
      <c r="IS25" s="884"/>
      <c r="IT25" s="884"/>
      <c r="IU25" s="884"/>
      <c r="IV25" s="884"/>
    </row>
    <row r="26" spans="1:256" ht="7.5" customHeight="1">
      <c r="A26" s="884" t="s">
        <v>16</v>
      </c>
      <c r="B26" s="884"/>
      <c r="C26" s="884"/>
      <c r="D26" s="851"/>
      <c r="E26" s="851"/>
      <c r="F26" s="851"/>
      <c r="G26" s="851"/>
      <c r="H26" s="851"/>
      <c r="I26" s="851"/>
      <c r="J26" s="851"/>
      <c r="K26" s="851"/>
      <c r="L26" s="851"/>
      <c r="M26" s="882"/>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884"/>
      <c r="BK26" s="884"/>
      <c r="BL26" s="884"/>
      <c r="BM26" s="884"/>
      <c r="BN26" s="884"/>
      <c r="BO26" s="884"/>
      <c r="BP26" s="884"/>
      <c r="BQ26" s="884"/>
      <c r="BR26" s="884"/>
      <c r="BS26" s="884"/>
      <c r="BT26" s="884"/>
      <c r="BU26" s="884"/>
      <c r="BV26" s="884"/>
      <c r="BW26" s="884"/>
      <c r="BX26" s="884"/>
      <c r="BY26" s="884"/>
      <c r="BZ26" s="884"/>
      <c r="CA26" s="884"/>
      <c r="CB26" s="884"/>
      <c r="CC26" s="884"/>
      <c r="CD26" s="884"/>
      <c r="CE26" s="884"/>
      <c r="CF26" s="884"/>
      <c r="CG26" s="884"/>
      <c r="CH26" s="884"/>
      <c r="CI26" s="884"/>
      <c r="CJ26" s="884"/>
      <c r="CK26" s="884"/>
      <c r="CL26" s="884"/>
      <c r="CM26" s="884"/>
      <c r="CN26" s="884"/>
      <c r="CO26" s="884"/>
      <c r="CP26" s="884"/>
      <c r="CQ26" s="884"/>
      <c r="CR26" s="884"/>
      <c r="CS26" s="884"/>
      <c r="CT26" s="884"/>
      <c r="CU26" s="884"/>
      <c r="CV26" s="884"/>
      <c r="CW26" s="884"/>
      <c r="CX26" s="884"/>
      <c r="CY26" s="884"/>
      <c r="CZ26" s="884"/>
      <c r="DA26" s="884"/>
      <c r="DB26" s="884"/>
      <c r="DC26" s="884"/>
      <c r="DD26" s="884"/>
      <c r="DE26" s="884"/>
      <c r="DF26" s="884"/>
      <c r="DG26" s="884"/>
      <c r="DH26" s="884"/>
      <c r="DI26" s="884"/>
      <c r="DJ26" s="884"/>
      <c r="DK26" s="884"/>
      <c r="DL26" s="884"/>
      <c r="DM26" s="884"/>
      <c r="DN26" s="884"/>
      <c r="DO26" s="884"/>
      <c r="DP26" s="884"/>
      <c r="DQ26" s="884"/>
      <c r="DR26" s="884"/>
      <c r="DS26" s="884"/>
      <c r="DT26" s="884"/>
      <c r="DU26" s="884"/>
      <c r="DV26" s="884"/>
      <c r="DW26" s="884"/>
      <c r="DX26" s="884"/>
      <c r="DY26" s="884"/>
      <c r="DZ26" s="884"/>
      <c r="EA26" s="884"/>
      <c r="EB26" s="884"/>
      <c r="EC26" s="884"/>
      <c r="ED26" s="884"/>
      <c r="EE26" s="884"/>
      <c r="EF26" s="884"/>
      <c r="EG26" s="884"/>
      <c r="EH26" s="884"/>
      <c r="EI26" s="884"/>
      <c r="EJ26" s="884"/>
      <c r="EK26" s="884"/>
      <c r="EL26" s="884"/>
      <c r="EM26" s="884"/>
      <c r="EN26" s="884"/>
      <c r="EO26" s="884"/>
      <c r="EP26" s="884"/>
      <c r="EQ26" s="884"/>
      <c r="ER26" s="884"/>
      <c r="ES26" s="884"/>
      <c r="ET26" s="884"/>
      <c r="EU26" s="884"/>
      <c r="EV26" s="884"/>
      <c r="EW26" s="884"/>
      <c r="EX26" s="884"/>
      <c r="EY26" s="884"/>
      <c r="EZ26" s="884"/>
      <c r="FA26" s="884"/>
      <c r="FB26" s="884"/>
      <c r="FC26" s="884"/>
      <c r="FD26" s="884"/>
      <c r="FE26" s="884"/>
      <c r="FF26" s="884"/>
      <c r="FG26" s="884"/>
      <c r="FH26" s="884"/>
      <c r="FI26" s="884"/>
      <c r="FJ26" s="884"/>
      <c r="FK26" s="884"/>
      <c r="FL26" s="884"/>
      <c r="FM26" s="884"/>
      <c r="FN26" s="884"/>
      <c r="FO26" s="884"/>
      <c r="FP26" s="884"/>
      <c r="FQ26" s="884"/>
      <c r="FR26" s="884"/>
      <c r="FS26" s="884"/>
      <c r="FT26" s="884"/>
      <c r="FU26" s="884"/>
      <c r="FV26" s="884"/>
      <c r="FW26" s="884"/>
      <c r="FX26" s="884"/>
      <c r="FY26" s="884"/>
      <c r="FZ26" s="884"/>
      <c r="GA26" s="884"/>
      <c r="GB26" s="884"/>
      <c r="GC26" s="884"/>
      <c r="GD26" s="884"/>
      <c r="GE26" s="884"/>
      <c r="GF26" s="884"/>
      <c r="GG26" s="884"/>
      <c r="GH26" s="884"/>
      <c r="GI26" s="884"/>
      <c r="GJ26" s="884"/>
      <c r="GK26" s="884"/>
      <c r="GL26" s="884"/>
      <c r="GM26" s="884"/>
      <c r="GN26" s="884"/>
      <c r="GO26" s="884"/>
      <c r="GP26" s="884"/>
      <c r="GQ26" s="884"/>
      <c r="GR26" s="884"/>
      <c r="GS26" s="884"/>
      <c r="GT26" s="884"/>
      <c r="GU26" s="884"/>
      <c r="GV26" s="884"/>
      <c r="GW26" s="884"/>
      <c r="GX26" s="884"/>
      <c r="GY26" s="884"/>
      <c r="GZ26" s="884"/>
      <c r="HA26" s="884"/>
      <c r="HB26" s="884"/>
      <c r="HC26" s="884"/>
      <c r="HD26" s="884"/>
      <c r="HE26" s="884"/>
      <c r="HF26" s="884"/>
      <c r="HG26" s="884"/>
      <c r="HH26" s="884"/>
      <c r="HI26" s="884"/>
      <c r="HJ26" s="884"/>
      <c r="HK26" s="884"/>
      <c r="HL26" s="884"/>
      <c r="HM26" s="884"/>
      <c r="HN26" s="884"/>
      <c r="HO26" s="884"/>
      <c r="HP26" s="884"/>
      <c r="HQ26" s="884"/>
      <c r="HR26" s="884"/>
      <c r="HS26" s="884"/>
      <c r="HT26" s="884"/>
      <c r="HU26" s="884"/>
      <c r="HV26" s="884"/>
      <c r="HW26" s="884"/>
      <c r="HX26" s="884"/>
      <c r="HY26" s="884"/>
      <c r="HZ26" s="884"/>
      <c r="IA26" s="884"/>
      <c r="IB26" s="884"/>
      <c r="IC26" s="884"/>
      <c r="ID26" s="884"/>
      <c r="IE26" s="884"/>
      <c r="IF26" s="884"/>
      <c r="IG26" s="884"/>
      <c r="IH26" s="884"/>
      <c r="II26" s="884"/>
      <c r="IJ26" s="884"/>
      <c r="IK26" s="884"/>
      <c r="IL26" s="884"/>
      <c r="IM26" s="884"/>
      <c r="IN26" s="884"/>
      <c r="IO26" s="884"/>
      <c r="IP26" s="884"/>
      <c r="IQ26" s="884"/>
      <c r="IR26" s="884"/>
      <c r="IS26" s="884"/>
      <c r="IT26" s="884"/>
      <c r="IU26" s="884"/>
      <c r="IV26" s="884"/>
    </row>
    <row r="27" spans="1:256" ht="16.5" customHeight="1">
      <c r="A27" s="884" t="s">
        <v>1282</v>
      </c>
      <c r="B27" s="884"/>
      <c r="C27" s="884" t="s">
        <v>16</v>
      </c>
      <c r="D27" s="856">
        <v>23.297000000000001</v>
      </c>
      <c r="E27" s="850"/>
      <c r="F27" s="1396">
        <v>1.075</v>
      </c>
      <c r="G27" s="850"/>
      <c r="H27" s="1396">
        <v>9.8260000000000005</v>
      </c>
      <c r="I27" s="850"/>
      <c r="J27" s="1396">
        <v>0</v>
      </c>
      <c r="K27" s="850"/>
      <c r="L27" s="851">
        <f t="shared" ref="L27:L43" si="0">ROUND(D27+F27-H27+J27,3)</f>
        <v>14.545999999999999</v>
      </c>
      <c r="M27" s="891"/>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4"/>
      <c r="AV27" s="884"/>
      <c r="AW27" s="884"/>
      <c r="AX27" s="884"/>
      <c r="AY27" s="884"/>
      <c r="AZ27" s="884"/>
      <c r="BA27" s="884"/>
      <c r="BB27" s="884"/>
      <c r="BC27" s="884"/>
      <c r="BD27" s="884"/>
      <c r="BE27" s="884"/>
      <c r="BF27" s="884"/>
      <c r="BG27" s="884"/>
      <c r="BH27" s="884"/>
      <c r="BI27" s="884"/>
      <c r="BJ27" s="884"/>
      <c r="BK27" s="884"/>
      <c r="BL27" s="884"/>
      <c r="BM27" s="884"/>
      <c r="BN27" s="884"/>
      <c r="BO27" s="884"/>
      <c r="BP27" s="884"/>
      <c r="BQ27" s="884"/>
      <c r="BR27" s="884"/>
      <c r="BS27" s="884"/>
      <c r="BT27" s="884"/>
      <c r="BU27" s="884"/>
      <c r="BV27" s="884"/>
      <c r="BW27" s="884"/>
      <c r="BX27" s="884"/>
      <c r="BY27" s="884"/>
      <c r="BZ27" s="884"/>
      <c r="CA27" s="884"/>
      <c r="CB27" s="884"/>
      <c r="CC27" s="884"/>
      <c r="CD27" s="884"/>
      <c r="CE27" s="884"/>
      <c r="CF27" s="884"/>
      <c r="CG27" s="884"/>
      <c r="CH27" s="884"/>
      <c r="CI27" s="884"/>
      <c r="CJ27" s="884"/>
      <c r="CK27" s="884"/>
      <c r="CL27" s="884"/>
      <c r="CM27" s="884"/>
      <c r="CN27" s="884"/>
      <c r="CO27" s="884"/>
      <c r="CP27" s="884"/>
      <c r="CQ27" s="884"/>
      <c r="CR27" s="884"/>
      <c r="CS27" s="884"/>
      <c r="CT27" s="884"/>
      <c r="CU27" s="884"/>
      <c r="CV27" s="884"/>
      <c r="CW27" s="884"/>
      <c r="CX27" s="884"/>
      <c r="CY27" s="884"/>
      <c r="CZ27" s="884"/>
      <c r="DA27" s="884"/>
      <c r="DB27" s="884"/>
      <c r="DC27" s="884"/>
      <c r="DD27" s="884"/>
      <c r="DE27" s="884"/>
      <c r="DF27" s="884"/>
      <c r="DG27" s="884"/>
      <c r="DH27" s="884"/>
      <c r="DI27" s="884"/>
      <c r="DJ27" s="884"/>
      <c r="DK27" s="884"/>
      <c r="DL27" s="884"/>
      <c r="DM27" s="884"/>
      <c r="DN27" s="884"/>
      <c r="DO27" s="884"/>
      <c r="DP27" s="884"/>
      <c r="DQ27" s="884"/>
      <c r="DR27" s="884"/>
      <c r="DS27" s="884"/>
      <c r="DT27" s="884"/>
      <c r="DU27" s="884"/>
      <c r="DV27" s="884"/>
      <c r="DW27" s="884"/>
      <c r="DX27" s="884"/>
      <c r="DY27" s="884"/>
      <c r="DZ27" s="884"/>
      <c r="EA27" s="884"/>
      <c r="EB27" s="884"/>
      <c r="EC27" s="884"/>
      <c r="ED27" s="884"/>
      <c r="EE27" s="884"/>
      <c r="EF27" s="884"/>
      <c r="EG27" s="884"/>
      <c r="EH27" s="884"/>
      <c r="EI27" s="884"/>
      <c r="EJ27" s="884"/>
      <c r="EK27" s="884"/>
      <c r="EL27" s="884"/>
      <c r="EM27" s="884"/>
      <c r="EN27" s="884"/>
      <c r="EO27" s="884"/>
      <c r="EP27" s="884"/>
      <c r="EQ27" s="884"/>
      <c r="ER27" s="884"/>
      <c r="ES27" s="884"/>
      <c r="ET27" s="884"/>
      <c r="EU27" s="884"/>
      <c r="EV27" s="884"/>
      <c r="EW27" s="884"/>
      <c r="EX27" s="884"/>
      <c r="EY27" s="884"/>
      <c r="EZ27" s="884"/>
      <c r="FA27" s="884"/>
      <c r="FB27" s="884"/>
      <c r="FC27" s="884"/>
      <c r="FD27" s="884"/>
      <c r="FE27" s="884"/>
      <c r="FF27" s="884"/>
      <c r="FG27" s="884"/>
      <c r="FH27" s="884"/>
      <c r="FI27" s="884"/>
      <c r="FJ27" s="884"/>
      <c r="FK27" s="884"/>
      <c r="FL27" s="884"/>
      <c r="FM27" s="884"/>
      <c r="FN27" s="884"/>
      <c r="FO27" s="884"/>
      <c r="FP27" s="884"/>
      <c r="FQ27" s="884"/>
      <c r="FR27" s="884"/>
      <c r="FS27" s="884"/>
      <c r="FT27" s="884"/>
      <c r="FU27" s="884"/>
      <c r="FV27" s="884"/>
      <c r="FW27" s="884"/>
      <c r="FX27" s="884"/>
      <c r="FY27" s="884"/>
      <c r="FZ27" s="884"/>
      <c r="GA27" s="884"/>
      <c r="GB27" s="884"/>
      <c r="GC27" s="884"/>
      <c r="GD27" s="884"/>
      <c r="GE27" s="884"/>
      <c r="GF27" s="884"/>
      <c r="GG27" s="884"/>
      <c r="GH27" s="884"/>
      <c r="GI27" s="884"/>
      <c r="GJ27" s="884"/>
      <c r="GK27" s="884"/>
      <c r="GL27" s="884"/>
      <c r="GM27" s="884"/>
      <c r="GN27" s="884"/>
      <c r="GO27" s="884"/>
      <c r="GP27" s="884"/>
      <c r="GQ27" s="884"/>
      <c r="GR27" s="884"/>
      <c r="GS27" s="884"/>
      <c r="GT27" s="884"/>
      <c r="GU27" s="884"/>
      <c r="GV27" s="884"/>
      <c r="GW27" s="884"/>
      <c r="GX27" s="884"/>
      <c r="GY27" s="884"/>
      <c r="GZ27" s="884"/>
      <c r="HA27" s="884"/>
      <c r="HB27" s="884"/>
      <c r="HC27" s="884"/>
      <c r="HD27" s="884"/>
      <c r="HE27" s="884"/>
      <c r="HF27" s="884"/>
      <c r="HG27" s="884"/>
      <c r="HH27" s="884"/>
      <c r="HI27" s="884"/>
      <c r="HJ27" s="884"/>
      <c r="HK27" s="884"/>
      <c r="HL27" s="884"/>
      <c r="HM27" s="884"/>
      <c r="HN27" s="884"/>
      <c r="HO27" s="884"/>
      <c r="HP27" s="884"/>
      <c r="HQ27" s="884"/>
      <c r="HR27" s="884"/>
      <c r="HS27" s="884"/>
      <c r="HT27" s="884"/>
      <c r="HU27" s="884"/>
      <c r="HV27" s="884"/>
      <c r="HW27" s="884"/>
      <c r="HX27" s="884"/>
      <c r="HY27" s="884"/>
      <c r="HZ27" s="884"/>
      <c r="IA27" s="884"/>
      <c r="IB27" s="884"/>
      <c r="IC27" s="884"/>
      <c r="ID27" s="884"/>
      <c r="IE27" s="884"/>
      <c r="IF27" s="884"/>
      <c r="IG27" s="884"/>
      <c r="IH27" s="884"/>
      <c r="II27" s="884"/>
      <c r="IJ27" s="884"/>
      <c r="IK27" s="884"/>
      <c r="IL27" s="884"/>
      <c r="IM27" s="884"/>
      <c r="IN27" s="884"/>
      <c r="IO27" s="884"/>
      <c r="IP27" s="884"/>
      <c r="IQ27" s="884"/>
      <c r="IR27" s="884"/>
      <c r="IS27" s="884"/>
      <c r="IT27" s="884"/>
      <c r="IU27" s="884"/>
      <c r="IV27" s="884"/>
    </row>
    <row r="28" spans="1:256" ht="15.75" customHeight="1">
      <c r="A28" s="1387" t="s">
        <v>390</v>
      </c>
      <c r="B28" s="884"/>
      <c r="C28" s="884"/>
      <c r="D28" s="856">
        <v>0.255</v>
      </c>
      <c r="E28" s="850"/>
      <c r="F28" s="1396">
        <v>0.03</v>
      </c>
      <c r="G28" s="1397"/>
      <c r="H28" s="1396">
        <v>0</v>
      </c>
      <c r="I28" s="1397"/>
      <c r="J28" s="1396">
        <v>0</v>
      </c>
      <c r="K28" s="1397"/>
      <c r="L28" s="851">
        <f t="shared" si="0"/>
        <v>0.28499999999999998</v>
      </c>
      <c r="M28" s="891"/>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884"/>
      <c r="AV28" s="884"/>
      <c r="AW28" s="884"/>
      <c r="AX28" s="884"/>
      <c r="AY28" s="884"/>
      <c r="AZ28" s="884"/>
      <c r="BA28" s="884"/>
      <c r="BB28" s="884"/>
      <c r="BC28" s="884"/>
      <c r="BD28" s="884"/>
      <c r="BE28" s="884"/>
      <c r="BF28" s="884"/>
      <c r="BG28" s="884"/>
      <c r="BH28" s="884"/>
      <c r="BI28" s="884"/>
      <c r="BJ28" s="884"/>
      <c r="BK28" s="884"/>
      <c r="BL28" s="884"/>
      <c r="BM28" s="884"/>
      <c r="BN28" s="884"/>
      <c r="BO28" s="884"/>
      <c r="BP28" s="884"/>
      <c r="BQ28" s="884"/>
      <c r="BR28" s="884"/>
      <c r="BS28" s="884"/>
      <c r="BT28" s="884"/>
      <c r="BU28" s="884"/>
      <c r="BV28" s="884"/>
      <c r="BW28" s="884"/>
      <c r="BX28" s="884"/>
      <c r="BY28" s="884"/>
      <c r="BZ28" s="884"/>
      <c r="CA28" s="884"/>
      <c r="CB28" s="884"/>
      <c r="CC28" s="884"/>
      <c r="CD28" s="884"/>
      <c r="CE28" s="884"/>
      <c r="CF28" s="884"/>
      <c r="CG28" s="884"/>
      <c r="CH28" s="884"/>
      <c r="CI28" s="884"/>
      <c r="CJ28" s="884"/>
      <c r="CK28" s="884"/>
      <c r="CL28" s="884"/>
      <c r="CM28" s="884"/>
      <c r="CN28" s="884"/>
      <c r="CO28" s="884"/>
      <c r="CP28" s="884"/>
      <c r="CQ28" s="884"/>
      <c r="CR28" s="884"/>
      <c r="CS28" s="884"/>
      <c r="CT28" s="884"/>
      <c r="CU28" s="884"/>
      <c r="CV28" s="884"/>
      <c r="CW28" s="884"/>
      <c r="CX28" s="884"/>
      <c r="CY28" s="884"/>
      <c r="CZ28" s="884"/>
      <c r="DA28" s="884"/>
      <c r="DB28" s="884"/>
      <c r="DC28" s="884"/>
      <c r="DD28" s="884"/>
      <c r="DE28" s="884"/>
      <c r="DF28" s="884"/>
      <c r="DG28" s="884"/>
      <c r="DH28" s="884"/>
      <c r="DI28" s="884"/>
      <c r="DJ28" s="884"/>
      <c r="DK28" s="884"/>
      <c r="DL28" s="884"/>
      <c r="DM28" s="884"/>
      <c r="DN28" s="884"/>
      <c r="DO28" s="884"/>
      <c r="DP28" s="884"/>
      <c r="DQ28" s="884"/>
      <c r="DR28" s="884"/>
      <c r="DS28" s="884"/>
      <c r="DT28" s="884"/>
      <c r="DU28" s="884"/>
      <c r="DV28" s="884"/>
      <c r="DW28" s="884"/>
      <c r="DX28" s="884"/>
      <c r="DY28" s="884"/>
      <c r="DZ28" s="884"/>
      <c r="EA28" s="884"/>
      <c r="EB28" s="884"/>
      <c r="EC28" s="884"/>
      <c r="ED28" s="884"/>
      <c r="EE28" s="884"/>
      <c r="EF28" s="884"/>
      <c r="EG28" s="884"/>
      <c r="EH28" s="884"/>
      <c r="EI28" s="884"/>
      <c r="EJ28" s="884"/>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84"/>
      <c r="FX28" s="884"/>
      <c r="FY28" s="884"/>
      <c r="FZ28" s="884"/>
      <c r="GA28" s="884"/>
      <c r="GB28" s="884"/>
      <c r="GC28" s="884"/>
      <c r="GD28" s="884"/>
      <c r="GE28" s="884"/>
      <c r="GF28" s="884"/>
      <c r="GG28" s="884"/>
      <c r="GH28" s="884"/>
      <c r="GI28" s="884"/>
      <c r="GJ28" s="884"/>
      <c r="GK28" s="884"/>
      <c r="GL28" s="884"/>
      <c r="GM28" s="884"/>
      <c r="GN28" s="884"/>
      <c r="GO28" s="884"/>
      <c r="GP28" s="884"/>
      <c r="GQ28" s="884"/>
      <c r="GR28" s="884"/>
      <c r="GS28" s="884"/>
      <c r="GT28" s="884"/>
      <c r="GU28" s="884"/>
      <c r="GV28" s="884"/>
      <c r="GW28" s="884"/>
      <c r="GX28" s="884"/>
      <c r="GY28" s="884"/>
      <c r="GZ28" s="884"/>
      <c r="HA28" s="884"/>
      <c r="HB28" s="884"/>
      <c r="HC28" s="884"/>
      <c r="HD28" s="884"/>
      <c r="HE28" s="884"/>
      <c r="HF28" s="884"/>
      <c r="HG28" s="884"/>
      <c r="HH28" s="884"/>
      <c r="HI28" s="884"/>
      <c r="HJ28" s="884"/>
      <c r="HK28" s="884"/>
      <c r="HL28" s="884"/>
      <c r="HM28" s="884"/>
      <c r="HN28" s="884"/>
      <c r="HO28" s="884"/>
      <c r="HP28" s="884"/>
      <c r="HQ28" s="884"/>
      <c r="HR28" s="884"/>
      <c r="HS28" s="884"/>
      <c r="HT28" s="884"/>
      <c r="HU28" s="884"/>
      <c r="HV28" s="884"/>
      <c r="HW28" s="884"/>
      <c r="HX28" s="884"/>
      <c r="HY28" s="884"/>
      <c r="HZ28" s="884"/>
      <c r="IA28" s="884"/>
      <c r="IB28" s="884"/>
      <c r="IC28" s="884"/>
      <c r="ID28" s="884"/>
      <c r="IE28" s="884"/>
      <c r="IF28" s="884"/>
      <c r="IG28" s="884"/>
      <c r="IH28" s="884"/>
      <c r="II28" s="884"/>
      <c r="IJ28" s="884"/>
      <c r="IK28" s="884"/>
      <c r="IL28" s="884"/>
      <c r="IM28" s="884"/>
      <c r="IN28" s="884"/>
      <c r="IO28" s="884"/>
      <c r="IP28" s="884"/>
      <c r="IQ28" s="884"/>
      <c r="IR28" s="884"/>
      <c r="IS28" s="884"/>
      <c r="IT28" s="884"/>
      <c r="IU28" s="884"/>
      <c r="IV28" s="884"/>
    </row>
    <row r="29" spans="1:256" ht="16.5" customHeight="1">
      <c r="A29" s="884" t="s">
        <v>391</v>
      </c>
      <c r="B29" s="884"/>
      <c r="C29" s="884"/>
      <c r="D29" s="856">
        <v>749.21699999999998</v>
      </c>
      <c r="E29" s="850"/>
      <c r="F29" s="1396">
        <v>882.17499999999995</v>
      </c>
      <c r="G29" s="1397"/>
      <c r="H29" s="1396">
        <v>733.25800000000004</v>
      </c>
      <c r="I29" s="1397"/>
      <c r="J29" s="1396">
        <v>0</v>
      </c>
      <c r="K29" s="1397"/>
      <c r="L29" s="851">
        <f t="shared" si="0"/>
        <v>898.13400000000001</v>
      </c>
      <c r="M29" s="891"/>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4"/>
      <c r="AV29" s="884"/>
      <c r="AW29" s="884"/>
      <c r="AX29" s="884"/>
      <c r="AY29" s="884"/>
      <c r="AZ29" s="884"/>
      <c r="BA29" s="884"/>
      <c r="BB29" s="884"/>
      <c r="BC29" s="884"/>
      <c r="BD29" s="884"/>
      <c r="BE29" s="884"/>
      <c r="BF29" s="884"/>
      <c r="BG29" s="884"/>
      <c r="BH29" s="884"/>
      <c r="BI29" s="884"/>
      <c r="BJ29" s="884"/>
      <c r="BK29" s="884"/>
      <c r="BL29" s="884"/>
      <c r="BM29" s="884"/>
      <c r="BN29" s="884"/>
      <c r="BO29" s="884"/>
      <c r="BP29" s="884"/>
      <c r="BQ29" s="884"/>
      <c r="BR29" s="884"/>
      <c r="BS29" s="884"/>
      <c r="BT29" s="884"/>
      <c r="BU29" s="884"/>
      <c r="BV29" s="884"/>
      <c r="BW29" s="884"/>
      <c r="BX29" s="884"/>
      <c r="BY29" s="884"/>
      <c r="BZ29" s="884"/>
      <c r="CA29" s="884"/>
      <c r="CB29" s="884"/>
      <c r="CC29" s="884"/>
      <c r="CD29" s="884"/>
      <c r="CE29" s="884"/>
      <c r="CF29" s="884"/>
      <c r="CG29" s="884"/>
      <c r="CH29" s="884"/>
      <c r="CI29" s="884"/>
      <c r="CJ29" s="884"/>
      <c r="CK29" s="884"/>
      <c r="CL29" s="884"/>
      <c r="CM29" s="884"/>
      <c r="CN29" s="884"/>
      <c r="CO29" s="884"/>
      <c r="CP29" s="884"/>
      <c r="CQ29" s="884"/>
      <c r="CR29" s="884"/>
      <c r="CS29" s="884"/>
      <c r="CT29" s="884"/>
      <c r="CU29" s="884"/>
      <c r="CV29" s="884"/>
      <c r="CW29" s="884"/>
      <c r="CX29" s="884"/>
      <c r="CY29" s="884"/>
      <c r="CZ29" s="884"/>
      <c r="DA29" s="884"/>
      <c r="DB29" s="884"/>
      <c r="DC29" s="884"/>
      <c r="DD29" s="884"/>
      <c r="DE29" s="884"/>
      <c r="DF29" s="884"/>
      <c r="DG29" s="884"/>
      <c r="DH29" s="884"/>
      <c r="DI29" s="884"/>
      <c r="DJ29" s="884"/>
      <c r="DK29" s="884"/>
      <c r="DL29" s="884"/>
      <c r="DM29" s="884"/>
      <c r="DN29" s="884"/>
      <c r="DO29" s="884"/>
      <c r="DP29" s="884"/>
      <c r="DQ29" s="884"/>
      <c r="DR29" s="884"/>
      <c r="DS29" s="884"/>
      <c r="DT29" s="884"/>
      <c r="DU29" s="884"/>
      <c r="DV29" s="884"/>
      <c r="DW29" s="884"/>
      <c r="DX29" s="884"/>
      <c r="DY29" s="884"/>
      <c r="DZ29" s="884"/>
      <c r="EA29" s="884"/>
      <c r="EB29" s="884"/>
      <c r="EC29" s="884"/>
      <c r="ED29" s="884"/>
      <c r="EE29" s="884"/>
      <c r="EF29" s="884"/>
      <c r="EG29" s="884"/>
      <c r="EH29" s="884"/>
      <c r="EI29" s="884"/>
      <c r="EJ29" s="884"/>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84"/>
      <c r="FX29" s="884"/>
      <c r="FY29" s="884"/>
      <c r="FZ29" s="884"/>
      <c r="GA29" s="884"/>
      <c r="GB29" s="884"/>
      <c r="GC29" s="884"/>
      <c r="GD29" s="884"/>
      <c r="GE29" s="884"/>
      <c r="GF29" s="884"/>
      <c r="GG29" s="884"/>
      <c r="GH29" s="884"/>
      <c r="GI29" s="884"/>
      <c r="GJ29" s="884"/>
      <c r="GK29" s="884"/>
      <c r="GL29" s="884"/>
      <c r="GM29" s="884"/>
      <c r="GN29" s="884"/>
      <c r="GO29" s="884"/>
      <c r="GP29" s="884"/>
      <c r="GQ29" s="884"/>
      <c r="GR29" s="884"/>
      <c r="GS29" s="884"/>
      <c r="GT29" s="884"/>
      <c r="GU29" s="884"/>
      <c r="GV29" s="884"/>
      <c r="GW29" s="884"/>
      <c r="GX29" s="884"/>
      <c r="GY29" s="884"/>
      <c r="GZ29" s="884"/>
      <c r="HA29" s="884"/>
      <c r="HB29" s="884"/>
      <c r="HC29" s="884"/>
      <c r="HD29" s="884"/>
      <c r="HE29" s="884"/>
      <c r="HF29" s="884"/>
      <c r="HG29" s="884"/>
      <c r="HH29" s="884"/>
      <c r="HI29" s="884"/>
      <c r="HJ29" s="884"/>
      <c r="HK29" s="884"/>
      <c r="HL29" s="884"/>
      <c r="HM29" s="884"/>
      <c r="HN29" s="884"/>
      <c r="HO29" s="884"/>
      <c r="HP29" s="884"/>
      <c r="HQ29" s="884"/>
      <c r="HR29" s="884"/>
      <c r="HS29" s="884"/>
      <c r="HT29" s="884"/>
      <c r="HU29" s="884"/>
      <c r="HV29" s="884"/>
      <c r="HW29" s="884"/>
      <c r="HX29" s="884"/>
      <c r="HY29" s="884"/>
      <c r="HZ29" s="884"/>
      <c r="IA29" s="884"/>
      <c r="IB29" s="884"/>
      <c r="IC29" s="884"/>
      <c r="ID29" s="884"/>
      <c r="IE29" s="884"/>
      <c r="IF29" s="884"/>
      <c r="IG29" s="884"/>
      <c r="IH29" s="884"/>
      <c r="II29" s="884"/>
      <c r="IJ29" s="884"/>
      <c r="IK29" s="884"/>
      <c r="IL29" s="884"/>
      <c r="IM29" s="884"/>
      <c r="IN29" s="884"/>
      <c r="IO29" s="884"/>
      <c r="IP29" s="884"/>
      <c r="IQ29" s="884"/>
      <c r="IR29" s="884"/>
      <c r="IS29" s="884"/>
      <c r="IT29" s="884"/>
      <c r="IU29" s="884"/>
      <c r="IV29" s="884"/>
    </row>
    <row r="30" spans="1:256" ht="16.5" customHeight="1">
      <c r="A30" s="884" t="s">
        <v>392</v>
      </c>
      <c r="B30" s="884"/>
      <c r="C30" s="884" t="s">
        <v>16</v>
      </c>
      <c r="D30" s="856">
        <v>15.077</v>
      </c>
      <c r="E30" s="850"/>
      <c r="F30" s="1396">
        <v>88.72</v>
      </c>
      <c r="G30" s="1397"/>
      <c r="H30" s="1396">
        <v>88.72</v>
      </c>
      <c r="I30" s="1397"/>
      <c r="J30" s="1396">
        <v>0</v>
      </c>
      <c r="K30" s="1397"/>
      <c r="L30" s="851">
        <f t="shared" si="0"/>
        <v>15.077</v>
      </c>
      <c r="M30" s="891"/>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c r="BW30" s="884"/>
      <c r="BX30" s="884"/>
      <c r="BY30" s="884"/>
      <c r="BZ30" s="884"/>
      <c r="CA30" s="884"/>
      <c r="CB30" s="884"/>
      <c r="CC30" s="884"/>
      <c r="CD30" s="884"/>
      <c r="CE30" s="884"/>
      <c r="CF30" s="884"/>
      <c r="CG30" s="884"/>
      <c r="CH30" s="884"/>
      <c r="CI30" s="884"/>
      <c r="CJ30" s="884"/>
      <c r="CK30" s="884"/>
      <c r="CL30" s="884"/>
      <c r="CM30" s="884"/>
      <c r="CN30" s="884"/>
      <c r="CO30" s="884"/>
      <c r="CP30" s="884"/>
      <c r="CQ30" s="884"/>
      <c r="CR30" s="884"/>
      <c r="CS30" s="884"/>
      <c r="CT30" s="884"/>
      <c r="CU30" s="884"/>
      <c r="CV30" s="884"/>
      <c r="CW30" s="884"/>
      <c r="CX30" s="884"/>
      <c r="CY30" s="884"/>
      <c r="CZ30" s="884"/>
      <c r="DA30" s="884"/>
      <c r="DB30" s="884"/>
      <c r="DC30" s="884"/>
      <c r="DD30" s="884"/>
      <c r="DE30" s="884"/>
      <c r="DF30" s="884"/>
      <c r="DG30" s="884"/>
      <c r="DH30" s="884"/>
      <c r="DI30" s="884"/>
      <c r="DJ30" s="884"/>
      <c r="DK30" s="884"/>
      <c r="DL30" s="884"/>
      <c r="DM30" s="884"/>
      <c r="DN30" s="884"/>
      <c r="DO30" s="884"/>
      <c r="DP30" s="884"/>
      <c r="DQ30" s="884"/>
      <c r="DR30" s="884"/>
      <c r="DS30" s="884"/>
      <c r="DT30" s="884"/>
      <c r="DU30" s="884"/>
      <c r="DV30" s="884"/>
      <c r="DW30" s="884"/>
      <c r="DX30" s="884"/>
      <c r="DY30" s="884"/>
      <c r="DZ30" s="884"/>
      <c r="EA30" s="884"/>
      <c r="EB30" s="884"/>
      <c r="EC30" s="884"/>
      <c r="ED30" s="884"/>
      <c r="EE30" s="884"/>
      <c r="EF30" s="884"/>
      <c r="EG30" s="884"/>
      <c r="EH30" s="884"/>
      <c r="EI30" s="884"/>
      <c r="EJ30" s="884"/>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84"/>
      <c r="FX30" s="884"/>
      <c r="FY30" s="884"/>
      <c r="FZ30" s="884"/>
      <c r="GA30" s="884"/>
      <c r="GB30" s="884"/>
      <c r="GC30" s="884"/>
      <c r="GD30" s="884"/>
      <c r="GE30" s="884"/>
      <c r="GF30" s="884"/>
      <c r="GG30" s="884"/>
      <c r="GH30" s="884"/>
      <c r="GI30" s="884"/>
      <c r="GJ30" s="884"/>
      <c r="GK30" s="884"/>
      <c r="GL30" s="884"/>
      <c r="GM30" s="884"/>
      <c r="GN30" s="884"/>
      <c r="GO30" s="884"/>
      <c r="GP30" s="884"/>
      <c r="GQ30" s="884"/>
      <c r="GR30" s="884"/>
      <c r="GS30" s="884"/>
      <c r="GT30" s="884"/>
      <c r="GU30" s="884"/>
      <c r="GV30" s="884"/>
      <c r="GW30" s="884"/>
      <c r="GX30" s="884"/>
      <c r="GY30" s="884"/>
      <c r="GZ30" s="884"/>
      <c r="HA30" s="884"/>
      <c r="HB30" s="884"/>
      <c r="HC30" s="884"/>
      <c r="HD30" s="884"/>
      <c r="HE30" s="884"/>
      <c r="HF30" s="884"/>
      <c r="HG30" s="884"/>
      <c r="HH30" s="884"/>
      <c r="HI30" s="884"/>
      <c r="HJ30" s="884"/>
      <c r="HK30" s="884"/>
      <c r="HL30" s="884"/>
      <c r="HM30" s="884"/>
      <c r="HN30" s="884"/>
      <c r="HO30" s="884"/>
      <c r="HP30" s="884"/>
      <c r="HQ30" s="884"/>
      <c r="HR30" s="884"/>
      <c r="HS30" s="884"/>
      <c r="HT30" s="884"/>
      <c r="HU30" s="884"/>
      <c r="HV30" s="884"/>
      <c r="HW30" s="884"/>
      <c r="HX30" s="884"/>
      <c r="HY30" s="884"/>
      <c r="HZ30" s="884"/>
      <c r="IA30" s="884"/>
      <c r="IB30" s="884"/>
      <c r="IC30" s="884"/>
      <c r="ID30" s="884"/>
      <c r="IE30" s="884"/>
      <c r="IF30" s="884"/>
      <c r="IG30" s="884"/>
      <c r="IH30" s="884"/>
      <c r="II30" s="884"/>
      <c r="IJ30" s="884"/>
      <c r="IK30" s="884"/>
      <c r="IL30" s="884"/>
      <c r="IM30" s="884"/>
      <c r="IN30" s="884"/>
      <c r="IO30" s="884"/>
      <c r="IP30" s="884"/>
      <c r="IQ30" s="884"/>
      <c r="IR30" s="884"/>
      <c r="IS30" s="884"/>
      <c r="IT30" s="884"/>
      <c r="IU30" s="884"/>
      <c r="IV30" s="884"/>
    </row>
    <row r="31" spans="1:256" ht="16.5" customHeight="1">
      <c r="A31" s="884" t="s">
        <v>1296</v>
      </c>
      <c r="B31" s="884"/>
      <c r="C31" s="884"/>
      <c r="D31" s="856">
        <v>32.673000000000002</v>
      </c>
      <c r="E31" s="850"/>
      <c r="F31" s="1396">
        <v>336.90499999999997</v>
      </c>
      <c r="G31" s="1397"/>
      <c r="H31" s="1396">
        <v>350.08199999999999</v>
      </c>
      <c r="I31" s="1397"/>
      <c r="J31" s="1396">
        <v>0</v>
      </c>
      <c r="K31" s="1397"/>
      <c r="L31" s="851">
        <f t="shared" si="0"/>
        <v>19.495999999999999</v>
      </c>
      <c r="M31" s="891"/>
      <c r="N31" s="752"/>
      <c r="O31" s="884"/>
      <c r="P31" s="884"/>
      <c r="Q31" s="884"/>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c r="BW31" s="884"/>
      <c r="BX31" s="884"/>
      <c r="BY31" s="884"/>
      <c r="BZ31" s="884"/>
      <c r="CA31" s="884"/>
      <c r="CB31" s="884"/>
      <c r="CC31" s="884"/>
      <c r="CD31" s="884"/>
      <c r="CE31" s="884"/>
      <c r="CF31" s="884"/>
      <c r="CG31" s="884"/>
      <c r="CH31" s="884"/>
      <c r="CI31" s="884"/>
      <c r="CJ31" s="884"/>
      <c r="CK31" s="884"/>
      <c r="CL31" s="884"/>
      <c r="CM31" s="884"/>
      <c r="CN31" s="884"/>
      <c r="CO31" s="884"/>
      <c r="CP31" s="884"/>
      <c r="CQ31" s="884"/>
      <c r="CR31" s="884"/>
      <c r="CS31" s="884"/>
      <c r="CT31" s="884"/>
      <c r="CU31" s="884"/>
      <c r="CV31" s="884"/>
      <c r="CW31" s="884"/>
      <c r="CX31" s="884"/>
      <c r="CY31" s="884"/>
      <c r="CZ31" s="884"/>
      <c r="DA31" s="884"/>
      <c r="DB31" s="884"/>
      <c r="DC31" s="884"/>
      <c r="DD31" s="884"/>
      <c r="DE31" s="884"/>
      <c r="DF31" s="884"/>
      <c r="DG31" s="884"/>
      <c r="DH31" s="884"/>
      <c r="DI31" s="884"/>
      <c r="DJ31" s="884"/>
      <c r="DK31" s="884"/>
      <c r="DL31" s="884"/>
      <c r="DM31" s="884"/>
      <c r="DN31" s="884"/>
      <c r="DO31" s="884"/>
      <c r="DP31" s="884"/>
      <c r="DQ31" s="884"/>
      <c r="DR31" s="884"/>
      <c r="DS31" s="884"/>
      <c r="DT31" s="884"/>
      <c r="DU31" s="884"/>
      <c r="DV31" s="884"/>
      <c r="DW31" s="884"/>
      <c r="DX31" s="884"/>
      <c r="DY31" s="884"/>
      <c r="DZ31" s="884"/>
      <c r="EA31" s="884"/>
      <c r="EB31" s="884"/>
      <c r="EC31" s="884"/>
      <c r="ED31" s="884"/>
      <c r="EE31" s="884"/>
      <c r="EF31" s="884"/>
      <c r="EG31" s="884"/>
      <c r="EH31" s="884"/>
      <c r="EI31" s="884"/>
      <c r="EJ31" s="884"/>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84"/>
      <c r="FX31" s="884"/>
      <c r="FY31" s="884"/>
      <c r="FZ31" s="884"/>
      <c r="GA31" s="884"/>
      <c r="GB31" s="884"/>
      <c r="GC31" s="884"/>
      <c r="GD31" s="884"/>
      <c r="GE31" s="884"/>
      <c r="GF31" s="884"/>
      <c r="GG31" s="884"/>
      <c r="GH31" s="884"/>
      <c r="GI31" s="884"/>
      <c r="GJ31" s="884"/>
      <c r="GK31" s="884"/>
      <c r="GL31" s="884"/>
      <c r="GM31" s="884"/>
      <c r="GN31" s="884"/>
      <c r="GO31" s="884"/>
      <c r="GP31" s="884"/>
      <c r="GQ31" s="884"/>
      <c r="GR31" s="884"/>
      <c r="GS31" s="884"/>
      <c r="GT31" s="884"/>
      <c r="GU31" s="884"/>
      <c r="GV31" s="884"/>
      <c r="GW31" s="884"/>
      <c r="GX31" s="884"/>
      <c r="GY31" s="884"/>
      <c r="GZ31" s="884"/>
      <c r="HA31" s="884"/>
      <c r="HB31" s="884"/>
      <c r="HC31" s="884"/>
      <c r="HD31" s="884"/>
      <c r="HE31" s="884"/>
      <c r="HF31" s="884"/>
      <c r="HG31" s="884"/>
      <c r="HH31" s="884"/>
      <c r="HI31" s="884"/>
      <c r="HJ31" s="884"/>
      <c r="HK31" s="884"/>
      <c r="HL31" s="884"/>
      <c r="HM31" s="884"/>
      <c r="HN31" s="884"/>
      <c r="HO31" s="884"/>
      <c r="HP31" s="884"/>
      <c r="HQ31" s="884"/>
      <c r="HR31" s="884"/>
      <c r="HS31" s="884"/>
      <c r="HT31" s="884"/>
      <c r="HU31" s="884"/>
      <c r="HV31" s="884"/>
      <c r="HW31" s="884"/>
      <c r="HX31" s="884"/>
      <c r="HY31" s="884"/>
      <c r="HZ31" s="884"/>
      <c r="IA31" s="884"/>
      <c r="IB31" s="884"/>
      <c r="IC31" s="884"/>
      <c r="ID31" s="884"/>
      <c r="IE31" s="884"/>
      <c r="IF31" s="884"/>
      <c r="IG31" s="884"/>
      <c r="IH31" s="884"/>
      <c r="II31" s="884"/>
      <c r="IJ31" s="884"/>
      <c r="IK31" s="884"/>
      <c r="IL31" s="884"/>
      <c r="IM31" s="884"/>
      <c r="IN31" s="884"/>
      <c r="IO31" s="884"/>
      <c r="IP31" s="884"/>
      <c r="IQ31" s="884"/>
      <c r="IR31" s="884"/>
      <c r="IS31" s="884"/>
      <c r="IT31" s="884"/>
      <c r="IU31" s="884"/>
      <c r="IV31" s="884"/>
    </row>
    <row r="32" spans="1:256" ht="16.5" customHeight="1">
      <c r="A32" s="884" t="s">
        <v>393</v>
      </c>
      <c r="B32" s="884"/>
      <c r="C32" s="884" t="s">
        <v>16</v>
      </c>
      <c r="D32" s="856">
        <v>6.7539999999999996</v>
      </c>
      <c r="E32" s="850"/>
      <c r="F32" s="1396">
        <v>9.6029999999999998</v>
      </c>
      <c r="G32" s="1397"/>
      <c r="H32" s="1396">
        <v>5.7619999999999996</v>
      </c>
      <c r="I32" s="1397"/>
      <c r="J32" s="1396">
        <v>0</v>
      </c>
      <c r="K32" s="1397"/>
      <c r="L32" s="851">
        <f t="shared" si="0"/>
        <v>10.595000000000001</v>
      </c>
      <c r="M32" s="891"/>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4"/>
      <c r="AK32" s="884"/>
      <c r="AL32" s="884"/>
      <c r="AM32" s="884"/>
      <c r="AN32" s="884"/>
      <c r="AO32" s="884"/>
      <c r="AP32" s="884"/>
      <c r="AQ32" s="884"/>
      <c r="AR32" s="884"/>
      <c r="AS32" s="884"/>
      <c r="AT32" s="884"/>
      <c r="AU32" s="884"/>
      <c r="AV32" s="884"/>
      <c r="AW32" s="884"/>
      <c r="AX32" s="884"/>
      <c r="AY32" s="884"/>
      <c r="AZ32" s="884"/>
      <c r="BA32" s="884"/>
      <c r="BB32" s="884"/>
      <c r="BC32" s="884"/>
      <c r="BD32" s="884"/>
      <c r="BE32" s="884"/>
      <c r="BF32" s="884"/>
      <c r="BG32" s="884"/>
      <c r="BH32" s="884"/>
      <c r="BI32" s="884"/>
      <c r="BJ32" s="884"/>
      <c r="BK32" s="884"/>
      <c r="BL32" s="884"/>
      <c r="BM32" s="884"/>
      <c r="BN32" s="884"/>
      <c r="BO32" s="884"/>
      <c r="BP32" s="884"/>
      <c r="BQ32" s="884"/>
      <c r="BR32" s="884"/>
      <c r="BS32" s="884"/>
      <c r="BT32" s="884"/>
      <c r="BU32" s="884"/>
      <c r="BV32" s="884"/>
      <c r="BW32" s="884"/>
      <c r="BX32" s="884"/>
      <c r="BY32" s="884"/>
      <c r="BZ32" s="884"/>
      <c r="CA32" s="884"/>
      <c r="CB32" s="884"/>
      <c r="CC32" s="884"/>
      <c r="CD32" s="884"/>
      <c r="CE32" s="884"/>
      <c r="CF32" s="884"/>
      <c r="CG32" s="884"/>
      <c r="CH32" s="884"/>
      <c r="CI32" s="884"/>
      <c r="CJ32" s="884"/>
      <c r="CK32" s="884"/>
      <c r="CL32" s="884"/>
      <c r="CM32" s="884"/>
      <c r="CN32" s="884"/>
      <c r="CO32" s="884"/>
      <c r="CP32" s="884"/>
      <c r="CQ32" s="884"/>
      <c r="CR32" s="884"/>
      <c r="CS32" s="884"/>
      <c r="CT32" s="884"/>
      <c r="CU32" s="884"/>
      <c r="CV32" s="884"/>
      <c r="CW32" s="884"/>
      <c r="CX32" s="884"/>
      <c r="CY32" s="884"/>
      <c r="CZ32" s="884"/>
      <c r="DA32" s="884"/>
      <c r="DB32" s="884"/>
      <c r="DC32" s="884"/>
      <c r="DD32" s="884"/>
      <c r="DE32" s="884"/>
      <c r="DF32" s="884"/>
      <c r="DG32" s="884"/>
      <c r="DH32" s="884"/>
      <c r="DI32" s="884"/>
      <c r="DJ32" s="884"/>
      <c r="DK32" s="884"/>
      <c r="DL32" s="884"/>
      <c r="DM32" s="884"/>
      <c r="DN32" s="884"/>
      <c r="DO32" s="884"/>
      <c r="DP32" s="884"/>
      <c r="DQ32" s="884"/>
      <c r="DR32" s="884"/>
      <c r="DS32" s="884"/>
      <c r="DT32" s="884"/>
      <c r="DU32" s="884"/>
      <c r="DV32" s="884"/>
      <c r="DW32" s="884"/>
      <c r="DX32" s="884"/>
      <c r="DY32" s="884"/>
      <c r="DZ32" s="884"/>
      <c r="EA32" s="884"/>
      <c r="EB32" s="884"/>
      <c r="EC32" s="884"/>
      <c r="ED32" s="884"/>
      <c r="EE32" s="884"/>
      <c r="EF32" s="884"/>
      <c r="EG32" s="884"/>
      <c r="EH32" s="884"/>
      <c r="EI32" s="884"/>
      <c r="EJ32" s="884"/>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84"/>
      <c r="FX32" s="884"/>
      <c r="FY32" s="884"/>
      <c r="FZ32" s="884"/>
      <c r="GA32" s="884"/>
      <c r="GB32" s="884"/>
      <c r="GC32" s="884"/>
      <c r="GD32" s="884"/>
      <c r="GE32" s="884"/>
      <c r="GF32" s="884"/>
      <c r="GG32" s="884"/>
      <c r="GH32" s="884"/>
      <c r="GI32" s="884"/>
      <c r="GJ32" s="884"/>
      <c r="GK32" s="884"/>
      <c r="GL32" s="884"/>
      <c r="GM32" s="884"/>
      <c r="GN32" s="884"/>
      <c r="GO32" s="884"/>
      <c r="GP32" s="884"/>
      <c r="GQ32" s="884"/>
      <c r="GR32" s="884"/>
      <c r="GS32" s="884"/>
      <c r="GT32" s="884"/>
      <c r="GU32" s="884"/>
      <c r="GV32" s="884"/>
      <c r="GW32" s="884"/>
      <c r="GX32" s="884"/>
      <c r="GY32" s="884"/>
      <c r="GZ32" s="884"/>
      <c r="HA32" s="884"/>
      <c r="HB32" s="884"/>
      <c r="HC32" s="884"/>
      <c r="HD32" s="884"/>
      <c r="HE32" s="884"/>
      <c r="HF32" s="884"/>
      <c r="HG32" s="884"/>
      <c r="HH32" s="884"/>
      <c r="HI32" s="884"/>
      <c r="HJ32" s="884"/>
      <c r="HK32" s="884"/>
      <c r="HL32" s="884"/>
      <c r="HM32" s="884"/>
      <c r="HN32" s="884"/>
      <c r="HO32" s="884"/>
      <c r="HP32" s="884"/>
      <c r="HQ32" s="884"/>
      <c r="HR32" s="884"/>
      <c r="HS32" s="884"/>
      <c r="HT32" s="884"/>
      <c r="HU32" s="884"/>
      <c r="HV32" s="884"/>
      <c r="HW32" s="884"/>
      <c r="HX32" s="884"/>
      <c r="HY32" s="884"/>
      <c r="HZ32" s="884"/>
      <c r="IA32" s="884"/>
      <c r="IB32" s="884"/>
      <c r="IC32" s="884"/>
      <c r="ID32" s="884"/>
      <c r="IE32" s="884"/>
      <c r="IF32" s="884"/>
      <c r="IG32" s="884"/>
      <c r="IH32" s="884"/>
      <c r="II32" s="884"/>
      <c r="IJ32" s="884"/>
      <c r="IK32" s="884"/>
      <c r="IL32" s="884"/>
      <c r="IM32" s="884"/>
      <c r="IN32" s="884"/>
      <c r="IO32" s="884"/>
      <c r="IP32" s="884"/>
      <c r="IQ32" s="884"/>
      <c r="IR32" s="884"/>
      <c r="IS32" s="884"/>
      <c r="IT32" s="884"/>
      <c r="IU32" s="884"/>
      <c r="IV32" s="884"/>
    </row>
    <row r="33" spans="1:256" ht="15.75" customHeight="1">
      <c r="A33" s="884" t="s">
        <v>394</v>
      </c>
      <c r="B33" s="884"/>
      <c r="C33" s="884"/>
      <c r="D33" s="856">
        <v>0.52500000000000002</v>
      </c>
      <c r="E33" s="850"/>
      <c r="F33" s="1396">
        <v>0.73799999999999999</v>
      </c>
      <c r="G33" s="1397"/>
      <c r="H33" s="1396">
        <v>0.82799999999999996</v>
      </c>
      <c r="I33" s="1397"/>
      <c r="J33" s="1396">
        <v>0</v>
      </c>
      <c r="K33" s="1397"/>
      <c r="L33" s="851">
        <f t="shared" si="0"/>
        <v>0.435</v>
      </c>
      <c r="M33" s="891"/>
      <c r="N33" s="884"/>
      <c r="O33" s="884"/>
      <c r="P33" s="884"/>
      <c r="Q33" s="884"/>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4"/>
      <c r="BE33" s="884"/>
      <c r="BF33" s="884"/>
      <c r="BG33" s="884"/>
      <c r="BH33" s="884"/>
      <c r="BI33" s="884"/>
      <c r="BJ33" s="884"/>
      <c r="BK33" s="884"/>
      <c r="BL33" s="884"/>
      <c r="BM33" s="884"/>
      <c r="BN33" s="884"/>
      <c r="BO33" s="884"/>
      <c r="BP33" s="884"/>
      <c r="BQ33" s="884"/>
      <c r="BR33" s="884"/>
      <c r="BS33" s="884"/>
      <c r="BT33" s="884"/>
      <c r="BU33" s="884"/>
      <c r="BV33" s="884"/>
      <c r="BW33" s="884"/>
      <c r="BX33" s="884"/>
      <c r="BY33" s="884"/>
      <c r="BZ33" s="884"/>
      <c r="CA33" s="884"/>
      <c r="CB33" s="884"/>
      <c r="CC33" s="884"/>
      <c r="CD33" s="884"/>
      <c r="CE33" s="884"/>
      <c r="CF33" s="884"/>
      <c r="CG33" s="884"/>
      <c r="CH33" s="884"/>
      <c r="CI33" s="884"/>
      <c r="CJ33" s="884"/>
      <c r="CK33" s="884"/>
      <c r="CL33" s="884"/>
      <c r="CM33" s="884"/>
      <c r="CN33" s="884"/>
      <c r="CO33" s="884"/>
      <c r="CP33" s="884"/>
      <c r="CQ33" s="884"/>
      <c r="CR33" s="884"/>
      <c r="CS33" s="884"/>
      <c r="CT33" s="884"/>
      <c r="CU33" s="884"/>
      <c r="CV33" s="884"/>
      <c r="CW33" s="884"/>
      <c r="CX33" s="884"/>
      <c r="CY33" s="884"/>
      <c r="CZ33" s="884"/>
      <c r="DA33" s="884"/>
      <c r="DB33" s="884"/>
      <c r="DC33" s="884"/>
      <c r="DD33" s="884"/>
      <c r="DE33" s="884"/>
      <c r="DF33" s="884"/>
      <c r="DG33" s="884"/>
      <c r="DH33" s="884"/>
      <c r="DI33" s="884"/>
      <c r="DJ33" s="884"/>
      <c r="DK33" s="884"/>
      <c r="DL33" s="884"/>
      <c r="DM33" s="884"/>
      <c r="DN33" s="884"/>
      <c r="DO33" s="884"/>
      <c r="DP33" s="884"/>
      <c r="DQ33" s="884"/>
      <c r="DR33" s="884"/>
      <c r="DS33" s="884"/>
      <c r="DT33" s="884"/>
      <c r="DU33" s="884"/>
      <c r="DV33" s="884"/>
      <c r="DW33" s="884"/>
      <c r="DX33" s="884"/>
      <c r="DY33" s="884"/>
      <c r="DZ33" s="884"/>
      <c r="EA33" s="884"/>
      <c r="EB33" s="884"/>
      <c r="EC33" s="884"/>
      <c r="ED33" s="884"/>
      <c r="EE33" s="884"/>
      <c r="EF33" s="884"/>
      <c r="EG33" s="884"/>
      <c r="EH33" s="884"/>
      <c r="EI33" s="884"/>
      <c r="EJ33" s="884"/>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84"/>
      <c r="FX33" s="884"/>
      <c r="FY33" s="884"/>
      <c r="FZ33" s="884"/>
      <c r="GA33" s="884"/>
      <c r="GB33" s="884"/>
      <c r="GC33" s="884"/>
      <c r="GD33" s="884"/>
      <c r="GE33" s="884"/>
      <c r="GF33" s="884"/>
      <c r="GG33" s="884"/>
      <c r="GH33" s="884"/>
      <c r="GI33" s="884"/>
      <c r="GJ33" s="884"/>
      <c r="GK33" s="884"/>
      <c r="GL33" s="884"/>
      <c r="GM33" s="884"/>
      <c r="GN33" s="884"/>
      <c r="GO33" s="884"/>
      <c r="GP33" s="884"/>
      <c r="GQ33" s="884"/>
      <c r="GR33" s="884"/>
      <c r="GS33" s="884"/>
      <c r="GT33" s="884"/>
      <c r="GU33" s="884"/>
      <c r="GV33" s="884"/>
      <c r="GW33" s="884"/>
      <c r="GX33" s="884"/>
      <c r="GY33" s="884"/>
      <c r="GZ33" s="884"/>
      <c r="HA33" s="884"/>
      <c r="HB33" s="884"/>
      <c r="HC33" s="884"/>
      <c r="HD33" s="884"/>
      <c r="HE33" s="884"/>
      <c r="HF33" s="884"/>
      <c r="HG33" s="884"/>
      <c r="HH33" s="884"/>
      <c r="HI33" s="884"/>
      <c r="HJ33" s="884"/>
      <c r="HK33" s="884"/>
      <c r="HL33" s="884"/>
      <c r="HM33" s="884"/>
      <c r="HN33" s="884"/>
      <c r="HO33" s="884"/>
      <c r="HP33" s="884"/>
      <c r="HQ33" s="884"/>
      <c r="HR33" s="884"/>
      <c r="HS33" s="884"/>
      <c r="HT33" s="884"/>
      <c r="HU33" s="884"/>
      <c r="HV33" s="884"/>
      <c r="HW33" s="884"/>
      <c r="HX33" s="884"/>
      <c r="HY33" s="884"/>
      <c r="HZ33" s="884"/>
      <c r="IA33" s="884"/>
      <c r="IB33" s="884"/>
      <c r="IC33" s="884"/>
      <c r="ID33" s="884"/>
      <c r="IE33" s="884"/>
      <c r="IF33" s="884"/>
      <c r="IG33" s="884"/>
      <c r="IH33" s="884"/>
      <c r="II33" s="884"/>
      <c r="IJ33" s="884"/>
      <c r="IK33" s="884"/>
      <c r="IL33" s="884"/>
      <c r="IM33" s="884"/>
      <c r="IN33" s="884"/>
      <c r="IO33" s="884"/>
      <c r="IP33" s="884"/>
      <c r="IQ33" s="884"/>
      <c r="IR33" s="884"/>
      <c r="IS33" s="884"/>
      <c r="IT33" s="884"/>
      <c r="IU33" s="884"/>
      <c r="IV33" s="884"/>
    </row>
    <row r="34" spans="1:256" ht="15.75" customHeight="1">
      <c r="A34" s="884" t="s">
        <v>395</v>
      </c>
      <c r="B34" s="884"/>
      <c r="C34" s="884"/>
      <c r="D34" s="856">
        <v>474.12900000000002</v>
      </c>
      <c r="E34" s="850"/>
      <c r="F34" s="1396">
        <v>102.69</v>
      </c>
      <c r="G34" s="1397"/>
      <c r="H34" s="1396">
        <v>101.55200000000001</v>
      </c>
      <c r="I34" s="1397"/>
      <c r="J34" s="1396">
        <v>0</v>
      </c>
      <c r="K34" s="1397"/>
      <c r="L34" s="851">
        <f t="shared" si="0"/>
        <v>475.267</v>
      </c>
      <c r="M34" s="896"/>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4"/>
      <c r="BU34" s="884"/>
      <c r="BV34" s="884"/>
      <c r="BW34" s="884"/>
      <c r="BX34" s="884"/>
      <c r="BY34" s="884"/>
      <c r="BZ34" s="884"/>
      <c r="CA34" s="884"/>
      <c r="CB34" s="884"/>
      <c r="CC34" s="884"/>
      <c r="CD34" s="884"/>
      <c r="CE34" s="884"/>
      <c r="CF34" s="884"/>
      <c r="CG34" s="884"/>
      <c r="CH34" s="884"/>
      <c r="CI34" s="884"/>
      <c r="CJ34" s="884"/>
      <c r="CK34" s="884"/>
      <c r="CL34" s="884"/>
      <c r="CM34" s="884"/>
      <c r="CN34" s="884"/>
      <c r="CO34" s="884"/>
      <c r="CP34" s="884"/>
      <c r="CQ34" s="884"/>
      <c r="CR34" s="884"/>
      <c r="CS34" s="884"/>
      <c r="CT34" s="884"/>
      <c r="CU34" s="884"/>
      <c r="CV34" s="884"/>
      <c r="CW34" s="884"/>
      <c r="CX34" s="884"/>
      <c r="CY34" s="884"/>
      <c r="CZ34" s="884"/>
      <c r="DA34" s="884"/>
      <c r="DB34" s="884"/>
      <c r="DC34" s="884"/>
      <c r="DD34" s="884"/>
      <c r="DE34" s="884"/>
      <c r="DF34" s="884"/>
      <c r="DG34" s="884"/>
      <c r="DH34" s="884"/>
      <c r="DI34" s="884"/>
      <c r="DJ34" s="884"/>
      <c r="DK34" s="884"/>
      <c r="DL34" s="884"/>
      <c r="DM34" s="884"/>
      <c r="DN34" s="884"/>
      <c r="DO34" s="884"/>
      <c r="DP34" s="884"/>
      <c r="DQ34" s="884"/>
      <c r="DR34" s="884"/>
      <c r="DS34" s="884"/>
      <c r="DT34" s="884"/>
      <c r="DU34" s="884"/>
      <c r="DV34" s="884"/>
      <c r="DW34" s="884"/>
      <c r="DX34" s="884"/>
      <c r="DY34" s="884"/>
      <c r="DZ34" s="884"/>
      <c r="EA34" s="884"/>
      <c r="EB34" s="884"/>
      <c r="EC34" s="884"/>
      <c r="ED34" s="884"/>
      <c r="EE34" s="884"/>
      <c r="EF34" s="884"/>
      <c r="EG34" s="884"/>
      <c r="EH34" s="884"/>
      <c r="EI34" s="884"/>
      <c r="EJ34" s="88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84"/>
      <c r="FX34" s="884"/>
      <c r="FY34" s="884"/>
      <c r="FZ34" s="884"/>
      <c r="GA34" s="884"/>
      <c r="GB34" s="884"/>
      <c r="GC34" s="884"/>
      <c r="GD34" s="884"/>
      <c r="GE34" s="884"/>
      <c r="GF34" s="884"/>
      <c r="GG34" s="884"/>
      <c r="GH34" s="884"/>
      <c r="GI34" s="884"/>
      <c r="GJ34" s="884"/>
      <c r="GK34" s="884"/>
      <c r="GL34" s="884"/>
      <c r="GM34" s="884"/>
      <c r="GN34" s="884"/>
      <c r="GO34" s="884"/>
      <c r="GP34" s="884"/>
      <c r="GQ34" s="884"/>
      <c r="GR34" s="884"/>
      <c r="GS34" s="884"/>
      <c r="GT34" s="884"/>
      <c r="GU34" s="884"/>
      <c r="GV34" s="884"/>
      <c r="GW34" s="884"/>
      <c r="GX34" s="884"/>
      <c r="GY34" s="884"/>
      <c r="GZ34" s="884"/>
      <c r="HA34" s="884"/>
      <c r="HB34" s="884"/>
      <c r="HC34" s="884"/>
      <c r="HD34" s="884"/>
      <c r="HE34" s="884"/>
      <c r="HF34" s="884"/>
      <c r="HG34" s="884"/>
      <c r="HH34" s="884"/>
      <c r="HI34" s="884"/>
      <c r="HJ34" s="884"/>
      <c r="HK34" s="884"/>
      <c r="HL34" s="884"/>
      <c r="HM34" s="884"/>
      <c r="HN34" s="884"/>
      <c r="HO34" s="884"/>
      <c r="HP34" s="884"/>
      <c r="HQ34" s="884"/>
      <c r="HR34" s="884"/>
      <c r="HS34" s="884"/>
      <c r="HT34" s="884"/>
      <c r="HU34" s="884"/>
      <c r="HV34" s="884"/>
      <c r="HW34" s="884"/>
      <c r="HX34" s="884"/>
      <c r="HY34" s="884"/>
      <c r="HZ34" s="884"/>
      <c r="IA34" s="884"/>
      <c r="IB34" s="884"/>
      <c r="IC34" s="884"/>
      <c r="ID34" s="884"/>
      <c r="IE34" s="884"/>
      <c r="IF34" s="884"/>
      <c r="IG34" s="884"/>
      <c r="IH34" s="884"/>
      <c r="II34" s="884"/>
      <c r="IJ34" s="884"/>
      <c r="IK34" s="884"/>
      <c r="IL34" s="884"/>
      <c r="IM34" s="884"/>
      <c r="IN34" s="884"/>
      <c r="IO34" s="884"/>
      <c r="IP34" s="884"/>
      <c r="IQ34" s="884"/>
      <c r="IR34" s="884"/>
      <c r="IS34" s="884"/>
      <c r="IT34" s="884"/>
      <c r="IU34" s="884"/>
      <c r="IV34" s="884"/>
    </row>
    <row r="35" spans="1:256" ht="16.5" customHeight="1">
      <c r="A35" s="884" t="s">
        <v>396</v>
      </c>
      <c r="B35" s="884"/>
      <c r="C35" s="884"/>
      <c r="D35" s="856">
        <v>0.12</v>
      </c>
      <c r="E35" s="850"/>
      <c r="F35" s="1396">
        <v>0</v>
      </c>
      <c r="G35" s="850"/>
      <c r="H35" s="1396">
        <v>0</v>
      </c>
      <c r="I35" s="1397"/>
      <c r="J35" s="1396">
        <v>0</v>
      </c>
      <c r="K35" s="1397"/>
      <c r="L35" s="851">
        <f t="shared" si="0"/>
        <v>0.12</v>
      </c>
      <c r="M35" s="891"/>
      <c r="N35" s="884"/>
      <c r="O35" s="884"/>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884"/>
      <c r="AS35" s="884"/>
      <c r="AT35" s="884"/>
      <c r="AU35" s="884"/>
      <c r="AV35" s="884"/>
      <c r="AW35" s="884"/>
      <c r="AX35" s="884"/>
      <c r="AY35" s="884"/>
      <c r="AZ35" s="884"/>
      <c r="BA35" s="884"/>
      <c r="BB35" s="884"/>
      <c r="BC35" s="884"/>
      <c r="BD35" s="884"/>
      <c r="BE35" s="884"/>
      <c r="BF35" s="884"/>
      <c r="BG35" s="884"/>
      <c r="BH35" s="884"/>
      <c r="BI35" s="884"/>
      <c r="BJ35" s="884"/>
      <c r="BK35" s="884"/>
      <c r="BL35" s="884"/>
      <c r="BM35" s="884"/>
      <c r="BN35" s="884"/>
      <c r="BO35" s="884"/>
      <c r="BP35" s="884"/>
      <c r="BQ35" s="884"/>
      <c r="BR35" s="884"/>
      <c r="BS35" s="884"/>
      <c r="BT35" s="884"/>
      <c r="BU35" s="884"/>
      <c r="BV35" s="884"/>
      <c r="BW35" s="884"/>
      <c r="BX35" s="884"/>
      <c r="BY35" s="884"/>
      <c r="BZ35" s="884"/>
      <c r="CA35" s="884"/>
      <c r="CB35" s="884"/>
      <c r="CC35" s="884"/>
      <c r="CD35" s="884"/>
      <c r="CE35" s="884"/>
      <c r="CF35" s="884"/>
      <c r="CG35" s="884"/>
      <c r="CH35" s="884"/>
      <c r="CI35" s="884"/>
      <c r="CJ35" s="884"/>
      <c r="CK35" s="884"/>
      <c r="CL35" s="884"/>
      <c r="CM35" s="884"/>
      <c r="CN35" s="884"/>
      <c r="CO35" s="884"/>
      <c r="CP35" s="884"/>
      <c r="CQ35" s="884"/>
      <c r="CR35" s="884"/>
      <c r="CS35" s="884"/>
      <c r="CT35" s="884"/>
      <c r="CU35" s="884"/>
      <c r="CV35" s="884"/>
      <c r="CW35" s="884"/>
      <c r="CX35" s="884"/>
      <c r="CY35" s="884"/>
      <c r="CZ35" s="884"/>
      <c r="DA35" s="884"/>
      <c r="DB35" s="884"/>
      <c r="DC35" s="884"/>
      <c r="DD35" s="884"/>
      <c r="DE35" s="884"/>
      <c r="DF35" s="884"/>
      <c r="DG35" s="884"/>
      <c r="DH35" s="884"/>
      <c r="DI35" s="884"/>
      <c r="DJ35" s="884"/>
      <c r="DK35" s="884"/>
      <c r="DL35" s="884"/>
      <c r="DM35" s="884"/>
      <c r="DN35" s="884"/>
      <c r="DO35" s="884"/>
      <c r="DP35" s="884"/>
      <c r="DQ35" s="884"/>
      <c r="DR35" s="884"/>
      <c r="DS35" s="884"/>
      <c r="DT35" s="884"/>
      <c r="DU35" s="884"/>
      <c r="DV35" s="884"/>
      <c r="DW35" s="884"/>
      <c r="DX35" s="884"/>
      <c r="DY35" s="884"/>
      <c r="DZ35" s="884"/>
      <c r="EA35" s="884"/>
      <c r="EB35" s="884"/>
      <c r="EC35" s="884"/>
      <c r="ED35" s="884"/>
      <c r="EE35" s="884"/>
      <c r="EF35" s="884"/>
      <c r="EG35" s="884"/>
      <c r="EH35" s="884"/>
      <c r="EI35" s="884"/>
      <c r="EJ35" s="884"/>
      <c r="EK35" s="884"/>
      <c r="EL35" s="884"/>
      <c r="EM35" s="884"/>
      <c r="EN35" s="884"/>
      <c r="EO35" s="884"/>
      <c r="EP35" s="884"/>
      <c r="EQ35" s="884"/>
      <c r="ER35" s="884"/>
      <c r="ES35" s="884"/>
      <c r="ET35" s="884"/>
      <c r="EU35" s="884"/>
      <c r="EV35" s="884"/>
      <c r="EW35" s="884"/>
      <c r="EX35" s="884"/>
      <c r="EY35" s="884"/>
      <c r="EZ35" s="884"/>
      <c r="FA35" s="884"/>
      <c r="FB35" s="884"/>
      <c r="FC35" s="884"/>
      <c r="FD35" s="884"/>
      <c r="FE35" s="884"/>
      <c r="FF35" s="884"/>
      <c r="FG35" s="884"/>
      <c r="FH35" s="884"/>
      <c r="FI35" s="884"/>
      <c r="FJ35" s="884"/>
      <c r="FK35" s="884"/>
      <c r="FL35" s="884"/>
      <c r="FM35" s="884"/>
      <c r="FN35" s="884"/>
      <c r="FO35" s="884"/>
      <c r="FP35" s="884"/>
      <c r="FQ35" s="884"/>
      <c r="FR35" s="884"/>
      <c r="FS35" s="884"/>
      <c r="FT35" s="884"/>
      <c r="FU35" s="884"/>
      <c r="FV35" s="884"/>
      <c r="FW35" s="884"/>
      <c r="FX35" s="884"/>
      <c r="FY35" s="884"/>
      <c r="FZ35" s="884"/>
      <c r="GA35" s="884"/>
      <c r="GB35" s="884"/>
      <c r="GC35" s="884"/>
      <c r="GD35" s="884"/>
      <c r="GE35" s="884"/>
      <c r="GF35" s="884"/>
      <c r="GG35" s="884"/>
      <c r="GH35" s="884"/>
      <c r="GI35" s="884"/>
      <c r="GJ35" s="884"/>
      <c r="GK35" s="884"/>
      <c r="GL35" s="884"/>
      <c r="GM35" s="884"/>
      <c r="GN35" s="884"/>
      <c r="GO35" s="884"/>
      <c r="GP35" s="884"/>
      <c r="GQ35" s="884"/>
      <c r="GR35" s="884"/>
      <c r="GS35" s="884"/>
      <c r="GT35" s="884"/>
      <c r="GU35" s="884"/>
      <c r="GV35" s="884"/>
      <c r="GW35" s="884"/>
      <c r="GX35" s="884"/>
      <c r="GY35" s="884"/>
      <c r="GZ35" s="884"/>
      <c r="HA35" s="884"/>
      <c r="HB35" s="884"/>
      <c r="HC35" s="884"/>
      <c r="HD35" s="884"/>
      <c r="HE35" s="884"/>
      <c r="HF35" s="884"/>
      <c r="HG35" s="884"/>
      <c r="HH35" s="884"/>
      <c r="HI35" s="884"/>
      <c r="HJ35" s="884"/>
      <c r="HK35" s="884"/>
      <c r="HL35" s="884"/>
      <c r="HM35" s="884"/>
      <c r="HN35" s="884"/>
      <c r="HO35" s="884"/>
      <c r="HP35" s="884"/>
      <c r="HQ35" s="884"/>
      <c r="HR35" s="884"/>
      <c r="HS35" s="884"/>
      <c r="HT35" s="884"/>
      <c r="HU35" s="884"/>
      <c r="HV35" s="884"/>
      <c r="HW35" s="884"/>
      <c r="HX35" s="884"/>
      <c r="HY35" s="884"/>
      <c r="HZ35" s="884"/>
      <c r="IA35" s="884"/>
      <c r="IB35" s="884"/>
      <c r="IC35" s="884"/>
      <c r="ID35" s="884"/>
      <c r="IE35" s="884"/>
      <c r="IF35" s="884"/>
      <c r="IG35" s="884"/>
      <c r="IH35" s="884"/>
      <c r="II35" s="884"/>
      <c r="IJ35" s="884"/>
      <c r="IK35" s="884"/>
      <c r="IL35" s="884"/>
      <c r="IM35" s="884"/>
      <c r="IN35" s="884"/>
      <c r="IO35" s="884"/>
      <c r="IP35" s="884"/>
      <c r="IQ35" s="884"/>
      <c r="IR35" s="884"/>
      <c r="IS35" s="884"/>
      <c r="IT35" s="884"/>
      <c r="IU35" s="884"/>
      <c r="IV35" s="884"/>
    </row>
    <row r="36" spans="1:256" ht="16.5" customHeight="1">
      <c r="A36" s="884" t="s">
        <v>397</v>
      </c>
      <c r="B36" s="884"/>
      <c r="C36" s="884"/>
      <c r="D36" s="856">
        <v>1253.777</v>
      </c>
      <c r="E36" s="850"/>
      <c r="F36" s="1396">
        <v>728.75099999999998</v>
      </c>
      <c r="G36" s="1397"/>
      <c r="H36" s="1396">
        <v>293.79899999999998</v>
      </c>
      <c r="I36" s="1397"/>
      <c r="J36" s="1396">
        <v>0</v>
      </c>
      <c r="K36" s="1397"/>
      <c r="L36" s="851">
        <f t="shared" si="0"/>
        <v>1688.729</v>
      </c>
      <c r="M36" s="891"/>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c r="AK36" s="884"/>
      <c r="AL36" s="884"/>
      <c r="AM36" s="884"/>
      <c r="AN36" s="884"/>
      <c r="AO36" s="884"/>
      <c r="AP36" s="884"/>
      <c r="AQ36" s="884"/>
      <c r="AR36" s="884"/>
      <c r="AS36" s="884"/>
      <c r="AT36" s="884"/>
      <c r="AU36" s="884"/>
      <c r="AV36" s="884"/>
      <c r="AW36" s="884"/>
      <c r="AX36" s="884"/>
      <c r="AY36" s="884"/>
      <c r="AZ36" s="884"/>
      <c r="BA36" s="884"/>
      <c r="BB36" s="884"/>
      <c r="BC36" s="884"/>
      <c r="BD36" s="884"/>
      <c r="BE36" s="884"/>
      <c r="BF36" s="884"/>
      <c r="BG36" s="884"/>
      <c r="BH36" s="884"/>
      <c r="BI36" s="884"/>
      <c r="BJ36" s="884"/>
      <c r="BK36" s="884"/>
      <c r="BL36" s="884"/>
      <c r="BM36" s="884"/>
      <c r="BN36" s="884"/>
      <c r="BO36" s="884"/>
      <c r="BP36" s="884"/>
      <c r="BQ36" s="884"/>
      <c r="BR36" s="884"/>
      <c r="BS36" s="884"/>
      <c r="BT36" s="884"/>
      <c r="BU36" s="884"/>
      <c r="BV36" s="884"/>
      <c r="BW36" s="884"/>
      <c r="BX36" s="884"/>
      <c r="BY36" s="884"/>
      <c r="BZ36" s="884"/>
      <c r="CA36" s="884"/>
      <c r="CB36" s="884"/>
      <c r="CC36" s="884"/>
      <c r="CD36" s="884"/>
      <c r="CE36" s="884"/>
      <c r="CF36" s="884"/>
      <c r="CG36" s="884"/>
      <c r="CH36" s="884"/>
      <c r="CI36" s="884"/>
      <c r="CJ36" s="884"/>
      <c r="CK36" s="884"/>
      <c r="CL36" s="884"/>
      <c r="CM36" s="884"/>
      <c r="CN36" s="884"/>
      <c r="CO36" s="884"/>
      <c r="CP36" s="884"/>
      <c r="CQ36" s="884"/>
      <c r="CR36" s="884"/>
      <c r="CS36" s="884"/>
      <c r="CT36" s="884"/>
      <c r="CU36" s="884"/>
      <c r="CV36" s="884"/>
      <c r="CW36" s="884"/>
      <c r="CX36" s="884"/>
      <c r="CY36" s="884"/>
      <c r="CZ36" s="884"/>
      <c r="DA36" s="884"/>
      <c r="DB36" s="884"/>
      <c r="DC36" s="884"/>
      <c r="DD36" s="884"/>
      <c r="DE36" s="884"/>
      <c r="DF36" s="884"/>
      <c r="DG36" s="884"/>
      <c r="DH36" s="884"/>
      <c r="DI36" s="884"/>
      <c r="DJ36" s="884"/>
      <c r="DK36" s="884"/>
      <c r="DL36" s="884"/>
      <c r="DM36" s="884"/>
      <c r="DN36" s="884"/>
      <c r="DO36" s="884"/>
      <c r="DP36" s="884"/>
      <c r="DQ36" s="884"/>
      <c r="DR36" s="884"/>
      <c r="DS36" s="884"/>
      <c r="DT36" s="884"/>
      <c r="DU36" s="884"/>
      <c r="DV36" s="884"/>
      <c r="DW36" s="884"/>
      <c r="DX36" s="884"/>
      <c r="DY36" s="884"/>
      <c r="DZ36" s="884"/>
      <c r="EA36" s="884"/>
      <c r="EB36" s="884"/>
      <c r="EC36" s="884"/>
      <c r="ED36" s="884"/>
      <c r="EE36" s="884"/>
      <c r="EF36" s="884"/>
      <c r="EG36" s="884"/>
      <c r="EH36" s="884"/>
      <c r="EI36" s="884"/>
      <c r="EJ36" s="884"/>
      <c r="EK36" s="884"/>
      <c r="EL36" s="884"/>
      <c r="EM36" s="884"/>
      <c r="EN36" s="884"/>
      <c r="EO36" s="884"/>
      <c r="EP36" s="884"/>
      <c r="EQ36" s="884"/>
      <c r="ER36" s="884"/>
      <c r="ES36" s="884"/>
      <c r="ET36" s="884"/>
      <c r="EU36" s="884"/>
      <c r="EV36" s="884"/>
      <c r="EW36" s="884"/>
      <c r="EX36" s="884"/>
      <c r="EY36" s="884"/>
      <c r="EZ36" s="884"/>
      <c r="FA36" s="884"/>
      <c r="FB36" s="884"/>
      <c r="FC36" s="884"/>
      <c r="FD36" s="884"/>
      <c r="FE36" s="884"/>
      <c r="FF36" s="884"/>
      <c r="FG36" s="884"/>
      <c r="FH36" s="884"/>
      <c r="FI36" s="884"/>
      <c r="FJ36" s="884"/>
      <c r="FK36" s="884"/>
      <c r="FL36" s="884"/>
      <c r="FM36" s="884"/>
      <c r="FN36" s="884"/>
      <c r="FO36" s="884"/>
      <c r="FP36" s="884"/>
      <c r="FQ36" s="884"/>
      <c r="FR36" s="884"/>
      <c r="FS36" s="884"/>
      <c r="FT36" s="884"/>
      <c r="FU36" s="884"/>
      <c r="FV36" s="884"/>
      <c r="FW36" s="884"/>
      <c r="FX36" s="884"/>
      <c r="FY36" s="884"/>
      <c r="FZ36" s="884"/>
      <c r="GA36" s="884"/>
      <c r="GB36" s="884"/>
      <c r="GC36" s="884"/>
      <c r="GD36" s="884"/>
      <c r="GE36" s="884"/>
      <c r="GF36" s="884"/>
      <c r="GG36" s="884"/>
      <c r="GH36" s="884"/>
      <c r="GI36" s="884"/>
      <c r="GJ36" s="884"/>
      <c r="GK36" s="884"/>
      <c r="GL36" s="884"/>
      <c r="GM36" s="884"/>
      <c r="GN36" s="884"/>
      <c r="GO36" s="884"/>
      <c r="GP36" s="884"/>
      <c r="GQ36" s="884"/>
      <c r="GR36" s="884"/>
      <c r="GS36" s="884"/>
      <c r="GT36" s="884"/>
      <c r="GU36" s="884"/>
      <c r="GV36" s="884"/>
      <c r="GW36" s="884"/>
      <c r="GX36" s="884"/>
      <c r="GY36" s="884"/>
      <c r="GZ36" s="884"/>
      <c r="HA36" s="884"/>
      <c r="HB36" s="884"/>
      <c r="HC36" s="884"/>
      <c r="HD36" s="884"/>
      <c r="HE36" s="884"/>
      <c r="HF36" s="884"/>
      <c r="HG36" s="884"/>
      <c r="HH36" s="884"/>
      <c r="HI36" s="884"/>
      <c r="HJ36" s="884"/>
      <c r="HK36" s="884"/>
      <c r="HL36" s="884"/>
      <c r="HM36" s="884"/>
      <c r="HN36" s="884"/>
      <c r="HO36" s="884"/>
      <c r="HP36" s="884"/>
      <c r="HQ36" s="884"/>
      <c r="HR36" s="884"/>
      <c r="HS36" s="884"/>
      <c r="HT36" s="884"/>
      <c r="HU36" s="884"/>
      <c r="HV36" s="884"/>
      <c r="HW36" s="884"/>
      <c r="HX36" s="884"/>
      <c r="HY36" s="884"/>
      <c r="HZ36" s="884"/>
      <c r="IA36" s="884"/>
      <c r="IB36" s="884"/>
      <c r="IC36" s="884"/>
      <c r="ID36" s="884"/>
      <c r="IE36" s="884"/>
      <c r="IF36" s="884"/>
      <c r="IG36" s="884"/>
      <c r="IH36" s="884"/>
      <c r="II36" s="884"/>
      <c r="IJ36" s="884"/>
      <c r="IK36" s="884"/>
      <c r="IL36" s="884"/>
      <c r="IM36" s="884"/>
      <c r="IN36" s="884"/>
      <c r="IO36" s="884"/>
      <c r="IP36" s="884"/>
      <c r="IQ36" s="884"/>
      <c r="IR36" s="884"/>
      <c r="IS36" s="884"/>
      <c r="IT36" s="884"/>
      <c r="IU36" s="884"/>
      <c r="IV36" s="884"/>
    </row>
    <row r="37" spans="1:256" ht="16.5" customHeight="1">
      <c r="A37" s="884" t="s">
        <v>1304</v>
      </c>
      <c r="B37" s="884"/>
      <c r="C37" s="884"/>
      <c r="D37" s="856">
        <v>21.27</v>
      </c>
      <c r="E37" s="850"/>
      <c r="F37" s="1396">
        <v>7.1470000000000002</v>
      </c>
      <c r="G37" s="850"/>
      <c r="H37" s="1396">
        <v>3.5030000000000001</v>
      </c>
      <c r="I37" s="1397"/>
      <c r="J37" s="1396">
        <v>0</v>
      </c>
      <c r="K37" s="1397"/>
      <c r="L37" s="851">
        <f t="shared" si="0"/>
        <v>24.914000000000001</v>
      </c>
      <c r="M37" s="891"/>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884"/>
      <c r="AS37" s="884"/>
      <c r="AT37" s="884"/>
      <c r="AU37" s="884"/>
      <c r="AV37" s="884"/>
      <c r="AW37" s="884"/>
      <c r="AX37" s="884"/>
      <c r="AY37" s="884"/>
      <c r="AZ37" s="884"/>
      <c r="BA37" s="884"/>
      <c r="BB37" s="884"/>
      <c r="BC37" s="884"/>
      <c r="BD37" s="884"/>
      <c r="BE37" s="884"/>
      <c r="BF37" s="884"/>
      <c r="BG37" s="884"/>
      <c r="BH37" s="884"/>
      <c r="BI37" s="884"/>
      <c r="BJ37" s="884"/>
      <c r="BK37" s="884"/>
      <c r="BL37" s="884"/>
      <c r="BM37" s="884"/>
      <c r="BN37" s="884"/>
      <c r="BO37" s="884"/>
      <c r="BP37" s="884"/>
      <c r="BQ37" s="884"/>
      <c r="BR37" s="884"/>
      <c r="BS37" s="884"/>
      <c r="BT37" s="884"/>
      <c r="BU37" s="884"/>
      <c r="BV37" s="884"/>
      <c r="BW37" s="884"/>
      <c r="BX37" s="884"/>
      <c r="BY37" s="884"/>
      <c r="BZ37" s="884"/>
      <c r="CA37" s="884"/>
      <c r="CB37" s="884"/>
      <c r="CC37" s="884"/>
      <c r="CD37" s="884"/>
      <c r="CE37" s="884"/>
      <c r="CF37" s="884"/>
      <c r="CG37" s="884"/>
      <c r="CH37" s="884"/>
      <c r="CI37" s="884"/>
      <c r="CJ37" s="884"/>
      <c r="CK37" s="884"/>
      <c r="CL37" s="884"/>
      <c r="CM37" s="884"/>
      <c r="CN37" s="884"/>
      <c r="CO37" s="884"/>
      <c r="CP37" s="884"/>
      <c r="CQ37" s="884"/>
      <c r="CR37" s="884"/>
      <c r="CS37" s="884"/>
      <c r="CT37" s="884"/>
      <c r="CU37" s="884"/>
      <c r="CV37" s="884"/>
      <c r="CW37" s="884"/>
      <c r="CX37" s="884"/>
      <c r="CY37" s="884"/>
      <c r="CZ37" s="884"/>
      <c r="DA37" s="884"/>
      <c r="DB37" s="884"/>
      <c r="DC37" s="884"/>
      <c r="DD37" s="884"/>
      <c r="DE37" s="884"/>
      <c r="DF37" s="884"/>
      <c r="DG37" s="884"/>
      <c r="DH37" s="884"/>
      <c r="DI37" s="884"/>
      <c r="DJ37" s="884"/>
      <c r="DK37" s="884"/>
      <c r="DL37" s="884"/>
      <c r="DM37" s="884"/>
      <c r="DN37" s="884"/>
      <c r="DO37" s="884"/>
      <c r="DP37" s="884"/>
      <c r="DQ37" s="884"/>
      <c r="DR37" s="884"/>
      <c r="DS37" s="884"/>
      <c r="DT37" s="884"/>
      <c r="DU37" s="884"/>
      <c r="DV37" s="884"/>
      <c r="DW37" s="884"/>
      <c r="DX37" s="884"/>
      <c r="DY37" s="884"/>
      <c r="DZ37" s="884"/>
      <c r="EA37" s="884"/>
      <c r="EB37" s="884"/>
      <c r="EC37" s="884"/>
      <c r="ED37" s="884"/>
      <c r="EE37" s="884"/>
      <c r="EF37" s="884"/>
      <c r="EG37" s="884"/>
      <c r="EH37" s="884"/>
      <c r="EI37" s="884"/>
      <c r="EJ37" s="884"/>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c r="FW37" s="884"/>
      <c r="FX37" s="884"/>
      <c r="FY37" s="884"/>
      <c r="FZ37" s="884"/>
      <c r="GA37" s="884"/>
      <c r="GB37" s="884"/>
      <c r="GC37" s="884"/>
      <c r="GD37" s="884"/>
      <c r="GE37" s="884"/>
      <c r="GF37" s="884"/>
      <c r="GG37" s="884"/>
      <c r="GH37" s="884"/>
      <c r="GI37" s="884"/>
      <c r="GJ37" s="884"/>
      <c r="GK37" s="884"/>
      <c r="GL37" s="884"/>
      <c r="GM37" s="884"/>
      <c r="GN37" s="884"/>
      <c r="GO37" s="884"/>
      <c r="GP37" s="884"/>
      <c r="GQ37" s="884"/>
      <c r="GR37" s="884"/>
      <c r="GS37" s="884"/>
      <c r="GT37" s="884"/>
      <c r="GU37" s="884"/>
      <c r="GV37" s="884"/>
      <c r="GW37" s="884"/>
      <c r="GX37" s="884"/>
      <c r="GY37" s="884"/>
      <c r="GZ37" s="884"/>
      <c r="HA37" s="884"/>
      <c r="HB37" s="884"/>
      <c r="HC37" s="884"/>
      <c r="HD37" s="884"/>
      <c r="HE37" s="884"/>
      <c r="HF37" s="884"/>
      <c r="HG37" s="884"/>
      <c r="HH37" s="884"/>
      <c r="HI37" s="884"/>
      <c r="HJ37" s="884"/>
      <c r="HK37" s="884"/>
      <c r="HL37" s="884"/>
      <c r="HM37" s="884"/>
      <c r="HN37" s="884"/>
      <c r="HO37" s="884"/>
      <c r="HP37" s="884"/>
      <c r="HQ37" s="884"/>
      <c r="HR37" s="884"/>
      <c r="HS37" s="884"/>
      <c r="HT37" s="884"/>
      <c r="HU37" s="884"/>
      <c r="HV37" s="884"/>
      <c r="HW37" s="884"/>
      <c r="HX37" s="884"/>
      <c r="HY37" s="884"/>
      <c r="HZ37" s="884"/>
      <c r="IA37" s="884"/>
      <c r="IB37" s="884"/>
      <c r="IC37" s="884"/>
      <c r="ID37" s="884"/>
      <c r="IE37" s="884"/>
      <c r="IF37" s="884"/>
      <c r="IG37" s="884"/>
      <c r="IH37" s="884"/>
      <c r="II37" s="884"/>
      <c r="IJ37" s="884"/>
      <c r="IK37" s="884"/>
      <c r="IL37" s="884"/>
      <c r="IM37" s="884"/>
      <c r="IN37" s="884"/>
      <c r="IO37" s="884"/>
      <c r="IP37" s="884"/>
      <c r="IQ37" s="884"/>
      <c r="IR37" s="884"/>
      <c r="IS37" s="884"/>
      <c r="IT37" s="884"/>
      <c r="IU37" s="884"/>
      <c r="IV37" s="884"/>
    </row>
    <row r="38" spans="1:256" ht="16.5" customHeight="1">
      <c r="A38" s="884" t="s">
        <v>398</v>
      </c>
      <c r="B38" s="884"/>
      <c r="C38" s="884"/>
      <c r="D38" s="856">
        <v>82.781000000000006</v>
      </c>
      <c r="E38" s="850"/>
      <c r="F38" s="1396">
        <v>155.94</v>
      </c>
      <c r="G38" s="1397"/>
      <c r="H38" s="1396">
        <v>221.21199999999999</v>
      </c>
      <c r="I38" s="1397"/>
      <c r="J38" s="1396">
        <v>0</v>
      </c>
      <c r="K38" s="1397"/>
      <c r="L38" s="851">
        <f t="shared" si="0"/>
        <v>17.509</v>
      </c>
      <c r="M38" s="891"/>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c r="AX38" s="884"/>
      <c r="AY38" s="884"/>
      <c r="AZ38" s="884"/>
      <c r="BA38" s="884"/>
      <c r="BB38" s="884"/>
      <c r="BC38" s="884"/>
      <c r="BD38" s="884"/>
      <c r="BE38" s="884"/>
      <c r="BF38" s="884"/>
      <c r="BG38" s="884"/>
      <c r="BH38" s="884"/>
      <c r="BI38" s="884"/>
      <c r="BJ38" s="884"/>
      <c r="BK38" s="884"/>
      <c r="BL38" s="884"/>
      <c r="BM38" s="884"/>
      <c r="BN38" s="884"/>
      <c r="BO38" s="884"/>
      <c r="BP38" s="884"/>
      <c r="BQ38" s="884"/>
      <c r="BR38" s="884"/>
      <c r="BS38" s="884"/>
      <c r="BT38" s="884"/>
      <c r="BU38" s="884"/>
      <c r="BV38" s="884"/>
      <c r="BW38" s="884"/>
      <c r="BX38" s="884"/>
      <c r="BY38" s="884"/>
      <c r="BZ38" s="884"/>
      <c r="CA38" s="884"/>
      <c r="CB38" s="884"/>
      <c r="CC38" s="884"/>
      <c r="CD38" s="884"/>
      <c r="CE38" s="884"/>
      <c r="CF38" s="884"/>
      <c r="CG38" s="884"/>
      <c r="CH38" s="884"/>
      <c r="CI38" s="884"/>
      <c r="CJ38" s="884"/>
      <c r="CK38" s="884"/>
      <c r="CL38" s="884"/>
      <c r="CM38" s="884"/>
      <c r="CN38" s="884"/>
      <c r="CO38" s="884"/>
      <c r="CP38" s="884"/>
      <c r="CQ38" s="884"/>
      <c r="CR38" s="884"/>
      <c r="CS38" s="884"/>
      <c r="CT38" s="884"/>
      <c r="CU38" s="884"/>
      <c r="CV38" s="884"/>
      <c r="CW38" s="884"/>
      <c r="CX38" s="884"/>
      <c r="CY38" s="884"/>
      <c r="CZ38" s="884"/>
      <c r="DA38" s="884"/>
      <c r="DB38" s="884"/>
      <c r="DC38" s="884"/>
      <c r="DD38" s="884"/>
      <c r="DE38" s="884"/>
      <c r="DF38" s="884"/>
      <c r="DG38" s="884"/>
      <c r="DH38" s="884"/>
      <c r="DI38" s="884"/>
      <c r="DJ38" s="884"/>
      <c r="DK38" s="884"/>
      <c r="DL38" s="884"/>
      <c r="DM38" s="884"/>
      <c r="DN38" s="884"/>
      <c r="DO38" s="884"/>
      <c r="DP38" s="884"/>
      <c r="DQ38" s="884"/>
      <c r="DR38" s="884"/>
      <c r="DS38" s="884"/>
      <c r="DT38" s="884"/>
      <c r="DU38" s="884"/>
      <c r="DV38" s="884"/>
      <c r="DW38" s="884"/>
      <c r="DX38" s="884"/>
      <c r="DY38" s="884"/>
      <c r="DZ38" s="884"/>
      <c r="EA38" s="884"/>
      <c r="EB38" s="884"/>
      <c r="EC38" s="884"/>
      <c r="ED38" s="884"/>
      <c r="EE38" s="884"/>
      <c r="EF38" s="884"/>
      <c r="EG38" s="884"/>
      <c r="EH38" s="884"/>
      <c r="EI38" s="884"/>
      <c r="EJ38" s="884"/>
      <c r="EK38" s="884"/>
      <c r="EL38" s="884"/>
      <c r="EM38" s="884"/>
      <c r="EN38" s="884"/>
      <c r="EO38" s="884"/>
      <c r="EP38" s="884"/>
      <c r="EQ38" s="884"/>
      <c r="ER38" s="884"/>
      <c r="ES38" s="884"/>
      <c r="ET38" s="884"/>
      <c r="EU38" s="884"/>
      <c r="EV38" s="884"/>
      <c r="EW38" s="884"/>
      <c r="EX38" s="884"/>
      <c r="EY38" s="884"/>
      <c r="EZ38" s="884"/>
      <c r="FA38" s="884"/>
      <c r="FB38" s="884"/>
      <c r="FC38" s="884"/>
      <c r="FD38" s="884"/>
      <c r="FE38" s="884"/>
      <c r="FF38" s="884"/>
      <c r="FG38" s="884"/>
      <c r="FH38" s="884"/>
      <c r="FI38" s="884"/>
      <c r="FJ38" s="884"/>
      <c r="FK38" s="884"/>
      <c r="FL38" s="884"/>
      <c r="FM38" s="884"/>
      <c r="FN38" s="884"/>
      <c r="FO38" s="884"/>
      <c r="FP38" s="884"/>
      <c r="FQ38" s="884"/>
      <c r="FR38" s="884"/>
      <c r="FS38" s="884"/>
      <c r="FT38" s="884"/>
      <c r="FU38" s="884"/>
      <c r="FV38" s="884"/>
      <c r="FW38" s="884"/>
      <c r="FX38" s="884"/>
      <c r="FY38" s="884"/>
      <c r="FZ38" s="884"/>
      <c r="GA38" s="884"/>
      <c r="GB38" s="884"/>
      <c r="GC38" s="884"/>
      <c r="GD38" s="884"/>
      <c r="GE38" s="884"/>
      <c r="GF38" s="884"/>
      <c r="GG38" s="884"/>
      <c r="GH38" s="884"/>
      <c r="GI38" s="884"/>
      <c r="GJ38" s="884"/>
      <c r="GK38" s="884"/>
      <c r="GL38" s="884"/>
      <c r="GM38" s="884"/>
      <c r="GN38" s="884"/>
      <c r="GO38" s="884"/>
      <c r="GP38" s="884"/>
      <c r="GQ38" s="884"/>
      <c r="GR38" s="884"/>
      <c r="GS38" s="884"/>
      <c r="GT38" s="884"/>
      <c r="GU38" s="884"/>
      <c r="GV38" s="884"/>
      <c r="GW38" s="884"/>
      <c r="GX38" s="884"/>
      <c r="GY38" s="884"/>
      <c r="GZ38" s="884"/>
      <c r="HA38" s="884"/>
      <c r="HB38" s="884"/>
      <c r="HC38" s="884"/>
      <c r="HD38" s="884"/>
      <c r="HE38" s="884"/>
      <c r="HF38" s="884"/>
      <c r="HG38" s="884"/>
      <c r="HH38" s="884"/>
      <c r="HI38" s="884"/>
      <c r="HJ38" s="884"/>
      <c r="HK38" s="884"/>
      <c r="HL38" s="884"/>
      <c r="HM38" s="884"/>
      <c r="HN38" s="884"/>
      <c r="HO38" s="884"/>
      <c r="HP38" s="884"/>
      <c r="HQ38" s="884"/>
      <c r="HR38" s="884"/>
      <c r="HS38" s="884"/>
      <c r="HT38" s="884"/>
      <c r="HU38" s="884"/>
      <c r="HV38" s="884"/>
      <c r="HW38" s="884"/>
      <c r="HX38" s="884"/>
      <c r="HY38" s="884"/>
      <c r="HZ38" s="884"/>
      <c r="IA38" s="884"/>
      <c r="IB38" s="884"/>
      <c r="IC38" s="884"/>
      <c r="ID38" s="884"/>
      <c r="IE38" s="884"/>
      <c r="IF38" s="884"/>
      <c r="IG38" s="884"/>
      <c r="IH38" s="884"/>
      <c r="II38" s="884"/>
      <c r="IJ38" s="884"/>
      <c r="IK38" s="884"/>
      <c r="IL38" s="884"/>
      <c r="IM38" s="884"/>
      <c r="IN38" s="884"/>
      <c r="IO38" s="884"/>
      <c r="IP38" s="884"/>
      <c r="IQ38" s="884"/>
      <c r="IR38" s="884"/>
      <c r="IS38" s="884"/>
      <c r="IT38" s="884"/>
      <c r="IU38" s="884"/>
      <c r="IV38" s="884"/>
    </row>
    <row r="39" spans="1:256" ht="16.5" customHeight="1">
      <c r="A39" s="884" t="s">
        <v>1305</v>
      </c>
      <c r="B39" s="884"/>
      <c r="C39" s="884"/>
      <c r="D39" s="856">
        <v>108.44199999999999</v>
      </c>
      <c r="E39" s="850"/>
      <c r="F39" s="1396">
        <v>4573.4189999999999</v>
      </c>
      <c r="G39" s="1397"/>
      <c r="H39" s="1396">
        <v>4450.0659999999998</v>
      </c>
      <c r="I39" s="1397"/>
      <c r="J39" s="1396">
        <v>0</v>
      </c>
      <c r="K39" s="1397"/>
      <c r="L39" s="851">
        <f t="shared" si="0"/>
        <v>231.79499999999999</v>
      </c>
      <c r="M39" s="891"/>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884"/>
      <c r="BF39" s="884"/>
      <c r="BG39" s="884"/>
      <c r="BH39" s="884"/>
      <c r="BI39" s="884"/>
      <c r="BJ39" s="884"/>
      <c r="BK39" s="884"/>
      <c r="BL39" s="884"/>
      <c r="BM39" s="884"/>
      <c r="BN39" s="884"/>
      <c r="BO39" s="884"/>
      <c r="BP39" s="884"/>
      <c r="BQ39" s="884"/>
      <c r="BR39" s="884"/>
      <c r="BS39" s="884"/>
      <c r="BT39" s="884"/>
      <c r="BU39" s="884"/>
      <c r="BV39" s="884"/>
      <c r="BW39" s="884"/>
      <c r="BX39" s="884"/>
      <c r="BY39" s="884"/>
      <c r="BZ39" s="884"/>
      <c r="CA39" s="884"/>
      <c r="CB39" s="884"/>
      <c r="CC39" s="884"/>
      <c r="CD39" s="884"/>
      <c r="CE39" s="884"/>
      <c r="CF39" s="884"/>
      <c r="CG39" s="884"/>
      <c r="CH39" s="884"/>
      <c r="CI39" s="884"/>
      <c r="CJ39" s="884"/>
      <c r="CK39" s="884"/>
      <c r="CL39" s="884"/>
      <c r="CM39" s="884"/>
      <c r="CN39" s="884"/>
      <c r="CO39" s="884"/>
      <c r="CP39" s="884"/>
      <c r="CQ39" s="884"/>
      <c r="CR39" s="884"/>
      <c r="CS39" s="884"/>
      <c r="CT39" s="884"/>
      <c r="CU39" s="884"/>
      <c r="CV39" s="884"/>
      <c r="CW39" s="884"/>
      <c r="CX39" s="884"/>
      <c r="CY39" s="884"/>
      <c r="CZ39" s="884"/>
      <c r="DA39" s="884"/>
      <c r="DB39" s="884"/>
      <c r="DC39" s="884"/>
      <c r="DD39" s="884"/>
      <c r="DE39" s="884"/>
      <c r="DF39" s="884"/>
      <c r="DG39" s="884"/>
      <c r="DH39" s="884"/>
      <c r="DI39" s="884"/>
      <c r="DJ39" s="884"/>
      <c r="DK39" s="884"/>
      <c r="DL39" s="884"/>
      <c r="DM39" s="884"/>
      <c r="DN39" s="884"/>
      <c r="DO39" s="884"/>
      <c r="DP39" s="884"/>
      <c r="DQ39" s="884"/>
      <c r="DR39" s="884"/>
      <c r="DS39" s="884"/>
      <c r="DT39" s="884"/>
      <c r="DU39" s="884"/>
      <c r="DV39" s="884"/>
      <c r="DW39" s="884"/>
      <c r="DX39" s="884"/>
      <c r="DY39" s="884"/>
      <c r="DZ39" s="884"/>
      <c r="EA39" s="884"/>
      <c r="EB39" s="884"/>
      <c r="EC39" s="884"/>
      <c r="ED39" s="884"/>
      <c r="EE39" s="884"/>
      <c r="EF39" s="884"/>
      <c r="EG39" s="884"/>
      <c r="EH39" s="884"/>
      <c r="EI39" s="884"/>
      <c r="EJ39" s="884"/>
      <c r="EK39" s="884"/>
      <c r="EL39" s="884"/>
      <c r="EM39" s="884"/>
      <c r="EN39" s="884"/>
      <c r="EO39" s="884"/>
      <c r="EP39" s="884"/>
      <c r="EQ39" s="884"/>
      <c r="ER39" s="884"/>
      <c r="ES39" s="884"/>
      <c r="ET39" s="884"/>
      <c r="EU39" s="884"/>
      <c r="EV39" s="884"/>
      <c r="EW39" s="884"/>
      <c r="EX39" s="884"/>
      <c r="EY39" s="884"/>
      <c r="EZ39" s="884"/>
      <c r="FA39" s="884"/>
      <c r="FB39" s="884"/>
      <c r="FC39" s="884"/>
      <c r="FD39" s="884"/>
      <c r="FE39" s="884"/>
      <c r="FF39" s="884"/>
      <c r="FG39" s="884"/>
      <c r="FH39" s="884"/>
      <c r="FI39" s="884"/>
      <c r="FJ39" s="884"/>
      <c r="FK39" s="884"/>
      <c r="FL39" s="884"/>
      <c r="FM39" s="884"/>
      <c r="FN39" s="884"/>
      <c r="FO39" s="884"/>
      <c r="FP39" s="884"/>
      <c r="FQ39" s="884"/>
      <c r="FR39" s="884"/>
      <c r="FS39" s="884"/>
      <c r="FT39" s="884"/>
      <c r="FU39" s="884"/>
      <c r="FV39" s="884"/>
      <c r="FW39" s="884"/>
      <c r="FX39" s="884"/>
      <c r="FY39" s="884"/>
      <c r="FZ39" s="884"/>
      <c r="GA39" s="884"/>
      <c r="GB39" s="884"/>
      <c r="GC39" s="884"/>
      <c r="GD39" s="884"/>
      <c r="GE39" s="884"/>
      <c r="GF39" s="884"/>
      <c r="GG39" s="884"/>
      <c r="GH39" s="884"/>
      <c r="GI39" s="884"/>
      <c r="GJ39" s="884"/>
      <c r="GK39" s="884"/>
      <c r="GL39" s="884"/>
      <c r="GM39" s="884"/>
      <c r="GN39" s="884"/>
      <c r="GO39" s="884"/>
      <c r="GP39" s="884"/>
      <c r="GQ39" s="884"/>
      <c r="GR39" s="884"/>
      <c r="GS39" s="884"/>
      <c r="GT39" s="884"/>
      <c r="GU39" s="884"/>
      <c r="GV39" s="884"/>
      <c r="GW39" s="884"/>
      <c r="GX39" s="884"/>
      <c r="GY39" s="884"/>
      <c r="GZ39" s="884"/>
      <c r="HA39" s="884"/>
      <c r="HB39" s="884"/>
      <c r="HC39" s="884"/>
      <c r="HD39" s="884"/>
      <c r="HE39" s="884"/>
      <c r="HF39" s="884"/>
      <c r="HG39" s="884"/>
      <c r="HH39" s="884"/>
      <c r="HI39" s="884"/>
      <c r="HJ39" s="884"/>
      <c r="HK39" s="884"/>
      <c r="HL39" s="884"/>
      <c r="HM39" s="884"/>
      <c r="HN39" s="884"/>
      <c r="HO39" s="884"/>
      <c r="HP39" s="884"/>
      <c r="HQ39" s="884"/>
      <c r="HR39" s="884"/>
      <c r="HS39" s="884"/>
      <c r="HT39" s="884"/>
      <c r="HU39" s="884"/>
      <c r="HV39" s="884"/>
      <c r="HW39" s="884"/>
      <c r="HX39" s="884"/>
      <c r="HY39" s="884"/>
      <c r="HZ39" s="884"/>
      <c r="IA39" s="884"/>
      <c r="IB39" s="884"/>
      <c r="IC39" s="884"/>
      <c r="ID39" s="884"/>
      <c r="IE39" s="884"/>
      <c r="IF39" s="884"/>
      <c r="IG39" s="884"/>
      <c r="IH39" s="884"/>
      <c r="II39" s="884"/>
      <c r="IJ39" s="884"/>
      <c r="IK39" s="884"/>
      <c r="IL39" s="884"/>
      <c r="IM39" s="884"/>
      <c r="IN39" s="884"/>
      <c r="IO39" s="884"/>
      <c r="IP39" s="884"/>
      <c r="IQ39" s="884"/>
      <c r="IR39" s="884"/>
      <c r="IS39" s="884"/>
      <c r="IT39" s="884"/>
      <c r="IU39" s="884"/>
      <c r="IV39" s="884"/>
    </row>
    <row r="40" spans="1:256" ht="15.75" customHeight="1">
      <c r="A40" s="884" t="s">
        <v>399</v>
      </c>
      <c r="B40" s="884"/>
      <c r="C40" s="884"/>
      <c r="D40" s="1396">
        <v>0</v>
      </c>
      <c r="E40" s="850"/>
      <c r="F40" s="1396">
        <v>0</v>
      </c>
      <c r="G40" s="1397"/>
      <c r="H40" s="1396">
        <v>0</v>
      </c>
      <c r="I40" s="1397"/>
      <c r="J40" s="1396">
        <v>0</v>
      </c>
      <c r="K40" s="1397"/>
      <c r="L40" s="851">
        <f t="shared" si="0"/>
        <v>0</v>
      </c>
      <c r="M40" s="891"/>
      <c r="N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884"/>
      <c r="AR40" s="884"/>
      <c r="AS40" s="884"/>
      <c r="AT40" s="884"/>
      <c r="AU40" s="884"/>
      <c r="AV40" s="884"/>
      <c r="AW40" s="884"/>
      <c r="AX40" s="884"/>
      <c r="AY40" s="884"/>
      <c r="AZ40" s="884"/>
      <c r="BA40" s="884"/>
      <c r="BB40" s="884"/>
      <c r="BC40" s="884"/>
      <c r="BD40" s="884"/>
      <c r="BE40" s="884"/>
      <c r="BF40" s="884"/>
      <c r="BG40" s="884"/>
      <c r="BH40" s="884"/>
      <c r="BI40" s="884"/>
      <c r="BJ40" s="884"/>
      <c r="BK40" s="884"/>
      <c r="BL40" s="884"/>
      <c r="BM40" s="884"/>
      <c r="BN40" s="884"/>
      <c r="BO40" s="884"/>
      <c r="BP40" s="884"/>
      <c r="BQ40" s="884"/>
      <c r="BR40" s="884"/>
      <c r="BS40" s="884"/>
      <c r="BT40" s="884"/>
      <c r="BU40" s="884"/>
      <c r="BV40" s="884"/>
      <c r="BW40" s="884"/>
      <c r="BX40" s="884"/>
      <c r="BY40" s="884"/>
      <c r="BZ40" s="884"/>
      <c r="CA40" s="884"/>
      <c r="CB40" s="884"/>
      <c r="CC40" s="884"/>
      <c r="CD40" s="884"/>
      <c r="CE40" s="884"/>
      <c r="CF40" s="884"/>
      <c r="CG40" s="884"/>
      <c r="CH40" s="884"/>
      <c r="CI40" s="884"/>
      <c r="CJ40" s="884"/>
      <c r="CK40" s="884"/>
      <c r="CL40" s="884"/>
      <c r="CM40" s="884"/>
      <c r="CN40" s="884"/>
      <c r="CO40" s="884"/>
      <c r="CP40" s="884"/>
      <c r="CQ40" s="884"/>
      <c r="CR40" s="884"/>
      <c r="CS40" s="884"/>
      <c r="CT40" s="884"/>
      <c r="CU40" s="884"/>
      <c r="CV40" s="884"/>
      <c r="CW40" s="884"/>
      <c r="CX40" s="884"/>
      <c r="CY40" s="884"/>
      <c r="CZ40" s="884"/>
      <c r="DA40" s="884"/>
      <c r="DB40" s="884"/>
      <c r="DC40" s="884"/>
      <c r="DD40" s="884"/>
      <c r="DE40" s="884"/>
      <c r="DF40" s="884"/>
      <c r="DG40" s="884"/>
      <c r="DH40" s="884"/>
      <c r="DI40" s="884"/>
      <c r="DJ40" s="884"/>
      <c r="DK40" s="884"/>
      <c r="DL40" s="884"/>
      <c r="DM40" s="884"/>
      <c r="DN40" s="884"/>
      <c r="DO40" s="884"/>
      <c r="DP40" s="884"/>
      <c r="DQ40" s="884"/>
      <c r="DR40" s="884"/>
      <c r="DS40" s="884"/>
      <c r="DT40" s="884"/>
      <c r="DU40" s="884"/>
      <c r="DV40" s="884"/>
      <c r="DW40" s="884"/>
      <c r="DX40" s="884"/>
      <c r="DY40" s="884"/>
      <c r="DZ40" s="884"/>
      <c r="EA40" s="884"/>
      <c r="EB40" s="884"/>
      <c r="EC40" s="884"/>
      <c r="ED40" s="884"/>
      <c r="EE40" s="884"/>
      <c r="EF40" s="884"/>
      <c r="EG40" s="884"/>
      <c r="EH40" s="884"/>
      <c r="EI40" s="884"/>
      <c r="EJ40" s="884"/>
      <c r="EK40" s="884"/>
      <c r="EL40" s="884"/>
      <c r="EM40" s="884"/>
      <c r="EN40" s="884"/>
      <c r="EO40" s="884"/>
      <c r="EP40" s="884"/>
      <c r="EQ40" s="884"/>
      <c r="ER40" s="884"/>
      <c r="ES40" s="884"/>
      <c r="ET40" s="884"/>
      <c r="EU40" s="884"/>
      <c r="EV40" s="884"/>
      <c r="EW40" s="884"/>
      <c r="EX40" s="884"/>
      <c r="EY40" s="884"/>
      <c r="EZ40" s="884"/>
      <c r="FA40" s="884"/>
      <c r="FB40" s="884"/>
      <c r="FC40" s="884"/>
      <c r="FD40" s="884"/>
      <c r="FE40" s="884"/>
      <c r="FF40" s="884"/>
      <c r="FG40" s="884"/>
      <c r="FH40" s="884"/>
      <c r="FI40" s="884"/>
      <c r="FJ40" s="884"/>
      <c r="FK40" s="884"/>
      <c r="FL40" s="884"/>
      <c r="FM40" s="884"/>
      <c r="FN40" s="884"/>
      <c r="FO40" s="884"/>
      <c r="FP40" s="884"/>
      <c r="FQ40" s="884"/>
      <c r="FR40" s="884"/>
      <c r="FS40" s="884"/>
      <c r="FT40" s="884"/>
      <c r="FU40" s="884"/>
      <c r="FV40" s="884"/>
      <c r="FW40" s="884"/>
      <c r="FX40" s="884"/>
      <c r="FY40" s="884"/>
      <c r="FZ40" s="884"/>
      <c r="GA40" s="884"/>
      <c r="GB40" s="884"/>
      <c r="GC40" s="884"/>
      <c r="GD40" s="884"/>
      <c r="GE40" s="884"/>
      <c r="GF40" s="884"/>
      <c r="GG40" s="884"/>
      <c r="GH40" s="884"/>
      <c r="GI40" s="884"/>
      <c r="GJ40" s="884"/>
      <c r="GK40" s="884"/>
      <c r="GL40" s="884"/>
      <c r="GM40" s="884"/>
      <c r="GN40" s="884"/>
      <c r="GO40" s="884"/>
      <c r="GP40" s="884"/>
      <c r="GQ40" s="884"/>
      <c r="GR40" s="884"/>
      <c r="GS40" s="884"/>
      <c r="GT40" s="884"/>
      <c r="GU40" s="884"/>
      <c r="GV40" s="884"/>
      <c r="GW40" s="884"/>
      <c r="GX40" s="884"/>
      <c r="GY40" s="884"/>
      <c r="GZ40" s="884"/>
      <c r="HA40" s="884"/>
      <c r="HB40" s="884"/>
      <c r="HC40" s="884"/>
      <c r="HD40" s="884"/>
      <c r="HE40" s="884"/>
      <c r="HF40" s="884"/>
      <c r="HG40" s="884"/>
      <c r="HH40" s="884"/>
      <c r="HI40" s="884"/>
      <c r="HJ40" s="884"/>
      <c r="HK40" s="884"/>
      <c r="HL40" s="884"/>
      <c r="HM40" s="884"/>
      <c r="HN40" s="884"/>
      <c r="HO40" s="884"/>
      <c r="HP40" s="884"/>
      <c r="HQ40" s="884"/>
      <c r="HR40" s="884"/>
      <c r="HS40" s="884"/>
      <c r="HT40" s="884"/>
      <c r="HU40" s="884"/>
      <c r="HV40" s="884"/>
      <c r="HW40" s="884"/>
      <c r="HX40" s="884"/>
      <c r="HY40" s="884"/>
      <c r="HZ40" s="884"/>
      <c r="IA40" s="884"/>
      <c r="IB40" s="884"/>
      <c r="IC40" s="884"/>
      <c r="ID40" s="884"/>
      <c r="IE40" s="884"/>
      <c r="IF40" s="884"/>
      <c r="IG40" s="884"/>
      <c r="IH40" s="884"/>
      <c r="II40" s="884"/>
      <c r="IJ40" s="884"/>
      <c r="IK40" s="884"/>
      <c r="IL40" s="884"/>
      <c r="IM40" s="884"/>
      <c r="IN40" s="884"/>
      <c r="IO40" s="884"/>
      <c r="IP40" s="884"/>
      <c r="IQ40" s="884"/>
      <c r="IR40" s="884"/>
      <c r="IS40" s="884"/>
      <c r="IT40" s="884"/>
      <c r="IU40" s="884"/>
      <c r="IV40" s="884"/>
    </row>
    <row r="41" spans="1:256" ht="15.75" customHeight="1">
      <c r="A41" s="884" t="s">
        <v>1294</v>
      </c>
      <c r="B41" s="884"/>
      <c r="C41" s="884"/>
      <c r="D41" s="856">
        <v>104.23099999999999</v>
      </c>
      <c r="E41" s="850"/>
      <c r="F41" s="1396">
        <v>-15.808999999999999</v>
      </c>
      <c r="G41" s="1397"/>
      <c r="H41" s="1396">
        <v>0</v>
      </c>
      <c r="I41" s="1397"/>
      <c r="J41" s="1396">
        <v>0</v>
      </c>
      <c r="K41" s="1397"/>
      <c r="L41" s="851">
        <f t="shared" si="0"/>
        <v>88.421999999999997</v>
      </c>
      <c r="M41" s="891"/>
      <c r="N41" s="884"/>
      <c r="O41" s="884"/>
      <c r="P41" s="884"/>
      <c r="Q41" s="884"/>
      <c r="R41" s="884"/>
      <c r="S41" s="884"/>
      <c r="T41" s="884"/>
      <c r="U41" s="884"/>
      <c r="V41" s="884"/>
      <c r="W41" s="884"/>
      <c r="X41" s="884"/>
      <c r="Y41" s="884"/>
      <c r="Z41" s="884"/>
      <c r="AA41" s="884"/>
      <c r="AB41" s="884"/>
      <c r="AC41" s="884"/>
      <c r="AD41" s="884"/>
      <c r="AE41" s="884"/>
      <c r="AF41" s="884"/>
      <c r="AG41" s="884"/>
      <c r="AH41" s="884"/>
      <c r="AI41" s="884"/>
      <c r="AJ41" s="884"/>
      <c r="AK41" s="884"/>
      <c r="AL41" s="884"/>
      <c r="AM41" s="884"/>
      <c r="AN41" s="884"/>
      <c r="AO41" s="884"/>
      <c r="AP41" s="884"/>
      <c r="AQ41" s="884"/>
      <c r="AR41" s="884"/>
      <c r="AS41" s="884"/>
      <c r="AT41" s="884"/>
      <c r="AU41" s="884"/>
      <c r="AV41" s="884"/>
      <c r="AW41" s="884"/>
      <c r="AX41" s="884"/>
      <c r="AY41" s="884"/>
      <c r="AZ41" s="884"/>
      <c r="BA41" s="884"/>
      <c r="BB41" s="884"/>
      <c r="BC41" s="884"/>
      <c r="BD41" s="884"/>
      <c r="BE41" s="884"/>
      <c r="BF41" s="884"/>
      <c r="BG41" s="884"/>
      <c r="BH41" s="884"/>
      <c r="BI41" s="884"/>
      <c r="BJ41" s="884"/>
      <c r="BK41" s="884"/>
      <c r="BL41" s="884"/>
      <c r="BM41" s="884"/>
      <c r="BN41" s="884"/>
      <c r="BO41" s="884"/>
      <c r="BP41" s="884"/>
      <c r="BQ41" s="884"/>
      <c r="BR41" s="884"/>
      <c r="BS41" s="884"/>
      <c r="BT41" s="884"/>
      <c r="BU41" s="884"/>
      <c r="BV41" s="884"/>
      <c r="BW41" s="884"/>
      <c r="BX41" s="884"/>
      <c r="BY41" s="884"/>
      <c r="BZ41" s="884"/>
      <c r="CA41" s="884"/>
      <c r="CB41" s="884"/>
      <c r="CC41" s="884"/>
      <c r="CD41" s="884"/>
      <c r="CE41" s="884"/>
      <c r="CF41" s="884"/>
      <c r="CG41" s="884"/>
      <c r="CH41" s="884"/>
      <c r="CI41" s="884"/>
      <c r="CJ41" s="884"/>
      <c r="CK41" s="884"/>
      <c r="CL41" s="884"/>
      <c r="CM41" s="884"/>
      <c r="CN41" s="884"/>
      <c r="CO41" s="884"/>
      <c r="CP41" s="884"/>
      <c r="CQ41" s="884"/>
      <c r="CR41" s="884"/>
      <c r="CS41" s="884"/>
      <c r="CT41" s="884"/>
      <c r="CU41" s="884"/>
      <c r="CV41" s="884"/>
      <c r="CW41" s="884"/>
      <c r="CX41" s="884"/>
      <c r="CY41" s="884"/>
      <c r="CZ41" s="884"/>
      <c r="DA41" s="884"/>
      <c r="DB41" s="884"/>
      <c r="DC41" s="884"/>
      <c r="DD41" s="884"/>
      <c r="DE41" s="884"/>
      <c r="DF41" s="884"/>
      <c r="DG41" s="884"/>
      <c r="DH41" s="884"/>
      <c r="DI41" s="884"/>
      <c r="DJ41" s="884"/>
      <c r="DK41" s="884"/>
      <c r="DL41" s="884"/>
      <c r="DM41" s="884"/>
      <c r="DN41" s="884"/>
      <c r="DO41" s="884"/>
      <c r="DP41" s="884"/>
      <c r="DQ41" s="884"/>
      <c r="DR41" s="884"/>
      <c r="DS41" s="884"/>
      <c r="DT41" s="884"/>
      <c r="DU41" s="884"/>
      <c r="DV41" s="884"/>
      <c r="DW41" s="884"/>
      <c r="DX41" s="884"/>
      <c r="DY41" s="884"/>
      <c r="DZ41" s="884"/>
      <c r="EA41" s="884"/>
      <c r="EB41" s="884"/>
      <c r="EC41" s="884"/>
      <c r="ED41" s="884"/>
      <c r="EE41" s="884"/>
      <c r="EF41" s="884"/>
      <c r="EG41" s="884"/>
      <c r="EH41" s="884"/>
      <c r="EI41" s="884"/>
      <c r="EJ41" s="884"/>
      <c r="EK41" s="884"/>
      <c r="EL41" s="884"/>
      <c r="EM41" s="884"/>
      <c r="EN41" s="884"/>
      <c r="EO41" s="884"/>
      <c r="EP41" s="884"/>
      <c r="EQ41" s="884"/>
      <c r="ER41" s="884"/>
      <c r="ES41" s="884"/>
      <c r="ET41" s="884"/>
      <c r="EU41" s="884"/>
      <c r="EV41" s="884"/>
      <c r="EW41" s="884"/>
      <c r="EX41" s="884"/>
      <c r="EY41" s="884"/>
      <c r="EZ41" s="884"/>
      <c r="FA41" s="884"/>
      <c r="FB41" s="884"/>
      <c r="FC41" s="884"/>
      <c r="FD41" s="884"/>
      <c r="FE41" s="884"/>
      <c r="FF41" s="884"/>
      <c r="FG41" s="884"/>
      <c r="FH41" s="884"/>
      <c r="FI41" s="884"/>
      <c r="FJ41" s="884"/>
      <c r="FK41" s="884"/>
      <c r="FL41" s="884"/>
      <c r="FM41" s="884"/>
      <c r="FN41" s="884"/>
      <c r="FO41" s="884"/>
      <c r="FP41" s="884"/>
      <c r="FQ41" s="884"/>
      <c r="FR41" s="884"/>
      <c r="FS41" s="884"/>
      <c r="FT41" s="884"/>
      <c r="FU41" s="884"/>
      <c r="FV41" s="884"/>
      <c r="FW41" s="884"/>
      <c r="FX41" s="884"/>
      <c r="FY41" s="884"/>
      <c r="FZ41" s="884"/>
      <c r="GA41" s="884"/>
      <c r="GB41" s="884"/>
      <c r="GC41" s="884"/>
      <c r="GD41" s="884"/>
      <c r="GE41" s="884"/>
      <c r="GF41" s="884"/>
      <c r="GG41" s="884"/>
      <c r="GH41" s="884"/>
      <c r="GI41" s="884"/>
      <c r="GJ41" s="884"/>
      <c r="GK41" s="884"/>
      <c r="GL41" s="884"/>
      <c r="GM41" s="884"/>
      <c r="GN41" s="884"/>
      <c r="GO41" s="884"/>
      <c r="GP41" s="884"/>
      <c r="GQ41" s="884"/>
      <c r="GR41" s="884"/>
      <c r="GS41" s="884"/>
      <c r="GT41" s="884"/>
      <c r="GU41" s="884"/>
      <c r="GV41" s="884"/>
      <c r="GW41" s="884"/>
      <c r="GX41" s="884"/>
      <c r="GY41" s="884"/>
      <c r="GZ41" s="884"/>
      <c r="HA41" s="884"/>
      <c r="HB41" s="884"/>
      <c r="HC41" s="884"/>
      <c r="HD41" s="884"/>
      <c r="HE41" s="884"/>
      <c r="HF41" s="884"/>
      <c r="HG41" s="884"/>
      <c r="HH41" s="884"/>
      <c r="HI41" s="884"/>
      <c r="HJ41" s="884"/>
      <c r="HK41" s="884"/>
      <c r="HL41" s="884"/>
      <c r="HM41" s="884"/>
      <c r="HN41" s="884"/>
      <c r="HO41" s="884"/>
      <c r="HP41" s="884"/>
      <c r="HQ41" s="884"/>
      <c r="HR41" s="884"/>
      <c r="HS41" s="884"/>
      <c r="HT41" s="884"/>
      <c r="HU41" s="884"/>
      <c r="HV41" s="884"/>
      <c r="HW41" s="884"/>
      <c r="HX41" s="884"/>
      <c r="HY41" s="884"/>
      <c r="HZ41" s="884"/>
      <c r="IA41" s="884"/>
      <c r="IB41" s="884"/>
      <c r="IC41" s="884"/>
      <c r="ID41" s="884"/>
      <c r="IE41" s="884"/>
      <c r="IF41" s="884"/>
      <c r="IG41" s="884"/>
      <c r="IH41" s="884"/>
      <c r="II41" s="884"/>
      <c r="IJ41" s="884"/>
      <c r="IK41" s="884"/>
      <c r="IL41" s="884"/>
      <c r="IM41" s="884"/>
      <c r="IN41" s="884"/>
      <c r="IO41" s="884"/>
      <c r="IP41" s="884"/>
      <c r="IQ41" s="884"/>
      <c r="IR41" s="884"/>
      <c r="IS41" s="884"/>
      <c r="IT41" s="884"/>
      <c r="IU41" s="884"/>
      <c r="IV41" s="884"/>
    </row>
    <row r="42" spans="1:256" ht="15.75" customHeight="1">
      <c r="A42" s="884" t="s">
        <v>1295</v>
      </c>
      <c r="B42" s="884"/>
      <c r="C42" s="884"/>
      <c r="D42" s="1396">
        <v>-0.64200000000000002</v>
      </c>
      <c r="E42" s="850"/>
      <c r="F42" s="1396">
        <v>-1.9E-2</v>
      </c>
      <c r="G42" s="1397"/>
      <c r="H42" s="1396">
        <v>0</v>
      </c>
      <c r="I42" s="1397"/>
      <c r="J42" s="1396">
        <v>0</v>
      </c>
      <c r="K42" s="1397"/>
      <c r="L42" s="851">
        <f t="shared" si="0"/>
        <v>-0.66100000000000003</v>
      </c>
      <c r="M42" s="891"/>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884"/>
      <c r="AS42" s="884"/>
      <c r="AT42" s="884"/>
      <c r="AU42" s="884"/>
      <c r="AV42" s="884"/>
      <c r="AW42" s="884"/>
      <c r="AX42" s="884"/>
      <c r="AY42" s="884"/>
      <c r="AZ42" s="884"/>
      <c r="BA42" s="884"/>
      <c r="BB42" s="884"/>
      <c r="BC42" s="884"/>
      <c r="BD42" s="884"/>
      <c r="BE42" s="884"/>
      <c r="BF42" s="884"/>
      <c r="BG42" s="884"/>
      <c r="BH42" s="884"/>
      <c r="BI42" s="884"/>
      <c r="BJ42" s="884"/>
      <c r="BK42" s="884"/>
      <c r="BL42" s="884"/>
      <c r="BM42" s="884"/>
      <c r="BN42" s="884"/>
      <c r="BO42" s="884"/>
      <c r="BP42" s="884"/>
      <c r="BQ42" s="884"/>
      <c r="BR42" s="884"/>
      <c r="BS42" s="884"/>
      <c r="BT42" s="884"/>
      <c r="BU42" s="884"/>
      <c r="BV42" s="884"/>
      <c r="BW42" s="884"/>
      <c r="BX42" s="884"/>
      <c r="BY42" s="884"/>
      <c r="BZ42" s="884"/>
      <c r="CA42" s="884"/>
      <c r="CB42" s="884"/>
      <c r="CC42" s="884"/>
      <c r="CD42" s="884"/>
      <c r="CE42" s="884"/>
      <c r="CF42" s="884"/>
      <c r="CG42" s="884"/>
      <c r="CH42" s="884"/>
      <c r="CI42" s="884"/>
      <c r="CJ42" s="884"/>
      <c r="CK42" s="884"/>
      <c r="CL42" s="884"/>
      <c r="CM42" s="884"/>
      <c r="CN42" s="884"/>
      <c r="CO42" s="884"/>
      <c r="CP42" s="884"/>
      <c r="CQ42" s="884"/>
      <c r="CR42" s="884"/>
      <c r="CS42" s="884"/>
      <c r="CT42" s="884"/>
      <c r="CU42" s="884"/>
      <c r="CV42" s="884"/>
      <c r="CW42" s="884"/>
      <c r="CX42" s="884"/>
      <c r="CY42" s="884"/>
      <c r="CZ42" s="884"/>
      <c r="DA42" s="884"/>
      <c r="DB42" s="884"/>
      <c r="DC42" s="884"/>
      <c r="DD42" s="884"/>
      <c r="DE42" s="884"/>
      <c r="DF42" s="884"/>
      <c r="DG42" s="884"/>
      <c r="DH42" s="884"/>
      <c r="DI42" s="884"/>
      <c r="DJ42" s="884"/>
      <c r="DK42" s="884"/>
      <c r="DL42" s="884"/>
      <c r="DM42" s="884"/>
      <c r="DN42" s="884"/>
      <c r="DO42" s="884"/>
      <c r="DP42" s="884"/>
      <c r="DQ42" s="884"/>
      <c r="DR42" s="884"/>
      <c r="DS42" s="884"/>
      <c r="DT42" s="884"/>
      <c r="DU42" s="884"/>
      <c r="DV42" s="884"/>
      <c r="DW42" s="884"/>
      <c r="DX42" s="884"/>
      <c r="DY42" s="884"/>
      <c r="DZ42" s="884"/>
      <c r="EA42" s="884"/>
      <c r="EB42" s="884"/>
      <c r="EC42" s="884"/>
      <c r="ED42" s="884"/>
      <c r="EE42" s="884"/>
      <c r="EF42" s="884"/>
      <c r="EG42" s="884"/>
      <c r="EH42" s="884"/>
      <c r="EI42" s="884"/>
      <c r="EJ42" s="884"/>
      <c r="EK42" s="884"/>
      <c r="EL42" s="884"/>
      <c r="EM42" s="884"/>
      <c r="EN42" s="884"/>
      <c r="EO42" s="884"/>
      <c r="EP42" s="884"/>
      <c r="EQ42" s="884"/>
      <c r="ER42" s="884"/>
      <c r="ES42" s="884"/>
      <c r="ET42" s="884"/>
      <c r="EU42" s="884"/>
      <c r="EV42" s="884"/>
      <c r="EW42" s="884"/>
      <c r="EX42" s="884"/>
      <c r="EY42" s="884"/>
      <c r="EZ42" s="884"/>
      <c r="FA42" s="884"/>
      <c r="FB42" s="884"/>
      <c r="FC42" s="884"/>
      <c r="FD42" s="884"/>
      <c r="FE42" s="884"/>
      <c r="FF42" s="884"/>
      <c r="FG42" s="884"/>
      <c r="FH42" s="884"/>
      <c r="FI42" s="884"/>
      <c r="FJ42" s="884"/>
      <c r="FK42" s="884"/>
      <c r="FL42" s="884"/>
      <c r="FM42" s="884"/>
      <c r="FN42" s="884"/>
      <c r="FO42" s="884"/>
      <c r="FP42" s="884"/>
      <c r="FQ42" s="884"/>
      <c r="FR42" s="884"/>
      <c r="FS42" s="884"/>
      <c r="FT42" s="884"/>
      <c r="FU42" s="884"/>
      <c r="FV42" s="884"/>
      <c r="FW42" s="884"/>
      <c r="FX42" s="884"/>
      <c r="FY42" s="884"/>
      <c r="FZ42" s="884"/>
      <c r="GA42" s="884"/>
      <c r="GB42" s="884"/>
      <c r="GC42" s="884"/>
      <c r="GD42" s="884"/>
      <c r="GE42" s="884"/>
      <c r="GF42" s="884"/>
      <c r="GG42" s="884"/>
      <c r="GH42" s="884"/>
      <c r="GI42" s="884"/>
      <c r="GJ42" s="884"/>
      <c r="GK42" s="884"/>
      <c r="GL42" s="884"/>
      <c r="GM42" s="884"/>
      <c r="GN42" s="884"/>
      <c r="GO42" s="884"/>
      <c r="GP42" s="884"/>
      <c r="GQ42" s="884"/>
      <c r="GR42" s="884"/>
      <c r="GS42" s="884"/>
      <c r="GT42" s="884"/>
      <c r="GU42" s="884"/>
      <c r="GV42" s="884"/>
      <c r="GW42" s="884"/>
      <c r="GX42" s="884"/>
      <c r="GY42" s="884"/>
      <c r="GZ42" s="884"/>
      <c r="HA42" s="884"/>
      <c r="HB42" s="884"/>
      <c r="HC42" s="884"/>
      <c r="HD42" s="884"/>
      <c r="HE42" s="884"/>
      <c r="HF42" s="884"/>
      <c r="HG42" s="884"/>
      <c r="HH42" s="884"/>
      <c r="HI42" s="884"/>
      <c r="HJ42" s="884"/>
      <c r="HK42" s="884"/>
      <c r="HL42" s="884"/>
      <c r="HM42" s="884"/>
      <c r="HN42" s="884"/>
      <c r="HO42" s="884"/>
      <c r="HP42" s="884"/>
      <c r="HQ42" s="884"/>
      <c r="HR42" s="884"/>
      <c r="HS42" s="884"/>
      <c r="HT42" s="884"/>
      <c r="HU42" s="884"/>
      <c r="HV42" s="884"/>
      <c r="HW42" s="884"/>
      <c r="HX42" s="884"/>
      <c r="HY42" s="884"/>
      <c r="HZ42" s="884"/>
      <c r="IA42" s="884"/>
      <c r="IB42" s="884"/>
      <c r="IC42" s="884"/>
      <c r="ID42" s="884"/>
      <c r="IE42" s="884"/>
      <c r="IF42" s="884"/>
      <c r="IG42" s="884"/>
      <c r="IH42" s="884"/>
      <c r="II42" s="884"/>
      <c r="IJ42" s="884"/>
      <c r="IK42" s="884"/>
      <c r="IL42" s="884"/>
      <c r="IM42" s="884"/>
      <c r="IN42" s="884"/>
      <c r="IO42" s="884"/>
      <c r="IP42" s="884"/>
      <c r="IQ42" s="884"/>
      <c r="IR42" s="884"/>
      <c r="IS42" s="884"/>
      <c r="IT42" s="884"/>
      <c r="IU42" s="884"/>
      <c r="IV42" s="884"/>
    </row>
    <row r="43" spans="1:256" ht="18" customHeight="1">
      <c r="A43" s="884" t="s">
        <v>1478</v>
      </c>
      <c r="B43" s="884"/>
      <c r="C43" s="884"/>
      <c r="D43" s="1398">
        <v>0</v>
      </c>
      <c r="E43" s="856"/>
      <c r="F43" s="1396">
        <v>0</v>
      </c>
      <c r="G43" s="856"/>
      <c r="H43" s="1396">
        <v>0</v>
      </c>
      <c r="I43" s="856"/>
      <c r="J43" s="1396">
        <v>0</v>
      </c>
      <c r="K43" s="856"/>
      <c r="L43" s="851">
        <f t="shared" si="0"/>
        <v>0</v>
      </c>
      <c r="M43" s="891"/>
      <c r="N43" s="884"/>
      <c r="O43" s="897"/>
      <c r="P43" s="897"/>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c r="BM43" s="884"/>
      <c r="BN43" s="884"/>
      <c r="BO43" s="884"/>
      <c r="BP43" s="884"/>
      <c r="BQ43" s="884"/>
      <c r="BR43" s="884"/>
      <c r="BS43" s="884"/>
      <c r="BT43" s="884"/>
      <c r="BU43" s="884"/>
      <c r="BV43" s="884"/>
      <c r="BW43" s="884"/>
      <c r="BX43" s="884"/>
      <c r="BY43" s="884"/>
      <c r="BZ43" s="884"/>
      <c r="CA43" s="884"/>
      <c r="CB43" s="884"/>
      <c r="CC43" s="884"/>
      <c r="CD43" s="884"/>
      <c r="CE43" s="884"/>
      <c r="CF43" s="884"/>
      <c r="CG43" s="884"/>
      <c r="CH43" s="884"/>
      <c r="CI43" s="884"/>
      <c r="CJ43" s="884"/>
      <c r="CK43" s="884"/>
      <c r="CL43" s="884"/>
      <c r="CM43" s="884"/>
      <c r="CN43" s="884"/>
      <c r="CO43" s="884"/>
      <c r="CP43" s="884"/>
      <c r="CQ43" s="884"/>
      <c r="CR43" s="884"/>
      <c r="CS43" s="884"/>
      <c r="CT43" s="884"/>
      <c r="CU43" s="884"/>
      <c r="CV43" s="884"/>
      <c r="CW43" s="884"/>
      <c r="CX43" s="884"/>
      <c r="CY43" s="884"/>
      <c r="CZ43" s="884"/>
      <c r="DA43" s="884"/>
      <c r="DB43" s="884"/>
      <c r="DC43" s="884"/>
      <c r="DD43" s="884"/>
      <c r="DE43" s="884"/>
      <c r="DF43" s="884"/>
      <c r="DG43" s="884"/>
      <c r="DH43" s="884"/>
      <c r="DI43" s="884"/>
      <c r="DJ43" s="884"/>
      <c r="DK43" s="884"/>
      <c r="DL43" s="884"/>
      <c r="DM43" s="884"/>
      <c r="DN43" s="884"/>
      <c r="DO43" s="884"/>
      <c r="DP43" s="884"/>
      <c r="DQ43" s="884"/>
      <c r="DR43" s="884"/>
      <c r="DS43" s="884"/>
      <c r="DT43" s="884"/>
      <c r="DU43" s="884"/>
      <c r="DV43" s="884"/>
      <c r="DW43" s="884"/>
      <c r="DX43" s="884"/>
      <c r="DY43" s="884"/>
      <c r="DZ43" s="884"/>
      <c r="EA43" s="884"/>
      <c r="EB43" s="884"/>
      <c r="EC43" s="884"/>
      <c r="ED43" s="884"/>
      <c r="EE43" s="884"/>
      <c r="EF43" s="884"/>
      <c r="EG43" s="884"/>
      <c r="EH43" s="884"/>
      <c r="EI43" s="884"/>
      <c r="EJ43" s="884"/>
      <c r="EK43" s="884"/>
      <c r="EL43" s="884"/>
      <c r="EM43" s="884"/>
      <c r="EN43" s="884"/>
      <c r="EO43" s="884"/>
      <c r="EP43" s="884"/>
      <c r="EQ43" s="884"/>
      <c r="ER43" s="884"/>
      <c r="ES43" s="884"/>
      <c r="ET43" s="884"/>
      <c r="EU43" s="884"/>
      <c r="EV43" s="884"/>
      <c r="EW43" s="884"/>
      <c r="EX43" s="884"/>
      <c r="EY43" s="884"/>
      <c r="EZ43" s="884"/>
      <c r="FA43" s="884"/>
      <c r="FB43" s="884"/>
      <c r="FC43" s="884"/>
      <c r="FD43" s="884"/>
      <c r="FE43" s="884"/>
      <c r="FF43" s="884"/>
      <c r="FG43" s="884"/>
      <c r="FH43" s="884"/>
      <c r="FI43" s="884"/>
      <c r="FJ43" s="884"/>
      <c r="FK43" s="884"/>
      <c r="FL43" s="884"/>
      <c r="FM43" s="884"/>
      <c r="FN43" s="884"/>
      <c r="FO43" s="884"/>
      <c r="FP43" s="884"/>
      <c r="FQ43" s="884"/>
      <c r="FR43" s="884"/>
      <c r="FS43" s="884"/>
      <c r="FT43" s="884"/>
      <c r="FU43" s="884"/>
      <c r="FV43" s="884"/>
      <c r="FW43" s="884"/>
      <c r="FX43" s="884"/>
      <c r="FY43" s="884"/>
      <c r="FZ43" s="884"/>
      <c r="GA43" s="884"/>
      <c r="GB43" s="884"/>
      <c r="GC43" s="884"/>
      <c r="GD43" s="884"/>
      <c r="GE43" s="884"/>
      <c r="GF43" s="884"/>
      <c r="GG43" s="884"/>
      <c r="GH43" s="884"/>
      <c r="GI43" s="884"/>
      <c r="GJ43" s="884"/>
      <c r="GK43" s="884"/>
      <c r="GL43" s="884"/>
      <c r="GM43" s="884"/>
      <c r="GN43" s="884"/>
      <c r="GO43" s="884"/>
      <c r="GP43" s="884"/>
      <c r="GQ43" s="884"/>
      <c r="GR43" s="884"/>
      <c r="GS43" s="884"/>
      <c r="GT43" s="884"/>
      <c r="GU43" s="884"/>
      <c r="GV43" s="884"/>
      <c r="GW43" s="884"/>
      <c r="GX43" s="884"/>
      <c r="GY43" s="884"/>
      <c r="GZ43" s="884"/>
      <c r="HA43" s="884"/>
      <c r="HB43" s="884"/>
      <c r="HC43" s="884"/>
      <c r="HD43" s="884"/>
      <c r="HE43" s="884"/>
      <c r="HF43" s="884"/>
      <c r="HG43" s="884"/>
      <c r="HH43" s="884"/>
      <c r="HI43" s="884"/>
      <c r="HJ43" s="884"/>
      <c r="HK43" s="884"/>
      <c r="HL43" s="884"/>
      <c r="HM43" s="884"/>
      <c r="HN43" s="884"/>
      <c r="HO43" s="884"/>
      <c r="HP43" s="884"/>
      <c r="HQ43" s="884"/>
      <c r="HR43" s="884"/>
      <c r="HS43" s="884"/>
      <c r="HT43" s="884"/>
      <c r="HU43" s="884"/>
      <c r="HV43" s="884"/>
      <c r="HW43" s="884"/>
      <c r="HX43" s="884"/>
      <c r="HY43" s="884"/>
      <c r="HZ43" s="884"/>
      <c r="IA43" s="884"/>
      <c r="IB43" s="884"/>
      <c r="IC43" s="884"/>
      <c r="ID43" s="884"/>
      <c r="IE43" s="884"/>
      <c r="IF43" s="884"/>
      <c r="IG43" s="884"/>
      <c r="IH43" s="884"/>
      <c r="II43" s="884"/>
      <c r="IJ43" s="884"/>
      <c r="IK43" s="884"/>
      <c r="IL43" s="884"/>
      <c r="IM43" s="884"/>
      <c r="IN43" s="884"/>
      <c r="IO43" s="884"/>
      <c r="IP43" s="884"/>
      <c r="IQ43" s="884"/>
      <c r="IR43" s="884"/>
      <c r="IS43" s="884"/>
      <c r="IT43" s="884"/>
      <c r="IU43" s="884"/>
      <c r="IV43" s="884"/>
    </row>
    <row r="44" spans="1:256" ht="17.25" customHeight="1">
      <c r="A44" s="880" t="s">
        <v>1534</v>
      </c>
      <c r="B44" s="884"/>
      <c r="C44" s="884"/>
      <c r="D44" s="1399">
        <f>ROUND(SUM(D27:D43),3)</f>
        <v>2871.9059999999999</v>
      </c>
      <c r="E44" s="1383"/>
      <c r="F44" s="1399">
        <f>ROUND(SUM(F27:F43),3)</f>
        <v>6871.3649999999998</v>
      </c>
      <c r="G44" s="1383"/>
      <c r="H44" s="1399">
        <f>ROUND(SUM(H27:H43),3)</f>
        <v>6258.6080000000002</v>
      </c>
      <c r="I44" s="1383"/>
      <c r="J44" s="1399">
        <f>ROUND(SUM(J27:J43),3)</f>
        <v>0</v>
      </c>
      <c r="K44" s="1383"/>
      <c r="L44" s="1399">
        <f>ROUND(SUM(L27:L43),3)</f>
        <v>3484.663</v>
      </c>
      <c r="M44" s="892"/>
      <c r="N44" s="753"/>
      <c r="O44" s="895"/>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4"/>
      <c r="AV44" s="884"/>
      <c r="AW44" s="884"/>
      <c r="AX44" s="884"/>
      <c r="AY44" s="884"/>
      <c r="AZ44" s="884"/>
      <c r="BA44" s="884"/>
      <c r="BB44" s="884"/>
      <c r="BC44" s="884"/>
      <c r="BD44" s="884"/>
      <c r="BE44" s="884"/>
      <c r="BF44" s="884"/>
      <c r="BG44" s="884"/>
      <c r="BH44" s="884"/>
      <c r="BI44" s="884"/>
      <c r="BJ44" s="884"/>
      <c r="BK44" s="884"/>
      <c r="BL44" s="884"/>
      <c r="BM44" s="884"/>
      <c r="BN44" s="884"/>
      <c r="BO44" s="884"/>
      <c r="BP44" s="884"/>
      <c r="BQ44" s="884"/>
      <c r="BR44" s="884"/>
      <c r="BS44" s="884"/>
      <c r="BT44" s="884"/>
      <c r="BU44" s="884"/>
      <c r="BV44" s="884"/>
      <c r="BW44" s="884"/>
      <c r="BX44" s="884"/>
      <c r="BY44" s="884"/>
      <c r="BZ44" s="884"/>
      <c r="CA44" s="884"/>
      <c r="CB44" s="884"/>
      <c r="CC44" s="884"/>
      <c r="CD44" s="884"/>
      <c r="CE44" s="884"/>
      <c r="CF44" s="884"/>
      <c r="CG44" s="884"/>
      <c r="CH44" s="884"/>
      <c r="CI44" s="884"/>
      <c r="CJ44" s="884"/>
      <c r="CK44" s="884"/>
      <c r="CL44" s="884"/>
      <c r="CM44" s="884"/>
      <c r="CN44" s="884"/>
      <c r="CO44" s="884"/>
      <c r="CP44" s="884"/>
      <c r="CQ44" s="884"/>
      <c r="CR44" s="884"/>
      <c r="CS44" s="884"/>
      <c r="CT44" s="884"/>
      <c r="CU44" s="884"/>
      <c r="CV44" s="884"/>
      <c r="CW44" s="884"/>
      <c r="CX44" s="884"/>
      <c r="CY44" s="884"/>
      <c r="CZ44" s="884"/>
      <c r="DA44" s="884"/>
      <c r="DB44" s="884"/>
      <c r="DC44" s="884"/>
      <c r="DD44" s="884"/>
      <c r="DE44" s="884"/>
      <c r="DF44" s="884"/>
      <c r="DG44" s="884"/>
      <c r="DH44" s="884"/>
      <c r="DI44" s="884"/>
      <c r="DJ44" s="884"/>
      <c r="DK44" s="884"/>
      <c r="DL44" s="884"/>
      <c r="DM44" s="884"/>
      <c r="DN44" s="884"/>
      <c r="DO44" s="884"/>
      <c r="DP44" s="884"/>
      <c r="DQ44" s="884"/>
      <c r="DR44" s="884"/>
      <c r="DS44" s="884"/>
      <c r="DT44" s="884"/>
      <c r="DU44" s="884"/>
      <c r="DV44" s="884"/>
      <c r="DW44" s="884"/>
      <c r="DX44" s="884"/>
      <c r="DY44" s="884"/>
      <c r="DZ44" s="884"/>
      <c r="EA44" s="884"/>
      <c r="EB44" s="884"/>
      <c r="EC44" s="884"/>
      <c r="ED44" s="884"/>
      <c r="EE44" s="884"/>
      <c r="EF44" s="884"/>
      <c r="EG44" s="884"/>
      <c r="EH44" s="884"/>
      <c r="EI44" s="884"/>
      <c r="EJ44" s="884"/>
      <c r="EK44" s="884"/>
      <c r="EL44" s="884"/>
      <c r="EM44" s="884"/>
      <c r="EN44" s="884"/>
      <c r="EO44" s="884"/>
      <c r="EP44" s="884"/>
      <c r="EQ44" s="884"/>
      <c r="ER44" s="884"/>
      <c r="ES44" s="884"/>
      <c r="ET44" s="884"/>
      <c r="EU44" s="884"/>
      <c r="EV44" s="884"/>
      <c r="EW44" s="884"/>
      <c r="EX44" s="884"/>
      <c r="EY44" s="884"/>
      <c r="EZ44" s="884"/>
      <c r="FA44" s="884"/>
      <c r="FB44" s="884"/>
      <c r="FC44" s="884"/>
      <c r="FD44" s="884"/>
      <c r="FE44" s="884"/>
      <c r="FF44" s="884"/>
      <c r="FG44" s="884"/>
      <c r="FH44" s="884"/>
      <c r="FI44" s="884"/>
      <c r="FJ44" s="884"/>
      <c r="FK44" s="884"/>
      <c r="FL44" s="884"/>
      <c r="FM44" s="884"/>
      <c r="FN44" s="884"/>
      <c r="FO44" s="884"/>
      <c r="FP44" s="884"/>
      <c r="FQ44" s="884"/>
      <c r="FR44" s="884"/>
      <c r="FS44" s="884"/>
      <c r="FT44" s="884"/>
      <c r="FU44" s="884"/>
      <c r="FV44" s="884"/>
      <c r="FW44" s="884"/>
      <c r="FX44" s="884"/>
      <c r="FY44" s="884"/>
      <c r="FZ44" s="884"/>
      <c r="GA44" s="884"/>
      <c r="GB44" s="884"/>
      <c r="GC44" s="884"/>
      <c r="GD44" s="884"/>
      <c r="GE44" s="884"/>
      <c r="GF44" s="884"/>
      <c r="GG44" s="884"/>
      <c r="GH44" s="884"/>
      <c r="GI44" s="884"/>
      <c r="GJ44" s="884"/>
      <c r="GK44" s="884"/>
      <c r="GL44" s="884"/>
      <c r="GM44" s="884"/>
      <c r="GN44" s="884"/>
      <c r="GO44" s="884"/>
      <c r="GP44" s="884"/>
      <c r="GQ44" s="884"/>
      <c r="GR44" s="884"/>
      <c r="GS44" s="884"/>
      <c r="GT44" s="884"/>
      <c r="GU44" s="884"/>
      <c r="GV44" s="884"/>
      <c r="GW44" s="884"/>
      <c r="GX44" s="884"/>
      <c r="GY44" s="884"/>
      <c r="GZ44" s="884"/>
      <c r="HA44" s="884"/>
      <c r="HB44" s="884"/>
      <c r="HC44" s="884"/>
      <c r="HD44" s="884"/>
      <c r="HE44" s="884"/>
      <c r="HF44" s="884"/>
      <c r="HG44" s="884"/>
      <c r="HH44" s="884"/>
      <c r="HI44" s="884"/>
      <c r="HJ44" s="884"/>
      <c r="HK44" s="884"/>
      <c r="HL44" s="884"/>
      <c r="HM44" s="884"/>
      <c r="HN44" s="884"/>
      <c r="HO44" s="884"/>
      <c r="HP44" s="884"/>
      <c r="HQ44" s="884"/>
      <c r="HR44" s="884"/>
      <c r="HS44" s="884"/>
      <c r="HT44" s="884"/>
      <c r="HU44" s="884"/>
      <c r="HV44" s="884"/>
      <c r="HW44" s="884"/>
      <c r="HX44" s="884"/>
      <c r="HY44" s="884"/>
      <c r="HZ44" s="884"/>
      <c r="IA44" s="884"/>
      <c r="IB44" s="884"/>
      <c r="IC44" s="884"/>
      <c r="ID44" s="884"/>
      <c r="IE44" s="884"/>
      <c r="IF44" s="884"/>
      <c r="IG44" s="884"/>
      <c r="IH44" s="884"/>
      <c r="II44" s="884"/>
      <c r="IJ44" s="884"/>
      <c r="IK44" s="884"/>
      <c r="IL44" s="884"/>
      <c r="IM44" s="884"/>
      <c r="IN44" s="884"/>
      <c r="IO44" s="884"/>
      <c r="IP44" s="884"/>
      <c r="IQ44" s="884"/>
      <c r="IR44" s="884"/>
      <c r="IS44" s="884"/>
      <c r="IT44" s="884"/>
      <c r="IU44" s="884"/>
      <c r="IV44" s="884"/>
    </row>
    <row r="45" spans="1:256" ht="12" customHeight="1">
      <c r="A45" s="880"/>
      <c r="B45" s="884"/>
      <c r="C45" s="884"/>
      <c r="D45" s="1385" t="s">
        <v>16</v>
      </c>
      <c r="E45" s="851"/>
      <c r="F45" s="1385" t="s">
        <v>16</v>
      </c>
      <c r="G45" s="851"/>
      <c r="H45" s="1385" t="s">
        <v>16</v>
      </c>
      <c r="I45" s="851"/>
      <c r="J45" s="855" t="s">
        <v>16</v>
      </c>
      <c r="K45" s="851"/>
      <c r="L45" s="1385" t="s">
        <v>16</v>
      </c>
      <c r="M45" s="891"/>
      <c r="N45" s="884"/>
      <c r="O45" s="897"/>
      <c r="P45" s="897"/>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4"/>
      <c r="BJ45" s="884"/>
      <c r="BK45" s="884"/>
      <c r="BL45" s="884"/>
      <c r="BM45" s="884"/>
      <c r="BN45" s="884"/>
      <c r="BO45" s="884"/>
      <c r="BP45" s="884"/>
      <c r="BQ45" s="884"/>
      <c r="BR45" s="884"/>
      <c r="BS45" s="884"/>
      <c r="BT45" s="884"/>
      <c r="BU45" s="884"/>
      <c r="BV45" s="884"/>
      <c r="BW45" s="884"/>
      <c r="BX45" s="884"/>
      <c r="BY45" s="884"/>
      <c r="BZ45" s="884"/>
      <c r="CA45" s="884"/>
      <c r="CB45" s="884"/>
      <c r="CC45" s="884"/>
      <c r="CD45" s="884"/>
      <c r="CE45" s="884"/>
      <c r="CF45" s="884"/>
      <c r="CG45" s="884"/>
      <c r="CH45" s="884"/>
      <c r="CI45" s="884"/>
      <c r="CJ45" s="884"/>
      <c r="CK45" s="884"/>
      <c r="CL45" s="884"/>
      <c r="CM45" s="884"/>
      <c r="CN45" s="884"/>
      <c r="CO45" s="884"/>
      <c r="CP45" s="884"/>
      <c r="CQ45" s="884"/>
      <c r="CR45" s="884"/>
      <c r="CS45" s="884"/>
      <c r="CT45" s="884"/>
      <c r="CU45" s="884"/>
      <c r="CV45" s="884"/>
      <c r="CW45" s="884"/>
      <c r="CX45" s="884"/>
      <c r="CY45" s="884"/>
      <c r="CZ45" s="884"/>
      <c r="DA45" s="884"/>
      <c r="DB45" s="884"/>
      <c r="DC45" s="884"/>
      <c r="DD45" s="884"/>
      <c r="DE45" s="884"/>
      <c r="DF45" s="884"/>
      <c r="DG45" s="884"/>
      <c r="DH45" s="884"/>
      <c r="DI45" s="884"/>
      <c r="DJ45" s="884"/>
      <c r="DK45" s="884"/>
      <c r="DL45" s="884"/>
      <c r="DM45" s="884"/>
      <c r="DN45" s="884"/>
      <c r="DO45" s="884"/>
      <c r="DP45" s="884"/>
      <c r="DQ45" s="884"/>
      <c r="DR45" s="884"/>
      <c r="DS45" s="884"/>
      <c r="DT45" s="884"/>
      <c r="DU45" s="884"/>
      <c r="DV45" s="884"/>
      <c r="DW45" s="884"/>
      <c r="DX45" s="884"/>
      <c r="DY45" s="884"/>
      <c r="DZ45" s="884"/>
      <c r="EA45" s="884"/>
      <c r="EB45" s="884"/>
      <c r="EC45" s="884"/>
      <c r="ED45" s="884"/>
      <c r="EE45" s="884"/>
      <c r="EF45" s="884"/>
      <c r="EG45" s="884"/>
      <c r="EH45" s="884"/>
      <c r="EI45" s="884"/>
      <c r="EJ45" s="884"/>
      <c r="EK45" s="884"/>
      <c r="EL45" s="884"/>
      <c r="EM45" s="884"/>
      <c r="EN45" s="884"/>
      <c r="EO45" s="884"/>
      <c r="EP45" s="884"/>
      <c r="EQ45" s="884"/>
      <c r="ER45" s="884"/>
      <c r="ES45" s="884"/>
      <c r="ET45" s="884"/>
      <c r="EU45" s="884"/>
      <c r="EV45" s="884"/>
      <c r="EW45" s="884"/>
      <c r="EX45" s="884"/>
      <c r="EY45" s="884"/>
      <c r="EZ45" s="884"/>
      <c r="FA45" s="884"/>
      <c r="FB45" s="884"/>
      <c r="FC45" s="884"/>
      <c r="FD45" s="884"/>
      <c r="FE45" s="884"/>
      <c r="FF45" s="884"/>
      <c r="FG45" s="884"/>
      <c r="FH45" s="884"/>
      <c r="FI45" s="884"/>
      <c r="FJ45" s="884"/>
      <c r="FK45" s="884"/>
      <c r="FL45" s="884"/>
      <c r="FM45" s="884"/>
      <c r="FN45" s="884"/>
      <c r="FO45" s="884"/>
      <c r="FP45" s="884"/>
      <c r="FQ45" s="884"/>
      <c r="FR45" s="884"/>
      <c r="FS45" s="884"/>
      <c r="FT45" s="884"/>
      <c r="FU45" s="884"/>
      <c r="FV45" s="884"/>
      <c r="FW45" s="884"/>
      <c r="FX45" s="884"/>
      <c r="FY45" s="884"/>
      <c r="FZ45" s="884"/>
      <c r="GA45" s="884"/>
      <c r="GB45" s="884"/>
      <c r="GC45" s="884"/>
      <c r="GD45" s="884"/>
      <c r="GE45" s="884"/>
      <c r="GF45" s="884"/>
      <c r="GG45" s="884"/>
      <c r="GH45" s="884"/>
      <c r="GI45" s="884"/>
      <c r="GJ45" s="884"/>
      <c r="GK45" s="884"/>
      <c r="GL45" s="884"/>
      <c r="GM45" s="884"/>
      <c r="GN45" s="884"/>
      <c r="GO45" s="884"/>
      <c r="GP45" s="884"/>
      <c r="GQ45" s="884"/>
      <c r="GR45" s="884"/>
      <c r="GS45" s="884"/>
      <c r="GT45" s="884"/>
      <c r="GU45" s="884"/>
      <c r="GV45" s="884"/>
      <c r="GW45" s="884"/>
      <c r="GX45" s="884"/>
      <c r="GY45" s="884"/>
      <c r="GZ45" s="884"/>
      <c r="HA45" s="884"/>
      <c r="HB45" s="884"/>
      <c r="HC45" s="884"/>
      <c r="HD45" s="884"/>
      <c r="HE45" s="884"/>
      <c r="HF45" s="884"/>
      <c r="HG45" s="884"/>
      <c r="HH45" s="884"/>
      <c r="HI45" s="884"/>
      <c r="HJ45" s="884"/>
      <c r="HK45" s="884"/>
      <c r="HL45" s="884"/>
      <c r="HM45" s="884"/>
      <c r="HN45" s="884"/>
      <c r="HO45" s="884"/>
      <c r="HP45" s="884"/>
      <c r="HQ45" s="884"/>
      <c r="HR45" s="884"/>
      <c r="HS45" s="884"/>
      <c r="HT45" s="884"/>
      <c r="HU45" s="884"/>
      <c r="HV45" s="884"/>
      <c r="HW45" s="884"/>
      <c r="HX45" s="884"/>
      <c r="HY45" s="884"/>
      <c r="HZ45" s="884"/>
      <c r="IA45" s="884"/>
      <c r="IB45" s="884"/>
      <c r="IC45" s="884"/>
      <c r="ID45" s="884"/>
      <c r="IE45" s="884"/>
      <c r="IF45" s="884"/>
      <c r="IG45" s="884"/>
      <c r="IH45" s="884"/>
      <c r="II45" s="884"/>
      <c r="IJ45" s="884"/>
      <c r="IK45" s="884"/>
      <c r="IL45" s="884"/>
      <c r="IM45" s="884"/>
      <c r="IN45" s="884"/>
      <c r="IO45" s="884"/>
      <c r="IP45" s="884"/>
      <c r="IQ45" s="884"/>
      <c r="IR45" s="884"/>
      <c r="IS45" s="884"/>
      <c r="IT45" s="884"/>
      <c r="IU45" s="884"/>
      <c r="IV45" s="884"/>
    </row>
    <row r="46" spans="1:256" ht="3" customHeight="1">
      <c r="A46" s="880"/>
      <c r="B46" s="884"/>
      <c r="C46" s="884"/>
      <c r="D46" s="1400"/>
      <c r="E46" s="1400"/>
      <c r="F46" s="1400"/>
      <c r="G46" s="1400"/>
      <c r="H46" s="1400"/>
      <c r="I46" s="1400"/>
      <c r="J46" s="1400"/>
      <c r="K46" s="1400"/>
      <c r="L46" s="1400"/>
      <c r="M46" s="891"/>
      <c r="N46" s="884"/>
      <c r="O46" s="897"/>
      <c r="P46" s="897"/>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884"/>
      <c r="AS46" s="884"/>
      <c r="AT46" s="884"/>
      <c r="AU46" s="884"/>
      <c r="AV46" s="884"/>
      <c r="AW46" s="884"/>
      <c r="AX46" s="884"/>
      <c r="AY46" s="884"/>
      <c r="AZ46" s="884"/>
      <c r="BA46" s="884"/>
      <c r="BB46" s="884"/>
      <c r="BC46" s="884"/>
      <c r="BD46" s="884"/>
      <c r="BE46" s="884"/>
      <c r="BF46" s="884"/>
      <c r="BG46" s="884"/>
      <c r="BH46" s="884"/>
      <c r="BI46" s="884"/>
      <c r="BJ46" s="884"/>
      <c r="BK46" s="884"/>
      <c r="BL46" s="884"/>
      <c r="BM46" s="884"/>
      <c r="BN46" s="884"/>
      <c r="BO46" s="884"/>
      <c r="BP46" s="884"/>
      <c r="BQ46" s="884"/>
      <c r="BR46" s="884"/>
      <c r="BS46" s="884"/>
      <c r="BT46" s="884"/>
      <c r="BU46" s="884"/>
      <c r="BV46" s="884"/>
      <c r="BW46" s="884"/>
      <c r="BX46" s="884"/>
      <c r="BY46" s="884"/>
      <c r="BZ46" s="884"/>
      <c r="CA46" s="884"/>
      <c r="CB46" s="884"/>
      <c r="CC46" s="884"/>
      <c r="CD46" s="884"/>
      <c r="CE46" s="884"/>
      <c r="CF46" s="884"/>
      <c r="CG46" s="884"/>
      <c r="CH46" s="884"/>
      <c r="CI46" s="884"/>
      <c r="CJ46" s="884"/>
      <c r="CK46" s="884"/>
      <c r="CL46" s="884"/>
      <c r="CM46" s="884"/>
      <c r="CN46" s="884"/>
      <c r="CO46" s="884"/>
      <c r="CP46" s="884"/>
      <c r="CQ46" s="884"/>
      <c r="CR46" s="884"/>
      <c r="CS46" s="884"/>
      <c r="CT46" s="884"/>
      <c r="CU46" s="884"/>
      <c r="CV46" s="884"/>
      <c r="CW46" s="884"/>
      <c r="CX46" s="884"/>
      <c r="CY46" s="884"/>
      <c r="CZ46" s="884"/>
      <c r="DA46" s="884"/>
      <c r="DB46" s="884"/>
      <c r="DC46" s="884"/>
      <c r="DD46" s="884"/>
      <c r="DE46" s="884"/>
      <c r="DF46" s="884"/>
      <c r="DG46" s="884"/>
      <c r="DH46" s="884"/>
      <c r="DI46" s="884"/>
      <c r="DJ46" s="884"/>
      <c r="DK46" s="884"/>
      <c r="DL46" s="884"/>
      <c r="DM46" s="884"/>
      <c r="DN46" s="884"/>
      <c r="DO46" s="884"/>
      <c r="DP46" s="884"/>
      <c r="DQ46" s="884"/>
      <c r="DR46" s="884"/>
      <c r="DS46" s="884"/>
      <c r="DT46" s="884"/>
      <c r="DU46" s="884"/>
      <c r="DV46" s="884"/>
      <c r="DW46" s="884"/>
      <c r="DX46" s="884"/>
      <c r="DY46" s="884"/>
      <c r="DZ46" s="884"/>
      <c r="EA46" s="884"/>
      <c r="EB46" s="884"/>
      <c r="EC46" s="884"/>
      <c r="ED46" s="884"/>
      <c r="EE46" s="884"/>
      <c r="EF46" s="884"/>
      <c r="EG46" s="884"/>
      <c r="EH46" s="884"/>
      <c r="EI46" s="884"/>
      <c r="EJ46" s="884"/>
      <c r="EK46" s="884"/>
      <c r="EL46" s="884"/>
      <c r="EM46" s="884"/>
      <c r="EN46" s="884"/>
      <c r="EO46" s="884"/>
      <c r="EP46" s="884"/>
      <c r="EQ46" s="884"/>
      <c r="ER46" s="884"/>
      <c r="ES46" s="884"/>
      <c r="ET46" s="884"/>
      <c r="EU46" s="884"/>
      <c r="EV46" s="884"/>
      <c r="EW46" s="884"/>
      <c r="EX46" s="884"/>
      <c r="EY46" s="884"/>
      <c r="EZ46" s="884"/>
      <c r="FA46" s="884"/>
      <c r="FB46" s="884"/>
      <c r="FC46" s="884"/>
      <c r="FD46" s="884"/>
      <c r="FE46" s="884"/>
      <c r="FF46" s="884"/>
      <c r="FG46" s="884"/>
      <c r="FH46" s="884"/>
      <c r="FI46" s="884"/>
      <c r="FJ46" s="884"/>
      <c r="FK46" s="884"/>
      <c r="FL46" s="884"/>
      <c r="FM46" s="884"/>
      <c r="FN46" s="884"/>
      <c r="FO46" s="884"/>
      <c r="FP46" s="884"/>
      <c r="FQ46" s="884"/>
      <c r="FR46" s="884"/>
      <c r="FS46" s="884"/>
      <c r="FT46" s="884"/>
      <c r="FU46" s="884"/>
      <c r="FV46" s="884"/>
      <c r="FW46" s="884"/>
      <c r="FX46" s="884"/>
      <c r="FY46" s="884"/>
      <c r="FZ46" s="884"/>
      <c r="GA46" s="884"/>
      <c r="GB46" s="884"/>
      <c r="GC46" s="884"/>
      <c r="GD46" s="884"/>
      <c r="GE46" s="884"/>
      <c r="GF46" s="884"/>
      <c r="GG46" s="884"/>
      <c r="GH46" s="884"/>
      <c r="GI46" s="884"/>
      <c r="GJ46" s="884"/>
      <c r="GK46" s="884"/>
      <c r="GL46" s="884"/>
      <c r="GM46" s="884"/>
      <c r="GN46" s="884"/>
      <c r="GO46" s="884"/>
      <c r="GP46" s="884"/>
      <c r="GQ46" s="884"/>
      <c r="GR46" s="884"/>
      <c r="GS46" s="884"/>
      <c r="GT46" s="884"/>
      <c r="GU46" s="884"/>
      <c r="GV46" s="884"/>
      <c r="GW46" s="884"/>
      <c r="GX46" s="884"/>
      <c r="GY46" s="884"/>
      <c r="GZ46" s="884"/>
      <c r="HA46" s="884"/>
      <c r="HB46" s="884"/>
      <c r="HC46" s="884"/>
      <c r="HD46" s="884"/>
      <c r="HE46" s="884"/>
      <c r="HF46" s="884"/>
      <c r="HG46" s="884"/>
      <c r="HH46" s="884"/>
      <c r="HI46" s="884"/>
      <c r="HJ46" s="884"/>
      <c r="HK46" s="884"/>
      <c r="HL46" s="884"/>
      <c r="HM46" s="884"/>
      <c r="HN46" s="884"/>
      <c r="HO46" s="884"/>
      <c r="HP46" s="884"/>
      <c r="HQ46" s="884"/>
      <c r="HR46" s="884"/>
      <c r="HS46" s="884"/>
      <c r="HT46" s="884"/>
      <c r="HU46" s="884"/>
      <c r="HV46" s="884"/>
      <c r="HW46" s="884"/>
      <c r="HX46" s="884"/>
      <c r="HY46" s="884"/>
      <c r="HZ46" s="884"/>
      <c r="IA46" s="884"/>
      <c r="IB46" s="884"/>
      <c r="IC46" s="884"/>
      <c r="ID46" s="884"/>
      <c r="IE46" s="884"/>
      <c r="IF46" s="884"/>
      <c r="IG46" s="884"/>
      <c r="IH46" s="884"/>
      <c r="II46" s="884"/>
      <c r="IJ46" s="884"/>
      <c r="IK46" s="884"/>
      <c r="IL46" s="884"/>
      <c r="IM46" s="884"/>
      <c r="IN46" s="884"/>
      <c r="IO46" s="884"/>
      <c r="IP46" s="884"/>
      <c r="IQ46" s="884"/>
      <c r="IR46" s="884"/>
      <c r="IS46" s="884"/>
      <c r="IT46" s="884"/>
      <c r="IU46" s="884"/>
      <c r="IV46" s="884"/>
    </row>
    <row r="47" spans="1:256" ht="17.25" customHeight="1" thickBot="1">
      <c r="A47" s="880" t="s">
        <v>1535</v>
      </c>
      <c r="B47" s="884"/>
      <c r="C47" s="902"/>
      <c r="D47" s="1401">
        <f>ROUND(D16+D23+D44,3)</f>
        <v>2882.721</v>
      </c>
      <c r="E47" s="1402"/>
      <c r="F47" s="1401">
        <f>ROUND(F16+F23+F44,3)</f>
        <v>6876.2020000000002</v>
      </c>
      <c r="G47" s="1402"/>
      <c r="H47" s="1401">
        <f>ROUND(H16+H23+H44,3)</f>
        <v>6270.6</v>
      </c>
      <c r="I47" s="1403"/>
      <c r="J47" s="1401">
        <f>ROUND(J16+J23+J44,3)</f>
        <v>0</v>
      </c>
      <c r="K47" s="1402"/>
      <c r="L47" s="1401">
        <f>ROUND(L16+L23+L44,3)</f>
        <v>3488.3229999999999</v>
      </c>
      <c r="M47" s="892"/>
      <c r="N47" s="895"/>
      <c r="O47" s="897"/>
      <c r="P47" s="897"/>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884"/>
      <c r="BF47" s="884"/>
      <c r="BG47" s="884"/>
      <c r="BH47" s="884"/>
      <c r="BI47" s="884"/>
      <c r="BJ47" s="884"/>
      <c r="BK47" s="884"/>
      <c r="BL47" s="884"/>
      <c r="BM47" s="884"/>
      <c r="BN47" s="884"/>
      <c r="BO47" s="884"/>
      <c r="BP47" s="884"/>
      <c r="BQ47" s="884"/>
      <c r="BR47" s="884"/>
      <c r="BS47" s="884"/>
      <c r="BT47" s="884"/>
      <c r="BU47" s="884"/>
      <c r="BV47" s="884"/>
      <c r="BW47" s="884"/>
      <c r="BX47" s="884"/>
      <c r="BY47" s="884"/>
      <c r="BZ47" s="884"/>
      <c r="CA47" s="884"/>
      <c r="CB47" s="884"/>
      <c r="CC47" s="884"/>
      <c r="CD47" s="884"/>
      <c r="CE47" s="884"/>
      <c r="CF47" s="884"/>
      <c r="CG47" s="884"/>
      <c r="CH47" s="884"/>
      <c r="CI47" s="884"/>
      <c r="CJ47" s="884"/>
      <c r="CK47" s="884"/>
      <c r="CL47" s="884"/>
      <c r="CM47" s="884"/>
      <c r="CN47" s="884"/>
      <c r="CO47" s="884"/>
      <c r="CP47" s="884"/>
      <c r="CQ47" s="884"/>
      <c r="CR47" s="884"/>
      <c r="CS47" s="884"/>
      <c r="CT47" s="884"/>
      <c r="CU47" s="884"/>
      <c r="CV47" s="884"/>
      <c r="CW47" s="884"/>
      <c r="CX47" s="884"/>
      <c r="CY47" s="884"/>
      <c r="CZ47" s="884"/>
      <c r="DA47" s="884"/>
      <c r="DB47" s="884"/>
      <c r="DC47" s="884"/>
      <c r="DD47" s="884"/>
      <c r="DE47" s="884"/>
      <c r="DF47" s="884"/>
      <c r="DG47" s="884"/>
      <c r="DH47" s="884"/>
      <c r="DI47" s="884"/>
      <c r="DJ47" s="884"/>
      <c r="DK47" s="884"/>
      <c r="DL47" s="884"/>
      <c r="DM47" s="884"/>
      <c r="DN47" s="884"/>
      <c r="DO47" s="884"/>
      <c r="DP47" s="884"/>
      <c r="DQ47" s="884"/>
      <c r="DR47" s="884"/>
      <c r="DS47" s="884"/>
      <c r="DT47" s="884"/>
      <c r="DU47" s="884"/>
      <c r="DV47" s="884"/>
      <c r="DW47" s="884"/>
      <c r="DX47" s="884"/>
      <c r="DY47" s="884"/>
      <c r="DZ47" s="884"/>
      <c r="EA47" s="884"/>
      <c r="EB47" s="884"/>
      <c r="EC47" s="884"/>
      <c r="ED47" s="884"/>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884"/>
      <c r="IC47" s="884"/>
      <c r="ID47" s="884"/>
      <c r="IE47" s="884"/>
      <c r="IF47" s="884"/>
      <c r="IG47" s="884"/>
      <c r="IH47" s="884"/>
      <c r="II47" s="884"/>
      <c r="IJ47" s="884"/>
      <c r="IK47" s="884"/>
      <c r="IL47" s="884"/>
      <c r="IM47" s="884"/>
      <c r="IN47" s="884"/>
      <c r="IO47" s="884"/>
      <c r="IP47" s="884"/>
      <c r="IQ47" s="884"/>
      <c r="IR47" s="884"/>
      <c r="IS47" s="884"/>
      <c r="IT47" s="884"/>
      <c r="IU47" s="884"/>
      <c r="IV47" s="884"/>
    </row>
    <row r="48" spans="1:256" ht="12" customHeight="1" thickTop="1">
      <c r="A48" s="884"/>
      <c r="B48" s="884"/>
      <c r="C48" s="884"/>
      <c r="D48" s="1404" t="s">
        <v>16</v>
      </c>
      <c r="E48" s="1379"/>
      <c r="F48" s="1404" t="s">
        <v>16</v>
      </c>
      <c r="G48" s="1379"/>
      <c r="H48" s="1404" t="s">
        <v>16</v>
      </c>
      <c r="I48" s="1379"/>
      <c r="J48" s="1373" t="s">
        <v>16</v>
      </c>
      <c r="K48" s="1379"/>
      <c r="L48" s="1404" t="s">
        <v>16</v>
      </c>
      <c r="M48" s="891"/>
      <c r="N48" s="884"/>
      <c r="O48" s="897"/>
      <c r="P48" s="897"/>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c r="AQ48" s="884"/>
      <c r="AR48" s="884"/>
      <c r="AS48" s="884"/>
      <c r="AT48" s="884"/>
      <c r="AU48" s="884"/>
      <c r="AV48" s="884"/>
      <c r="AW48" s="884"/>
      <c r="AX48" s="884"/>
      <c r="AY48" s="884"/>
      <c r="AZ48" s="884"/>
      <c r="BA48" s="884"/>
      <c r="BB48" s="884"/>
      <c r="BC48" s="884"/>
      <c r="BD48" s="884"/>
      <c r="BE48" s="884"/>
      <c r="BF48" s="884"/>
      <c r="BG48" s="884"/>
      <c r="BH48" s="884"/>
      <c r="BI48" s="884"/>
      <c r="BJ48" s="884"/>
      <c r="BK48" s="884"/>
      <c r="BL48" s="884"/>
      <c r="BM48" s="884"/>
      <c r="BN48" s="884"/>
      <c r="BO48" s="884"/>
      <c r="BP48" s="884"/>
      <c r="BQ48" s="884"/>
      <c r="BR48" s="884"/>
      <c r="BS48" s="884"/>
      <c r="BT48" s="884"/>
      <c r="BU48" s="884"/>
      <c r="BV48" s="884"/>
      <c r="BW48" s="884"/>
      <c r="BX48" s="884"/>
      <c r="BY48" s="884"/>
      <c r="BZ48" s="884"/>
      <c r="CA48" s="884"/>
      <c r="CB48" s="884"/>
      <c r="CC48" s="884"/>
      <c r="CD48" s="884"/>
      <c r="CE48" s="884"/>
      <c r="CF48" s="884"/>
      <c r="CG48" s="884"/>
      <c r="CH48" s="884"/>
      <c r="CI48" s="884"/>
      <c r="CJ48" s="884"/>
      <c r="CK48" s="884"/>
      <c r="CL48" s="884"/>
      <c r="CM48" s="884"/>
      <c r="CN48" s="884"/>
      <c r="CO48" s="884"/>
      <c r="CP48" s="884"/>
      <c r="CQ48" s="884"/>
      <c r="CR48" s="884"/>
      <c r="CS48" s="884"/>
      <c r="CT48" s="884"/>
      <c r="CU48" s="884"/>
      <c r="CV48" s="884"/>
      <c r="CW48" s="884"/>
      <c r="CX48" s="884"/>
      <c r="CY48" s="884"/>
      <c r="CZ48" s="884"/>
      <c r="DA48" s="884"/>
      <c r="DB48" s="884"/>
      <c r="DC48" s="884"/>
      <c r="DD48" s="884"/>
      <c r="DE48" s="884"/>
      <c r="DF48" s="884"/>
      <c r="DG48" s="884"/>
      <c r="DH48" s="884"/>
      <c r="DI48" s="884"/>
      <c r="DJ48" s="884"/>
      <c r="DK48" s="884"/>
      <c r="DL48" s="884"/>
      <c r="DM48" s="884"/>
      <c r="DN48" s="884"/>
      <c r="DO48" s="884"/>
      <c r="DP48" s="884"/>
      <c r="DQ48" s="884"/>
      <c r="DR48" s="884"/>
      <c r="DS48" s="884"/>
      <c r="DT48" s="884"/>
      <c r="DU48" s="884"/>
      <c r="DV48" s="884"/>
      <c r="DW48" s="884"/>
      <c r="DX48" s="884"/>
      <c r="DY48" s="884"/>
      <c r="DZ48" s="884"/>
      <c r="EA48" s="884"/>
      <c r="EB48" s="884"/>
      <c r="EC48" s="884"/>
      <c r="ED48" s="884"/>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884"/>
      <c r="IC48" s="884"/>
      <c r="ID48" s="884"/>
      <c r="IE48" s="884"/>
      <c r="IF48" s="884"/>
      <c r="IG48" s="884"/>
      <c r="IH48" s="884"/>
      <c r="II48" s="884"/>
      <c r="IJ48" s="884"/>
      <c r="IK48" s="884"/>
      <c r="IL48" s="884"/>
      <c r="IM48" s="884"/>
      <c r="IN48" s="884"/>
      <c r="IO48" s="884"/>
      <c r="IP48" s="884"/>
      <c r="IQ48" s="884"/>
      <c r="IR48" s="884"/>
      <c r="IS48" s="884"/>
      <c r="IT48" s="884"/>
      <c r="IU48" s="884"/>
      <c r="IV48" s="884"/>
    </row>
    <row r="49" spans="1:256" ht="15.75" customHeight="1">
      <c r="A49" s="1405"/>
      <c r="B49" s="884"/>
      <c r="C49" s="884"/>
      <c r="D49" s="884"/>
      <c r="E49" s="884"/>
      <c r="F49" s="884"/>
      <c r="G49" s="884"/>
      <c r="H49" s="884"/>
      <c r="I49" s="884"/>
      <c r="J49" s="884"/>
      <c r="K49" s="884"/>
      <c r="L49" s="884"/>
      <c r="M49" s="884"/>
      <c r="N49" s="884"/>
      <c r="O49" s="897"/>
      <c r="P49" s="897"/>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884"/>
      <c r="AS49" s="884"/>
      <c r="AT49" s="884"/>
      <c r="AU49" s="884"/>
      <c r="AV49" s="884"/>
      <c r="AW49" s="884"/>
      <c r="AX49" s="884"/>
      <c r="AY49" s="884"/>
      <c r="AZ49" s="884"/>
      <c r="BA49" s="884"/>
      <c r="BB49" s="884"/>
      <c r="BC49" s="884"/>
      <c r="BD49" s="884"/>
      <c r="BE49" s="884"/>
      <c r="BF49" s="884"/>
      <c r="BG49" s="884"/>
      <c r="BH49" s="884"/>
      <c r="BI49" s="884"/>
      <c r="BJ49" s="884"/>
      <c r="BK49" s="884"/>
      <c r="BL49" s="884"/>
      <c r="BM49" s="884"/>
      <c r="BN49" s="884"/>
      <c r="BO49" s="884"/>
      <c r="BP49" s="884"/>
      <c r="BQ49" s="884"/>
      <c r="BR49" s="884"/>
      <c r="BS49" s="884"/>
      <c r="BT49" s="884"/>
      <c r="BU49" s="884"/>
      <c r="BV49" s="884"/>
      <c r="BW49" s="884"/>
      <c r="BX49" s="884"/>
      <c r="BY49" s="884"/>
      <c r="BZ49" s="884"/>
      <c r="CA49" s="884"/>
      <c r="CB49" s="884"/>
      <c r="CC49" s="884"/>
      <c r="CD49" s="884"/>
      <c r="CE49" s="884"/>
      <c r="CF49" s="884"/>
      <c r="CG49" s="884"/>
      <c r="CH49" s="884"/>
      <c r="CI49" s="884"/>
      <c r="CJ49" s="884"/>
      <c r="CK49" s="884"/>
      <c r="CL49" s="884"/>
      <c r="CM49" s="884"/>
      <c r="CN49" s="884"/>
      <c r="CO49" s="884"/>
      <c r="CP49" s="884"/>
      <c r="CQ49" s="884"/>
      <c r="CR49" s="884"/>
      <c r="CS49" s="884"/>
      <c r="CT49" s="884"/>
      <c r="CU49" s="884"/>
      <c r="CV49" s="884"/>
      <c r="CW49" s="884"/>
      <c r="CX49" s="884"/>
      <c r="CY49" s="884"/>
      <c r="CZ49" s="884"/>
      <c r="DA49" s="884"/>
      <c r="DB49" s="884"/>
      <c r="DC49" s="884"/>
      <c r="DD49" s="884"/>
      <c r="DE49" s="884"/>
      <c r="DF49" s="884"/>
      <c r="DG49" s="884"/>
      <c r="DH49" s="884"/>
      <c r="DI49" s="884"/>
      <c r="DJ49" s="884"/>
      <c r="DK49" s="884"/>
      <c r="DL49" s="884"/>
      <c r="DM49" s="884"/>
      <c r="DN49" s="884"/>
      <c r="DO49" s="884"/>
      <c r="DP49" s="884"/>
      <c r="DQ49" s="884"/>
      <c r="DR49" s="884"/>
      <c r="DS49" s="884"/>
      <c r="DT49" s="884"/>
      <c r="DU49" s="884"/>
      <c r="DV49" s="884"/>
      <c r="DW49" s="884"/>
      <c r="DX49" s="884"/>
      <c r="DY49" s="884"/>
      <c r="DZ49" s="884"/>
      <c r="EA49" s="884"/>
      <c r="EB49" s="884"/>
      <c r="EC49" s="884"/>
      <c r="ED49" s="884"/>
      <c r="EE49" s="884"/>
      <c r="EF49" s="884"/>
      <c r="EG49" s="884"/>
      <c r="EH49" s="884"/>
      <c r="EI49" s="884"/>
      <c r="EJ49" s="884"/>
      <c r="EK49" s="884"/>
      <c r="EL49" s="884"/>
      <c r="EM49" s="884"/>
      <c r="EN49" s="884"/>
      <c r="EO49" s="884"/>
      <c r="EP49" s="884"/>
      <c r="EQ49" s="884"/>
      <c r="ER49" s="884"/>
      <c r="ES49" s="884"/>
      <c r="ET49" s="884"/>
      <c r="EU49" s="884"/>
      <c r="EV49" s="884"/>
      <c r="EW49" s="884"/>
      <c r="EX49" s="884"/>
      <c r="EY49" s="884"/>
      <c r="EZ49" s="884"/>
      <c r="FA49" s="884"/>
      <c r="FB49" s="884"/>
      <c r="FC49" s="884"/>
      <c r="FD49" s="884"/>
      <c r="FE49" s="884"/>
      <c r="FF49" s="884"/>
      <c r="FG49" s="884"/>
      <c r="FH49" s="884"/>
      <c r="FI49" s="884"/>
      <c r="FJ49" s="884"/>
      <c r="FK49" s="884"/>
      <c r="FL49" s="884"/>
      <c r="FM49" s="884"/>
      <c r="FN49" s="884"/>
      <c r="FO49" s="884"/>
      <c r="FP49" s="884"/>
      <c r="FQ49" s="884"/>
      <c r="FR49" s="884"/>
      <c r="FS49" s="884"/>
      <c r="FT49" s="884"/>
      <c r="FU49" s="884"/>
      <c r="FV49" s="884"/>
      <c r="FW49" s="884"/>
      <c r="FX49" s="884"/>
      <c r="FY49" s="884"/>
      <c r="FZ49" s="884"/>
      <c r="GA49" s="884"/>
      <c r="GB49" s="884"/>
      <c r="GC49" s="884"/>
      <c r="GD49" s="884"/>
      <c r="GE49" s="884"/>
      <c r="GF49" s="884"/>
      <c r="GG49" s="884"/>
      <c r="GH49" s="884"/>
      <c r="GI49" s="884"/>
      <c r="GJ49" s="884"/>
      <c r="GK49" s="884"/>
      <c r="GL49" s="884"/>
      <c r="GM49" s="884"/>
      <c r="GN49" s="884"/>
      <c r="GO49" s="884"/>
      <c r="GP49" s="884"/>
      <c r="GQ49" s="884"/>
      <c r="GR49" s="884"/>
      <c r="GS49" s="884"/>
      <c r="GT49" s="884"/>
      <c r="GU49" s="884"/>
      <c r="GV49" s="884"/>
      <c r="GW49" s="884"/>
      <c r="GX49" s="884"/>
      <c r="GY49" s="884"/>
      <c r="GZ49" s="884"/>
      <c r="HA49" s="884"/>
      <c r="HB49" s="884"/>
      <c r="HC49" s="884"/>
      <c r="HD49" s="884"/>
      <c r="HE49" s="884"/>
      <c r="HF49" s="884"/>
      <c r="HG49" s="884"/>
      <c r="HH49" s="884"/>
      <c r="HI49" s="884"/>
      <c r="HJ49" s="884"/>
      <c r="HK49" s="884"/>
      <c r="HL49" s="884"/>
      <c r="HM49" s="884"/>
      <c r="HN49" s="884"/>
      <c r="HO49" s="884"/>
      <c r="HP49" s="884"/>
      <c r="HQ49" s="884"/>
      <c r="HR49" s="884"/>
      <c r="HS49" s="884"/>
      <c r="HT49" s="884"/>
      <c r="HU49" s="884"/>
      <c r="HV49" s="884"/>
      <c r="HW49" s="884"/>
      <c r="HX49" s="884"/>
      <c r="HY49" s="884"/>
      <c r="HZ49" s="884"/>
      <c r="IA49" s="884"/>
      <c r="IB49" s="884"/>
      <c r="IC49" s="884"/>
      <c r="ID49" s="884"/>
      <c r="IE49" s="884"/>
      <c r="IF49" s="884"/>
      <c r="IG49" s="884"/>
      <c r="IH49" s="884"/>
      <c r="II49" s="884"/>
      <c r="IJ49" s="884"/>
      <c r="IK49" s="884"/>
      <c r="IL49" s="884"/>
      <c r="IM49" s="884"/>
      <c r="IN49" s="884"/>
      <c r="IO49" s="884"/>
      <c r="IP49" s="884"/>
      <c r="IQ49" s="884"/>
      <c r="IR49" s="884"/>
      <c r="IS49" s="884"/>
      <c r="IT49" s="884"/>
      <c r="IU49" s="884"/>
      <c r="IV49" s="884"/>
    </row>
    <row r="50" spans="1:256" ht="18">
      <c r="A50" s="884"/>
      <c r="B50" s="884"/>
      <c r="C50" s="884" t="s">
        <v>16</v>
      </c>
      <c r="D50" s="895"/>
      <c r="E50" s="884"/>
      <c r="F50" s="884"/>
      <c r="G50" s="884"/>
      <c r="H50" s="884"/>
      <c r="I50" s="884"/>
      <c r="J50" s="884"/>
      <c r="K50" s="884"/>
      <c r="L50" s="898"/>
      <c r="M50" s="884"/>
      <c r="N50" s="884"/>
      <c r="O50" s="897"/>
      <c r="P50" s="897"/>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4"/>
      <c r="AV50" s="884"/>
      <c r="AW50" s="884"/>
      <c r="AX50" s="884"/>
      <c r="AY50" s="884"/>
      <c r="AZ50" s="884"/>
      <c r="BA50" s="884"/>
      <c r="BB50" s="884"/>
      <c r="BC50" s="884"/>
      <c r="BD50" s="884"/>
      <c r="BE50" s="884"/>
      <c r="BF50" s="884"/>
      <c r="BG50" s="884"/>
      <c r="BH50" s="884"/>
      <c r="BI50" s="884"/>
      <c r="BJ50" s="884"/>
      <c r="BK50" s="884"/>
      <c r="BL50" s="884"/>
      <c r="BM50" s="884"/>
      <c r="BN50" s="884"/>
      <c r="BO50" s="884"/>
      <c r="BP50" s="884"/>
      <c r="BQ50" s="884"/>
      <c r="BR50" s="884"/>
      <c r="BS50" s="884"/>
      <c r="BT50" s="884"/>
      <c r="BU50" s="884"/>
      <c r="BV50" s="884"/>
      <c r="BW50" s="884"/>
      <c r="BX50" s="884"/>
      <c r="BY50" s="884"/>
      <c r="BZ50" s="884"/>
      <c r="CA50" s="884"/>
      <c r="CB50" s="884"/>
      <c r="CC50" s="884"/>
      <c r="CD50" s="884"/>
      <c r="CE50" s="884"/>
      <c r="CF50" s="884"/>
      <c r="CG50" s="884"/>
      <c r="CH50" s="884"/>
      <c r="CI50" s="884"/>
      <c r="CJ50" s="884"/>
      <c r="CK50" s="884"/>
      <c r="CL50" s="884"/>
      <c r="CM50" s="884"/>
      <c r="CN50" s="884"/>
      <c r="CO50" s="884"/>
      <c r="CP50" s="884"/>
      <c r="CQ50" s="884"/>
      <c r="CR50" s="884"/>
      <c r="CS50" s="884"/>
      <c r="CT50" s="884"/>
      <c r="CU50" s="884"/>
      <c r="CV50" s="884"/>
      <c r="CW50" s="884"/>
      <c r="CX50" s="884"/>
      <c r="CY50" s="884"/>
      <c r="CZ50" s="884"/>
      <c r="DA50" s="884"/>
      <c r="DB50" s="884"/>
      <c r="DC50" s="884"/>
      <c r="DD50" s="884"/>
      <c r="DE50" s="884"/>
      <c r="DF50" s="884"/>
      <c r="DG50" s="884"/>
      <c r="DH50" s="884"/>
      <c r="DI50" s="884"/>
      <c r="DJ50" s="884"/>
      <c r="DK50" s="884"/>
      <c r="DL50" s="884"/>
      <c r="DM50" s="884"/>
      <c r="DN50" s="884"/>
      <c r="DO50" s="884"/>
      <c r="DP50" s="884"/>
      <c r="DQ50" s="884"/>
      <c r="DR50" s="884"/>
      <c r="DS50" s="884"/>
      <c r="DT50" s="884"/>
      <c r="DU50" s="884"/>
      <c r="DV50" s="884"/>
      <c r="DW50" s="884"/>
      <c r="DX50" s="884"/>
      <c r="DY50" s="884"/>
      <c r="DZ50" s="884"/>
      <c r="EA50" s="884"/>
      <c r="EB50" s="884"/>
      <c r="EC50" s="884"/>
      <c r="ED50" s="884"/>
      <c r="EE50" s="884"/>
      <c r="EF50" s="884"/>
      <c r="EG50" s="884"/>
      <c r="EH50" s="884"/>
      <c r="EI50" s="884"/>
      <c r="EJ50" s="884"/>
      <c r="EK50" s="884"/>
      <c r="EL50" s="884"/>
      <c r="EM50" s="884"/>
      <c r="EN50" s="884"/>
      <c r="EO50" s="884"/>
      <c r="EP50" s="884"/>
      <c r="EQ50" s="884"/>
      <c r="ER50" s="884"/>
      <c r="ES50" s="884"/>
      <c r="ET50" s="884"/>
      <c r="EU50" s="884"/>
      <c r="EV50" s="884"/>
      <c r="EW50" s="884"/>
      <c r="EX50" s="884"/>
      <c r="EY50" s="884"/>
      <c r="EZ50" s="884"/>
      <c r="FA50" s="884"/>
      <c r="FB50" s="884"/>
      <c r="FC50" s="884"/>
      <c r="FD50" s="884"/>
      <c r="FE50" s="884"/>
      <c r="FF50" s="884"/>
      <c r="FG50" s="884"/>
      <c r="FH50" s="884"/>
      <c r="FI50" s="884"/>
      <c r="FJ50" s="884"/>
      <c r="FK50" s="884"/>
      <c r="FL50" s="884"/>
      <c r="FM50" s="884"/>
      <c r="FN50" s="884"/>
      <c r="FO50" s="884"/>
      <c r="FP50" s="884"/>
      <c r="FQ50" s="884"/>
      <c r="FR50" s="884"/>
      <c r="FS50" s="884"/>
      <c r="FT50" s="884"/>
      <c r="FU50" s="884"/>
      <c r="FV50" s="884"/>
      <c r="FW50" s="884"/>
      <c r="FX50" s="884"/>
      <c r="FY50" s="884"/>
      <c r="FZ50" s="884"/>
      <c r="GA50" s="884"/>
      <c r="GB50" s="884"/>
      <c r="GC50" s="884"/>
      <c r="GD50" s="884"/>
      <c r="GE50" s="884"/>
      <c r="GF50" s="884"/>
      <c r="GG50" s="884"/>
      <c r="GH50" s="884"/>
      <c r="GI50" s="884"/>
      <c r="GJ50" s="884"/>
      <c r="GK50" s="884"/>
      <c r="GL50" s="884"/>
      <c r="GM50" s="884"/>
      <c r="GN50" s="884"/>
      <c r="GO50" s="884"/>
      <c r="GP50" s="884"/>
      <c r="GQ50" s="884"/>
      <c r="GR50" s="884"/>
      <c r="GS50" s="884"/>
      <c r="GT50" s="884"/>
      <c r="GU50" s="884"/>
      <c r="GV50" s="884"/>
      <c r="GW50" s="884"/>
      <c r="GX50" s="884"/>
      <c r="GY50" s="884"/>
      <c r="GZ50" s="884"/>
      <c r="HA50" s="884"/>
      <c r="HB50" s="884"/>
      <c r="HC50" s="884"/>
      <c r="HD50" s="884"/>
      <c r="HE50" s="884"/>
      <c r="HF50" s="884"/>
      <c r="HG50" s="884"/>
      <c r="HH50" s="884"/>
      <c r="HI50" s="884"/>
      <c r="HJ50" s="884"/>
      <c r="HK50" s="884"/>
      <c r="HL50" s="884"/>
      <c r="HM50" s="884"/>
      <c r="HN50" s="884"/>
      <c r="HO50" s="884"/>
      <c r="HP50" s="884"/>
      <c r="HQ50" s="884"/>
      <c r="HR50" s="884"/>
      <c r="HS50" s="884"/>
      <c r="HT50" s="884"/>
      <c r="HU50" s="884"/>
      <c r="HV50" s="884"/>
      <c r="HW50" s="884"/>
      <c r="HX50" s="884"/>
      <c r="HY50" s="884"/>
      <c r="HZ50" s="884"/>
      <c r="IA50" s="884"/>
      <c r="IB50" s="884"/>
      <c r="IC50" s="884"/>
      <c r="ID50" s="884"/>
      <c r="IE50" s="884"/>
      <c r="IF50" s="884"/>
      <c r="IG50" s="884"/>
      <c r="IH50" s="884"/>
      <c r="II50" s="884"/>
      <c r="IJ50" s="884"/>
      <c r="IK50" s="884"/>
      <c r="IL50" s="884"/>
      <c r="IM50" s="884"/>
      <c r="IN50" s="884"/>
      <c r="IO50" s="884"/>
      <c r="IP50" s="884"/>
      <c r="IQ50" s="884"/>
      <c r="IR50" s="884"/>
      <c r="IS50" s="884"/>
      <c r="IT50" s="884"/>
      <c r="IU50" s="884"/>
      <c r="IV50" s="884"/>
    </row>
    <row r="51" spans="1:256" ht="18">
      <c r="A51" s="895"/>
      <c r="B51" s="884"/>
      <c r="C51" s="884"/>
      <c r="D51" s="884"/>
      <c r="E51" s="884"/>
      <c r="F51" s="884"/>
      <c r="G51" s="884"/>
      <c r="H51" s="884"/>
      <c r="I51" s="884"/>
      <c r="J51" s="884"/>
      <c r="K51" s="884"/>
      <c r="L51" s="884"/>
      <c r="M51" s="884"/>
      <c r="N51" s="884"/>
      <c r="O51" s="897"/>
      <c r="P51" s="897"/>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BF51" s="884"/>
      <c r="BG51" s="884"/>
      <c r="BH51" s="884"/>
      <c r="BI51" s="884"/>
      <c r="BJ51" s="884"/>
      <c r="BK51" s="884"/>
      <c r="BL51" s="884"/>
      <c r="BM51" s="884"/>
      <c r="BN51" s="884"/>
      <c r="BO51" s="884"/>
      <c r="BP51" s="884"/>
      <c r="BQ51" s="884"/>
      <c r="BR51" s="884"/>
      <c r="BS51" s="884"/>
      <c r="BT51" s="884"/>
      <c r="BU51" s="884"/>
      <c r="BV51" s="884"/>
      <c r="BW51" s="884"/>
      <c r="BX51" s="884"/>
      <c r="BY51" s="884"/>
      <c r="BZ51" s="884"/>
      <c r="CA51" s="884"/>
      <c r="CB51" s="884"/>
      <c r="CC51" s="884"/>
      <c r="CD51" s="884"/>
      <c r="CE51" s="884"/>
      <c r="CF51" s="884"/>
      <c r="CG51" s="884"/>
      <c r="CH51" s="884"/>
      <c r="CI51" s="884"/>
      <c r="CJ51" s="884"/>
      <c r="CK51" s="884"/>
      <c r="CL51" s="884"/>
      <c r="CM51" s="884"/>
      <c r="CN51" s="884"/>
      <c r="CO51" s="884"/>
      <c r="CP51" s="884"/>
      <c r="CQ51" s="884"/>
      <c r="CR51" s="884"/>
      <c r="CS51" s="884"/>
      <c r="CT51" s="884"/>
      <c r="CU51" s="884"/>
      <c r="CV51" s="884"/>
      <c r="CW51" s="884"/>
      <c r="CX51" s="884"/>
      <c r="CY51" s="884"/>
      <c r="CZ51" s="884"/>
      <c r="DA51" s="884"/>
      <c r="DB51" s="884"/>
      <c r="DC51" s="884"/>
      <c r="DD51" s="884"/>
      <c r="DE51" s="884"/>
      <c r="DF51" s="884"/>
      <c r="DG51" s="884"/>
      <c r="DH51" s="884"/>
      <c r="DI51" s="884"/>
      <c r="DJ51" s="884"/>
      <c r="DK51" s="884"/>
      <c r="DL51" s="884"/>
      <c r="DM51" s="884"/>
      <c r="DN51" s="884"/>
      <c r="DO51" s="884"/>
      <c r="DP51" s="884"/>
      <c r="DQ51" s="884"/>
      <c r="DR51" s="884"/>
      <c r="DS51" s="884"/>
      <c r="DT51" s="884"/>
      <c r="DU51" s="884"/>
      <c r="DV51" s="884"/>
      <c r="DW51" s="884"/>
      <c r="DX51" s="884"/>
      <c r="DY51" s="884"/>
      <c r="DZ51" s="884"/>
      <c r="EA51" s="884"/>
      <c r="EB51" s="884"/>
      <c r="EC51" s="884"/>
      <c r="ED51" s="884"/>
      <c r="EE51" s="884"/>
      <c r="EF51" s="884"/>
      <c r="EG51" s="884"/>
      <c r="EH51" s="884"/>
      <c r="EI51" s="884"/>
      <c r="EJ51" s="884"/>
      <c r="EK51" s="884"/>
      <c r="EL51" s="884"/>
      <c r="EM51" s="884"/>
      <c r="EN51" s="884"/>
      <c r="EO51" s="884"/>
      <c r="EP51" s="884"/>
      <c r="EQ51" s="884"/>
      <c r="ER51" s="884"/>
      <c r="ES51" s="884"/>
      <c r="ET51" s="884"/>
      <c r="EU51" s="884"/>
      <c r="EV51" s="884"/>
      <c r="EW51" s="884"/>
      <c r="EX51" s="884"/>
      <c r="EY51" s="884"/>
      <c r="EZ51" s="884"/>
      <c r="FA51" s="884"/>
      <c r="FB51" s="884"/>
      <c r="FC51" s="884"/>
      <c r="FD51" s="884"/>
      <c r="FE51" s="884"/>
      <c r="FF51" s="884"/>
      <c r="FG51" s="884"/>
      <c r="FH51" s="884"/>
      <c r="FI51" s="884"/>
      <c r="FJ51" s="884"/>
      <c r="FK51" s="884"/>
      <c r="FL51" s="884"/>
      <c r="FM51" s="884"/>
      <c r="FN51" s="884"/>
      <c r="FO51" s="884"/>
      <c r="FP51" s="884"/>
      <c r="FQ51" s="884"/>
      <c r="FR51" s="884"/>
      <c r="FS51" s="884"/>
      <c r="FT51" s="884"/>
      <c r="FU51" s="884"/>
      <c r="FV51" s="884"/>
      <c r="FW51" s="884"/>
      <c r="FX51" s="884"/>
      <c r="FY51" s="884"/>
      <c r="FZ51" s="884"/>
      <c r="GA51" s="884"/>
      <c r="GB51" s="884"/>
      <c r="GC51" s="884"/>
      <c r="GD51" s="884"/>
      <c r="GE51" s="884"/>
      <c r="GF51" s="884"/>
      <c r="GG51" s="884"/>
      <c r="GH51" s="884"/>
      <c r="GI51" s="884"/>
      <c r="GJ51" s="884"/>
      <c r="GK51" s="884"/>
      <c r="GL51" s="884"/>
      <c r="GM51" s="884"/>
      <c r="GN51" s="884"/>
      <c r="GO51" s="884"/>
      <c r="GP51" s="884"/>
      <c r="GQ51" s="884"/>
      <c r="GR51" s="884"/>
      <c r="GS51" s="884"/>
      <c r="GT51" s="884"/>
      <c r="GU51" s="884"/>
      <c r="GV51" s="884"/>
      <c r="GW51" s="884"/>
      <c r="GX51" s="884"/>
      <c r="GY51" s="884"/>
      <c r="GZ51" s="884"/>
      <c r="HA51" s="884"/>
      <c r="HB51" s="884"/>
      <c r="HC51" s="884"/>
      <c r="HD51" s="884"/>
      <c r="HE51" s="884"/>
      <c r="HF51" s="884"/>
      <c r="HG51" s="884"/>
      <c r="HH51" s="884"/>
      <c r="HI51" s="884"/>
      <c r="HJ51" s="884"/>
      <c r="HK51" s="884"/>
      <c r="HL51" s="884"/>
      <c r="HM51" s="884"/>
      <c r="HN51" s="884"/>
      <c r="HO51" s="884"/>
      <c r="HP51" s="884"/>
      <c r="HQ51" s="884"/>
      <c r="HR51" s="884"/>
      <c r="HS51" s="884"/>
      <c r="HT51" s="884"/>
      <c r="HU51" s="884"/>
      <c r="HV51" s="884"/>
      <c r="HW51" s="884"/>
      <c r="HX51" s="884"/>
      <c r="HY51" s="884"/>
      <c r="HZ51" s="884"/>
      <c r="IA51" s="884"/>
      <c r="IB51" s="884"/>
      <c r="IC51" s="884"/>
      <c r="ID51" s="884"/>
      <c r="IE51" s="884"/>
      <c r="IF51" s="884"/>
      <c r="IG51" s="884"/>
      <c r="IH51" s="884"/>
      <c r="II51" s="884"/>
      <c r="IJ51" s="884"/>
      <c r="IK51" s="884"/>
      <c r="IL51" s="884"/>
      <c r="IM51" s="884"/>
      <c r="IN51" s="884"/>
      <c r="IO51" s="884"/>
      <c r="IP51" s="884"/>
      <c r="IQ51" s="884"/>
      <c r="IR51" s="884"/>
      <c r="IS51" s="884"/>
      <c r="IT51" s="884"/>
      <c r="IU51" s="884"/>
      <c r="IV51" s="884"/>
    </row>
    <row r="52" spans="1:256" ht="18">
      <c r="A52" s="895"/>
      <c r="B52" s="884"/>
      <c r="C52" s="884"/>
      <c r="D52" s="884"/>
      <c r="E52" s="884"/>
      <c r="F52" s="884"/>
      <c r="G52" s="884"/>
      <c r="H52" s="884"/>
      <c r="I52" s="884"/>
      <c r="J52" s="884"/>
      <c r="K52" s="884"/>
      <c r="L52" s="884"/>
      <c r="M52" s="884"/>
      <c r="N52" s="884"/>
      <c r="O52" s="897"/>
      <c r="P52" s="897"/>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884"/>
      <c r="AS52" s="884"/>
      <c r="AT52" s="884"/>
      <c r="AU52" s="884"/>
      <c r="AV52" s="884"/>
      <c r="AW52" s="884"/>
      <c r="AX52" s="884"/>
      <c r="AY52" s="884"/>
      <c r="AZ52" s="884"/>
      <c r="BA52" s="884"/>
      <c r="BB52" s="884"/>
      <c r="BC52" s="884"/>
      <c r="BD52" s="884"/>
      <c r="BE52" s="884"/>
      <c r="BF52" s="884"/>
      <c r="BG52" s="884"/>
      <c r="BH52" s="884"/>
      <c r="BI52" s="884"/>
      <c r="BJ52" s="884"/>
      <c r="BK52" s="884"/>
      <c r="BL52" s="884"/>
      <c r="BM52" s="884"/>
      <c r="BN52" s="884"/>
      <c r="BO52" s="884"/>
      <c r="BP52" s="884"/>
      <c r="BQ52" s="884"/>
      <c r="BR52" s="884"/>
      <c r="BS52" s="884"/>
      <c r="BT52" s="884"/>
      <c r="BU52" s="884"/>
      <c r="BV52" s="884"/>
      <c r="BW52" s="884"/>
      <c r="BX52" s="884"/>
      <c r="BY52" s="884"/>
      <c r="BZ52" s="884"/>
      <c r="CA52" s="884"/>
      <c r="CB52" s="884"/>
      <c r="CC52" s="884"/>
      <c r="CD52" s="884"/>
      <c r="CE52" s="884"/>
      <c r="CF52" s="884"/>
      <c r="CG52" s="884"/>
      <c r="CH52" s="884"/>
      <c r="CI52" s="884"/>
      <c r="CJ52" s="884"/>
      <c r="CK52" s="884"/>
      <c r="CL52" s="884"/>
      <c r="CM52" s="884"/>
      <c r="CN52" s="884"/>
      <c r="CO52" s="884"/>
      <c r="CP52" s="884"/>
      <c r="CQ52" s="884"/>
      <c r="CR52" s="884"/>
      <c r="CS52" s="884"/>
      <c r="CT52" s="884"/>
      <c r="CU52" s="884"/>
      <c r="CV52" s="884"/>
      <c r="CW52" s="884"/>
      <c r="CX52" s="884"/>
      <c r="CY52" s="884"/>
      <c r="CZ52" s="884"/>
      <c r="DA52" s="884"/>
      <c r="DB52" s="884"/>
      <c r="DC52" s="884"/>
      <c r="DD52" s="884"/>
      <c r="DE52" s="884"/>
      <c r="DF52" s="884"/>
      <c r="DG52" s="884"/>
      <c r="DH52" s="884"/>
      <c r="DI52" s="884"/>
      <c r="DJ52" s="884"/>
      <c r="DK52" s="884"/>
      <c r="DL52" s="884"/>
      <c r="DM52" s="884"/>
      <c r="DN52" s="884"/>
      <c r="DO52" s="884"/>
      <c r="DP52" s="884"/>
      <c r="DQ52" s="884"/>
      <c r="DR52" s="884"/>
      <c r="DS52" s="884"/>
      <c r="DT52" s="884"/>
      <c r="DU52" s="884"/>
      <c r="DV52" s="884"/>
      <c r="DW52" s="884"/>
      <c r="DX52" s="884"/>
      <c r="DY52" s="884"/>
      <c r="DZ52" s="884"/>
      <c r="EA52" s="884"/>
      <c r="EB52" s="884"/>
      <c r="EC52" s="884"/>
      <c r="ED52" s="884"/>
      <c r="EE52" s="884"/>
      <c r="EF52" s="884"/>
      <c r="EG52" s="884"/>
      <c r="EH52" s="884"/>
      <c r="EI52" s="884"/>
      <c r="EJ52" s="884"/>
      <c r="EK52" s="884"/>
      <c r="EL52" s="884"/>
      <c r="EM52" s="884"/>
      <c r="EN52" s="884"/>
      <c r="EO52" s="884"/>
      <c r="EP52" s="884"/>
      <c r="EQ52" s="884"/>
      <c r="ER52" s="884"/>
      <c r="ES52" s="884"/>
      <c r="ET52" s="884"/>
      <c r="EU52" s="884"/>
      <c r="EV52" s="884"/>
      <c r="EW52" s="884"/>
      <c r="EX52" s="884"/>
      <c r="EY52" s="884"/>
      <c r="EZ52" s="884"/>
      <c r="FA52" s="884"/>
      <c r="FB52" s="884"/>
      <c r="FC52" s="884"/>
      <c r="FD52" s="884"/>
      <c r="FE52" s="884"/>
      <c r="FF52" s="884"/>
      <c r="FG52" s="884"/>
      <c r="FH52" s="884"/>
      <c r="FI52" s="884"/>
      <c r="FJ52" s="884"/>
      <c r="FK52" s="884"/>
      <c r="FL52" s="884"/>
      <c r="FM52" s="884"/>
      <c r="FN52" s="884"/>
      <c r="FO52" s="884"/>
      <c r="FP52" s="884"/>
      <c r="FQ52" s="884"/>
      <c r="FR52" s="884"/>
      <c r="FS52" s="884"/>
      <c r="FT52" s="884"/>
      <c r="FU52" s="884"/>
      <c r="FV52" s="884"/>
      <c r="FW52" s="884"/>
      <c r="FX52" s="884"/>
      <c r="FY52" s="884"/>
      <c r="FZ52" s="884"/>
      <c r="GA52" s="884"/>
      <c r="GB52" s="884"/>
      <c r="GC52" s="884"/>
      <c r="GD52" s="884"/>
      <c r="GE52" s="884"/>
      <c r="GF52" s="884"/>
      <c r="GG52" s="884"/>
      <c r="GH52" s="884"/>
      <c r="GI52" s="884"/>
      <c r="GJ52" s="884"/>
      <c r="GK52" s="884"/>
      <c r="GL52" s="884"/>
      <c r="GM52" s="884"/>
      <c r="GN52" s="884"/>
      <c r="GO52" s="884"/>
      <c r="GP52" s="884"/>
      <c r="GQ52" s="884"/>
      <c r="GR52" s="884"/>
      <c r="GS52" s="884"/>
      <c r="GT52" s="884"/>
      <c r="GU52" s="884"/>
      <c r="GV52" s="884"/>
      <c r="GW52" s="884"/>
      <c r="GX52" s="884"/>
      <c r="GY52" s="884"/>
      <c r="GZ52" s="884"/>
      <c r="HA52" s="884"/>
      <c r="HB52" s="884"/>
      <c r="HC52" s="884"/>
      <c r="HD52" s="884"/>
      <c r="HE52" s="884"/>
      <c r="HF52" s="884"/>
      <c r="HG52" s="884"/>
      <c r="HH52" s="884"/>
      <c r="HI52" s="884"/>
      <c r="HJ52" s="884"/>
      <c r="HK52" s="884"/>
      <c r="HL52" s="884"/>
      <c r="HM52" s="884"/>
      <c r="HN52" s="884"/>
      <c r="HO52" s="884"/>
      <c r="HP52" s="884"/>
      <c r="HQ52" s="884"/>
      <c r="HR52" s="884"/>
      <c r="HS52" s="884"/>
      <c r="HT52" s="884"/>
      <c r="HU52" s="884"/>
      <c r="HV52" s="884"/>
      <c r="HW52" s="884"/>
      <c r="HX52" s="884"/>
      <c r="HY52" s="884"/>
      <c r="HZ52" s="884"/>
      <c r="IA52" s="884"/>
      <c r="IB52" s="884"/>
      <c r="IC52" s="884"/>
      <c r="ID52" s="884"/>
      <c r="IE52" s="884"/>
      <c r="IF52" s="884"/>
      <c r="IG52" s="884"/>
      <c r="IH52" s="884"/>
      <c r="II52" s="884"/>
      <c r="IJ52" s="884"/>
      <c r="IK52" s="884"/>
      <c r="IL52" s="884"/>
      <c r="IM52" s="884"/>
      <c r="IN52" s="884"/>
      <c r="IO52" s="884"/>
      <c r="IP52" s="884"/>
      <c r="IQ52" s="884"/>
      <c r="IR52" s="884"/>
      <c r="IS52" s="884"/>
      <c r="IT52" s="884"/>
      <c r="IU52" s="884"/>
      <c r="IV52" s="884"/>
    </row>
    <row r="53" spans="1:256" ht="18">
      <c r="A53" s="895"/>
      <c r="B53" s="884"/>
      <c r="C53" s="884"/>
      <c r="D53" s="884"/>
      <c r="E53" s="884"/>
      <c r="F53" s="884"/>
      <c r="G53" s="884"/>
      <c r="H53" s="884"/>
      <c r="I53" s="884"/>
      <c r="J53" s="884"/>
      <c r="K53" s="884"/>
      <c r="L53" s="884"/>
      <c r="M53" s="884"/>
      <c r="N53" s="884"/>
      <c r="O53" s="897"/>
      <c r="P53" s="897"/>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4"/>
      <c r="AY53" s="884"/>
      <c r="AZ53" s="884"/>
      <c r="BA53" s="884"/>
      <c r="BB53" s="884"/>
      <c r="BC53" s="884"/>
      <c r="BD53" s="884"/>
      <c r="BE53" s="884"/>
      <c r="BF53" s="884"/>
      <c r="BG53" s="884"/>
      <c r="BH53" s="884"/>
      <c r="BI53" s="884"/>
      <c r="BJ53" s="884"/>
      <c r="BK53" s="884"/>
      <c r="BL53" s="884"/>
      <c r="BM53" s="884"/>
      <c r="BN53" s="884"/>
      <c r="BO53" s="884"/>
      <c r="BP53" s="884"/>
      <c r="BQ53" s="884"/>
      <c r="BR53" s="884"/>
      <c r="BS53" s="884"/>
      <c r="BT53" s="884"/>
      <c r="BU53" s="884"/>
      <c r="BV53" s="884"/>
      <c r="BW53" s="884"/>
      <c r="BX53" s="884"/>
      <c r="BY53" s="884"/>
      <c r="BZ53" s="884"/>
      <c r="CA53" s="884"/>
      <c r="CB53" s="884"/>
      <c r="CC53" s="884"/>
      <c r="CD53" s="884"/>
      <c r="CE53" s="884"/>
      <c r="CF53" s="884"/>
      <c r="CG53" s="884"/>
      <c r="CH53" s="884"/>
      <c r="CI53" s="884"/>
      <c r="CJ53" s="884"/>
      <c r="CK53" s="884"/>
      <c r="CL53" s="884"/>
      <c r="CM53" s="884"/>
      <c r="CN53" s="884"/>
      <c r="CO53" s="884"/>
      <c r="CP53" s="884"/>
      <c r="CQ53" s="884"/>
      <c r="CR53" s="884"/>
      <c r="CS53" s="884"/>
      <c r="CT53" s="884"/>
      <c r="CU53" s="884"/>
      <c r="CV53" s="884"/>
      <c r="CW53" s="884"/>
      <c r="CX53" s="884"/>
      <c r="CY53" s="884"/>
      <c r="CZ53" s="884"/>
      <c r="DA53" s="884"/>
      <c r="DB53" s="884"/>
      <c r="DC53" s="884"/>
      <c r="DD53" s="884"/>
      <c r="DE53" s="884"/>
      <c r="DF53" s="884"/>
      <c r="DG53" s="884"/>
      <c r="DH53" s="884"/>
      <c r="DI53" s="884"/>
      <c r="DJ53" s="884"/>
      <c r="DK53" s="884"/>
      <c r="DL53" s="884"/>
      <c r="DM53" s="884"/>
      <c r="DN53" s="884"/>
      <c r="DO53" s="884"/>
      <c r="DP53" s="884"/>
      <c r="DQ53" s="884"/>
      <c r="DR53" s="884"/>
      <c r="DS53" s="884"/>
      <c r="DT53" s="884"/>
      <c r="DU53" s="884"/>
      <c r="DV53" s="884"/>
      <c r="DW53" s="884"/>
      <c r="DX53" s="884"/>
      <c r="DY53" s="884"/>
      <c r="DZ53" s="884"/>
      <c r="EA53" s="884"/>
      <c r="EB53" s="884"/>
      <c r="EC53" s="884"/>
      <c r="ED53" s="884"/>
      <c r="EE53" s="884"/>
      <c r="EF53" s="884"/>
      <c r="EG53" s="884"/>
      <c r="EH53" s="884"/>
      <c r="EI53" s="884"/>
      <c r="EJ53" s="884"/>
      <c r="EK53" s="884"/>
      <c r="EL53" s="884"/>
      <c r="EM53" s="884"/>
      <c r="EN53" s="884"/>
      <c r="EO53" s="884"/>
      <c r="EP53" s="884"/>
      <c r="EQ53" s="884"/>
      <c r="ER53" s="884"/>
      <c r="ES53" s="884"/>
      <c r="ET53" s="884"/>
      <c r="EU53" s="884"/>
      <c r="EV53" s="884"/>
      <c r="EW53" s="884"/>
      <c r="EX53" s="884"/>
      <c r="EY53" s="884"/>
      <c r="EZ53" s="884"/>
      <c r="FA53" s="884"/>
      <c r="FB53" s="884"/>
      <c r="FC53" s="884"/>
      <c r="FD53" s="884"/>
      <c r="FE53" s="884"/>
      <c r="FF53" s="884"/>
      <c r="FG53" s="884"/>
      <c r="FH53" s="884"/>
      <c r="FI53" s="884"/>
      <c r="FJ53" s="884"/>
      <c r="FK53" s="884"/>
      <c r="FL53" s="884"/>
      <c r="FM53" s="884"/>
      <c r="FN53" s="884"/>
      <c r="FO53" s="884"/>
      <c r="FP53" s="884"/>
      <c r="FQ53" s="884"/>
      <c r="FR53" s="884"/>
      <c r="FS53" s="884"/>
      <c r="FT53" s="884"/>
      <c r="FU53" s="884"/>
      <c r="FV53" s="884"/>
      <c r="FW53" s="884"/>
      <c r="FX53" s="884"/>
      <c r="FY53" s="884"/>
      <c r="FZ53" s="884"/>
      <c r="GA53" s="884"/>
      <c r="GB53" s="884"/>
      <c r="GC53" s="884"/>
      <c r="GD53" s="884"/>
      <c r="GE53" s="884"/>
      <c r="GF53" s="884"/>
      <c r="GG53" s="884"/>
      <c r="GH53" s="884"/>
      <c r="GI53" s="884"/>
      <c r="GJ53" s="884"/>
      <c r="GK53" s="884"/>
      <c r="GL53" s="884"/>
      <c r="GM53" s="884"/>
      <c r="GN53" s="884"/>
      <c r="GO53" s="884"/>
      <c r="GP53" s="884"/>
      <c r="GQ53" s="884"/>
      <c r="GR53" s="884"/>
      <c r="GS53" s="884"/>
      <c r="GT53" s="884"/>
      <c r="GU53" s="884"/>
      <c r="GV53" s="884"/>
      <c r="GW53" s="884"/>
      <c r="GX53" s="884"/>
      <c r="GY53" s="884"/>
      <c r="GZ53" s="884"/>
      <c r="HA53" s="884"/>
      <c r="HB53" s="884"/>
      <c r="HC53" s="884"/>
      <c r="HD53" s="884"/>
      <c r="HE53" s="884"/>
      <c r="HF53" s="884"/>
      <c r="HG53" s="884"/>
      <c r="HH53" s="884"/>
      <c r="HI53" s="884"/>
      <c r="HJ53" s="884"/>
      <c r="HK53" s="884"/>
      <c r="HL53" s="884"/>
      <c r="HM53" s="884"/>
      <c r="HN53" s="884"/>
      <c r="HO53" s="884"/>
      <c r="HP53" s="884"/>
      <c r="HQ53" s="884"/>
      <c r="HR53" s="884"/>
      <c r="HS53" s="884"/>
      <c r="HT53" s="884"/>
      <c r="HU53" s="884"/>
      <c r="HV53" s="884"/>
      <c r="HW53" s="884"/>
      <c r="HX53" s="884"/>
      <c r="HY53" s="884"/>
      <c r="HZ53" s="884"/>
      <c r="IA53" s="884"/>
      <c r="IB53" s="884"/>
      <c r="IC53" s="884"/>
      <c r="ID53" s="884"/>
      <c r="IE53" s="884"/>
      <c r="IF53" s="884"/>
      <c r="IG53" s="884"/>
      <c r="IH53" s="884"/>
      <c r="II53" s="884"/>
      <c r="IJ53" s="884"/>
      <c r="IK53" s="884"/>
      <c r="IL53" s="884"/>
      <c r="IM53" s="884"/>
      <c r="IN53" s="884"/>
      <c r="IO53" s="884"/>
      <c r="IP53" s="884"/>
      <c r="IQ53" s="884"/>
      <c r="IR53" s="884"/>
      <c r="IS53" s="884"/>
      <c r="IT53" s="884"/>
      <c r="IU53" s="884"/>
      <c r="IV53" s="884"/>
    </row>
    <row r="54" spans="1:256" ht="18">
      <c r="A54" s="895"/>
      <c r="B54" s="884"/>
      <c r="C54" s="884"/>
      <c r="D54" s="884"/>
      <c r="E54" s="884"/>
      <c r="F54" s="884"/>
      <c r="G54" s="884"/>
      <c r="H54" s="884"/>
      <c r="I54" s="884"/>
      <c r="J54" s="884"/>
      <c r="K54" s="884"/>
      <c r="L54" s="884"/>
      <c r="M54" s="884"/>
      <c r="N54" s="884"/>
      <c r="O54" s="897"/>
      <c r="P54" s="897"/>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4"/>
      <c r="BQ54" s="884"/>
      <c r="BR54" s="884"/>
      <c r="BS54" s="884"/>
      <c r="BT54" s="884"/>
      <c r="BU54" s="884"/>
      <c r="BV54" s="884"/>
      <c r="BW54" s="884"/>
      <c r="BX54" s="884"/>
      <c r="BY54" s="884"/>
      <c r="BZ54" s="884"/>
      <c r="CA54" s="884"/>
      <c r="CB54" s="884"/>
      <c r="CC54" s="884"/>
      <c r="CD54" s="884"/>
      <c r="CE54" s="884"/>
      <c r="CF54" s="884"/>
      <c r="CG54" s="884"/>
      <c r="CH54" s="884"/>
      <c r="CI54" s="884"/>
      <c r="CJ54" s="884"/>
      <c r="CK54" s="884"/>
      <c r="CL54" s="884"/>
      <c r="CM54" s="884"/>
      <c r="CN54" s="884"/>
      <c r="CO54" s="884"/>
      <c r="CP54" s="884"/>
      <c r="CQ54" s="884"/>
      <c r="CR54" s="884"/>
      <c r="CS54" s="884"/>
      <c r="CT54" s="884"/>
      <c r="CU54" s="884"/>
      <c r="CV54" s="884"/>
      <c r="CW54" s="884"/>
      <c r="CX54" s="884"/>
      <c r="CY54" s="884"/>
      <c r="CZ54" s="884"/>
      <c r="DA54" s="884"/>
      <c r="DB54" s="884"/>
      <c r="DC54" s="884"/>
      <c r="DD54" s="884"/>
      <c r="DE54" s="884"/>
      <c r="DF54" s="884"/>
      <c r="DG54" s="884"/>
      <c r="DH54" s="884"/>
      <c r="DI54" s="884"/>
      <c r="DJ54" s="884"/>
      <c r="DK54" s="884"/>
      <c r="DL54" s="884"/>
      <c r="DM54" s="884"/>
      <c r="DN54" s="884"/>
      <c r="DO54" s="884"/>
      <c r="DP54" s="884"/>
      <c r="DQ54" s="884"/>
      <c r="DR54" s="884"/>
      <c r="DS54" s="884"/>
      <c r="DT54" s="884"/>
      <c r="DU54" s="884"/>
      <c r="DV54" s="884"/>
      <c r="DW54" s="884"/>
      <c r="DX54" s="884"/>
      <c r="DY54" s="884"/>
      <c r="DZ54" s="884"/>
      <c r="EA54" s="884"/>
      <c r="EB54" s="884"/>
      <c r="EC54" s="884"/>
      <c r="ED54" s="884"/>
      <c r="EE54" s="884"/>
      <c r="EF54" s="884"/>
      <c r="EG54" s="884"/>
      <c r="EH54" s="884"/>
      <c r="EI54" s="884"/>
      <c r="EJ54" s="884"/>
      <c r="EK54" s="884"/>
      <c r="EL54" s="884"/>
      <c r="EM54" s="884"/>
      <c r="EN54" s="884"/>
      <c r="EO54" s="884"/>
      <c r="EP54" s="884"/>
      <c r="EQ54" s="884"/>
      <c r="ER54" s="884"/>
      <c r="ES54" s="884"/>
      <c r="ET54" s="884"/>
      <c r="EU54" s="884"/>
      <c r="EV54" s="884"/>
      <c r="EW54" s="884"/>
      <c r="EX54" s="884"/>
      <c r="EY54" s="884"/>
      <c r="EZ54" s="884"/>
      <c r="FA54" s="884"/>
      <c r="FB54" s="884"/>
      <c r="FC54" s="884"/>
      <c r="FD54" s="884"/>
      <c r="FE54" s="884"/>
      <c r="FF54" s="884"/>
      <c r="FG54" s="884"/>
      <c r="FH54" s="884"/>
      <c r="FI54" s="884"/>
      <c r="FJ54" s="884"/>
      <c r="FK54" s="884"/>
      <c r="FL54" s="884"/>
      <c r="FM54" s="884"/>
      <c r="FN54" s="884"/>
      <c r="FO54" s="884"/>
      <c r="FP54" s="884"/>
      <c r="FQ54" s="884"/>
      <c r="FR54" s="884"/>
      <c r="FS54" s="884"/>
      <c r="FT54" s="884"/>
      <c r="FU54" s="884"/>
      <c r="FV54" s="884"/>
      <c r="FW54" s="884"/>
      <c r="FX54" s="884"/>
      <c r="FY54" s="884"/>
      <c r="FZ54" s="884"/>
      <c r="GA54" s="884"/>
      <c r="GB54" s="884"/>
      <c r="GC54" s="884"/>
      <c r="GD54" s="884"/>
      <c r="GE54" s="884"/>
      <c r="GF54" s="884"/>
      <c r="GG54" s="884"/>
      <c r="GH54" s="884"/>
      <c r="GI54" s="884"/>
      <c r="GJ54" s="884"/>
      <c r="GK54" s="884"/>
      <c r="GL54" s="884"/>
      <c r="GM54" s="884"/>
      <c r="GN54" s="884"/>
      <c r="GO54" s="884"/>
      <c r="GP54" s="884"/>
      <c r="GQ54" s="884"/>
      <c r="GR54" s="884"/>
      <c r="GS54" s="884"/>
      <c r="GT54" s="884"/>
      <c r="GU54" s="884"/>
      <c r="GV54" s="884"/>
      <c r="GW54" s="884"/>
      <c r="GX54" s="884"/>
      <c r="GY54" s="884"/>
      <c r="GZ54" s="884"/>
      <c r="HA54" s="884"/>
      <c r="HB54" s="884"/>
      <c r="HC54" s="884"/>
      <c r="HD54" s="884"/>
      <c r="HE54" s="884"/>
      <c r="HF54" s="884"/>
      <c r="HG54" s="884"/>
      <c r="HH54" s="884"/>
      <c r="HI54" s="884"/>
      <c r="HJ54" s="884"/>
      <c r="HK54" s="884"/>
      <c r="HL54" s="884"/>
      <c r="HM54" s="884"/>
      <c r="HN54" s="884"/>
      <c r="HO54" s="884"/>
      <c r="HP54" s="884"/>
      <c r="HQ54" s="884"/>
      <c r="HR54" s="884"/>
      <c r="HS54" s="884"/>
      <c r="HT54" s="884"/>
      <c r="HU54" s="884"/>
      <c r="HV54" s="884"/>
      <c r="HW54" s="884"/>
      <c r="HX54" s="884"/>
      <c r="HY54" s="884"/>
      <c r="HZ54" s="884"/>
      <c r="IA54" s="884"/>
      <c r="IB54" s="884"/>
      <c r="IC54" s="884"/>
      <c r="ID54" s="884"/>
      <c r="IE54" s="884"/>
      <c r="IF54" s="884"/>
      <c r="IG54" s="884"/>
      <c r="IH54" s="884"/>
      <c r="II54" s="884"/>
      <c r="IJ54" s="884"/>
      <c r="IK54" s="884"/>
      <c r="IL54" s="884"/>
      <c r="IM54" s="884"/>
      <c r="IN54" s="884"/>
      <c r="IO54" s="884"/>
      <c r="IP54" s="884"/>
      <c r="IQ54" s="884"/>
      <c r="IR54" s="884"/>
      <c r="IS54" s="884"/>
      <c r="IT54" s="884"/>
      <c r="IU54" s="884"/>
      <c r="IV54" s="884"/>
    </row>
    <row r="55" spans="1:256" ht="18">
      <c r="A55" s="895"/>
      <c r="B55" s="884"/>
      <c r="C55" s="884"/>
      <c r="D55" s="884"/>
      <c r="E55" s="884"/>
      <c r="F55" s="884"/>
      <c r="G55" s="884"/>
      <c r="H55" s="884"/>
      <c r="I55" s="884"/>
      <c r="J55" s="884"/>
      <c r="K55" s="884"/>
      <c r="L55" s="884"/>
      <c r="M55" s="884"/>
      <c r="N55" s="884"/>
      <c r="O55" s="897"/>
      <c r="P55" s="897"/>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4"/>
      <c r="AV55" s="884"/>
      <c r="AW55" s="884"/>
      <c r="AX55" s="884"/>
      <c r="AY55" s="884"/>
      <c r="AZ55" s="884"/>
      <c r="BA55" s="884"/>
      <c r="BB55" s="884"/>
      <c r="BC55" s="884"/>
      <c r="BD55" s="884"/>
      <c r="BE55" s="884"/>
      <c r="BF55" s="884"/>
      <c r="BG55" s="884"/>
      <c r="BH55" s="884"/>
      <c r="BI55" s="884"/>
      <c r="BJ55" s="884"/>
      <c r="BK55" s="884"/>
      <c r="BL55" s="884"/>
      <c r="BM55" s="884"/>
      <c r="BN55" s="884"/>
      <c r="BO55" s="884"/>
      <c r="BP55" s="884"/>
      <c r="BQ55" s="884"/>
      <c r="BR55" s="884"/>
      <c r="BS55" s="884"/>
      <c r="BT55" s="884"/>
      <c r="BU55" s="884"/>
      <c r="BV55" s="884"/>
      <c r="BW55" s="884"/>
      <c r="BX55" s="884"/>
      <c r="BY55" s="884"/>
      <c r="BZ55" s="884"/>
      <c r="CA55" s="884"/>
      <c r="CB55" s="884"/>
      <c r="CC55" s="884"/>
      <c r="CD55" s="884"/>
      <c r="CE55" s="884"/>
      <c r="CF55" s="884"/>
      <c r="CG55" s="884"/>
      <c r="CH55" s="884"/>
      <c r="CI55" s="884"/>
      <c r="CJ55" s="884"/>
      <c r="CK55" s="884"/>
      <c r="CL55" s="884"/>
      <c r="CM55" s="884"/>
      <c r="CN55" s="884"/>
      <c r="CO55" s="884"/>
      <c r="CP55" s="884"/>
      <c r="CQ55" s="884"/>
      <c r="CR55" s="884"/>
      <c r="CS55" s="884"/>
      <c r="CT55" s="884"/>
      <c r="CU55" s="884"/>
      <c r="CV55" s="884"/>
      <c r="CW55" s="884"/>
      <c r="CX55" s="884"/>
      <c r="CY55" s="884"/>
      <c r="CZ55" s="884"/>
      <c r="DA55" s="884"/>
      <c r="DB55" s="884"/>
      <c r="DC55" s="884"/>
      <c r="DD55" s="884"/>
      <c r="DE55" s="884"/>
      <c r="DF55" s="884"/>
      <c r="DG55" s="884"/>
      <c r="DH55" s="884"/>
      <c r="DI55" s="884"/>
      <c r="DJ55" s="884"/>
      <c r="DK55" s="884"/>
      <c r="DL55" s="884"/>
      <c r="DM55" s="884"/>
      <c r="DN55" s="884"/>
      <c r="DO55" s="884"/>
      <c r="DP55" s="884"/>
      <c r="DQ55" s="884"/>
      <c r="DR55" s="884"/>
      <c r="DS55" s="884"/>
      <c r="DT55" s="884"/>
      <c r="DU55" s="884"/>
      <c r="DV55" s="884"/>
      <c r="DW55" s="884"/>
      <c r="DX55" s="884"/>
      <c r="DY55" s="884"/>
      <c r="DZ55" s="884"/>
      <c r="EA55" s="884"/>
      <c r="EB55" s="884"/>
      <c r="EC55" s="884"/>
      <c r="ED55" s="884"/>
      <c r="EE55" s="884"/>
      <c r="EF55" s="884"/>
      <c r="EG55" s="884"/>
      <c r="EH55" s="884"/>
      <c r="EI55" s="884"/>
      <c r="EJ55" s="884"/>
      <c r="EK55" s="884"/>
      <c r="EL55" s="884"/>
      <c r="EM55" s="884"/>
      <c r="EN55" s="884"/>
      <c r="EO55" s="884"/>
      <c r="EP55" s="884"/>
      <c r="EQ55" s="884"/>
      <c r="ER55" s="884"/>
      <c r="ES55" s="884"/>
      <c r="ET55" s="884"/>
      <c r="EU55" s="884"/>
      <c r="EV55" s="884"/>
      <c r="EW55" s="884"/>
      <c r="EX55" s="884"/>
      <c r="EY55" s="884"/>
      <c r="EZ55" s="884"/>
      <c r="FA55" s="884"/>
      <c r="FB55" s="884"/>
      <c r="FC55" s="884"/>
      <c r="FD55" s="884"/>
      <c r="FE55" s="884"/>
      <c r="FF55" s="884"/>
      <c r="FG55" s="884"/>
      <c r="FH55" s="884"/>
      <c r="FI55" s="884"/>
      <c r="FJ55" s="884"/>
      <c r="FK55" s="884"/>
      <c r="FL55" s="884"/>
      <c r="FM55" s="884"/>
      <c r="FN55" s="884"/>
      <c r="FO55" s="884"/>
      <c r="FP55" s="884"/>
      <c r="FQ55" s="884"/>
      <c r="FR55" s="884"/>
      <c r="FS55" s="884"/>
      <c r="FT55" s="884"/>
      <c r="FU55" s="884"/>
      <c r="FV55" s="884"/>
      <c r="FW55" s="884"/>
      <c r="FX55" s="884"/>
      <c r="FY55" s="884"/>
      <c r="FZ55" s="884"/>
      <c r="GA55" s="884"/>
      <c r="GB55" s="884"/>
      <c r="GC55" s="884"/>
      <c r="GD55" s="884"/>
      <c r="GE55" s="884"/>
      <c r="GF55" s="884"/>
      <c r="GG55" s="884"/>
      <c r="GH55" s="884"/>
      <c r="GI55" s="884"/>
      <c r="GJ55" s="884"/>
      <c r="GK55" s="884"/>
      <c r="GL55" s="884"/>
      <c r="GM55" s="884"/>
      <c r="GN55" s="884"/>
      <c r="GO55" s="884"/>
      <c r="GP55" s="884"/>
      <c r="GQ55" s="884"/>
      <c r="GR55" s="884"/>
      <c r="GS55" s="884"/>
      <c r="GT55" s="884"/>
      <c r="GU55" s="884"/>
      <c r="GV55" s="884"/>
      <c r="GW55" s="884"/>
      <c r="GX55" s="884"/>
      <c r="GY55" s="884"/>
      <c r="GZ55" s="884"/>
      <c r="HA55" s="884"/>
      <c r="HB55" s="884"/>
      <c r="HC55" s="884"/>
      <c r="HD55" s="884"/>
      <c r="HE55" s="884"/>
      <c r="HF55" s="884"/>
      <c r="HG55" s="884"/>
      <c r="HH55" s="884"/>
      <c r="HI55" s="884"/>
      <c r="HJ55" s="884"/>
      <c r="HK55" s="884"/>
      <c r="HL55" s="884"/>
      <c r="HM55" s="884"/>
      <c r="HN55" s="884"/>
      <c r="HO55" s="884"/>
      <c r="HP55" s="884"/>
      <c r="HQ55" s="884"/>
      <c r="HR55" s="884"/>
      <c r="HS55" s="884"/>
      <c r="HT55" s="884"/>
      <c r="HU55" s="884"/>
      <c r="HV55" s="884"/>
      <c r="HW55" s="884"/>
      <c r="HX55" s="884"/>
      <c r="HY55" s="884"/>
      <c r="HZ55" s="884"/>
      <c r="IA55" s="884"/>
      <c r="IB55" s="884"/>
      <c r="IC55" s="884"/>
      <c r="ID55" s="884"/>
      <c r="IE55" s="884"/>
      <c r="IF55" s="884"/>
      <c r="IG55" s="884"/>
      <c r="IH55" s="884"/>
      <c r="II55" s="884"/>
      <c r="IJ55" s="884"/>
      <c r="IK55" s="884"/>
      <c r="IL55" s="884"/>
      <c r="IM55" s="884"/>
      <c r="IN55" s="884"/>
      <c r="IO55" s="884"/>
      <c r="IP55" s="884"/>
      <c r="IQ55" s="884"/>
      <c r="IR55" s="884"/>
      <c r="IS55" s="884"/>
      <c r="IT55" s="884"/>
      <c r="IU55" s="884"/>
      <c r="IV55" s="884"/>
    </row>
    <row r="56" spans="1:256" ht="18">
      <c r="A56" s="884"/>
      <c r="B56" s="884"/>
      <c r="C56" s="884"/>
      <c r="D56" s="884"/>
      <c r="E56" s="884"/>
      <c r="F56" s="884"/>
      <c r="G56" s="884"/>
      <c r="H56" s="884"/>
      <c r="I56" s="884"/>
      <c r="J56" s="884"/>
      <c r="K56" s="884"/>
      <c r="L56" s="884"/>
      <c r="M56" s="884"/>
      <c r="N56" s="884"/>
      <c r="O56" s="897"/>
      <c r="P56" s="897"/>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4"/>
      <c r="BA56" s="884"/>
      <c r="BB56" s="884"/>
      <c r="BC56" s="884"/>
      <c r="BD56" s="884"/>
      <c r="BE56" s="884"/>
      <c r="BF56" s="884"/>
      <c r="BG56" s="884"/>
      <c r="BH56" s="884"/>
      <c r="BI56" s="884"/>
      <c r="BJ56" s="884"/>
      <c r="BK56" s="884"/>
      <c r="BL56" s="884"/>
      <c r="BM56" s="884"/>
      <c r="BN56" s="884"/>
      <c r="BO56" s="884"/>
      <c r="BP56" s="884"/>
      <c r="BQ56" s="884"/>
      <c r="BR56" s="884"/>
      <c r="BS56" s="884"/>
      <c r="BT56" s="884"/>
      <c r="BU56" s="884"/>
      <c r="BV56" s="884"/>
      <c r="BW56" s="884"/>
      <c r="BX56" s="884"/>
      <c r="BY56" s="884"/>
      <c r="BZ56" s="884"/>
      <c r="CA56" s="884"/>
      <c r="CB56" s="884"/>
      <c r="CC56" s="884"/>
      <c r="CD56" s="884"/>
      <c r="CE56" s="884"/>
      <c r="CF56" s="884"/>
      <c r="CG56" s="884"/>
      <c r="CH56" s="884"/>
      <c r="CI56" s="884"/>
      <c r="CJ56" s="884"/>
      <c r="CK56" s="884"/>
      <c r="CL56" s="884"/>
      <c r="CM56" s="884"/>
      <c r="CN56" s="884"/>
      <c r="CO56" s="884"/>
      <c r="CP56" s="884"/>
      <c r="CQ56" s="884"/>
      <c r="CR56" s="884"/>
      <c r="CS56" s="884"/>
      <c r="CT56" s="884"/>
      <c r="CU56" s="884"/>
      <c r="CV56" s="884"/>
      <c r="CW56" s="884"/>
      <c r="CX56" s="884"/>
      <c r="CY56" s="884"/>
      <c r="CZ56" s="884"/>
      <c r="DA56" s="884"/>
      <c r="DB56" s="884"/>
      <c r="DC56" s="884"/>
      <c r="DD56" s="884"/>
      <c r="DE56" s="884"/>
      <c r="DF56" s="884"/>
      <c r="DG56" s="884"/>
      <c r="DH56" s="884"/>
      <c r="DI56" s="884"/>
      <c r="DJ56" s="884"/>
      <c r="DK56" s="884"/>
      <c r="DL56" s="884"/>
      <c r="DM56" s="884"/>
      <c r="DN56" s="884"/>
      <c r="DO56" s="884"/>
      <c r="DP56" s="884"/>
      <c r="DQ56" s="884"/>
      <c r="DR56" s="884"/>
      <c r="DS56" s="884"/>
      <c r="DT56" s="884"/>
      <c r="DU56" s="884"/>
      <c r="DV56" s="884"/>
      <c r="DW56" s="884"/>
      <c r="DX56" s="884"/>
      <c r="DY56" s="884"/>
      <c r="DZ56" s="884"/>
      <c r="EA56" s="884"/>
      <c r="EB56" s="884"/>
      <c r="EC56" s="884"/>
      <c r="ED56" s="884"/>
      <c r="EE56" s="884"/>
      <c r="EF56" s="884"/>
      <c r="EG56" s="884"/>
      <c r="EH56" s="884"/>
      <c r="EI56" s="884"/>
      <c r="EJ56" s="884"/>
      <c r="EK56" s="884"/>
      <c r="EL56" s="884"/>
      <c r="EM56" s="884"/>
      <c r="EN56" s="884"/>
      <c r="EO56" s="884"/>
      <c r="EP56" s="884"/>
      <c r="EQ56" s="884"/>
      <c r="ER56" s="884"/>
      <c r="ES56" s="884"/>
      <c r="ET56" s="884"/>
      <c r="EU56" s="884"/>
      <c r="EV56" s="884"/>
      <c r="EW56" s="884"/>
      <c r="EX56" s="884"/>
      <c r="EY56" s="884"/>
      <c r="EZ56" s="884"/>
      <c r="FA56" s="884"/>
      <c r="FB56" s="884"/>
      <c r="FC56" s="884"/>
      <c r="FD56" s="884"/>
      <c r="FE56" s="884"/>
      <c r="FF56" s="884"/>
      <c r="FG56" s="884"/>
      <c r="FH56" s="884"/>
      <c r="FI56" s="884"/>
      <c r="FJ56" s="884"/>
      <c r="FK56" s="884"/>
      <c r="FL56" s="884"/>
      <c r="FM56" s="884"/>
      <c r="FN56" s="884"/>
      <c r="FO56" s="884"/>
      <c r="FP56" s="884"/>
      <c r="FQ56" s="884"/>
      <c r="FR56" s="884"/>
      <c r="FS56" s="884"/>
      <c r="FT56" s="884"/>
      <c r="FU56" s="884"/>
      <c r="FV56" s="884"/>
      <c r="FW56" s="884"/>
      <c r="FX56" s="884"/>
      <c r="FY56" s="884"/>
      <c r="FZ56" s="884"/>
      <c r="GA56" s="884"/>
      <c r="GB56" s="884"/>
      <c r="GC56" s="884"/>
      <c r="GD56" s="884"/>
      <c r="GE56" s="884"/>
      <c r="GF56" s="884"/>
      <c r="GG56" s="884"/>
      <c r="GH56" s="884"/>
      <c r="GI56" s="884"/>
      <c r="GJ56" s="884"/>
      <c r="GK56" s="884"/>
      <c r="GL56" s="884"/>
      <c r="GM56" s="884"/>
      <c r="GN56" s="884"/>
      <c r="GO56" s="884"/>
      <c r="GP56" s="884"/>
      <c r="GQ56" s="884"/>
      <c r="GR56" s="884"/>
      <c r="GS56" s="884"/>
      <c r="GT56" s="884"/>
      <c r="GU56" s="884"/>
      <c r="GV56" s="884"/>
      <c r="GW56" s="884"/>
      <c r="GX56" s="884"/>
      <c r="GY56" s="884"/>
      <c r="GZ56" s="884"/>
      <c r="HA56" s="884"/>
      <c r="HB56" s="884"/>
      <c r="HC56" s="884"/>
      <c r="HD56" s="884"/>
      <c r="HE56" s="884"/>
      <c r="HF56" s="884"/>
      <c r="HG56" s="884"/>
      <c r="HH56" s="884"/>
      <c r="HI56" s="884"/>
      <c r="HJ56" s="884"/>
      <c r="HK56" s="884"/>
      <c r="HL56" s="884"/>
      <c r="HM56" s="884"/>
      <c r="HN56" s="884"/>
      <c r="HO56" s="884"/>
      <c r="HP56" s="884"/>
      <c r="HQ56" s="884"/>
      <c r="HR56" s="884"/>
      <c r="HS56" s="884"/>
      <c r="HT56" s="884"/>
      <c r="HU56" s="884"/>
      <c r="HV56" s="884"/>
      <c r="HW56" s="884"/>
      <c r="HX56" s="884"/>
      <c r="HY56" s="884"/>
      <c r="HZ56" s="884"/>
      <c r="IA56" s="884"/>
      <c r="IB56" s="884"/>
      <c r="IC56" s="884"/>
      <c r="ID56" s="884"/>
      <c r="IE56" s="884"/>
      <c r="IF56" s="884"/>
      <c r="IG56" s="884"/>
      <c r="IH56" s="884"/>
      <c r="II56" s="884"/>
      <c r="IJ56" s="884"/>
      <c r="IK56" s="884"/>
      <c r="IL56" s="884"/>
      <c r="IM56" s="884"/>
      <c r="IN56" s="884"/>
      <c r="IO56" s="884"/>
      <c r="IP56" s="884"/>
      <c r="IQ56" s="884"/>
      <c r="IR56" s="884"/>
      <c r="IS56" s="884"/>
      <c r="IT56" s="884"/>
      <c r="IU56" s="884"/>
      <c r="IV56" s="884"/>
    </row>
    <row r="57" spans="1:256" ht="18">
      <c r="A57" s="884"/>
      <c r="B57" s="884"/>
      <c r="C57" s="884"/>
      <c r="D57" s="884"/>
      <c r="E57" s="884"/>
      <c r="F57" s="884"/>
      <c r="G57" s="884"/>
      <c r="H57" s="884"/>
      <c r="I57" s="884"/>
      <c r="J57" s="884"/>
      <c r="K57" s="884"/>
      <c r="L57" s="884"/>
      <c r="M57" s="884"/>
      <c r="N57" s="884"/>
      <c r="O57" s="897"/>
      <c r="P57" s="897"/>
      <c r="Q57" s="884"/>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4"/>
      <c r="BQ57" s="884"/>
      <c r="BR57" s="884"/>
      <c r="BS57" s="884"/>
      <c r="BT57" s="884"/>
      <c r="BU57" s="884"/>
      <c r="BV57" s="884"/>
      <c r="BW57" s="884"/>
      <c r="BX57" s="884"/>
      <c r="BY57" s="884"/>
      <c r="BZ57" s="884"/>
      <c r="CA57" s="884"/>
      <c r="CB57" s="884"/>
      <c r="CC57" s="884"/>
      <c r="CD57" s="884"/>
      <c r="CE57" s="884"/>
      <c r="CF57" s="884"/>
      <c r="CG57" s="884"/>
      <c r="CH57" s="884"/>
      <c r="CI57" s="884"/>
      <c r="CJ57" s="884"/>
      <c r="CK57" s="884"/>
      <c r="CL57" s="884"/>
      <c r="CM57" s="884"/>
      <c r="CN57" s="884"/>
      <c r="CO57" s="884"/>
      <c r="CP57" s="884"/>
      <c r="CQ57" s="884"/>
      <c r="CR57" s="884"/>
      <c r="CS57" s="884"/>
      <c r="CT57" s="884"/>
      <c r="CU57" s="884"/>
      <c r="CV57" s="884"/>
      <c r="CW57" s="884"/>
      <c r="CX57" s="884"/>
      <c r="CY57" s="884"/>
      <c r="CZ57" s="884"/>
      <c r="DA57" s="884"/>
      <c r="DB57" s="884"/>
      <c r="DC57" s="884"/>
      <c r="DD57" s="884"/>
      <c r="DE57" s="884"/>
      <c r="DF57" s="884"/>
      <c r="DG57" s="884"/>
      <c r="DH57" s="884"/>
      <c r="DI57" s="884"/>
      <c r="DJ57" s="884"/>
      <c r="DK57" s="884"/>
      <c r="DL57" s="884"/>
      <c r="DM57" s="884"/>
      <c r="DN57" s="884"/>
      <c r="DO57" s="884"/>
      <c r="DP57" s="884"/>
      <c r="DQ57" s="884"/>
      <c r="DR57" s="884"/>
      <c r="DS57" s="884"/>
      <c r="DT57" s="884"/>
      <c r="DU57" s="884"/>
      <c r="DV57" s="884"/>
      <c r="DW57" s="884"/>
      <c r="DX57" s="884"/>
      <c r="DY57" s="884"/>
      <c r="DZ57" s="884"/>
      <c r="EA57" s="884"/>
      <c r="EB57" s="884"/>
      <c r="EC57" s="884"/>
      <c r="ED57" s="884"/>
      <c r="EE57" s="884"/>
      <c r="EF57" s="884"/>
      <c r="EG57" s="884"/>
      <c r="EH57" s="884"/>
      <c r="EI57" s="884"/>
      <c r="EJ57" s="884"/>
      <c r="EK57" s="884"/>
      <c r="EL57" s="884"/>
      <c r="EM57" s="884"/>
      <c r="EN57" s="884"/>
      <c r="EO57" s="884"/>
      <c r="EP57" s="884"/>
      <c r="EQ57" s="884"/>
      <c r="ER57" s="884"/>
      <c r="ES57" s="884"/>
      <c r="ET57" s="884"/>
      <c r="EU57" s="884"/>
      <c r="EV57" s="884"/>
      <c r="EW57" s="884"/>
      <c r="EX57" s="884"/>
      <c r="EY57" s="884"/>
      <c r="EZ57" s="884"/>
      <c r="FA57" s="884"/>
      <c r="FB57" s="884"/>
      <c r="FC57" s="884"/>
      <c r="FD57" s="884"/>
      <c r="FE57" s="884"/>
      <c r="FF57" s="884"/>
      <c r="FG57" s="884"/>
      <c r="FH57" s="884"/>
      <c r="FI57" s="884"/>
      <c r="FJ57" s="884"/>
      <c r="FK57" s="884"/>
      <c r="FL57" s="884"/>
      <c r="FM57" s="884"/>
      <c r="FN57" s="884"/>
      <c r="FO57" s="884"/>
      <c r="FP57" s="884"/>
      <c r="FQ57" s="884"/>
      <c r="FR57" s="884"/>
      <c r="FS57" s="884"/>
      <c r="FT57" s="884"/>
      <c r="FU57" s="884"/>
      <c r="FV57" s="884"/>
      <c r="FW57" s="884"/>
      <c r="FX57" s="884"/>
      <c r="FY57" s="884"/>
      <c r="FZ57" s="884"/>
      <c r="GA57" s="884"/>
      <c r="GB57" s="884"/>
      <c r="GC57" s="884"/>
      <c r="GD57" s="884"/>
      <c r="GE57" s="884"/>
      <c r="GF57" s="884"/>
      <c r="GG57" s="884"/>
      <c r="GH57" s="884"/>
      <c r="GI57" s="884"/>
      <c r="GJ57" s="884"/>
      <c r="GK57" s="884"/>
      <c r="GL57" s="884"/>
      <c r="GM57" s="884"/>
      <c r="GN57" s="884"/>
      <c r="GO57" s="884"/>
      <c r="GP57" s="884"/>
      <c r="GQ57" s="884"/>
      <c r="GR57" s="884"/>
      <c r="GS57" s="884"/>
      <c r="GT57" s="884"/>
      <c r="GU57" s="884"/>
      <c r="GV57" s="884"/>
      <c r="GW57" s="884"/>
      <c r="GX57" s="884"/>
      <c r="GY57" s="884"/>
      <c r="GZ57" s="884"/>
      <c r="HA57" s="884"/>
      <c r="HB57" s="884"/>
      <c r="HC57" s="884"/>
      <c r="HD57" s="884"/>
      <c r="HE57" s="884"/>
      <c r="HF57" s="884"/>
      <c r="HG57" s="884"/>
      <c r="HH57" s="884"/>
      <c r="HI57" s="884"/>
      <c r="HJ57" s="884"/>
      <c r="HK57" s="884"/>
      <c r="HL57" s="884"/>
      <c r="HM57" s="884"/>
      <c r="HN57" s="884"/>
      <c r="HO57" s="884"/>
      <c r="HP57" s="884"/>
      <c r="HQ57" s="884"/>
      <c r="HR57" s="884"/>
      <c r="HS57" s="884"/>
      <c r="HT57" s="884"/>
      <c r="HU57" s="884"/>
      <c r="HV57" s="884"/>
      <c r="HW57" s="884"/>
      <c r="HX57" s="884"/>
      <c r="HY57" s="884"/>
      <c r="HZ57" s="884"/>
      <c r="IA57" s="884"/>
      <c r="IB57" s="884"/>
      <c r="IC57" s="884"/>
      <c r="ID57" s="884"/>
      <c r="IE57" s="884"/>
      <c r="IF57" s="884"/>
      <c r="IG57" s="884"/>
      <c r="IH57" s="884"/>
      <c r="II57" s="884"/>
      <c r="IJ57" s="884"/>
      <c r="IK57" s="884"/>
      <c r="IL57" s="884"/>
      <c r="IM57" s="884"/>
      <c r="IN57" s="884"/>
      <c r="IO57" s="884"/>
      <c r="IP57" s="884"/>
      <c r="IQ57" s="884"/>
      <c r="IR57" s="884"/>
      <c r="IS57" s="884"/>
      <c r="IT57" s="884"/>
      <c r="IU57" s="884"/>
      <c r="IV57" s="884"/>
    </row>
    <row r="58" spans="1:256" ht="18">
      <c r="A58" s="884"/>
      <c r="B58" s="884"/>
      <c r="C58" s="884"/>
      <c r="D58" s="884"/>
      <c r="E58" s="884"/>
      <c r="F58" s="884"/>
      <c r="G58" s="884"/>
      <c r="H58" s="884"/>
      <c r="I58" s="884"/>
      <c r="J58" s="884"/>
      <c r="K58" s="884"/>
      <c r="L58" s="884"/>
      <c r="M58" s="884"/>
      <c r="N58" s="884"/>
      <c r="O58" s="897"/>
      <c r="P58" s="897"/>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884"/>
      <c r="AS58" s="884"/>
      <c r="AT58" s="884"/>
      <c r="AU58" s="884"/>
      <c r="AV58" s="884"/>
      <c r="AW58" s="884"/>
      <c r="AX58" s="884"/>
      <c r="AY58" s="884"/>
      <c r="AZ58" s="884"/>
      <c r="BA58" s="884"/>
      <c r="BB58" s="884"/>
      <c r="BC58" s="884"/>
      <c r="BD58" s="884"/>
      <c r="BE58" s="884"/>
      <c r="BF58" s="884"/>
      <c r="BG58" s="884"/>
      <c r="BH58" s="884"/>
      <c r="BI58" s="884"/>
      <c r="BJ58" s="884"/>
      <c r="BK58" s="884"/>
      <c r="BL58" s="884"/>
      <c r="BM58" s="884"/>
      <c r="BN58" s="884"/>
      <c r="BO58" s="884"/>
      <c r="BP58" s="884"/>
      <c r="BQ58" s="884"/>
      <c r="BR58" s="884"/>
      <c r="BS58" s="884"/>
      <c r="BT58" s="884"/>
      <c r="BU58" s="884"/>
      <c r="BV58" s="884"/>
      <c r="BW58" s="884"/>
      <c r="BX58" s="884"/>
      <c r="BY58" s="884"/>
      <c r="BZ58" s="884"/>
      <c r="CA58" s="884"/>
      <c r="CB58" s="884"/>
      <c r="CC58" s="884"/>
      <c r="CD58" s="884"/>
      <c r="CE58" s="884"/>
      <c r="CF58" s="884"/>
      <c r="CG58" s="884"/>
      <c r="CH58" s="884"/>
      <c r="CI58" s="884"/>
      <c r="CJ58" s="884"/>
      <c r="CK58" s="884"/>
      <c r="CL58" s="884"/>
      <c r="CM58" s="884"/>
      <c r="CN58" s="884"/>
      <c r="CO58" s="884"/>
      <c r="CP58" s="884"/>
      <c r="CQ58" s="884"/>
      <c r="CR58" s="884"/>
      <c r="CS58" s="884"/>
      <c r="CT58" s="884"/>
      <c r="CU58" s="884"/>
      <c r="CV58" s="884"/>
      <c r="CW58" s="884"/>
      <c r="CX58" s="884"/>
      <c r="CY58" s="884"/>
      <c r="CZ58" s="884"/>
      <c r="DA58" s="884"/>
      <c r="DB58" s="884"/>
      <c r="DC58" s="884"/>
      <c r="DD58" s="884"/>
      <c r="DE58" s="884"/>
      <c r="DF58" s="884"/>
      <c r="DG58" s="884"/>
      <c r="DH58" s="884"/>
      <c r="DI58" s="884"/>
      <c r="DJ58" s="884"/>
      <c r="DK58" s="884"/>
      <c r="DL58" s="884"/>
      <c r="DM58" s="884"/>
      <c r="DN58" s="884"/>
      <c r="DO58" s="884"/>
      <c r="DP58" s="884"/>
      <c r="DQ58" s="884"/>
      <c r="DR58" s="884"/>
      <c r="DS58" s="884"/>
      <c r="DT58" s="884"/>
      <c r="DU58" s="884"/>
      <c r="DV58" s="884"/>
      <c r="DW58" s="884"/>
      <c r="DX58" s="884"/>
      <c r="DY58" s="884"/>
      <c r="DZ58" s="884"/>
      <c r="EA58" s="884"/>
      <c r="EB58" s="884"/>
      <c r="EC58" s="884"/>
      <c r="ED58" s="884"/>
      <c r="EE58" s="884"/>
      <c r="EF58" s="884"/>
      <c r="EG58" s="884"/>
      <c r="EH58" s="884"/>
      <c r="EI58" s="884"/>
      <c r="EJ58" s="884"/>
      <c r="EK58" s="884"/>
      <c r="EL58" s="884"/>
      <c r="EM58" s="884"/>
      <c r="EN58" s="884"/>
      <c r="EO58" s="884"/>
      <c r="EP58" s="884"/>
      <c r="EQ58" s="884"/>
      <c r="ER58" s="884"/>
      <c r="ES58" s="884"/>
      <c r="ET58" s="884"/>
      <c r="EU58" s="884"/>
      <c r="EV58" s="884"/>
      <c r="EW58" s="884"/>
      <c r="EX58" s="884"/>
      <c r="EY58" s="884"/>
      <c r="EZ58" s="884"/>
      <c r="FA58" s="884"/>
      <c r="FB58" s="884"/>
      <c r="FC58" s="884"/>
      <c r="FD58" s="884"/>
      <c r="FE58" s="884"/>
      <c r="FF58" s="884"/>
      <c r="FG58" s="884"/>
      <c r="FH58" s="884"/>
      <c r="FI58" s="884"/>
      <c r="FJ58" s="884"/>
      <c r="FK58" s="884"/>
      <c r="FL58" s="884"/>
      <c r="FM58" s="884"/>
      <c r="FN58" s="884"/>
      <c r="FO58" s="884"/>
      <c r="FP58" s="884"/>
      <c r="FQ58" s="884"/>
      <c r="FR58" s="884"/>
      <c r="FS58" s="884"/>
      <c r="FT58" s="884"/>
      <c r="FU58" s="884"/>
      <c r="FV58" s="884"/>
      <c r="FW58" s="884"/>
      <c r="FX58" s="884"/>
      <c r="FY58" s="884"/>
      <c r="FZ58" s="884"/>
      <c r="GA58" s="884"/>
      <c r="GB58" s="884"/>
      <c r="GC58" s="884"/>
      <c r="GD58" s="884"/>
      <c r="GE58" s="884"/>
      <c r="GF58" s="884"/>
      <c r="GG58" s="884"/>
      <c r="GH58" s="884"/>
      <c r="GI58" s="884"/>
      <c r="GJ58" s="884"/>
      <c r="GK58" s="884"/>
      <c r="GL58" s="884"/>
      <c r="GM58" s="884"/>
      <c r="GN58" s="884"/>
      <c r="GO58" s="884"/>
      <c r="GP58" s="884"/>
      <c r="GQ58" s="884"/>
      <c r="GR58" s="884"/>
      <c r="GS58" s="884"/>
      <c r="GT58" s="884"/>
      <c r="GU58" s="884"/>
      <c r="GV58" s="884"/>
      <c r="GW58" s="884"/>
      <c r="GX58" s="884"/>
      <c r="GY58" s="884"/>
      <c r="GZ58" s="884"/>
      <c r="HA58" s="884"/>
      <c r="HB58" s="884"/>
      <c r="HC58" s="884"/>
      <c r="HD58" s="884"/>
      <c r="HE58" s="884"/>
      <c r="HF58" s="884"/>
      <c r="HG58" s="884"/>
      <c r="HH58" s="884"/>
      <c r="HI58" s="884"/>
      <c r="HJ58" s="884"/>
      <c r="HK58" s="884"/>
      <c r="HL58" s="884"/>
      <c r="HM58" s="884"/>
      <c r="HN58" s="884"/>
      <c r="HO58" s="884"/>
      <c r="HP58" s="884"/>
      <c r="HQ58" s="884"/>
      <c r="HR58" s="884"/>
      <c r="HS58" s="884"/>
      <c r="HT58" s="884"/>
      <c r="HU58" s="884"/>
      <c r="HV58" s="884"/>
      <c r="HW58" s="884"/>
      <c r="HX58" s="884"/>
      <c r="HY58" s="884"/>
      <c r="HZ58" s="884"/>
      <c r="IA58" s="884"/>
      <c r="IB58" s="884"/>
      <c r="IC58" s="884"/>
      <c r="ID58" s="884"/>
      <c r="IE58" s="884"/>
      <c r="IF58" s="884"/>
      <c r="IG58" s="884"/>
      <c r="IH58" s="884"/>
      <c r="II58" s="884"/>
      <c r="IJ58" s="884"/>
      <c r="IK58" s="884"/>
      <c r="IL58" s="884"/>
      <c r="IM58" s="884"/>
      <c r="IN58" s="884"/>
      <c r="IO58" s="884"/>
      <c r="IP58" s="884"/>
      <c r="IQ58" s="884"/>
      <c r="IR58" s="884"/>
      <c r="IS58" s="884"/>
      <c r="IT58" s="884"/>
      <c r="IU58" s="884"/>
      <c r="IV58" s="884"/>
    </row>
    <row r="59" spans="1:256" ht="18">
      <c r="A59" s="884"/>
      <c r="B59" s="884"/>
      <c r="C59" s="884"/>
      <c r="D59" s="884"/>
      <c r="E59" s="884"/>
      <c r="F59" s="884"/>
      <c r="G59" s="884"/>
      <c r="H59" s="884"/>
      <c r="I59" s="884"/>
      <c r="J59" s="884"/>
      <c r="K59" s="884"/>
      <c r="L59" s="884"/>
      <c r="M59" s="884"/>
      <c r="N59" s="884"/>
      <c r="O59" s="897"/>
      <c r="P59" s="897"/>
      <c r="Q59" s="884"/>
      <c r="R59" s="884"/>
      <c r="S59" s="884"/>
      <c r="T59" s="884"/>
      <c r="U59" s="884"/>
      <c r="V59" s="884"/>
      <c r="W59" s="884"/>
      <c r="X59" s="884"/>
      <c r="Y59" s="884"/>
      <c r="Z59" s="884"/>
      <c r="AA59" s="884"/>
      <c r="AB59" s="884"/>
      <c r="AC59" s="884"/>
      <c r="AD59" s="884"/>
      <c r="AE59" s="884"/>
      <c r="AF59" s="884"/>
      <c r="AG59" s="884"/>
      <c r="AH59" s="884"/>
      <c r="AI59" s="884"/>
      <c r="AJ59" s="884"/>
      <c r="AK59" s="884"/>
      <c r="AL59" s="884"/>
      <c r="AM59" s="884"/>
      <c r="AN59" s="884"/>
      <c r="AO59" s="884"/>
      <c r="AP59" s="884"/>
      <c r="AQ59" s="884"/>
      <c r="AR59" s="884"/>
      <c r="AS59" s="884"/>
      <c r="AT59" s="884"/>
      <c r="AU59" s="884"/>
      <c r="AV59" s="884"/>
      <c r="AW59" s="884"/>
      <c r="AX59" s="884"/>
      <c r="AY59" s="884"/>
      <c r="AZ59" s="884"/>
      <c r="BA59" s="884"/>
      <c r="BB59" s="884"/>
      <c r="BC59" s="884"/>
      <c r="BD59" s="884"/>
      <c r="BE59" s="884"/>
      <c r="BF59" s="884"/>
      <c r="BG59" s="884"/>
      <c r="BH59" s="884"/>
      <c r="BI59" s="884"/>
      <c r="BJ59" s="884"/>
      <c r="BK59" s="884"/>
      <c r="BL59" s="884"/>
      <c r="BM59" s="884"/>
      <c r="BN59" s="884"/>
      <c r="BO59" s="884"/>
      <c r="BP59" s="884"/>
      <c r="BQ59" s="884"/>
      <c r="BR59" s="884"/>
      <c r="BS59" s="884"/>
      <c r="BT59" s="884"/>
      <c r="BU59" s="884"/>
      <c r="BV59" s="884"/>
      <c r="BW59" s="884"/>
      <c r="BX59" s="884"/>
      <c r="BY59" s="884"/>
      <c r="BZ59" s="884"/>
      <c r="CA59" s="884"/>
      <c r="CB59" s="884"/>
      <c r="CC59" s="884"/>
      <c r="CD59" s="884"/>
      <c r="CE59" s="884"/>
      <c r="CF59" s="884"/>
      <c r="CG59" s="884"/>
      <c r="CH59" s="884"/>
      <c r="CI59" s="884"/>
      <c r="CJ59" s="884"/>
      <c r="CK59" s="884"/>
      <c r="CL59" s="884"/>
      <c r="CM59" s="884"/>
      <c r="CN59" s="884"/>
      <c r="CO59" s="884"/>
      <c r="CP59" s="884"/>
      <c r="CQ59" s="884"/>
      <c r="CR59" s="884"/>
      <c r="CS59" s="884"/>
      <c r="CT59" s="884"/>
      <c r="CU59" s="884"/>
      <c r="CV59" s="884"/>
      <c r="CW59" s="884"/>
      <c r="CX59" s="884"/>
      <c r="CY59" s="884"/>
      <c r="CZ59" s="884"/>
      <c r="DA59" s="884"/>
      <c r="DB59" s="884"/>
      <c r="DC59" s="884"/>
      <c r="DD59" s="884"/>
      <c r="DE59" s="884"/>
      <c r="DF59" s="884"/>
      <c r="DG59" s="884"/>
      <c r="DH59" s="884"/>
      <c r="DI59" s="884"/>
      <c r="DJ59" s="884"/>
      <c r="DK59" s="884"/>
      <c r="DL59" s="884"/>
      <c r="DM59" s="884"/>
      <c r="DN59" s="884"/>
      <c r="DO59" s="884"/>
      <c r="DP59" s="884"/>
      <c r="DQ59" s="884"/>
      <c r="DR59" s="884"/>
      <c r="DS59" s="884"/>
      <c r="DT59" s="884"/>
      <c r="DU59" s="884"/>
      <c r="DV59" s="884"/>
      <c r="DW59" s="884"/>
      <c r="DX59" s="884"/>
      <c r="DY59" s="884"/>
      <c r="DZ59" s="884"/>
      <c r="EA59" s="884"/>
      <c r="EB59" s="884"/>
      <c r="EC59" s="884"/>
      <c r="ED59" s="884"/>
      <c r="EE59" s="884"/>
      <c r="EF59" s="884"/>
      <c r="EG59" s="884"/>
      <c r="EH59" s="884"/>
      <c r="EI59" s="884"/>
      <c r="EJ59" s="884"/>
      <c r="EK59" s="884"/>
      <c r="EL59" s="884"/>
      <c r="EM59" s="884"/>
      <c r="EN59" s="884"/>
      <c r="EO59" s="884"/>
      <c r="EP59" s="884"/>
      <c r="EQ59" s="884"/>
      <c r="ER59" s="884"/>
      <c r="ES59" s="884"/>
      <c r="ET59" s="884"/>
      <c r="EU59" s="884"/>
      <c r="EV59" s="884"/>
      <c r="EW59" s="884"/>
      <c r="EX59" s="884"/>
      <c r="EY59" s="884"/>
      <c r="EZ59" s="884"/>
      <c r="FA59" s="884"/>
      <c r="FB59" s="884"/>
      <c r="FC59" s="884"/>
      <c r="FD59" s="884"/>
      <c r="FE59" s="884"/>
      <c r="FF59" s="884"/>
      <c r="FG59" s="884"/>
      <c r="FH59" s="884"/>
      <c r="FI59" s="884"/>
      <c r="FJ59" s="884"/>
      <c r="FK59" s="884"/>
      <c r="FL59" s="884"/>
      <c r="FM59" s="884"/>
      <c r="FN59" s="884"/>
      <c r="FO59" s="884"/>
      <c r="FP59" s="884"/>
      <c r="FQ59" s="884"/>
      <c r="FR59" s="884"/>
      <c r="FS59" s="884"/>
      <c r="FT59" s="884"/>
      <c r="FU59" s="884"/>
      <c r="FV59" s="884"/>
      <c r="FW59" s="884"/>
      <c r="FX59" s="884"/>
      <c r="FY59" s="884"/>
      <c r="FZ59" s="884"/>
      <c r="GA59" s="884"/>
      <c r="GB59" s="884"/>
      <c r="GC59" s="884"/>
      <c r="GD59" s="884"/>
      <c r="GE59" s="884"/>
      <c r="GF59" s="884"/>
      <c r="GG59" s="884"/>
      <c r="GH59" s="884"/>
      <c r="GI59" s="884"/>
      <c r="GJ59" s="884"/>
      <c r="GK59" s="884"/>
      <c r="GL59" s="884"/>
      <c r="GM59" s="884"/>
      <c r="GN59" s="884"/>
      <c r="GO59" s="884"/>
      <c r="GP59" s="884"/>
      <c r="GQ59" s="884"/>
      <c r="GR59" s="884"/>
      <c r="GS59" s="884"/>
      <c r="GT59" s="884"/>
      <c r="GU59" s="884"/>
      <c r="GV59" s="884"/>
      <c r="GW59" s="884"/>
      <c r="GX59" s="884"/>
      <c r="GY59" s="884"/>
      <c r="GZ59" s="884"/>
      <c r="HA59" s="884"/>
      <c r="HB59" s="884"/>
      <c r="HC59" s="884"/>
      <c r="HD59" s="884"/>
      <c r="HE59" s="884"/>
      <c r="HF59" s="884"/>
      <c r="HG59" s="884"/>
      <c r="HH59" s="884"/>
      <c r="HI59" s="884"/>
      <c r="HJ59" s="884"/>
      <c r="HK59" s="884"/>
      <c r="HL59" s="884"/>
      <c r="HM59" s="884"/>
      <c r="HN59" s="884"/>
      <c r="HO59" s="884"/>
      <c r="HP59" s="884"/>
      <c r="HQ59" s="884"/>
      <c r="HR59" s="884"/>
      <c r="HS59" s="884"/>
      <c r="HT59" s="884"/>
      <c r="HU59" s="884"/>
      <c r="HV59" s="884"/>
      <c r="HW59" s="884"/>
      <c r="HX59" s="884"/>
      <c r="HY59" s="884"/>
      <c r="HZ59" s="884"/>
      <c r="IA59" s="884"/>
      <c r="IB59" s="884"/>
      <c r="IC59" s="884"/>
      <c r="ID59" s="884"/>
      <c r="IE59" s="884"/>
      <c r="IF59" s="884"/>
      <c r="IG59" s="884"/>
      <c r="IH59" s="884"/>
      <c r="II59" s="884"/>
      <c r="IJ59" s="884"/>
      <c r="IK59" s="884"/>
      <c r="IL59" s="884"/>
      <c r="IM59" s="884"/>
      <c r="IN59" s="884"/>
      <c r="IO59" s="884"/>
      <c r="IP59" s="884"/>
      <c r="IQ59" s="884"/>
      <c r="IR59" s="884"/>
      <c r="IS59" s="884"/>
      <c r="IT59" s="884"/>
      <c r="IU59" s="884"/>
      <c r="IV59" s="884"/>
    </row>
    <row r="60" spans="1:256" ht="18">
      <c r="A60" s="884"/>
      <c r="B60" s="884"/>
      <c r="C60" s="884"/>
      <c r="D60" s="899"/>
      <c r="E60" s="884"/>
      <c r="F60" s="884"/>
      <c r="G60" s="884"/>
      <c r="H60" s="884"/>
      <c r="I60" s="884"/>
      <c r="J60" s="899"/>
      <c r="K60" s="884"/>
      <c r="L60" s="899"/>
      <c r="M60" s="884"/>
      <c r="N60" s="884"/>
      <c r="O60" s="897"/>
      <c r="P60" s="897"/>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884"/>
      <c r="AR60" s="884"/>
      <c r="AS60" s="884"/>
      <c r="AT60" s="884"/>
      <c r="AU60" s="884"/>
      <c r="AV60" s="884"/>
      <c r="AW60" s="884"/>
      <c r="AX60" s="884"/>
      <c r="AY60" s="884"/>
      <c r="AZ60" s="884"/>
      <c r="BA60" s="884"/>
      <c r="BB60" s="884"/>
      <c r="BC60" s="884"/>
      <c r="BD60" s="884"/>
      <c r="BE60" s="884"/>
      <c r="BF60" s="884"/>
      <c r="BG60" s="884"/>
      <c r="BH60" s="884"/>
      <c r="BI60" s="884"/>
      <c r="BJ60" s="884"/>
      <c r="BK60" s="884"/>
      <c r="BL60" s="884"/>
      <c r="BM60" s="884"/>
      <c r="BN60" s="884"/>
      <c r="BO60" s="884"/>
      <c r="BP60" s="884"/>
      <c r="BQ60" s="884"/>
      <c r="BR60" s="884"/>
      <c r="BS60" s="884"/>
      <c r="BT60" s="884"/>
      <c r="BU60" s="884"/>
      <c r="BV60" s="884"/>
      <c r="BW60" s="884"/>
      <c r="BX60" s="884"/>
      <c r="BY60" s="884"/>
      <c r="BZ60" s="884"/>
      <c r="CA60" s="884"/>
      <c r="CB60" s="884"/>
      <c r="CC60" s="884"/>
      <c r="CD60" s="884"/>
      <c r="CE60" s="884"/>
      <c r="CF60" s="884"/>
      <c r="CG60" s="884"/>
      <c r="CH60" s="884"/>
      <c r="CI60" s="884"/>
      <c r="CJ60" s="884"/>
      <c r="CK60" s="884"/>
      <c r="CL60" s="884"/>
      <c r="CM60" s="884"/>
      <c r="CN60" s="884"/>
      <c r="CO60" s="884"/>
      <c r="CP60" s="884"/>
      <c r="CQ60" s="884"/>
      <c r="CR60" s="884"/>
      <c r="CS60" s="884"/>
      <c r="CT60" s="884"/>
      <c r="CU60" s="884"/>
      <c r="CV60" s="884"/>
      <c r="CW60" s="884"/>
      <c r="CX60" s="884"/>
      <c r="CY60" s="884"/>
      <c r="CZ60" s="884"/>
      <c r="DA60" s="884"/>
      <c r="DB60" s="884"/>
      <c r="DC60" s="884"/>
      <c r="DD60" s="884"/>
      <c r="DE60" s="884"/>
      <c r="DF60" s="884"/>
      <c r="DG60" s="884"/>
      <c r="DH60" s="884"/>
      <c r="DI60" s="884"/>
      <c r="DJ60" s="884"/>
      <c r="DK60" s="884"/>
      <c r="DL60" s="884"/>
      <c r="DM60" s="884"/>
      <c r="DN60" s="884"/>
      <c r="DO60" s="884"/>
      <c r="DP60" s="884"/>
      <c r="DQ60" s="884"/>
      <c r="DR60" s="884"/>
      <c r="DS60" s="884"/>
      <c r="DT60" s="884"/>
      <c r="DU60" s="884"/>
      <c r="DV60" s="884"/>
      <c r="DW60" s="884"/>
      <c r="DX60" s="884"/>
      <c r="DY60" s="884"/>
      <c r="DZ60" s="884"/>
      <c r="EA60" s="884"/>
      <c r="EB60" s="884"/>
      <c r="EC60" s="884"/>
      <c r="ED60" s="884"/>
      <c r="EE60" s="884"/>
      <c r="EF60" s="884"/>
      <c r="EG60" s="884"/>
      <c r="EH60" s="884"/>
      <c r="EI60" s="884"/>
      <c r="EJ60" s="884"/>
      <c r="EK60" s="884"/>
      <c r="EL60" s="884"/>
      <c r="EM60" s="884"/>
      <c r="EN60" s="884"/>
      <c r="EO60" s="884"/>
      <c r="EP60" s="884"/>
      <c r="EQ60" s="884"/>
      <c r="ER60" s="884"/>
      <c r="ES60" s="884"/>
      <c r="ET60" s="884"/>
      <c r="EU60" s="884"/>
      <c r="EV60" s="884"/>
      <c r="EW60" s="884"/>
      <c r="EX60" s="884"/>
      <c r="EY60" s="884"/>
      <c r="EZ60" s="884"/>
      <c r="FA60" s="884"/>
      <c r="FB60" s="884"/>
      <c r="FC60" s="884"/>
      <c r="FD60" s="884"/>
      <c r="FE60" s="884"/>
      <c r="FF60" s="884"/>
      <c r="FG60" s="884"/>
      <c r="FH60" s="884"/>
      <c r="FI60" s="884"/>
      <c r="FJ60" s="884"/>
      <c r="FK60" s="884"/>
      <c r="FL60" s="884"/>
      <c r="FM60" s="884"/>
      <c r="FN60" s="884"/>
      <c r="FO60" s="884"/>
      <c r="FP60" s="884"/>
      <c r="FQ60" s="884"/>
      <c r="FR60" s="884"/>
      <c r="FS60" s="884"/>
      <c r="FT60" s="884"/>
      <c r="FU60" s="884"/>
      <c r="FV60" s="884"/>
      <c r="FW60" s="884"/>
      <c r="FX60" s="884"/>
      <c r="FY60" s="884"/>
      <c r="FZ60" s="884"/>
      <c r="GA60" s="884"/>
      <c r="GB60" s="884"/>
      <c r="GC60" s="884"/>
      <c r="GD60" s="884"/>
      <c r="GE60" s="884"/>
      <c r="GF60" s="884"/>
      <c r="GG60" s="884"/>
      <c r="GH60" s="884"/>
      <c r="GI60" s="884"/>
      <c r="GJ60" s="884"/>
      <c r="GK60" s="884"/>
      <c r="GL60" s="884"/>
      <c r="GM60" s="884"/>
      <c r="GN60" s="884"/>
      <c r="GO60" s="884"/>
      <c r="GP60" s="884"/>
      <c r="GQ60" s="884"/>
      <c r="GR60" s="884"/>
      <c r="GS60" s="884"/>
      <c r="GT60" s="884"/>
      <c r="GU60" s="884"/>
      <c r="GV60" s="884"/>
      <c r="GW60" s="884"/>
      <c r="GX60" s="884"/>
      <c r="GY60" s="884"/>
      <c r="GZ60" s="884"/>
      <c r="HA60" s="884"/>
      <c r="HB60" s="884"/>
      <c r="HC60" s="884"/>
      <c r="HD60" s="884"/>
      <c r="HE60" s="884"/>
      <c r="HF60" s="884"/>
      <c r="HG60" s="884"/>
      <c r="HH60" s="884"/>
      <c r="HI60" s="884"/>
      <c r="HJ60" s="884"/>
      <c r="HK60" s="884"/>
      <c r="HL60" s="884"/>
      <c r="HM60" s="884"/>
      <c r="HN60" s="884"/>
      <c r="HO60" s="884"/>
      <c r="HP60" s="884"/>
      <c r="HQ60" s="884"/>
      <c r="HR60" s="884"/>
      <c r="HS60" s="884"/>
      <c r="HT60" s="884"/>
      <c r="HU60" s="884"/>
      <c r="HV60" s="884"/>
      <c r="HW60" s="884"/>
      <c r="HX60" s="884"/>
      <c r="HY60" s="884"/>
      <c r="HZ60" s="884"/>
      <c r="IA60" s="884"/>
      <c r="IB60" s="884"/>
      <c r="IC60" s="884"/>
      <c r="ID60" s="884"/>
      <c r="IE60" s="884"/>
      <c r="IF60" s="884"/>
      <c r="IG60" s="884"/>
      <c r="IH60" s="884"/>
      <c r="II60" s="884"/>
      <c r="IJ60" s="884"/>
      <c r="IK60" s="884"/>
      <c r="IL60" s="884"/>
      <c r="IM60" s="884"/>
      <c r="IN60" s="884"/>
      <c r="IO60" s="884"/>
      <c r="IP60" s="884"/>
      <c r="IQ60" s="884"/>
      <c r="IR60" s="884"/>
      <c r="IS60" s="884"/>
      <c r="IT60" s="884"/>
      <c r="IU60" s="884"/>
      <c r="IV60" s="884"/>
    </row>
    <row r="61" spans="1:256" ht="18">
      <c r="A61" s="884"/>
      <c r="B61" s="884"/>
      <c r="C61" s="884"/>
      <c r="D61" s="899"/>
      <c r="E61" s="884"/>
      <c r="F61" s="884"/>
      <c r="G61" s="884"/>
      <c r="H61" s="884"/>
      <c r="I61" s="884"/>
      <c r="J61" s="899"/>
      <c r="K61" s="884"/>
      <c r="L61" s="899"/>
      <c r="M61" s="884"/>
      <c r="N61" s="884"/>
      <c r="O61" s="897"/>
      <c r="P61" s="897"/>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884"/>
      <c r="BF61" s="884"/>
      <c r="BG61" s="884"/>
      <c r="BH61" s="884"/>
      <c r="BI61" s="884"/>
      <c r="BJ61" s="884"/>
      <c r="BK61" s="884"/>
      <c r="BL61" s="884"/>
      <c r="BM61" s="884"/>
      <c r="BN61" s="884"/>
      <c r="BO61" s="884"/>
      <c r="BP61" s="884"/>
      <c r="BQ61" s="884"/>
      <c r="BR61" s="884"/>
      <c r="BS61" s="884"/>
      <c r="BT61" s="884"/>
      <c r="BU61" s="884"/>
      <c r="BV61" s="884"/>
      <c r="BW61" s="884"/>
      <c r="BX61" s="884"/>
      <c r="BY61" s="884"/>
      <c r="BZ61" s="884"/>
      <c r="CA61" s="884"/>
      <c r="CB61" s="884"/>
      <c r="CC61" s="884"/>
      <c r="CD61" s="884"/>
      <c r="CE61" s="884"/>
      <c r="CF61" s="884"/>
      <c r="CG61" s="884"/>
      <c r="CH61" s="884"/>
      <c r="CI61" s="884"/>
      <c r="CJ61" s="884"/>
      <c r="CK61" s="884"/>
      <c r="CL61" s="884"/>
      <c r="CM61" s="884"/>
      <c r="CN61" s="884"/>
      <c r="CO61" s="884"/>
      <c r="CP61" s="884"/>
      <c r="CQ61" s="884"/>
      <c r="CR61" s="884"/>
      <c r="CS61" s="884"/>
      <c r="CT61" s="884"/>
      <c r="CU61" s="884"/>
      <c r="CV61" s="884"/>
      <c r="CW61" s="884"/>
      <c r="CX61" s="884"/>
      <c r="CY61" s="884"/>
      <c r="CZ61" s="884"/>
      <c r="DA61" s="884"/>
      <c r="DB61" s="884"/>
      <c r="DC61" s="884"/>
      <c r="DD61" s="884"/>
      <c r="DE61" s="884"/>
      <c r="DF61" s="884"/>
      <c r="DG61" s="884"/>
      <c r="DH61" s="884"/>
      <c r="DI61" s="884"/>
      <c r="DJ61" s="884"/>
      <c r="DK61" s="884"/>
      <c r="DL61" s="884"/>
      <c r="DM61" s="884"/>
      <c r="DN61" s="884"/>
      <c r="DO61" s="884"/>
      <c r="DP61" s="884"/>
      <c r="DQ61" s="884"/>
      <c r="DR61" s="884"/>
      <c r="DS61" s="884"/>
      <c r="DT61" s="884"/>
      <c r="DU61" s="884"/>
      <c r="DV61" s="884"/>
      <c r="DW61" s="884"/>
      <c r="DX61" s="884"/>
      <c r="DY61" s="884"/>
      <c r="DZ61" s="884"/>
      <c r="EA61" s="884"/>
      <c r="EB61" s="884"/>
      <c r="EC61" s="884"/>
      <c r="ED61" s="884"/>
      <c r="EE61" s="884"/>
      <c r="EF61" s="884"/>
      <c r="EG61" s="884"/>
      <c r="EH61" s="884"/>
      <c r="EI61" s="884"/>
      <c r="EJ61" s="884"/>
      <c r="EK61" s="884"/>
      <c r="EL61" s="884"/>
      <c r="EM61" s="884"/>
      <c r="EN61" s="884"/>
      <c r="EO61" s="884"/>
      <c r="EP61" s="884"/>
      <c r="EQ61" s="884"/>
      <c r="ER61" s="884"/>
      <c r="ES61" s="884"/>
      <c r="ET61" s="884"/>
      <c r="EU61" s="884"/>
      <c r="EV61" s="884"/>
      <c r="EW61" s="884"/>
      <c r="EX61" s="884"/>
      <c r="EY61" s="884"/>
      <c r="EZ61" s="884"/>
      <c r="FA61" s="884"/>
      <c r="FB61" s="884"/>
      <c r="FC61" s="884"/>
      <c r="FD61" s="884"/>
      <c r="FE61" s="884"/>
      <c r="FF61" s="884"/>
      <c r="FG61" s="884"/>
      <c r="FH61" s="884"/>
      <c r="FI61" s="884"/>
      <c r="FJ61" s="884"/>
      <c r="FK61" s="884"/>
      <c r="FL61" s="884"/>
      <c r="FM61" s="884"/>
      <c r="FN61" s="884"/>
      <c r="FO61" s="884"/>
      <c r="FP61" s="884"/>
      <c r="FQ61" s="884"/>
      <c r="FR61" s="884"/>
      <c r="FS61" s="884"/>
      <c r="FT61" s="884"/>
      <c r="FU61" s="884"/>
      <c r="FV61" s="884"/>
      <c r="FW61" s="884"/>
      <c r="FX61" s="884"/>
      <c r="FY61" s="884"/>
      <c r="FZ61" s="884"/>
      <c r="GA61" s="884"/>
      <c r="GB61" s="884"/>
      <c r="GC61" s="884"/>
      <c r="GD61" s="884"/>
      <c r="GE61" s="884"/>
      <c r="GF61" s="884"/>
      <c r="GG61" s="884"/>
      <c r="GH61" s="884"/>
      <c r="GI61" s="884"/>
      <c r="GJ61" s="884"/>
      <c r="GK61" s="884"/>
      <c r="GL61" s="884"/>
      <c r="GM61" s="884"/>
      <c r="GN61" s="884"/>
      <c r="GO61" s="884"/>
      <c r="GP61" s="884"/>
      <c r="GQ61" s="884"/>
      <c r="GR61" s="884"/>
      <c r="GS61" s="884"/>
      <c r="GT61" s="884"/>
      <c r="GU61" s="884"/>
      <c r="GV61" s="884"/>
      <c r="GW61" s="884"/>
      <c r="GX61" s="884"/>
      <c r="GY61" s="884"/>
      <c r="GZ61" s="884"/>
      <c r="HA61" s="884"/>
      <c r="HB61" s="884"/>
      <c r="HC61" s="884"/>
      <c r="HD61" s="884"/>
      <c r="HE61" s="884"/>
      <c r="HF61" s="884"/>
      <c r="HG61" s="884"/>
      <c r="HH61" s="884"/>
      <c r="HI61" s="884"/>
      <c r="HJ61" s="884"/>
      <c r="HK61" s="884"/>
      <c r="HL61" s="884"/>
      <c r="HM61" s="884"/>
      <c r="HN61" s="884"/>
      <c r="HO61" s="884"/>
      <c r="HP61" s="884"/>
      <c r="HQ61" s="884"/>
      <c r="HR61" s="884"/>
      <c r="HS61" s="884"/>
      <c r="HT61" s="884"/>
      <c r="HU61" s="884"/>
      <c r="HV61" s="884"/>
      <c r="HW61" s="884"/>
      <c r="HX61" s="884"/>
      <c r="HY61" s="884"/>
      <c r="HZ61" s="884"/>
      <c r="IA61" s="884"/>
      <c r="IB61" s="884"/>
      <c r="IC61" s="884"/>
      <c r="ID61" s="884"/>
      <c r="IE61" s="884"/>
      <c r="IF61" s="884"/>
      <c r="IG61" s="884"/>
      <c r="IH61" s="884"/>
      <c r="II61" s="884"/>
      <c r="IJ61" s="884"/>
      <c r="IK61" s="884"/>
      <c r="IL61" s="884"/>
      <c r="IM61" s="884"/>
      <c r="IN61" s="884"/>
      <c r="IO61" s="884"/>
      <c r="IP61" s="884"/>
      <c r="IQ61" s="884"/>
      <c r="IR61" s="884"/>
      <c r="IS61" s="884"/>
      <c r="IT61" s="884"/>
      <c r="IU61" s="884"/>
      <c r="IV61" s="884"/>
    </row>
    <row r="62" spans="1:256" ht="18">
      <c r="A62" s="900"/>
      <c r="B62" s="884"/>
      <c r="C62" s="884"/>
      <c r="D62" s="901"/>
      <c r="E62" s="889"/>
      <c r="F62" s="901"/>
      <c r="G62" s="889"/>
      <c r="H62" s="901"/>
      <c r="I62" s="889"/>
      <c r="J62" s="901"/>
      <c r="K62" s="889"/>
      <c r="L62" s="901"/>
      <c r="M62" s="884"/>
      <c r="N62" s="884"/>
      <c r="O62" s="897"/>
      <c r="P62" s="897"/>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884"/>
      <c r="BB62" s="884"/>
      <c r="BC62" s="884"/>
      <c r="BD62" s="884"/>
      <c r="BE62" s="884"/>
      <c r="BF62" s="884"/>
      <c r="BG62" s="884"/>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884"/>
      <c r="CD62" s="884"/>
      <c r="CE62" s="884"/>
      <c r="CF62" s="884"/>
      <c r="CG62" s="884"/>
      <c r="CH62" s="884"/>
      <c r="CI62" s="884"/>
      <c r="CJ62" s="884"/>
      <c r="CK62" s="884"/>
      <c r="CL62" s="884"/>
      <c r="CM62" s="884"/>
      <c r="CN62" s="884"/>
      <c r="CO62" s="884"/>
      <c r="CP62" s="884"/>
      <c r="CQ62" s="884"/>
      <c r="CR62" s="884"/>
      <c r="CS62" s="884"/>
      <c r="CT62" s="884"/>
      <c r="CU62" s="884"/>
      <c r="CV62" s="884"/>
      <c r="CW62" s="884"/>
      <c r="CX62" s="884"/>
      <c r="CY62" s="884"/>
      <c r="CZ62" s="884"/>
      <c r="DA62" s="884"/>
      <c r="DB62" s="884"/>
      <c r="DC62" s="884"/>
      <c r="DD62" s="884"/>
      <c r="DE62" s="884"/>
      <c r="DF62" s="884"/>
      <c r="DG62" s="884"/>
      <c r="DH62" s="884"/>
      <c r="DI62" s="884"/>
      <c r="DJ62" s="884"/>
      <c r="DK62" s="884"/>
      <c r="DL62" s="884"/>
      <c r="DM62" s="884"/>
      <c r="DN62" s="884"/>
      <c r="DO62" s="884"/>
      <c r="DP62" s="884"/>
      <c r="DQ62" s="884"/>
      <c r="DR62" s="884"/>
      <c r="DS62" s="884"/>
      <c r="DT62" s="884"/>
      <c r="DU62" s="884"/>
      <c r="DV62" s="884"/>
      <c r="DW62" s="884"/>
      <c r="DX62" s="884"/>
      <c r="DY62" s="884"/>
      <c r="DZ62" s="884"/>
      <c r="EA62" s="884"/>
      <c r="EB62" s="884"/>
      <c r="EC62" s="884"/>
      <c r="ED62" s="884"/>
      <c r="EE62" s="884"/>
      <c r="EF62" s="884"/>
      <c r="EG62" s="884"/>
      <c r="EH62" s="884"/>
      <c r="EI62" s="884"/>
      <c r="EJ62" s="884"/>
      <c r="EK62" s="884"/>
      <c r="EL62" s="884"/>
      <c r="EM62" s="884"/>
      <c r="EN62" s="884"/>
      <c r="EO62" s="884"/>
      <c r="EP62" s="884"/>
      <c r="EQ62" s="884"/>
      <c r="ER62" s="884"/>
      <c r="ES62" s="884"/>
      <c r="ET62" s="884"/>
      <c r="EU62" s="884"/>
      <c r="EV62" s="884"/>
      <c r="EW62" s="884"/>
      <c r="EX62" s="884"/>
      <c r="EY62" s="884"/>
      <c r="EZ62" s="884"/>
      <c r="FA62" s="884"/>
      <c r="FB62" s="884"/>
      <c r="FC62" s="884"/>
      <c r="FD62" s="884"/>
      <c r="FE62" s="884"/>
      <c r="FF62" s="884"/>
      <c r="FG62" s="884"/>
      <c r="FH62" s="884"/>
      <c r="FI62" s="884"/>
      <c r="FJ62" s="884"/>
      <c r="FK62" s="884"/>
      <c r="FL62" s="884"/>
      <c r="FM62" s="884"/>
      <c r="FN62" s="884"/>
      <c r="FO62" s="884"/>
      <c r="FP62" s="884"/>
      <c r="FQ62" s="884"/>
      <c r="FR62" s="884"/>
      <c r="FS62" s="884"/>
      <c r="FT62" s="884"/>
      <c r="FU62" s="884"/>
      <c r="FV62" s="884"/>
      <c r="FW62" s="884"/>
      <c r="FX62" s="884"/>
      <c r="FY62" s="884"/>
      <c r="FZ62" s="884"/>
      <c r="GA62" s="884"/>
      <c r="GB62" s="884"/>
      <c r="GC62" s="884"/>
      <c r="GD62" s="884"/>
      <c r="GE62" s="884"/>
      <c r="GF62" s="884"/>
      <c r="GG62" s="884"/>
      <c r="GH62" s="884"/>
      <c r="GI62" s="884"/>
      <c r="GJ62" s="884"/>
      <c r="GK62" s="884"/>
      <c r="GL62" s="884"/>
      <c r="GM62" s="884"/>
      <c r="GN62" s="884"/>
      <c r="GO62" s="884"/>
      <c r="GP62" s="884"/>
      <c r="GQ62" s="884"/>
      <c r="GR62" s="884"/>
      <c r="GS62" s="884"/>
      <c r="GT62" s="884"/>
      <c r="GU62" s="884"/>
      <c r="GV62" s="884"/>
      <c r="GW62" s="884"/>
      <c r="GX62" s="884"/>
      <c r="GY62" s="884"/>
      <c r="GZ62" s="884"/>
      <c r="HA62" s="884"/>
      <c r="HB62" s="884"/>
      <c r="HC62" s="884"/>
      <c r="HD62" s="884"/>
      <c r="HE62" s="884"/>
      <c r="HF62" s="884"/>
      <c r="HG62" s="884"/>
      <c r="HH62" s="884"/>
      <c r="HI62" s="884"/>
      <c r="HJ62" s="884"/>
      <c r="HK62" s="884"/>
      <c r="HL62" s="884"/>
      <c r="HM62" s="884"/>
      <c r="HN62" s="884"/>
      <c r="HO62" s="884"/>
      <c r="HP62" s="884"/>
      <c r="HQ62" s="884"/>
      <c r="HR62" s="884"/>
      <c r="HS62" s="884"/>
      <c r="HT62" s="884"/>
      <c r="HU62" s="884"/>
      <c r="HV62" s="884"/>
      <c r="HW62" s="884"/>
      <c r="HX62" s="884"/>
      <c r="HY62" s="884"/>
      <c r="HZ62" s="884"/>
      <c r="IA62" s="884"/>
      <c r="IB62" s="884"/>
      <c r="IC62" s="884"/>
      <c r="ID62" s="884"/>
      <c r="IE62" s="884"/>
      <c r="IF62" s="884"/>
      <c r="IG62" s="884"/>
      <c r="IH62" s="884"/>
      <c r="II62" s="884"/>
      <c r="IJ62" s="884"/>
      <c r="IK62" s="884"/>
      <c r="IL62" s="884"/>
      <c r="IM62" s="884"/>
      <c r="IN62" s="884"/>
      <c r="IO62" s="884"/>
      <c r="IP62" s="884"/>
      <c r="IQ62" s="884"/>
      <c r="IR62" s="884"/>
      <c r="IS62" s="884"/>
      <c r="IT62" s="884"/>
      <c r="IU62" s="884"/>
      <c r="IV62" s="884"/>
    </row>
    <row r="63" spans="1:256" ht="18">
      <c r="A63" s="884"/>
      <c r="B63" s="884"/>
      <c r="C63" s="884"/>
      <c r="D63" s="889"/>
      <c r="E63" s="884"/>
      <c r="F63" s="889"/>
      <c r="G63" s="884"/>
      <c r="H63" s="889"/>
      <c r="I63" s="884"/>
      <c r="J63" s="889"/>
      <c r="K63" s="884"/>
      <c r="L63" s="889"/>
      <c r="M63" s="884"/>
      <c r="N63" s="884"/>
      <c r="O63" s="897"/>
      <c r="P63" s="897"/>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4"/>
      <c r="BU63" s="884"/>
      <c r="BV63" s="884"/>
      <c r="BW63" s="884"/>
      <c r="BX63" s="884"/>
      <c r="BY63" s="884"/>
      <c r="BZ63" s="884"/>
      <c r="CA63" s="884"/>
      <c r="CB63" s="884"/>
      <c r="CC63" s="884"/>
      <c r="CD63" s="884"/>
      <c r="CE63" s="884"/>
      <c r="CF63" s="884"/>
      <c r="CG63" s="884"/>
      <c r="CH63" s="884"/>
      <c r="CI63" s="884"/>
      <c r="CJ63" s="884"/>
      <c r="CK63" s="884"/>
      <c r="CL63" s="884"/>
      <c r="CM63" s="884"/>
      <c r="CN63" s="884"/>
      <c r="CO63" s="884"/>
      <c r="CP63" s="884"/>
      <c r="CQ63" s="884"/>
      <c r="CR63" s="884"/>
      <c r="CS63" s="884"/>
      <c r="CT63" s="884"/>
      <c r="CU63" s="884"/>
      <c r="CV63" s="884"/>
      <c r="CW63" s="884"/>
      <c r="CX63" s="884"/>
      <c r="CY63" s="884"/>
      <c r="CZ63" s="884"/>
      <c r="DA63" s="884"/>
      <c r="DB63" s="884"/>
      <c r="DC63" s="884"/>
      <c r="DD63" s="884"/>
      <c r="DE63" s="884"/>
      <c r="DF63" s="884"/>
      <c r="DG63" s="884"/>
      <c r="DH63" s="884"/>
      <c r="DI63" s="884"/>
      <c r="DJ63" s="884"/>
      <c r="DK63" s="884"/>
      <c r="DL63" s="884"/>
      <c r="DM63" s="884"/>
      <c r="DN63" s="884"/>
      <c r="DO63" s="884"/>
      <c r="DP63" s="884"/>
      <c r="DQ63" s="884"/>
      <c r="DR63" s="884"/>
      <c r="DS63" s="884"/>
      <c r="DT63" s="884"/>
      <c r="DU63" s="884"/>
      <c r="DV63" s="884"/>
      <c r="DW63" s="884"/>
      <c r="DX63" s="884"/>
      <c r="DY63" s="884"/>
      <c r="DZ63" s="884"/>
      <c r="EA63" s="884"/>
      <c r="EB63" s="884"/>
      <c r="EC63" s="884"/>
      <c r="ED63" s="884"/>
      <c r="EE63" s="884"/>
      <c r="EF63" s="884"/>
      <c r="EG63" s="884"/>
      <c r="EH63" s="884"/>
      <c r="EI63" s="884"/>
      <c r="EJ63" s="884"/>
      <c r="EK63" s="884"/>
      <c r="EL63" s="884"/>
      <c r="EM63" s="884"/>
      <c r="EN63" s="884"/>
      <c r="EO63" s="884"/>
      <c r="EP63" s="884"/>
      <c r="EQ63" s="884"/>
      <c r="ER63" s="884"/>
      <c r="ES63" s="884"/>
      <c r="ET63" s="884"/>
      <c r="EU63" s="884"/>
      <c r="EV63" s="884"/>
      <c r="EW63" s="884"/>
      <c r="EX63" s="884"/>
      <c r="EY63" s="884"/>
      <c r="EZ63" s="884"/>
      <c r="FA63" s="884"/>
      <c r="FB63" s="884"/>
      <c r="FC63" s="884"/>
      <c r="FD63" s="884"/>
      <c r="FE63" s="884"/>
      <c r="FF63" s="884"/>
      <c r="FG63" s="884"/>
      <c r="FH63" s="884"/>
      <c r="FI63" s="884"/>
      <c r="FJ63" s="884"/>
      <c r="FK63" s="884"/>
      <c r="FL63" s="884"/>
      <c r="FM63" s="884"/>
      <c r="FN63" s="884"/>
      <c r="FO63" s="884"/>
      <c r="FP63" s="884"/>
      <c r="FQ63" s="884"/>
      <c r="FR63" s="884"/>
      <c r="FS63" s="884"/>
      <c r="FT63" s="884"/>
      <c r="FU63" s="884"/>
      <c r="FV63" s="884"/>
      <c r="FW63" s="884"/>
      <c r="FX63" s="884"/>
      <c r="FY63" s="884"/>
      <c r="FZ63" s="884"/>
      <c r="GA63" s="884"/>
      <c r="GB63" s="884"/>
      <c r="GC63" s="884"/>
      <c r="GD63" s="884"/>
      <c r="GE63" s="884"/>
      <c r="GF63" s="884"/>
      <c r="GG63" s="884"/>
      <c r="GH63" s="884"/>
      <c r="GI63" s="884"/>
      <c r="GJ63" s="884"/>
      <c r="GK63" s="884"/>
      <c r="GL63" s="884"/>
      <c r="GM63" s="884"/>
      <c r="GN63" s="884"/>
      <c r="GO63" s="884"/>
      <c r="GP63" s="884"/>
      <c r="GQ63" s="884"/>
      <c r="GR63" s="884"/>
      <c r="GS63" s="884"/>
      <c r="GT63" s="884"/>
      <c r="GU63" s="884"/>
      <c r="GV63" s="884"/>
      <c r="GW63" s="884"/>
      <c r="GX63" s="884"/>
      <c r="GY63" s="884"/>
      <c r="GZ63" s="884"/>
      <c r="HA63" s="884"/>
      <c r="HB63" s="884"/>
      <c r="HC63" s="884"/>
      <c r="HD63" s="884"/>
      <c r="HE63" s="884"/>
      <c r="HF63" s="884"/>
      <c r="HG63" s="884"/>
      <c r="HH63" s="884"/>
      <c r="HI63" s="884"/>
      <c r="HJ63" s="884"/>
      <c r="HK63" s="884"/>
      <c r="HL63" s="884"/>
      <c r="HM63" s="884"/>
      <c r="HN63" s="884"/>
      <c r="HO63" s="884"/>
      <c r="HP63" s="884"/>
      <c r="HQ63" s="884"/>
      <c r="HR63" s="884"/>
      <c r="HS63" s="884"/>
      <c r="HT63" s="884"/>
      <c r="HU63" s="884"/>
      <c r="HV63" s="884"/>
      <c r="HW63" s="884"/>
      <c r="HX63" s="884"/>
      <c r="HY63" s="884"/>
      <c r="HZ63" s="884"/>
      <c r="IA63" s="884"/>
      <c r="IB63" s="884"/>
      <c r="IC63" s="884"/>
      <c r="ID63" s="884"/>
      <c r="IE63" s="884"/>
      <c r="IF63" s="884"/>
      <c r="IG63" s="884"/>
      <c r="IH63" s="884"/>
      <c r="II63" s="884"/>
      <c r="IJ63" s="884"/>
      <c r="IK63" s="884"/>
      <c r="IL63" s="884"/>
      <c r="IM63" s="884"/>
      <c r="IN63" s="884"/>
      <c r="IO63" s="884"/>
      <c r="IP63" s="884"/>
      <c r="IQ63" s="884"/>
      <c r="IR63" s="884"/>
      <c r="IS63" s="884"/>
      <c r="IT63" s="884"/>
      <c r="IU63" s="884"/>
      <c r="IV63" s="884"/>
    </row>
    <row r="64" spans="1:256" ht="18">
      <c r="A64" s="887"/>
      <c r="B64" s="884"/>
      <c r="C64" s="884"/>
      <c r="D64" s="884"/>
      <c r="E64" s="884"/>
      <c r="F64" s="884"/>
      <c r="G64" s="884"/>
      <c r="H64" s="884"/>
      <c r="I64" s="884"/>
      <c r="J64" s="884"/>
      <c r="K64" s="884"/>
      <c r="L64" s="884"/>
      <c r="M64" s="884"/>
      <c r="N64" s="884"/>
      <c r="O64" s="897"/>
      <c r="P64" s="897"/>
      <c r="Q64" s="884"/>
      <c r="R64" s="884"/>
      <c r="S64" s="884"/>
      <c r="T64" s="884"/>
      <c r="U64" s="884"/>
      <c r="V64" s="884"/>
      <c r="W64" s="884"/>
      <c r="X64" s="884"/>
      <c r="Y64" s="884"/>
      <c r="Z64" s="884"/>
      <c r="AA64" s="884"/>
      <c r="AB64" s="884"/>
      <c r="AC64" s="884"/>
      <c r="AD64" s="884"/>
      <c r="AE64" s="884"/>
      <c r="AF64" s="884"/>
      <c r="AG64" s="884"/>
      <c r="AH64" s="884"/>
      <c r="AI64" s="884"/>
      <c r="AJ64" s="884"/>
      <c r="AK64" s="884"/>
      <c r="AL64" s="884"/>
      <c r="AM64" s="884"/>
      <c r="AN64" s="884"/>
      <c r="AO64" s="884"/>
      <c r="AP64" s="884"/>
      <c r="AQ64" s="884"/>
      <c r="AR64" s="884"/>
      <c r="AS64" s="884"/>
      <c r="AT64" s="884"/>
      <c r="AU64" s="884"/>
      <c r="AV64" s="884"/>
      <c r="AW64" s="884"/>
      <c r="AX64" s="884"/>
      <c r="AY64" s="884"/>
      <c r="AZ64" s="884"/>
      <c r="BA64" s="884"/>
      <c r="BB64" s="884"/>
      <c r="BC64" s="884"/>
      <c r="BD64" s="884"/>
      <c r="BE64" s="884"/>
      <c r="BF64" s="884"/>
      <c r="BG64" s="884"/>
      <c r="BH64" s="884"/>
      <c r="BI64" s="884"/>
      <c r="BJ64" s="884"/>
      <c r="BK64" s="884"/>
      <c r="BL64" s="884"/>
      <c r="BM64" s="884"/>
      <c r="BN64" s="884"/>
      <c r="BO64" s="884"/>
      <c r="BP64" s="884"/>
      <c r="BQ64" s="884"/>
      <c r="BR64" s="884"/>
      <c r="BS64" s="884"/>
      <c r="BT64" s="884"/>
      <c r="BU64" s="884"/>
      <c r="BV64" s="884"/>
      <c r="BW64" s="884"/>
      <c r="BX64" s="884"/>
      <c r="BY64" s="884"/>
      <c r="BZ64" s="884"/>
      <c r="CA64" s="884"/>
      <c r="CB64" s="884"/>
      <c r="CC64" s="884"/>
      <c r="CD64" s="884"/>
      <c r="CE64" s="884"/>
      <c r="CF64" s="884"/>
      <c r="CG64" s="884"/>
      <c r="CH64" s="884"/>
      <c r="CI64" s="884"/>
      <c r="CJ64" s="884"/>
      <c r="CK64" s="884"/>
      <c r="CL64" s="884"/>
      <c r="CM64" s="884"/>
      <c r="CN64" s="884"/>
      <c r="CO64" s="884"/>
      <c r="CP64" s="884"/>
      <c r="CQ64" s="884"/>
      <c r="CR64" s="884"/>
      <c r="CS64" s="884"/>
      <c r="CT64" s="884"/>
      <c r="CU64" s="884"/>
      <c r="CV64" s="884"/>
      <c r="CW64" s="884"/>
      <c r="CX64" s="884"/>
      <c r="CY64" s="884"/>
      <c r="CZ64" s="884"/>
      <c r="DA64" s="884"/>
      <c r="DB64" s="884"/>
      <c r="DC64" s="884"/>
      <c r="DD64" s="884"/>
      <c r="DE64" s="884"/>
      <c r="DF64" s="884"/>
      <c r="DG64" s="884"/>
      <c r="DH64" s="884"/>
      <c r="DI64" s="884"/>
      <c r="DJ64" s="884"/>
      <c r="DK64" s="884"/>
      <c r="DL64" s="884"/>
      <c r="DM64" s="884"/>
      <c r="DN64" s="884"/>
      <c r="DO64" s="884"/>
      <c r="DP64" s="884"/>
      <c r="DQ64" s="884"/>
      <c r="DR64" s="884"/>
      <c r="DS64" s="884"/>
      <c r="DT64" s="884"/>
      <c r="DU64" s="884"/>
      <c r="DV64" s="884"/>
      <c r="DW64" s="884"/>
      <c r="DX64" s="884"/>
      <c r="DY64" s="884"/>
      <c r="DZ64" s="884"/>
      <c r="EA64" s="884"/>
      <c r="EB64" s="884"/>
      <c r="EC64" s="884"/>
      <c r="ED64" s="884"/>
      <c r="EE64" s="884"/>
      <c r="EF64" s="884"/>
      <c r="EG64" s="884"/>
      <c r="EH64" s="884"/>
      <c r="EI64" s="884"/>
      <c r="EJ64" s="884"/>
      <c r="EK64" s="884"/>
      <c r="EL64" s="884"/>
      <c r="EM64" s="884"/>
      <c r="EN64" s="884"/>
      <c r="EO64" s="884"/>
      <c r="EP64" s="884"/>
      <c r="EQ64" s="884"/>
      <c r="ER64" s="884"/>
      <c r="ES64" s="884"/>
      <c r="ET64" s="884"/>
      <c r="EU64" s="884"/>
      <c r="EV64" s="884"/>
      <c r="EW64" s="884"/>
      <c r="EX64" s="884"/>
      <c r="EY64" s="884"/>
      <c r="EZ64" s="884"/>
      <c r="FA64" s="884"/>
      <c r="FB64" s="884"/>
      <c r="FC64" s="884"/>
      <c r="FD64" s="884"/>
      <c r="FE64" s="884"/>
      <c r="FF64" s="884"/>
      <c r="FG64" s="884"/>
      <c r="FH64" s="884"/>
      <c r="FI64" s="884"/>
      <c r="FJ64" s="884"/>
      <c r="FK64" s="884"/>
      <c r="FL64" s="884"/>
      <c r="FM64" s="884"/>
      <c r="FN64" s="884"/>
      <c r="FO64" s="884"/>
      <c r="FP64" s="884"/>
      <c r="FQ64" s="884"/>
      <c r="FR64" s="884"/>
      <c r="FS64" s="884"/>
      <c r="FT64" s="884"/>
      <c r="FU64" s="884"/>
      <c r="FV64" s="884"/>
      <c r="FW64" s="884"/>
      <c r="FX64" s="884"/>
      <c r="FY64" s="884"/>
      <c r="FZ64" s="884"/>
      <c r="GA64" s="884"/>
      <c r="GB64" s="884"/>
      <c r="GC64" s="884"/>
      <c r="GD64" s="884"/>
      <c r="GE64" s="884"/>
      <c r="GF64" s="884"/>
      <c r="GG64" s="884"/>
      <c r="GH64" s="884"/>
      <c r="GI64" s="884"/>
      <c r="GJ64" s="884"/>
      <c r="GK64" s="884"/>
      <c r="GL64" s="884"/>
      <c r="GM64" s="884"/>
      <c r="GN64" s="884"/>
      <c r="GO64" s="884"/>
      <c r="GP64" s="884"/>
      <c r="GQ64" s="884"/>
      <c r="GR64" s="884"/>
      <c r="GS64" s="884"/>
      <c r="GT64" s="884"/>
      <c r="GU64" s="884"/>
      <c r="GV64" s="884"/>
      <c r="GW64" s="884"/>
      <c r="GX64" s="884"/>
      <c r="GY64" s="884"/>
      <c r="GZ64" s="884"/>
      <c r="HA64" s="884"/>
      <c r="HB64" s="884"/>
      <c r="HC64" s="884"/>
      <c r="HD64" s="884"/>
      <c r="HE64" s="884"/>
      <c r="HF64" s="884"/>
      <c r="HG64" s="884"/>
      <c r="HH64" s="884"/>
      <c r="HI64" s="884"/>
      <c r="HJ64" s="884"/>
      <c r="HK64" s="884"/>
      <c r="HL64" s="884"/>
      <c r="HM64" s="884"/>
      <c r="HN64" s="884"/>
      <c r="HO64" s="884"/>
      <c r="HP64" s="884"/>
      <c r="HQ64" s="884"/>
      <c r="HR64" s="884"/>
      <c r="HS64" s="884"/>
      <c r="HT64" s="884"/>
      <c r="HU64" s="884"/>
      <c r="HV64" s="884"/>
      <c r="HW64" s="884"/>
      <c r="HX64" s="884"/>
      <c r="HY64" s="884"/>
      <c r="HZ64" s="884"/>
      <c r="IA64" s="884"/>
      <c r="IB64" s="884"/>
      <c r="IC64" s="884"/>
      <c r="ID64" s="884"/>
      <c r="IE64" s="884"/>
      <c r="IF64" s="884"/>
      <c r="IG64" s="884"/>
      <c r="IH64" s="884"/>
      <c r="II64" s="884"/>
      <c r="IJ64" s="884"/>
      <c r="IK64" s="884"/>
      <c r="IL64" s="884"/>
      <c r="IM64" s="884"/>
      <c r="IN64" s="884"/>
      <c r="IO64" s="884"/>
      <c r="IP64" s="884"/>
      <c r="IQ64" s="884"/>
      <c r="IR64" s="884"/>
      <c r="IS64" s="884"/>
      <c r="IT64" s="884"/>
      <c r="IU64" s="884"/>
      <c r="IV64" s="884"/>
    </row>
    <row r="65" spans="1:256" ht="18">
      <c r="A65" s="884"/>
      <c r="B65" s="884"/>
      <c r="C65" s="884"/>
      <c r="D65" s="884"/>
      <c r="E65" s="884"/>
      <c r="F65" s="884"/>
      <c r="G65" s="884"/>
      <c r="H65" s="884"/>
      <c r="I65" s="884"/>
      <c r="J65" s="884"/>
      <c r="K65" s="884"/>
      <c r="L65" s="884"/>
      <c r="M65" s="884"/>
      <c r="N65" s="884"/>
      <c r="O65" s="897"/>
      <c r="P65" s="897"/>
      <c r="Q65" s="884"/>
      <c r="R65" s="884"/>
      <c r="S65" s="884"/>
      <c r="T65" s="884"/>
      <c r="U65" s="884"/>
      <c r="V65" s="884"/>
      <c r="W65" s="884"/>
      <c r="X65" s="884"/>
      <c r="Y65" s="884"/>
      <c r="Z65" s="884"/>
      <c r="AA65" s="884"/>
      <c r="AB65" s="884"/>
      <c r="AC65" s="884"/>
      <c r="AD65" s="884"/>
      <c r="AE65" s="884"/>
      <c r="AF65" s="884"/>
      <c r="AG65" s="884"/>
      <c r="AH65" s="884"/>
      <c r="AI65" s="884"/>
      <c r="AJ65" s="884"/>
      <c r="AK65" s="884"/>
      <c r="AL65" s="884"/>
      <c r="AM65" s="884"/>
      <c r="AN65" s="884"/>
      <c r="AO65" s="884"/>
      <c r="AP65" s="884"/>
      <c r="AQ65" s="884"/>
      <c r="AR65" s="884"/>
      <c r="AS65" s="884"/>
      <c r="AT65" s="884"/>
      <c r="AU65" s="884"/>
      <c r="AV65" s="884"/>
      <c r="AW65" s="884"/>
      <c r="AX65" s="884"/>
      <c r="AY65" s="884"/>
      <c r="AZ65" s="884"/>
      <c r="BA65" s="884"/>
      <c r="BB65" s="884"/>
      <c r="BC65" s="884"/>
      <c r="BD65" s="884"/>
      <c r="BE65" s="884"/>
      <c r="BF65" s="884"/>
      <c r="BG65" s="884"/>
      <c r="BH65" s="884"/>
      <c r="BI65" s="884"/>
      <c r="BJ65" s="884"/>
      <c r="BK65" s="884"/>
      <c r="BL65" s="884"/>
      <c r="BM65" s="884"/>
      <c r="BN65" s="884"/>
      <c r="BO65" s="884"/>
      <c r="BP65" s="884"/>
      <c r="BQ65" s="884"/>
      <c r="BR65" s="884"/>
      <c r="BS65" s="884"/>
      <c r="BT65" s="884"/>
      <c r="BU65" s="884"/>
      <c r="BV65" s="884"/>
      <c r="BW65" s="884"/>
      <c r="BX65" s="884"/>
      <c r="BY65" s="884"/>
      <c r="BZ65" s="884"/>
      <c r="CA65" s="884"/>
      <c r="CB65" s="884"/>
      <c r="CC65" s="884"/>
      <c r="CD65" s="884"/>
      <c r="CE65" s="884"/>
      <c r="CF65" s="884"/>
      <c r="CG65" s="884"/>
      <c r="CH65" s="884"/>
      <c r="CI65" s="884"/>
      <c r="CJ65" s="884"/>
      <c r="CK65" s="884"/>
      <c r="CL65" s="884"/>
      <c r="CM65" s="884"/>
      <c r="CN65" s="884"/>
      <c r="CO65" s="884"/>
      <c r="CP65" s="884"/>
      <c r="CQ65" s="884"/>
      <c r="CR65" s="884"/>
      <c r="CS65" s="884"/>
      <c r="CT65" s="884"/>
      <c r="CU65" s="884"/>
      <c r="CV65" s="884"/>
      <c r="CW65" s="884"/>
      <c r="CX65" s="884"/>
      <c r="CY65" s="884"/>
      <c r="CZ65" s="884"/>
      <c r="DA65" s="884"/>
      <c r="DB65" s="884"/>
      <c r="DC65" s="884"/>
      <c r="DD65" s="884"/>
      <c r="DE65" s="884"/>
      <c r="DF65" s="884"/>
      <c r="DG65" s="884"/>
      <c r="DH65" s="884"/>
      <c r="DI65" s="884"/>
      <c r="DJ65" s="884"/>
      <c r="DK65" s="884"/>
      <c r="DL65" s="884"/>
      <c r="DM65" s="884"/>
      <c r="DN65" s="884"/>
      <c r="DO65" s="884"/>
      <c r="DP65" s="884"/>
      <c r="DQ65" s="884"/>
      <c r="DR65" s="884"/>
      <c r="DS65" s="884"/>
      <c r="DT65" s="884"/>
      <c r="DU65" s="884"/>
      <c r="DV65" s="884"/>
      <c r="DW65" s="884"/>
      <c r="DX65" s="884"/>
      <c r="DY65" s="884"/>
      <c r="DZ65" s="884"/>
      <c r="EA65" s="884"/>
      <c r="EB65" s="884"/>
      <c r="EC65" s="884"/>
      <c r="ED65" s="884"/>
      <c r="EE65" s="884"/>
      <c r="EF65" s="884"/>
      <c r="EG65" s="884"/>
      <c r="EH65" s="884"/>
      <c r="EI65" s="884"/>
      <c r="EJ65" s="884"/>
      <c r="EK65" s="884"/>
      <c r="EL65" s="884"/>
      <c r="EM65" s="884"/>
      <c r="EN65" s="884"/>
      <c r="EO65" s="884"/>
      <c r="EP65" s="884"/>
      <c r="EQ65" s="884"/>
      <c r="ER65" s="884"/>
      <c r="ES65" s="884"/>
      <c r="ET65" s="884"/>
      <c r="EU65" s="884"/>
      <c r="EV65" s="884"/>
      <c r="EW65" s="884"/>
      <c r="EX65" s="884"/>
      <c r="EY65" s="884"/>
      <c r="EZ65" s="884"/>
      <c r="FA65" s="884"/>
      <c r="FB65" s="884"/>
      <c r="FC65" s="884"/>
      <c r="FD65" s="884"/>
      <c r="FE65" s="884"/>
      <c r="FF65" s="884"/>
      <c r="FG65" s="884"/>
      <c r="FH65" s="884"/>
      <c r="FI65" s="884"/>
      <c r="FJ65" s="884"/>
      <c r="FK65" s="884"/>
      <c r="FL65" s="884"/>
      <c r="FM65" s="884"/>
      <c r="FN65" s="884"/>
      <c r="FO65" s="884"/>
      <c r="FP65" s="884"/>
      <c r="FQ65" s="884"/>
      <c r="FR65" s="884"/>
      <c r="FS65" s="884"/>
      <c r="FT65" s="884"/>
      <c r="FU65" s="884"/>
      <c r="FV65" s="884"/>
      <c r="FW65" s="884"/>
      <c r="FX65" s="884"/>
      <c r="FY65" s="884"/>
      <c r="FZ65" s="884"/>
      <c r="GA65" s="884"/>
      <c r="GB65" s="884"/>
      <c r="GC65" s="884"/>
      <c r="GD65" s="884"/>
      <c r="GE65" s="884"/>
      <c r="GF65" s="884"/>
      <c r="GG65" s="884"/>
      <c r="GH65" s="884"/>
      <c r="GI65" s="884"/>
      <c r="GJ65" s="884"/>
      <c r="GK65" s="884"/>
      <c r="GL65" s="884"/>
      <c r="GM65" s="884"/>
      <c r="GN65" s="884"/>
      <c r="GO65" s="884"/>
      <c r="GP65" s="884"/>
      <c r="GQ65" s="884"/>
      <c r="GR65" s="884"/>
      <c r="GS65" s="884"/>
      <c r="GT65" s="884"/>
      <c r="GU65" s="884"/>
      <c r="GV65" s="884"/>
      <c r="GW65" s="884"/>
      <c r="GX65" s="884"/>
      <c r="GY65" s="884"/>
      <c r="GZ65" s="884"/>
      <c r="HA65" s="884"/>
      <c r="HB65" s="884"/>
      <c r="HC65" s="884"/>
      <c r="HD65" s="884"/>
      <c r="HE65" s="884"/>
      <c r="HF65" s="884"/>
      <c r="HG65" s="884"/>
      <c r="HH65" s="884"/>
      <c r="HI65" s="884"/>
      <c r="HJ65" s="884"/>
      <c r="HK65" s="884"/>
      <c r="HL65" s="884"/>
      <c r="HM65" s="884"/>
      <c r="HN65" s="884"/>
      <c r="HO65" s="884"/>
      <c r="HP65" s="884"/>
      <c r="HQ65" s="884"/>
      <c r="HR65" s="884"/>
      <c r="HS65" s="884"/>
      <c r="HT65" s="884"/>
      <c r="HU65" s="884"/>
      <c r="HV65" s="884"/>
      <c r="HW65" s="884"/>
      <c r="HX65" s="884"/>
      <c r="HY65" s="884"/>
      <c r="HZ65" s="884"/>
      <c r="IA65" s="884"/>
      <c r="IB65" s="884"/>
      <c r="IC65" s="884"/>
      <c r="ID65" s="884"/>
      <c r="IE65" s="884"/>
      <c r="IF65" s="884"/>
      <c r="IG65" s="884"/>
      <c r="IH65" s="884"/>
      <c r="II65" s="884"/>
      <c r="IJ65" s="884"/>
      <c r="IK65" s="884"/>
      <c r="IL65" s="884"/>
      <c r="IM65" s="884"/>
      <c r="IN65" s="884"/>
      <c r="IO65" s="884"/>
      <c r="IP65" s="884"/>
      <c r="IQ65" s="884"/>
      <c r="IR65" s="884"/>
      <c r="IS65" s="884"/>
      <c r="IT65" s="884"/>
      <c r="IU65" s="884"/>
      <c r="IV65" s="884"/>
    </row>
    <row r="66" spans="1:256" ht="20.100000000000001" customHeight="1">
      <c r="A66" s="884"/>
      <c r="B66" s="884"/>
      <c r="C66" s="902"/>
      <c r="D66" s="903"/>
      <c r="E66" s="902"/>
      <c r="F66" s="904"/>
      <c r="G66" s="902"/>
      <c r="H66" s="905"/>
      <c r="I66" s="902"/>
      <c r="J66" s="906"/>
      <c r="K66" s="902"/>
      <c r="L66" s="903"/>
      <c r="M66" s="884"/>
      <c r="N66" s="884"/>
      <c r="O66" s="897"/>
      <c r="P66" s="897"/>
      <c r="Q66" s="884"/>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4"/>
      <c r="BQ66" s="884"/>
      <c r="BR66" s="884"/>
      <c r="BS66" s="884"/>
      <c r="BT66" s="884"/>
      <c r="BU66" s="884"/>
      <c r="BV66" s="884"/>
      <c r="BW66" s="884"/>
      <c r="BX66" s="884"/>
      <c r="BY66" s="884"/>
      <c r="BZ66" s="884"/>
      <c r="CA66" s="884"/>
      <c r="CB66" s="884"/>
      <c r="CC66" s="884"/>
      <c r="CD66" s="884"/>
      <c r="CE66" s="884"/>
      <c r="CF66" s="884"/>
      <c r="CG66" s="884"/>
      <c r="CH66" s="884"/>
      <c r="CI66" s="884"/>
      <c r="CJ66" s="884"/>
      <c r="CK66" s="884"/>
      <c r="CL66" s="884"/>
      <c r="CM66" s="884"/>
      <c r="CN66" s="884"/>
      <c r="CO66" s="884"/>
      <c r="CP66" s="884"/>
      <c r="CQ66" s="884"/>
      <c r="CR66" s="884"/>
      <c r="CS66" s="884"/>
      <c r="CT66" s="884"/>
      <c r="CU66" s="884"/>
      <c r="CV66" s="884"/>
      <c r="CW66" s="884"/>
      <c r="CX66" s="884"/>
      <c r="CY66" s="884"/>
      <c r="CZ66" s="884"/>
      <c r="DA66" s="884"/>
      <c r="DB66" s="884"/>
      <c r="DC66" s="884"/>
      <c r="DD66" s="884"/>
      <c r="DE66" s="884"/>
      <c r="DF66" s="884"/>
      <c r="DG66" s="884"/>
      <c r="DH66" s="884"/>
      <c r="DI66" s="884"/>
      <c r="DJ66" s="884"/>
      <c r="DK66" s="884"/>
      <c r="DL66" s="884"/>
      <c r="DM66" s="884"/>
      <c r="DN66" s="884"/>
      <c r="DO66" s="884"/>
      <c r="DP66" s="884"/>
      <c r="DQ66" s="884"/>
      <c r="DR66" s="884"/>
      <c r="DS66" s="884"/>
      <c r="DT66" s="884"/>
      <c r="DU66" s="884"/>
      <c r="DV66" s="884"/>
      <c r="DW66" s="884"/>
      <c r="DX66" s="884"/>
      <c r="DY66" s="884"/>
      <c r="DZ66" s="884"/>
      <c r="EA66" s="884"/>
      <c r="EB66" s="884"/>
      <c r="EC66" s="884"/>
      <c r="ED66" s="884"/>
      <c r="EE66" s="884"/>
      <c r="EF66" s="884"/>
      <c r="EG66" s="884"/>
      <c r="EH66" s="884"/>
      <c r="EI66" s="884"/>
      <c r="EJ66" s="884"/>
      <c r="EK66" s="884"/>
      <c r="EL66" s="884"/>
      <c r="EM66" s="884"/>
      <c r="EN66" s="884"/>
      <c r="EO66" s="884"/>
      <c r="EP66" s="884"/>
      <c r="EQ66" s="884"/>
      <c r="ER66" s="884"/>
      <c r="ES66" s="884"/>
      <c r="ET66" s="884"/>
      <c r="EU66" s="884"/>
      <c r="EV66" s="884"/>
      <c r="EW66" s="884"/>
      <c r="EX66" s="884"/>
      <c r="EY66" s="884"/>
      <c r="EZ66" s="884"/>
      <c r="FA66" s="884"/>
      <c r="FB66" s="884"/>
      <c r="FC66" s="884"/>
      <c r="FD66" s="884"/>
      <c r="FE66" s="884"/>
      <c r="FF66" s="884"/>
      <c r="FG66" s="884"/>
      <c r="FH66" s="884"/>
      <c r="FI66" s="884"/>
      <c r="FJ66" s="884"/>
      <c r="FK66" s="884"/>
      <c r="FL66" s="884"/>
      <c r="FM66" s="884"/>
      <c r="FN66" s="884"/>
      <c r="FO66" s="884"/>
      <c r="FP66" s="884"/>
      <c r="FQ66" s="884"/>
      <c r="FR66" s="884"/>
      <c r="FS66" s="884"/>
      <c r="FT66" s="884"/>
      <c r="FU66" s="884"/>
      <c r="FV66" s="884"/>
      <c r="FW66" s="884"/>
      <c r="FX66" s="884"/>
      <c r="FY66" s="884"/>
      <c r="FZ66" s="884"/>
      <c r="GA66" s="884"/>
      <c r="GB66" s="884"/>
      <c r="GC66" s="884"/>
      <c r="GD66" s="884"/>
      <c r="GE66" s="884"/>
      <c r="GF66" s="884"/>
      <c r="GG66" s="884"/>
      <c r="GH66" s="884"/>
      <c r="GI66" s="884"/>
      <c r="GJ66" s="884"/>
      <c r="GK66" s="884"/>
      <c r="GL66" s="884"/>
      <c r="GM66" s="884"/>
      <c r="GN66" s="884"/>
      <c r="GO66" s="884"/>
      <c r="GP66" s="884"/>
      <c r="GQ66" s="884"/>
      <c r="GR66" s="884"/>
      <c r="GS66" s="884"/>
      <c r="GT66" s="884"/>
      <c r="GU66" s="884"/>
      <c r="GV66" s="884"/>
      <c r="GW66" s="884"/>
      <c r="GX66" s="884"/>
      <c r="GY66" s="884"/>
      <c r="GZ66" s="884"/>
      <c r="HA66" s="884"/>
      <c r="HB66" s="884"/>
      <c r="HC66" s="884"/>
      <c r="HD66" s="884"/>
      <c r="HE66" s="884"/>
      <c r="HF66" s="884"/>
      <c r="HG66" s="884"/>
      <c r="HH66" s="884"/>
      <c r="HI66" s="884"/>
      <c r="HJ66" s="884"/>
      <c r="HK66" s="884"/>
      <c r="HL66" s="884"/>
      <c r="HM66" s="884"/>
      <c r="HN66" s="884"/>
      <c r="HO66" s="884"/>
      <c r="HP66" s="884"/>
      <c r="HQ66" s="884"/>
      <c r="HR66" s="884"/>
      <c r="HS66" s="884"/>
      <c r="HT66" s="884"/>
      <c r="HU66" s="884"/>
      <c r="HV66" s="884"/>
      <c r="HW66" s="884"/>
      <c r="HX66" s="884"/>
      <c r="HY66" s="884"/>
      <c r="HZ66" s="884"/>
      <c r="IA66" s="884"/>
      <c r="IB66" s="884"/>
      <c r="IC66" s="884"/>
      <c r="ID66" s="884"/>
      <c r="IE66" s="884"/>
      <c r="IF66" s="884"/>
      <c r="IG66" s="884"/>
      <c r="IH66" s="884"/>
      <c r="II66" s="884"/>
      <c r="IJ66" s="884"/>
      <c r="IK66" s="884"/>
      <c r="IL66" s="884"/>
      <c r="IM66" s="884"/>
      <c r="IN66" s="884"/>
      <c r="IO66" s="884"/>
      <c r="IP66" s="884"/>
      <c r="IQ66" s="884"/>
      <c r="IR66" s="884"/>
      <c r="IS66" s="884"/>
      <c r="IT66" s="884"/>
      <c r="IU66" s="884"/>
      <c r="IV66" s="884"/>
    </row>
    <row r="67" spans="1:256" ht="20.100000000000001" customHeight="1">
      <c r="A67" s="884"/>
      <c r="B67" s="884"/>
      <c r="C67" s="884"/>
      <c r="D67" s="903"/>
      <c r="E67" s="884"/>
      <c r="F67" s="884"/>
      <c r="G67" s="884"/>
      <c r="H67" s="905"/>
      <c r="I67" s="884"/>
      <c r="J67" s="906"/>
      <c r="K67" s="884"/>
      <c r="L67" s="903"/>
      <c r="M67" s="884"/>
      <c r="N67" s="884"/>
      <c r="O67" s="897"/>
      <c r="P67" s="897"/>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4"/>
      <c r="BM67" s="884"/>
      <c r="BN67" s="884"/>
      <c r="BO67" s="884"/>
      <c r="BP67" s="884"/>
      <c r="BQ67" s="884"/>
      <c r="BR67" s="884"/>
      <c r="BS67" s="884"/>
      <c r="BT67" s="884"/>
      <c r="BU67" s="884"/>
      <c r="BV67" s="884"/>
      <c r="BW67" s="884"/>
      <c r="BX67" s="884"/>
      <c r="BY67" s="884"/>
      <c r="BZ67" s="884"/>
      <c r="CA67" s="884"/>
      <c r="CB67" s="884"/>
      <c r="CC67" s="884"/>
      <c r="CD67" s="884"/>
      <c r="CE67" s="884"/>
      <c r="CF67" s="884"/>
      <c r="CG67" s="884"/>
      <c r="CH67" s="884"/>
      <c r="CI67" s="884"/>
      <c r="CJ67" s="884"/>
      <c r="CK67" s="884"/>
      <c r="CL67" s="884"/>
      <c r="CM67" s="884"/>
      <c r="CN67" s="884"/>
      <c r="CO67" s="884"/>
      <c r="CP67" s="884"/>
      <c r="CQ67" s="884"/>
      <c r="CR67" s="884"/>
      <c r="CS67" s="884"/>
      <c r="CT67" s="884"/>
      <c r="CU67" s="884"/>
      <c r="CV67" s="884"/>
      <c r="CW67" s="884"/>
      <c r="CX67" s="884"/>
      <c r="CY67" s="884"/>
      <c r="CZ67" s="884"/>
      <c r="DA67" s="884"/>
      <c r="DB67" s="884"/>
      <c r="DC67" s="884"/>
      <c r="DD67" s="884"/>
      <c r="DE67" s="884"/>
      <c r="DF67" s="884"/>
      <c r="DG67" s="884"/>
      <c r="DH67" s="884"/>
      <c r="DI67" s="884"/>
      <c r="DJ67" s="884"/>
      <c r="DK67" s="884"/>
      <c r="DL67" s="884"/>
      <c r="DM67" s="884"/>
      <c r="DN67" s="884"/>
      <c r="DO67" s="884"/>
      <c r="DP67" s="884"/>
      <c r="DQ67" s="884"/>
      <c r="DR67" s="884"/>
      <c r="DS67" s="884"/>
      <c r="DT67" s="884"/>
      <c r="DU67" s="884"/>
      <c r="DV67" s="884"/>
      <c r="DW67" s="884"/>
      <c r="DX67" s="884"/>
      <c r="DY67" s="884"/>
      <c r="DZ67" s="884"/>
      <c r="EA67" s="884"/>
      <c r="EB67" s="884"/>
      <c r="EC67" s="884"/>
      <c r="ED67" s="884"/>
      <c r="EE67" s="884"/>
      <c r="EF67" s="884"/>
      <c r="EG67" s="884"/>
      <c r="EH67" s="884"/>
      <c r="EI67" s="884"/>
      <c r="EJ67" s="884"/>
      <c r="EK67" s="884"/>
      <c r="EL67" s="884"/>
      <c r="EM67" s="884"/>
      <c r="EN67" s="884"/>
      <c r="EO67" s="884"/>
      <c r="EP67" s="884"/>
      <c r="EQ67" s="884"/>
      <c r="ER67" s="884"/>
      <c r="ES67" s="884"/>
      <c r="ET67" s="884"/>
      <c r="EU67" s="884"/>
      <c r="EV67" s="884"/>
      <c r="EW67" s="884"/>
      <c r="EX67" s="884"/>
      <c r="EY67" s="884"/>
      <c r="EZ67" s="884"/>
      <c r="FA67" s="884"/>
      <c r="FB67" s="884"/>
      <c r="FC67" s="884"/>
      <c r="FD67" s="884"/>
      <c r="FE67" s="884"/>
      <c r="FF67" s="884"/>
      <c r="FG67" s="884"/>
      <c r="FH67" s="884"/>
      <c r="FI67" s="884"/>
      <c r="FJ67" s="884"/>
      <c r="FK67" s="884"/>
      <c r="FL67" s="884"/>
      <c r="FM67" s="884"/>
      <c r="FN67" s="884"/>
      <c r="FO67" s="884"/>
      <c r="FP67" s="884"/>
      <c r="FQ67" s="884"/>
      <c r="FR67" s="884"/>
      <c r="FS67" s="884"/>
      <c r="FT67" s="884"/>
      <c r="FU67" s="884"/>
      <c r="FV67" s="884"/>
      <c r="FW67" s="884"/>
      <c r="FX67" s="884"/>
      <c r="FY67" s="884"/>
      <c r="FZ67" s="884"/>
      <c r="GA67" s="884"/>
      <c r="GB67" s="884"/>
      <c r="GC67" s="884"/>
      <c r="GD67" s="884"/>
      <c r="GE67" s="884"/>
      <c r="GF67" s="884"/>
      <c r="GG67" s="884"/>
      <c r="GH67" s="884"/>
      <c r="GI67" s="884"/>
      <c r="GJ67" s="884"/>
      <c r="GK67" s="884"/>
      <c r="GL67" s="884"/>
      <c r="GM67" s="884"/>
      <c r="GN67" s="884"/>
      <c r="GO67" s="884"/>
      <c r="GP67" s="884"/>
      <c r="GQ67" s="884"/>
      <c r="GR67" s="884"/>
      <c r="GS67" s="884"/>
      <c r="GT67" s="884"/>
      <c r="GU67" s="884"/>
      <c r="GV67" s="884"/>
      <c r="GW67" s="884"/>
      <c r="GX67" s="884"/>
      <c r="GY67" s="884"/>
      <c r="GZ67" s="884"/>
      <c r="HA67" s="884"/>
      <c r="HB67" s="884"/>
      <c r="HC67" s="884"/>
      <c r="HD67" s="884"/>
      <c r="HE67" s="884"/>
      <c r="HF67" s="884"/>
      <c r="HG67" s="884"/>
      <c r="HH67" s="884"/>
      <c r="HI67" s="884"/>
      <c r="HJ67" s="884"/>
      <c r="HK67" s="884"/>
      <c r="HL67" s="884"/>
      <c r="HM67" s="884"/>
      <c r="HN67" s="884"/>
      <c r="HO67" s="884"/>
      <c r="HP67" s="884"/>
      <c r="HQ67" s="884"/>
      <c r="HR67" s="884"/>
      <c r="HS67" s="884"/>
      <c r="HT67" s="884"/>
      <c r="HU67" s="884"/>
      <c r="HV67" s="884"/>
      <c r="HW67" s="884"/>
      <c r="HX67" s="884"/>
      <c r="HY67" s="884"/>
      <c r="HZ67" s="884"/>
      <c r="IA67" s="884"/>
      <c r="IB67" s="884"/>
      <c r="IC67" s="884"/>
      <c r="ID67" s="884"/>
      <c r="IE67" s="884"/>
      <c r="IF67" s="884"/>
      <c r="IG67" s="884"/>
      <c r="IH67" s="884"/>
      <c r="II67" s="884"/>
      <c r="IJ67" s="884"/>
      <c r="IK67" s="884"/>
      <c r="IL67" s="884"/>
      <c r="IM67" s="884"/>
      <c r="IN67" s="884"/>
      <c r="IO67" s="884"/>
      <c r="IP67" s="884"/>
      <c r="IQ67" s="884"/>
      <c r="IR67" s="884"/>
      <c r="IS67" s="884"/>
      <c r="IT67" s="884"/>
      <c r="IU67" s="884"/>
      <c r="IV67" s="884"/>
    </row>
    <row r="68" spans="1:256" ht="20.100000000000001" customHeight="1">
      <c r="A68" s="884"/>
      <c r="B68" s="884"/>
      <c r="C68" s="884"/>
      <c r="D68" s="903"/>
      <c r="E68" s="884"/>
      <c r="F68" s="884"/>
      <c r="G68" s="884"/>
      <c r="H68" s="907"/>
      <c r="I68" s="884"/>
      <c r="J68" s="906"/>
      <c r="K68" s="884"/>
      <c r="L68" s="903"/>
      <c r="M68" s="884"/>
      <c r="N68" s="884"/>
      <c r="O68" s="884"/>
      <c r="P68" s="884"/>
      <c r="Q68" s="884"/>
      <c r="R68" s="884"/>
      <c r="S68" s="884"/>
      <c r="T68" s="884"/>
      <c r="U68" s="884"/>
      <c r="V68" s="884"/>
      <c r="W68" s="884"/>
      <c r="X68" s="884"/>
      <c r="Y68" s="884"/>
      <c r="Z68" s="884"/>
      <c r="AA68" s="884"/>
      <c r="AB68" s="884"/>
      <c r="AC68" s="884"/>
      <c r="AD68" s="884"/>
      <c r="AE68" s="884"/>
      <c r="AF68" s="884"/>
      <c r="AG68" s="884"/>
      <c r="AH68" s="884"/>
      <c r="AI68" s="884"/>
      <c r="AJ68" s="884"/>
      <c r="AK68" s="884"/>
      <c r="AL68" s="884"/>
      <c r="AM68" s="884"/>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4"/>
      <c r="BJ68" s="884"/>
      <c r="BK68" s="884"/>
      <c r="BL68" s="884"/>
      <c r="BM68" s="884"/>
      <c r="BN68" s="884"/>
      <c r="BO68" s="884"/>
      <c r="BP68" s="884"/>
      <c r="BQ68" s="884"/>
      <c r="BR68" s="884"/>
      <c r="BS68" s="884"/>
      <c r="BT68" s="884"/>
      <c r="BU68" s="884"/>
      <c r="BV68" s="884"/>
      <c r="BW68" s="884"/>
      <c r="BX68" s="884"/>
      <c r="BY68" s="884"/>
      <c r="BZ68" s="884"/>
      <c r="CA68" s="884"/>
      <c r="CB68" s="884"/>
      <c r="CC68" s="884"/>
      <c r="CD68" s="884"/>
      <c r="CE68" s="884"/>
      <c r="CF68" s="884"/>
      <c r="CG68" s="884"/>
      <c r="CH68" s="884"/>
      <c r="CI68" s="884"/>
      <c r="CJ68" s="884"/>
      <c r="CK68" s="884"/>
      <c r="CL68" s="884"/>
      <c r="CM68" s="884"/>
      <c r="CN68" s="884"/>
      <c r="CO68" s="884"/>
      <c r="CP68" s="884"/>
      <c r="CQ68" s="884"/>
      <c r="CR68" s="884"/>
      <c r="CS68" s="884"/>
      <c r="CT68" s="884"/>
      <c r="CU68" s="884"/>
      <c r="CV68" s="884"/>
      <c r="CW68" s="884"/>
      <c r="CX68" s="884"/>
      <c r="CY68" s="884"/>
      <c r="CZ68" s="884"/>
      <c r="DA68" s="884"/>
      <c r="DB68" s="884"/>
      <c r="DC68" s="884"/>
      <c r="DD68" s="884"/>
      <c r="DE68" s="884"/>
      <c r="DF68" s="884"/>
      <c r="DG68" s="884"/>
      <c r="DH68" s="884"/>
      <c r="DI68" s="884"/>
      <c r="DJ68" s="884"/>
      <c r="DK68" s="884"/>
      <c r="DL68" s="884"/>
      <c r="DM68" s="884"/>
      <c r="DN68" s="884"/>
      <c r="DO68" s="884"/>
      <c r="DP68" s="884"/>
      <c r="DQ68" s="884"/>
      <c r="DR68" s="884"/>
      <c r="DS68" s="884"/>
      <c r="DT68" s="884"/>
      <c r="DU68" s="884"/>
      <c r="DV68" s="884"/>
      <c r="DW68" s="884"/>
      <c r="DX68" s="884"/>
      <c r="DY68" s="884"/>
      <c r="DZ68" s="884"/>
      <c r="EA68" s="884"/>
      <c r="EB68" s="884"/>
      <c r="EC68" s="884"/>
      <c r="ED68" s="884"/>
      <c r="EE68" s="884"/>
      <c r="EF68" s="884"/>
      <c r="EG68" s="884"/>
      <c r="EH68" s="884"/>
      <c r="EI68" s="884"/>
      <c r="EJ68" s="884"/>
      <c r="EK68" s="884"/>
      <c r="EL68" s="884"/>
      <c r="EM68" s="884"/>
      <c r="EN68" s="884"/>
      <c r="EO68" s="884"/>
      <c r="EP68" s="884"/>
      <c r="EQ68" s="884"/>
      <c r="ER68" s="884"/>
      <c r="ES68" s="884"/>
      <c r="ET68" s="884"/>
      <c r="EU68" s="884"/>
      <c r="EV68" s="884"/>
      <c r="EW68" s="884"/>
      <c r="EX68" s="884"/>
      <c r="EY68" s="884"/>
      <c r="EZ68" s="884"/>
      <c r="FA68" s="884"/>
      <c r="FB68" s="884"/>
      <c r="FC68" s="884"/>
      <c r="FD68" s="884"/>
      <c r="FE68" s="884"/>
      <c r="FF68" s="884"/>
      <c r="FG68" s="884"/>
      <c r="FH68" s="884"/>
      <c r="FI68" s="884"/>
      <c r="FJ68" s="884"/>
      <c r="FK68" s="884"/>
      <c r="FL68" s="884"/>
      <c r="FM68" s="884"/>
      <c r="FN68" s="884"/>
      <c r="FO68" s="884"/>
      <c r="FP68" s="884"/>
      <c r="FQ68" s="884"/>
      <c r="FR68" s="884"/>
      <c r="FS68" s="884"/>
      <c r="FT68" s="884"/>
      <c r="FU68" s="884"/>
      <c r="FV68" s="884"/>
      <c r="FW68" s="884"/>
      <c r="FX68" s="884"/>
      <c r="FY68" s="884"/>
      <c r="FZ68" s="884"/>
      <c r="GA68" s="884"/>
      <c r="GB68" s="884"/>
      <c r="GC68" s="884"/>
      <c r="GD68" s="884"/>
      <c r="GE68" s="884"/>
      <c r="GF68" s="884"/>
      <c r="GG68" s="884"/>
      <c r="GH68" s="884"/>
      <c r="GI68" s="884"/>
      <c r="GJ68" s="884"/>
      <c r="GK68" s="884"/>
      <c r="GL68" s="884"/>
      <c r="GM68" s="884"/>
      <c r="GN68" s="884"/>
      <c r="GO68" s="884"/>
      <c r="GP68" s="884"/>
      <c r="GQ68" s="884"/>
      <c r="GR68" s="884"/>
      <c r="GS68" s="884"/>
      <c r="GT68" s="884"/>
      <c r="GU68" s="884"/>
      <c r="GV68" s="884"/>
      <c r="GW68" s="884"/>
      <c r="GX68" s="884"/>
      <c r="GY68" s="884"/>
      <c r="GZ68" s="884"/>
      <c r="HA68" s="884"/>
      <c r="HB68" s="884"/>
      <c r="HC68" s="884"/>
      <c r="HD68" s="884"/>
      <c r="HE68" s="884"/>
      <c r="HF68" s="884"/>
      <c r="HG68" s="884"/>
      <c r="HH68" s="884"/>
      <c r="HI68" s="884"/>
      <c r="HJ68" s="884"/>
      <c r="HK68" s="884"/>
      <c r="HL68" s="884"/>
      <c r="HM68" s="884"/>
      <c r="HN68" s="884"/>
      <c r="HO68" s="884"/>
      <c r="HP68" s="884"/>
      <c r="HQ68" s="884"/>
      <c r="HR68" s="884"/>
      <c r="HS68" s="884"/>
      <c r="HT68" s="884"/>
      <c r="HU68" s="884"/>
      <c r="HV68" s="884"/>
      <c r="HW68" s="884"/>
      <c r="HX68" s="884"/>
      <c r="HY68" s="884"/>
      <c r="HZ68" s="884"/>
      <c r="IA68" s="884"/>
      <c r="IB68" s="884"/>
      <c r="IC68" s="884"/>
      <c r="ID68" s="884"/>
      <c r="IE68" s="884"/>
      <c r="IF68" s="884"/>
      <c r="IG68" s="884"/>
      <c r="IH68" s="884"/>
      <c r="II68" s="884"/>
      <c r="IJ68" s="884"/>
      <c r="IK68" s="884"/>
      <c r="IL68" s="884"/>
      <c r="IM68" s="884"/>
      <c r="IN68" s="884"/>
      <c r="IO68" s="884"/>
      <c r="IP68" s="884"/>
      <c r="IQ68" s="884"/>
      <c r="IR68" s="884"/>
      <c r="IS68" s="884"/>
      <c r="IT68" s="884"/>
      <c r="IU68" s="884"/>
      <c r="IV68" s="884"/>
    </row>
    <row r="69" spans="1:256" ht="20.100000000000001" customHeight="1">
      <c r="A69" s="884"/>
      <c r="B69" s="884"/>
      <c r="C69" s="884"/>
      <c r="D69" s="903"/>
      <c r="E69" s="884"/>
      <c r="F69" s="884"/>
      <c r="G69" s="884"/>
      <c r="H69" s="905"/>
      <c r="I69" s="884"/>
      <c r="J69" s="906"/>
      <c r="K69" s="884"/>
      <c r="L69" s="903"/>
      <c r="M69" s="884"/>
      <c r="N69" s="884"/>
      <c r="O69" s="897"/>
      <c r="P69" s="897"/>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884"/>
      <c r="BV69" s="884"/>
      <c r="BW69" s="884"/>
      <c r="BX69" s="884"/>
      <c r="BY69" s="884"/>
      <c r="BZ69" s="884"/>
      <c r="CA69" s="884"/>
      <c r="CB69" s="884"/>
      <c r="CC69" s="884"/>
      <c r="CD69" s="884"/>
      <c r="CE69" s="884"/>
      <c r="CF69" s="884"/>
      <c r="CG69" s="884"/>
      <c r="CH69" s="884"/>
      <c r="CI69" s="884"/>
      <c r="CJ69" s="884"/>
      <c r="CK69" s="884"/>
      <c r="CL69" s="884"/>
      <c r="CM69" s="884"/>
      <c r="CN69" s="884"/>
      <c r="CO69" s="884"/>
      <c r="CP69" s="884"/>
      <c r="CQ69" s="884"/>
      <c r="CR69" s="884"/>
      <c r="CS69" s="884"/>
      <c r="CT69" s="884"/>
      <c r="CU69" s="884"/>
      <c r="CV69" s="884"/>
      <c r="CW69" s="884"/>
      <c r="CX69" s="884"/>
      <c r="CY69" s="884"/>
      <c r="CZ69" s="884"/>
      <c r="DA69" s="884"/>
      <c r="DB69" s="884"/>
      <c r="DC69" s="884"/>
      <c r="DD69" s="884"/>
      <c r="DE69" s="884"/>
      <c r="DF69" s="884"/>
      <c r="DG69" s="884"/>
      <c r="DH69" s="884"/>
      <c r="DI69" s="884"/>
      <c r="DJ69" s="884"/>
      <c r="DK69" s="884"/>
      <c r="DL69" s="884"/>
      <c r="DM69" s="884"/>
      <c r="DN69" s="884"/>
      <c r="DO69" s="884"/>
      <c r="DP69" s="884"/>
      <c r="DQ69" s="884"/>
      <c r="DR69" s="884"/>
      <c r="DS69" s="884"/>
      <c r="DT69" s="884"/>
      <c r="DU69" s="884"/>
      <c r="DV69" s="884"/>
      <c r="DW69" s="884"/>
      <c r="DX69" s="884"/>
      <c r="DY69" s="884"/>
      <c r="DZ69" s="884"/>
      <c r="EA69" s="884"/>
      <c r="EB69" s="884"/>
      <c r="EC69" s="884"/>
      <c r="ED69" s="884"/>
      <c r="EE69" s="884"/>
      <c r="EF69" s="884"/>
      <c r="EG69" s="884"/>
      <c r="EH69" s="884"/>
      <c r="EI69" s="884"/>
      <c r="EJ69" s="884"/>
      <c r="EK69" s="884"/>
      <c r="EL69" s="884"/>
      <c r="EM69" s="884"/>
      <c r="EN69" s="884"/>
      <c r="EO69" s="884"/>
      <c r="EP69" s="884"/>
      <c r="EQ69" s="884"/>
      <c r="ER69" s="884"/>
      <c r="ES69" s="884"/>
      <c r="ET69" s="884"/>
      <c r="EU69" s="884"/>
      <c r="EV69" s="884"/>
      <c r="EW69" s="884"/>
      <c r="EX69" s="884"/>
      <c r="EY69" s="884"/>
      <c r="EZ69" s="884"/>
      <c r="FA69" s="884"/>
      <c r="FB69" s="884"/>
      <c r="FC69" s="884"/>
      <c r="FD69" s="884"/>
      <c r="FE69" s="884"/>
      <c r="FF69" s="884"/>
      <c r="FG69" s="884"/>
      <c r="FH69" s="884"/>
      <c r="FI69" s="884"/>
      <c r="FJ69" s="884"/>
      <c r="FK69" s="884"/>
      <c r="FL69" s="884"/>
      <c r="FM69" s="884"/>
      <c r="FN69" s="884"/>
      <c r="FO69" s="884"/>
      <c r="FP69" s="884"/>
      <c r="FQ69" s="884"/>
      <c r="FR69" s="884"/>
      <c r="FS69" s="884"/>
      <c r="FT69" s="884"/>
      <c r="FU69" s="884"/>
      <c r="FV69" s="884"/>
      <c r="FW69" s="884"/>
      <c r="FX69" s="884"/>
      <c r="FY69" s="884"/>
      <c r="FZ69" s="884"/>
      <c r="GA69" s="884"/>
      <c r="GB69" s="884"/>
      <c r="GC69" s="884"/>
      <c r="GD69" s="884"/>
      <c r="GE69" s="884"/>
      <c r="GF69" s="884"/>
      <c r="GG69" s="884"/>
      <c r="GH69" s="884"/>
      <c r="GI69" s="884"/>
      <c r="GJ69" s="884"/>
      <c r="GK69" s="884"/>
      <c r="GL69" s="884"/>
      <c r="GM69" s="884"/>
      <c r="GN69" s="884"/>
      <c r="GO69" s="884"/>
      <c r="GP69" s="884"/>
      <c r="GQ69" s="884"/>
      <c r="GR69" s="884"/>
      <c r="GS69" s="884"/>
      <c r="GT69" s="884"/>
      <c r="GU69" s="884"/>
      <c r="GV69" s="884"/>
      <c r="GW69" s="884"/>
      <c r="GX69" s="884"/>
      <c r="GY69" s="884"/>
      <c r="GZ69" s="884"/>
      <c r="HA69" s="884"/>
      <c r="HB69" s="884"/>
      <c r="HC69" s="884"/>
      <c r="HD69" s="884"/>
      <c r="HE69" s="884"/>
      <c r="HF69" s="884"/>
      <c r="HG69" s="884"/>
      <c r="HH69" s="884"/>
      <c r="HI69" s="884"/>
      <c r="HJ69" s="884"/>
      <c r="HK69" s="884"/>
      <c r="HL69" s="884"/>
      <c r="HM69" s="884"/>
      <c r="HN69" s="884"/>
      <c r="HO69" s="884"/>
      <c r="HP69" s="884"/>
      <c r="HQ69" s="884"/>
      <c r="HR69" s="884"/>
      <c r="HS69" s="884"/>
      <c r="HT69" s="884"/>
      <c r="HU69" s="884"/>
      <c r="HV69" s="884"/>
      <c r="HW69" s="884"/>
      <c r="HX69" s="884"/>
      <c r="HY69" s="884"/>
      <c r="HZ69" s="884"/>
      <c r="IA69" s="884"/>
      <c r="IB69" s="884"/>
      <c r="IC69" s="884"/>
      <c r="ID69" s="884"/>
      <c r="IE69" s="884"/>
      <c r="IF69" s="884"/>
      <c r="IG69" s="884"/>
      <c r="IH69" s="884"/>
      <c r="II69" s="884"/>
      <c r="IJ69" s="884"/>
      <c r="IK69" s="884"/>
      <c r="IL69" s="884"/>
      <c r="IM69" s="884"/>
      <c r="IN69" s="884"/>
      <c r="IO69" s="884"/>
      <c r="IP69" s="884"/>
      <c r="IQ69" s="884"/>
      <c r="IR69" s="884"/>
      <c r="IS69" s="884"/>
      <c r="IT69" s="884"/>
      <c r="IU69" s="884"/>
      <c r="IV69" s="884"/>
    </row>
    <row r="70" spans="1:256" ht="20.100000000000001" customHeight="1">
      <c r="A70" s="884"/>
      <c r="B70" s="884"/>
      <c r="C70" s="884"/>
      <c r="D70" s="903"/>
      <c r="E70" s="884"/>
      <c r="F70" s="884"/>
      <c r="G70" s="884"/>
      <c r="H70" s="905"/>
      <c r="I70" s="884"/>
      <c r="J70" s="906"/>
      <c r="K70" s="884"/>
      <c r="L70" s="903"/>
      <c r="M70" s="884"/>
      <c r="N70" s="884"/>
      <c r="O70" s="884"/>
      <c r="P70" s="884"/>
      <c r="Q70" s="884"/>
      <c r="R70" s="884"/>
      <c r="S70" s="884"/>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4"/>
      <c r="BJ70" s="884"/>
      <c r="BK70" s="884"/>
      <c r="BL70" s="884"/>
      <c r="BM70" s="884"/>
      <c r="BN70" s="884"/>
      <c r="BO70" s="884"/>
      <c r="BP70" s="884"/>
      <c r="BQ70" s="884"/>
      <c r="BR70" s="884"/>
      <c r="BS70" s="884"/>
      <c r="BT70" s="884"/>
      <c r="BU70" s="884"/>
      <c r="BV70" s="884"/>
      <c r="BW70" s="884"/>
      <c r="BX70" s="884"/>
      <c r="BY70" s="884"/>
      <c r="BZ70" s="884"/>
      <c r="CA70" s="884"/>
      <c r="CB70" s="884"/>
      <c r="CC70" s="884"/>
      <c r="CD70" s="884"/>
      <c r="CE70" s="884"/>
      <c r="CF70" s="884"/>
      <c r="CG70" s="884"/>
      <c r="CH70" s="884"/>
      <c r="CI70" s="884"/>
      <c r="CJ70" s="884"/>
      <c r="CK70" s="884"/>
      <c r="CL70" s="884"/>
      <c r="CM70" s="884"/>
      <c r="CN70" s="884"/>
      <c r="CO70" s="884"/>
      <c r="CP70" s="884"/>
      <c r="CQ70" s="884"/>
      <c r="CR70" s="884"/>
      <c r="CS70" s="884"/>
      <c r="CT70" s="884"/>
      <c r="CU70" s="884"/>
      <c r="CV70" s="884"/>
      <c r="CW70" s="884"/>
      <c r="CX70" s="884"/>
      <c r="CY70" s="884"/>
      <c r="CZ70" s="884"/>
      <c r="DA70" s="884"/>
      <c r="DB70" s="884"/>
      <c r="DC70" s="884"/>
      <c r="DD70" s="884"/>
      <c r="DE70" s="884"/>
      <c r="DF70" s="884"/>
      <c r="DG70" s="884"/>
      <c r="DH70" s="884"/>
      <c r="DI70" s="884"/>
      <c r="DJ70" s="884"/>
      <c r="DK70" s="884"/>
      <c r="DL70" s="884"/>
      <c r="DM70" s="884"/>
      <c r="DN70" s="884"/>
      <c r="DO70" s="884"/>
      <c r="DP70" s="884"/>
      <c r="DQ70" s="884"/>
      <c r="DR70" s="884"/>
      <c r="DS70" s="884"/>
      <c r="DT70" s="884"/>
      <c r="DU70" s="884"/>
      <c r="DV70" s="884"/>
      <c r="DW70" s="884"/>
      <c r="DX70" s="884"/>
      <c r="DY70" s="884"/>
      <c r="DZ70" s="884"/>
      <c r="EA70" s="884"/>
      <c r="EB70" s="884"/>
      <c r="EC70" s="884"/>
      <c r="ED70" s="884"/>
      <c r="EE70" s="884"/>
      <c r="EF70" s="884"/>
      <c r="EG70" s="884"/>
      <c r="EH70" s="884"/>
      <c r="EI70" s="884"/>
      <c r="EJ70" s="884"/>
      <c r="EK70" s="884"/>
      <c r="EL70" s="884"/>
      <c r="EM70" s="884"/>
      <c r="EN70" s="884"/>
      <c r="EO70" s="884"/>
      <c r="EP70" s="884"/>
      <c r="EQ70" s="884"/>
      <c r="ER70" s="884"/>
      <c r="ES70" s="884"/>
      <c r="ET70" s="884"/>
      <c r="EU70" s="884"/>
      <c r="EV70" s="884"/>
      <c r="EW70" s="884"/>
      <c r="EX70" s="884"/>
      <c r="EY70" s="884"/>
      <c r="EZ70" s="884"/>
      <c r="FA70" s="884"/>
      <c r="FB70" s="884"/>
      <c r="FC70" s="884"/>
      <c r="FD70" s="884"/>
      <c r="FE70" s="884"/>
      <c r="FF70" s="884"/>
      <c r="FG70" s="884"/>
      <c r="FH70" s="884"/>
      <c r="FI70" s="884"/>
      <c r="FJ70" s="884"/>
      <c r="FK70" s="884"/>
      <c r="FL70" s="884"/>
      <c r="FM70" s="884"/>
      <c r="FN70" s="884"/>
      <c r="FO70" s="884"/>
      <c r="FP70" s="884"/>
      <c r="FQ70" s="884"/>
      <c r="FR70" s="884"/>
      <c r="FS70" s="884"/>
      <c r="FT70" s="884"/>
      <c r="FU70" s="884"/>
      <c r="FV70" s="884"/>
      <c r="FW70" s="884"/>
      <c r="FX70" s="884"/>
      <c r="FY70" s="884"/>
      <c r="FZ70" s="884"/>
      <c r="GA70" s="884"/>
      <c r="GB70" s="884"/>
      <c r="GC70" s="884"/>
      <c r="GD70" s="884"/>
      <c r="GE70" s="884"/>
      <c r="GF70" s="884"/>
      <c r="GG70" s="884"/>
      <c r="GH70" s="884"/>
      <c r="GI70" s="884"/>
      <c r="GJ70" s="884"/>
      <c r="GK70" s="884"/>
      <c r="GL70" s="884"/>
      <c r="GM70" s="884"/>
      <c r="GN70" s="884"/>
      <c r="GO70" s="884"/>
      <c r="GP70" s="884"/>
      <c r="GQ70" s="884"/>
      <c r="GR70" s="884"/>
      <c r="GS70" s="884"/>
      <c r="GT70" s="884"/>
      <c r="GU70" s="884"/>
      <c r="GV70" s="884"/>
      <c r="GW70" s="884"/>
      <c r="GX70" s="884"/>
      <c r="GY70" s="884"/>
      <c r="GZ70" s="884"/>
      <c r="HA70" s="884"/>
      <c r="HB70" s="884"/>
      <c r="HC70" s="884"/>
      <c r="HD70" s="884"/>
      <c r="HE70" s="884"/>
      <c r="HF70" s="884"/>
      <c r="HG70" s="884"/>
      <c r="HH70" s="884"/>
      <c r="HI70" s="884"/>
      <c r="HJ70" s="884"/>
      <c r="HK70" s="884"/>
      <c r="HL70" s="884"/>
      <c r="HM70" s="884"/>
      <c r="HN70" s="884"/>
      <c r="HO70" s="884"/>
      <c r="HP70" s="884"/>
      <c r="HQ70" s="884"/>
      <c r="HR70" s="884"/>
      <c r="HS70" s="884"/>
      <c r="HT70" s="884"/>
      <c r="HU70" s="884"/>
      <c r="HV70" s="884"/>
      <c r="HW70" s="884"/>
      <c r="HX70" s="884"/>
      <c r="HY70" s="884"/>
      <c r="HZ70" s="884"/>
      <c r="IA70" s="884"/>
      <c r="IB70" s="884"/>
      <c r="IC70" s="884"/>
      <c r="ID70" s="884"/>
      <c r="IE70" s="884"/>
      <c r="IF70" s="884"/>
      <c r="IG70" s="884"/>
      <c r="IH70" s="884"/>
      <c r="II70" s="884"/>
      <c r="IJ70" s="884"/>
      <c r="IK70" s="884"/>
      <c r="IL70" s="884"/>
      <c r="IM70" s="884"/>
      <c r="IN70" s="884"/>
      <c r="IO70" s="884"/>
      <c r="IP70" s="884"/>
      <c r="IQ70" s="884"/>
      <c r="IR70" s="884"/>
      <c r="IS70" s="884"/>
      <c r="IT70" s="884"/>
      <c r="IU70" s="884"/>
      <c r="IV70" s="884"/>
    </row>
    <row r="71" spans="1:256" ht="20.100000000000001" customHeight="1">
      <c r="A71" s="884"/>
      <c r="B71" s="884"/>
      <c r="C71" s="884"/>
      <c r="D71" s="903"/>
      <c r="E71" s="884"/>
      <c r="F71" s="884"/>
      <c r="G71" s="884"/>
      <c r="H71" s="908"/>
      <c r="I71" s="884"/>
      <c r="J71" s="906"/>
      <c r="K71" s="884"/>
      <c r="L71" s="903"/>
      <c r="M71" s="884"/>
      <c r="N71" s="884"/>
      <c r="O71" s="897"/>
      <c r="P71" s="897"/>
      <c r="Q71" s="884"/>
      <c r="R71" s="884"/>
      <c r="S71" s="884"/>
      <c r="T71" s="884"/>
      <c r="U71" s="884"/>
      <c r="V71" s="884"/>
      <c r="W71" s="884"/>
      <c r="X71" s="884"/>
      <c r="Y71" s="884"/>
      <c r="Z71" s="884"/>
      <c r="AA71" s="884"/>
      <c r="AB71" s="884"/>
      <c r="AC71" s="884"/>
      <c r="AD71" s="884"/>
      <c r="AE71" s="884"/>
      <c r="AF71" s="884"/>
      <c r="AG71" s="884"/>
      <c r="AH71" s="884"/>
      <c r="AI71" s="884"/>
      <c r="AJ71" s="884"/>
      <c r="AK71" s="884"/>
      <c r="AL71" s="884"/>
      <c r="AM71" s="884"/>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4"/>
      <c r="BJ71" s="884"/>
      <c r="BK71" s="884"/>
      <c r="BL71" s="884"/>
      <c r="BM71" s="884"/>
      <c r="BN71" s="884"/>
      <c r="BO71" s="884"/>
      <c r="BP71" s="884"/>
      <c r="BQ71" s="884"/>
      <c r="BR71" s="884"/>
      <c r="BS71" s="884"/>
      <c r="BT71" s="884"/>
      <c r="BU71" s="884"/>
      <c r="BV71" s="884"/>
      <c r="BW71" s="884"/>
      <c r="BX71" s="884"/>
      <c r="BY71" s="884"/>
      <c r="BZ71" s="884"/>
      <c r="CA71" s="884"/>
      <c r="CB71" s="884"/>
      <c r="CC71" s="884"/>
      <c r="CD71" s="884"/>
      <c r="CE71" s="884"/>
      <c r="CF71" s="884"/>
      <c r="CG71" s="884"/>
      <c r="CH71" s="884"/>
      <c r="CI71" s="884"/>
      <c r="CJ71" s="884"/>
      <c r="CK71" s="884"/>
      <c r="CL71" s="884"/>
      <c r="CM71" s="884"/>
      <c r="CN71" s="884"/>
      <c r="CO71" s="884"/>
      <c r="CP71" s="884"/>
      <c r="CQ71" s="884"/>
      <c r="CR71" s="884"/>
      <c r="CS71" s="884"/>
      <c r="CT71" s="884"/>
      <c r="CU71" s="884"/>
      <c r="CV71" s="884"/>
      <c r="CW71" s="884"/>
      <c r="CX71" s="884"/>
      <c r="CY71" s="884"/>
      <c r="CZ71" s="884"/>
      <c r="DA71" s="884"/>
      <c r="DB71" s="884"/>
      <c r="DC71" s="884"/>
      <c r="DD71" s="884"/>
      <c r="DE71" s="884"/>
      <c r="DF71" s="884"/>
      <c r="DG71" s="884"/>
      <c r="DH71" s="884"/>
      <c r="DI71" s="884"/>
      <c r="DJ71" s="884"/>
      <c r="DK71" s="884"/>
      <c r="DL71" s="884"/>
      <c r="DM71" s="884"/>
      <c r="DN71" s="884"/>
      <c r="DO71" s="884"/>
      <c r="DP71" s="884"/>
      <c r="DQ71" s="884"/>
      <c r="DR71" s="884"/>
      <c r="DS71" s="884"/>
      <c r="DT71" s="884"/>
      <c r="DU71" s="884"/>
      <c r="DV71" s="884"/>
      <c r="DW71" s="884"/>
      <c r="DX71" s="884"/>
      <c r="DY71" s="884"/>
      <c r="DZ71" s="884"/>
      <c r="EA71" s="884"/>
      <c r="EB71" s="884"/>
      <c r="EC71" s="884"/>
      <c r="ED71" s="884"/>
      <c r="EE71" s="884"/>
      <c r="EF71" s="884"/>
      <c r="EG71" s="884"/>
      <c r="EH71" s="884"/>
      <c r="EI71" s="884"/>
      <c r="EJ71" s="884"/>
      <c r="EK71" s="884"/>
      <c r="EL71" s="884"/>
      <c r="EM71" s="884"/>
      <c r="EN71" s="884"/>
      <c r="EO71" s="884"/>
      <c r="EP71" s="884"/>
      <c r="EQ71" s="884"/>
      <c r="ER71" s="884"/>
      <c r="ES71" s="884"/>
      <c r="ET71" s="884"/>
      <c r="EU71" s="884"/>
      <c r="EV71" s="884"/>
      <c r="EW71" s="884"/>
      <c r="EX71" s="884"/>
      <c r="EY71" s="884"/>
      <c r="EZ71" s="884"/>
      <c r="FA71" s="884"/>
      <c r="FB71" s="884"/>
      <c r="FC71" s="884"/>
      <c r="FD71" s="884"/>
      <c r="FE71" s="884"/>
      <c r="FF71" s="884"/>
      <c r="FG71" s="884"/>
      <c r="FH71" s="884"/>
      <c r="FI71" s="884"/>
      <c r="FJ71" s="884"/>
      <c r="FK71" s="884"/>
      <c r="FL71" s="884"/>
      <c r="FM71" s="884"/>
      <c r="FN71" s="884"/>
      <c r="FO71" s="884"/>
      <c r="FP71" s="884"/>
      <c r="FQ71" s="884"/>
      <c r="FR71" s="884"/>
      <c r="FS71" s="884"/>
      <c r="FT71" s="884"/>
      <c r="FU71" s="884"/>
      <c r="FV71" s="884"/>
      <c r="FW71" s="884"/>
      <c r="FX71" s="884"/>
      <c r="FY71" s="884"/>
      <c r="FZ71" s="884"/>
      <c r="GA71" s="884"/>
      <c r="GB71" s="884"/>
      <c r="GC71" s="884"/>
      <c r="GD71" s="884"/>
      <c r="GE71" s="884"/>
      <c r="GF71" s="884"/>
      <c r="GG71" s="884"/>
      <c r="GH71" s="884"/>
      <c r="GI71" s="884"/>
      <c r="GJ71" s="884"/>
      <c r="GK71" s="884"/>
      <c r="GL71" s="884"/>
      <c r="GM71" s="884"/>
      <c r="GN71" s="884"/>
      <c r="GO71" s="884"/>
      <c r="GP71" s="884"/>
      <c r="GQ71" s="884"/>
      <c r="GR71" s="884"/>
      <c r="GS71" s="884"/>
      <c r="GT71" s="884"/>
      <c r="GU71" s="884"/>
      <c r="GV71" s="884"/>
      <c r="GW71" s="884"/>
      <c r="GX71" s="884"/>
      <c r="GY71" s="884"/>
      <c r="GZ71" s="884"/>
      <c r="HA71" s="884"/>
      <c r="HB71" s="884"/>
      <c r="HC71" s="884"/>
      <c r="HD71" s="884"/>
      <c r="HE71" s="884"/>
      <c r="HF71" s="884"/>
      <c r="HG71" s="884"/>
      <c r="HH71" s="884"/>
      <c r="HI71" s="884"/>
      <c r="HJ71" s="884"/>
      <c r="HK71" s="884"/>
      <c r="HL71" s="884"/>
      <c r="HM71" s="884"/>
      <c r="HN71" s="884"/>
      <c r="HO71" s="884"/>
      <c r="HP71" s="884"/>
      <c r="HQ71" s="884"/>
      <c r="HR71" s="884"/>
      <c r="HS71" s="884"/>
      <c r="HT71" s="884"/>
      <c r="HU71" s="884"/>
      <c r="HV71" s="884"/>
      <c r="HW71" s="884"/>
      <c r="HX71" s="884"/>
      <c r="HY71" s="884"/>
      <c r="HZ71" s="884"/>
      <c r="IA71" s="884"/>
      <c r="IB71" s="884"/>
      <c r="IC71" s="884"/>
      <c r="ID71" s="884"/>
      <c r="IE71" s="884"/>
      <c r="IF71" s="884"/>
      <c r="IG71" s="884"/>
      <c r="IH71" s="884"/>
      <c r="II71" s="884"/>
      <c r="IJ71" s="884"/>
      <c r="IK71" s="884"/>
      <c r="IL71" s="884"/>
      <c r="IM71" s="884"/>
      <c r="IN71" s="884"/>
      <c r="IO71" s="884"/>
      <c r="IP71" s="884"/>
      <c r="IQ71" s="884"/>
      <c r="IR71" s="884"/>
      <c r="IS71" s="884"/>
      <c r="IT71" s="884"/>
      <c r="IU71" s="884"/>
      <c r="IV71" s="884"/>
    </row>
    <row r="72" spans="1:256" ht="18">
      <c r="A72" s="1406"/>
      <c r="B72" s="884"/>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84"/>
      <c r="AF72" s="884"/>
      <c r="AG72" s="884"/>
      <c r="AH72" s="884"/>
      <c r="AI72" s="884"/>
      <c r="AJ72" s="884"/>
      <c r="AK72" s="884"/>
      <c r="AL72" s="884"/>
      <c r="AM72" s="884"/>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4"/>
      <c r="BJ72" s="884"/>
      <c r="BK72" s="884"/>
      <c r="BL72" s="884"/>
      <c r="BM72" s="884"/>
      <c r="BN72" s="884"/>
      <c r="BO72" s="884"/>
      <c r="BP72" s="884"/>
      <c r="BQ72" s="884"/>
      <c r="BR72" s="884"/>
      <c r="BS72" s="884"/>
      <c r="BT72" s="884"/>
      <c r="BU72" s="884"/>
      <c r="BV72" s="884"/>
      <c r="BW72" s="884"/>
      <c r="BX72" s="884"/>
      <c r="BY72" s="884"/>
      <c r="BZ72" s="884"/>
      <c r="CA72" s="884"/>
      <c r="CB72" s="884"/>
      <c r="CC72" s="884"/>
      <c r="CD72" s="884"/>
      <c r="CE72" s="884"/>
      <c r="CF72" s="884"/>
      <c r="CG72" s="884"/>
      <c r="CH72" s="884"/>
      <c r="CI72" s="884"/>
      <c r="CJ72" s="884"/>
      <c r="CK72" s="884"/>
      <c r="CL72" s="884"/>
      <c r="CM72" s="884"/>
      <c r="CN72" s="884"/>
      <c r="CO72" s="884"/>
      <c r="CP72" s="884"/>
      <c r="CQ72" s="884"/>
      <c r="CR72" s="884"/>
      <c r="CS72" s="884"/>
      <c r="CT72" s="884"/>
      <c r="CU72" s="884"/>
      <c r="CV72" s="884"/>
      <c r="CW72" s="884"/>
      <c r="CX72" s="884"/>
      <c r="CY72" s="884"/>
      <c r="CZ72" s="884"/>
      <c r="DA72" s="884"/>
      <c r="DB72" s="884"/>
      <c r="DC72" s="884"/>
      <c r="DD72" s="884"/>
      <c r="DE72" s="884"/>
      <c r="DF72" s="884"/>
      <c r="DG72" s="884"/>
      <c r="DH72" s="884"/>
      <c r="DI72" s="884"/>
      <c r="DJ72" s="884"/>
      <c r="DK72" s="884"/>
      <c r="DL72" s="884"/>
      <c r="DM72" s="884"/>
      <c r="DN72" s="884"/>
      <c r="DO72" s="884"/>
      <c r="DP72" s="884"/>
      <c r="DQ72" s="884"/>
      <c r="DR72" s="884"/>
      <c r="DS72" s="884"/>
      <c r="DT72" s="884"/>
      <c r="DU72" s="884"/>
      <c r="DV72" s="884"/>
      <c r="DW72" s="884"/>
      <c r="DX72" s="884"/>
      <c r="DY72" s="884"/>
      <c r="DZ72" s="884"/>
      <c r="EA72" s="884"/>
      <c r="EB72" s="884"/>
      <c r="EC72" s="884"/>
      <c r="ED72" s="884"/>
      <c r="EE72" s="884"/>
      <c r="EF72" s="884"/>
      <c r="EG72" s="884"/>
      <c r="EH72" s="884"/>
      <c r="EI72" s="884"/>
      <c r="EJ72" s="884"/>
      <c r="EK72" s="884"/>
      <c r="EL72" s="884"/>
      <c r="EM72" s="884"/>
      <c r="EN72" s="884"/>
      <c r="EO72" s="884"/>
      <c r="EP72" s="884"/>
      <c r="EQ72" s="884"/>
      <c r="ER72" s="884"/>
      <c r="ES72" s="884"/>
      <c r="ET72" s="884"/>
      <c r="EU72" s="884"/>
      <c r="EV72" s="884"/>
      <c r="EW72" s="884"/>
      <c r="EX72" s="884"/>
      <c r="EY72" s="884"/>
      <c r="EZ72" s="884"/>
      <c r="FA72" s="884"/>
      <c r="FB72" s="884"/>
      <c r="FC72" s="884"/>
      <c r="FD72" s="884"/>
      <c r="FE72" s="884"/>
      <c r="FF72" s="884"/>
      <c r="FG72" s="884"/>
      <c r="FH72" s="884"/>
      <c r="FI72" s="884"/>
      <c r="FJ72" s="884"/>
      <c r="FK72" s="884"/>
      <c r="FL72" s="884"/>
      <c r="FM72" s="884"/>
      <c r="FN72" s="884"/>
      <c r="FO72" s="884"/>
      <c r="FP72" s="884"/>
      <c r="FQ72" s="884"/>
      <c r="FR72" s="884"/>
      <c r="FS72" s="884"/>
      <c r="FT72" s="884"/>
      <c r="FU72" s="884"/>
      <c r="FV72" s="884"/>
      <c r="FW72" s="884"/>
      <c r="FX72" s="884"/>
      <c r="FY72" s="884"/>
      <c r="FZ72" s="884"/>
      <c r="GA72" s="884"/>
      <c r="GB72" s="884"/>
      <c r="GC72" s="884"/>
      <c r="GD72" s="884"/>
      <c r="GE72" s="884"/>
      <c r="GF72" s="884"/>
      <c r="GG72" s="884"/>
      <c r="GH72" s="884"/>
      <c r="GI72" s="884"/>
      <c r="GJ72" s="884"/>
      <c r="GK72" s="884"/>
      <c r="GL72" s="884"/>
      <c r="GM72" s="884"/>
      <c r="GN72" s="884"/>
      <c r="GO72" s="884"/>
      <c r="GP72" s="884"/>
      <c r="GQ72" s="884"/>
      <c r="GR72" s="884"/>
      <c r="GS72" s="884"/>
      <c r="GT72" s="884"/>
      <c r="GU72" s="884"/>
      <c r="GV72" s="884"/>
      <c r="GW72" s="884"/>
      <c r="GX72" s="884"/>
      <c r="GY72" s="884"/>
      <c r="GZ72" s="884"/>
      <c r="HA72" s="884"/>
      <c r="HB72" s="884"/>
      <c r="HC72" s="884"/>
      <c r="HD72" s="884"/>
      <c r="HE72" s="884"/>
      <c r="HF72" s="884"/>
      <c r="HG72" s="884"/>
      <c r="HH72" s="884"/>
      <c r="HI72" s="884"/>
      <c r="HJ72" s="884"/>
      <c r="HK72" s="884"/>
      <c r="HL72" s="884"/>
      <c r="HM72" s="884"/>
      <c r="HN72" s="884"/>
      <c r="HO72" s="884"/>
      <c r="HP72" s="884"/>
      <c r="HQ72" s="884"/>
      <c r="HR72" s="884"/>
      <c r="HS72" s="884"/>
      <c r="HT72" s="884"/>
      <c r="HU72" s="884"/>
      <c r="HV72" s="884"/>
      <c r="HW72" s="884"/>
      <c r="HX72" s="884"/>
      <c r="HY72" s="884"/>
      <c r="HZ72" s="884"/>
      <c r="IA72" s="884"/>
      <c r="IB72" s="884"/>
      <c r="IC72" s="884"/>
      <c r="ID72" s="884"/>
      <c r="IE72" s="884"/>
      <c r="IF72" s="884"/>
      <c r="IG72" s="884"/>
      <c r="IH72" s="884"/>
      <c r="II72" s="884"/>
      <c r="IJ72" s="884"/>
      <c r="IK72" s="884"/>
      <c r="IL72" s="884"/>
      <c r="IM72" s="884"/>
      <c r="IN72" s="884"/>
      <c r="IO72" s="884"/>
      <c r="IP72" s="884"/>
      <c r="IQ72" s="884"/>
      <c r="IR72" s="884"/>
      <c r="IS72" s="884"/>
      <c r="IT72" s="884"/>
      <c r="IU72" s="884"/>
      <c r="IV72" s="884"/>
    </row>
    <row r="73" spans="1:256" ht="18">
      <c r="A73" s="909"/>
      <c r="B73" s="884"/>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84"/>
      <c r="AF73" s="884"/>
      <c r="AG73" s="884"/>
      <c r="AH73" s="884"/>
      <c r="AI73" s="884"/>
      <c r="AJ73" s="884"/>
      <c r="AK73" s="884"/>
      <c r="AL73" s="884"/>
      <c r="AM73" s="884"/>
      <c r="AN73" s="884"/>
      <c r="AO73" s="884"/>
      <c r="AP73" s="884"/>
      <c r="AQ73" s="884"/>
      <c r="AR73" s="884"/>
      <c r="AS73" s="884"/>
      <c r="AT73" s="884"/>
      <c r="AU73" s="884"/>
      <c r="AV73" s="884"/>
      <c r="AW73" s="884"/>
      <c r="AX73" s="884"/>
      <c r="AY73" s="884"/>
      <c r="AZ73" s="884"/>
      <c r="BA73" s="884"/>
      <c r="BB73" s="884"/>
      <c r="BC73" s="884"/>
      <c r="BD73" s="884"/>
      <c r="BE73" s="884"/>
      <c r="BF73" s="884"/>
      <c r="BG73" s="884"/>
      <c r="BH73" s="884"/>
      <c r="BI73" s="884"/>
      <c r="BJ73" s="884"/>
      <c r="BK73" s="884"/>
      <c r="BL73" s="884"/>
      <c r="BM73" s="884"/>
      <c r="BN73" s="884"/>
      <c r="BO73" s="884"/>
      <c r="BP73" s="884"/>
      <c r="BQ73" s="884"/>
      <c r="BR73" s="884"/>
      <c r="BS73" s="884"/>
      <c r="BT73" s="884"/>
      <c r="BU73" s="884"/>
      <c r="BV73" s="884"/>
      <c r="BW73" s="884"/>
      <c r="BX73" s="884"/>
      <c r="BY73" s="884"/>
      <c r="BZ73" s="884"/>
      <c r="CA73" s="884"/>
      <c r="CB73" s="884"/>
      <c r="CC73" s="884"/>
      <c r="CD73" s="884"/>
      <c r="CE73" s="884"/>
      <c r="CF73" s="884"/>
      <c r="CG73" s="884"/>
      <c r="CH73" s="884"/>
      <c r="CI73" s="884"/>
      <c r="CJ73" s="884"/>
      <c r="CK73" s="884"/>
      <c r="CL73" s="884"/>
      <c r="CM73" s="884"/>
      <c r="CN73" s="884"/>
      <c r="CO73" s="884"/>
      <c r="CP73" s="884"/>
      <c r="CQ73" s="884"/>
      <c r="CR73" s="884"/>
      <c r="CS73" s="884"/>
      <c r="CT73" s="884"/>
      <c r="CU73" s="884"/>
      <c r="CV73" s="884"/>
      <c r="CW73" s="884"/>
      <c r="CX73" s="884"/>
      <c r="CY73" s="884"/>
      <c r="CZ73" s="884"/>
      <c r="DA73" s="884"/>
      <c r="DB73" s="884"/>
      <c r="DC73" s="884"/>
      <c r="DD73" s="884"/>
      <c r="DE73" s="884"/>
      <c r="DF73" s="884"/>
      <c r="DG73" s="884"/>
      <c r="DH73" s="884"/>
      <c r="DI73" s="884"/>
      <c r="DJ73" s="884"/>
      <c r="DK73" s="884"/>
      <c r="DL73" s="884"/>
      <c r="DM73" s="884"/>
      <c r="DN73" s="884"/>
      <c r="DO73" s="884"/>
      <c r="DP73" s="884"/>
      <c r="DQ73" s="884"/>
      <c r="DR73" s="884"/>
      <c r="DS73" s="884"/>
      <c r="DT73" s="884"/>
      <c r="DU73" s="884"/>
      <c r="DV73" s="884"/>
      <c r="DW73" s="884"/>
      <c r="DX73" s="884"/>
      <c r="DY73" s="884"/>
      <c r="DZ73" s="884"/>
      <c r="EA73" s="884"/>
      <c r="EB73" s="884"/>
      <c r="EC73" s="884"/>
      <c r="ED73" s="884"/>
      <c r="EE73" s="884"/>
      <c r="EF73" s="884"/>
      <c r="EG73" s="884"/>
      <c r="EH73" s="884"/>
      <c r="EI73" s="884"/>
      <c r="EJ73" s="884"/>
      <c r="EK73" s="884"/>
      <c r="EL73" s="884"/>
      <c r="EM73" s="884"/>
      <c r="EN73" s="884"/>
      <c r="EO73" s="884"/>
      <c r="EP73" s="884"/>
      <c r="EQ73" s="884"/>
      <c r="ER73" s="884"/>
      <c r="ES73" s="884"/>
      <c r="ET73" s="884"/>
      <c r="EU73" s="884"/>
      <c r="EV73" s="884"/>
      <c r="EW73" s="884"/>
      <c r="EX73" s="884"/>
      <c r="EY73" s="884"/>
      <c r="EZ73" s="884"/>
      <c r="FA73" s="884"/>
      <c r="FB73" s="884"/>
      <c r="FC73" s="884"/>
      <c r="FD73" s="884"/>
      <c r="FE73" s="884"/>
      <c r="FF73" s="884"/>
      <c r="FG73" s="884"/>
      <c r="FH73" s="884"/>
      <c r="FI73" s="884"/>
      <c r="FJ73" s="884"/>
      <c r="FK73" s="884"/>
      <c r="FL73" s="884"/>
      <c r="FM73" s="884"/>
      <c r="FN73" s="884"/>
      <c r="FO73" s="884"/>
      <c r="FP73" s="884"/>
      <c r="FQ73" s="884"/>
      <c r="FR73" s="884"/>
      <c r="FS73" s="884"/>
      <c r="FT73" s="884"/>
      <c r="FU73" s="884"/>
      <c r="FV73" s="884"/>
      <c r="FW73" s="884"/>
      <c r="FX73" s="884"/>
      <c r="FY73" s="884"/>
      <c r="FZ73" s="884"/>
      <c r="GA73" s="884"/>
      <c r="GB73" s="884"/>
      <c r="GC73" s="884"/>
      <c r="GD73" s="884"/>
      <c r="GE73" s="884"/>
      <c r="GF73" s="884"/>
      <c r="GG73" s="884"/>
      <c r="GH73" s="884"/>
      <c r="GI73" s="884"/>
      <c r="GJ73" s="884"/>
      <c r="GK73" s="884"/>
      <c r="GL73" s="884"/>
      <c r="GM73" s="884"/>
      <c r="GN73" s="884"/>
      <c r="GO73" s="884"/>
      <c r="GP73" s="884"/>
      <c r="GQ73" s="884"/>
      <c r="GR73" s="884"/>
      <c r="GS73" s="884"/>
      <c r="GT73" s="884"/>
      <c r="GU73" s="884"/>
      <c r="GV73" s="884"/>
      <c r="GW73" s="884"/>
      <c r="GX73" s="884"/>
      <c r="GY73" s="884"/>
      <c r="GZ73" s="884"/>
      <c r="HA73" s="884"/>
      <c r="HB73" s="884"/>
      <c r="HC73" s="884"/>
      <c r="HD73" s="884"/>
      <c r="HE73" s="884"/>
      <c r="HF73" s="884"/>
      <c r="HG73" s="884"/>
      <c r="HH73" s="884"/>
      <c r="HI73" s="884"/>
      <c r="HJ73" s="884"/>
      <c r="HK73" s="884"/>
      <c r="HL73" s="884"/>
      <c r="HM73" s="884"/>
      <c r="HN73" s="884"/>
      <c r="HO73" s="884"/>
      <c r="HP73" s="884"/>
      <c r="HQ73" s="884"/>
      <c r="HR73" s="884"/>
      <c r="HS73" s="884"/>
      <c r="HT73" s="884"/>
      <c r="HU73" s="884"/>
      <c r="HV73" s="884"/>
      <c r="HW73" s="884"/>
      <c r="HX73" s="884"/>
      <c r="HY73" s="884"/>
      <c r="HZ73" s="884"/>
      <c r="IA73" s="884"/>
      <c r="IB73" s="884"/>
      <c r="IC73" s="884"/>
      <c r="ID73" s="884"/>
      <c r="IE73" s="884"/>
      <c r="IF73" s="884"/>
      <c r="IG73" s="884"/>
      <c r="IH73" s="884"/>
      <c r="II73" s="884"/>
      <c r="IJ73" s="884"/>
      <c r="IK73" s="884"/>
      <c r="IL73" s="884"/>
      <c r="IM73" s="884"/>
      <c r="IN73" s="884"/>
      <c r="IO73" s="884"/>
      <c r="IP73" s="884"/>
      <c r="IQ73" s="884"/>
      <c r="IR73" s="884"/>
      <c r="IS73" s="884"/>
      <c r="IT73" s="884"/>
      <c r="IU73" s="884"/>
      <c r="IV73" s="884"/>
    </row>
    <row r="74" spans="1:256" ht="18">
      <c r="A74" s="884"/>
      <c r="B74" s="884"/>
      <c r="C74" s="884"/>
      <c r="D74" s="884"/>
      <c r="E74" s="884"/>
      <c r="F74" s="884"/>
      <c r="G74" s="884"/>
      <c r="H74" s="884"/>
      <c r="I74" s="884"/>
      <c r="J74" s="884"/>
      <c r="K74" s="884"/>
      <c r="L74" s="884"/>
      <c r="M74" s="884"/>
      <c r="N74" s="884"/>
      <c r="O74" s="884"/>
      <c r="P74" s="884"/>
      <c r="Q74" s="884"/>
      <c r="R74" s="884"/>
      <c r="S74" s="884"/>
      <c r="T74" s="884"/>
      <c r="U74" s="884"/>
      <c r="V74" s="884"/>
      <c r="W74" s="884"/>
      <c r="X74" s="884"/>
      <c r="Y74" s="884"/>
      <c r="Z74" s="884"/>
      <c r="AA74" s="884"/>
      <c r="AB74" s="884"/>
      <c r="AC74" s="884"/>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4"/>
      <c r="BJ74" s="884"/>
      <c r="BK74" s="884"/>
      <c r="BL74" s="884"/>
      <c r="BM74" s="884"/>
      <c r="BN74" s="884"/>
      <c r="BO74" s="884"/>
      <c r="BP74" s="884"/>
      <c r="BQ74" s="884"/>
      <c r="BR74" s="884"/>
      <c r="BS74" s="884"/>
      <c r="BT74" s="884"/>
      <c r="BU74" s="884"/>
      <c r="BV74" s="884"/>
      <c r="BW74" s="884"/>
      <c r="BX74" s="884"/>
      <c r="BY74" s="884"/>
      <c r="BZ74" s="884"/>
      <c r="CA74" s="884"/>
      <c r="CB74" s="884"/>
      <c r="CC74" s="884"/>
      <c r="CD74" s="884"/>
      <c r="CE74" s="884"/>
      <c r="CF74" s="884"/>
      <c r="CG74" s="884"/>
      <c r="CH74" s="884"/>
      <c r="CI74" s="884"/>
      <c r="CJ74" s="884"/>
      <c r="CK74" s="884"/>
      <c r="CL74" s="884"/>
      <c r="CM74" s="884"/>
      <c r="CN74" s="884"/>
      <c r="CO74" s="884"/>
      <c r="CP74" s="884"/>
      <c r="CQ74" s="884"/>
      <c r="CR74" s="884"/>
      <c r="CS74" s="884"/>
      <c r="CT74" s="884"/>
      <c r="CU74" s="884"/>
      <c r="CV74" s="884"/>
      <c r="CW74" s="884"/>
      <c r="CX74" s="884"/>
      <c r="CY74" s="884"/>
      <c r="CZ74" s="884"/>
      <c r="DA74" s="884"/>
      <c r="DB74" s="884"/>
      <c r="DC74" s="884"/>
      <c r="DD74" s="884"/>
      <c r="DE74" s="884"/>
      <c r="DF74" s="884"/>
      <c r="DG74" s="884"/>
      <c r="DH74" s="884"/>
      <c r="DI74" s="884"/>
      <c r="DJ74" s="884"/>
      <c r="DK74" s="884"/>
      <c r="DL74" s="884"/>
      <c r="DM74" s="884"/>
      <c r="DN74" s="884"/>
      <c r="DO74" s="884"/>
      <c r="DP74" s="884"/>
      <c r="DQ74" s="884"/>
      <c r="DR74" s="884"/>
      <c r="DS74" s="884"/>
      <c r="DT74" s="884"/>
      <c r="DU74" s="884"/>
      <c r="DV74" s="884"/>
      <c r="DW74" s="884"/>
      <c r="DX74" s="884"/>
      <c r="DY74" s="884"/>
      <c r="DZ74" s="884"/>
      <c r="EA74" s="884"/>
      <c r="EB74" s="884"/>
      <c r="EC74" s="884"/>
      <c r="ED74" s="884"/>
      <c r="EE74" s="884"/>
      <c r="EF74" s="884"/>
      <c r="EG74" s="884"/>
      <c r="EH74" s="884"/>
      <c r="EI74" s="884"/>
      <c r="EJ74" s="884"/>
      <c r="EK74" s="884"/>
      <c r="EL74" s="884"/>
      <c r="EM74" s="884"/>
      <c r="EN74" s="884"/>
      <c r="EO74" s="884"/>
      <c r="EP74" s="884"/>
      <c r="EQ74" s="884"/>
      <c r="ER74" s="884"/>
      <c r="ES74" s="884"/>
      <c r="ET74" s="884"/>
      <c r="EU74" s="884"/>
      <c r="EV74" s="884"/>
      <c r="EW74" s="884"/>
      <c r="EX74" s="884"/>
      <c r="EY74" s="884"/>
      <c r="EZ74" s="884"/>
      <c r="FA74" s="884"/>
      <c r="FB74" s="884"/>
      <c r="FC74" s="884"/>
      <c r="FD74" s="884"/>
      <c r="FE74" s="884"/>
      <c r="FF74" s="884"/>
      <c r="FG74" s="884"/>
      <c r="FH74" s="884"/>
      <c r="FI74" s="884"/>
      <c r="FJ74" s="884"/>
      <c r="FK74" s="884"/>
      <c r="FL74" s="884"/>
      <c r="FM74" s="884"/>
      <c r="FN74" s="884"/>
      <c r="FO74" s="884"/>
      <c r="FP74" s="884"/>
      <c r="FQ74" s="884"/>
      <c r="FR74" s="884"/>
      <c r="FS74" s="884"/>
      <c r="FT74" s="884"/>
      <c r="FU74" s="884"/>
      <c r="FV74" s="884"/>
      <c r="FW74" s="884"/>
      <c r="FX74" s="884"/>
      <c r="FY74" s="884"/>
      <c r="FZ74" s="884"/>
      <c r="GA74" s="884"/>
      <c r="GB74" s="884"/>
      <c r="GC74" s="884"/>
      <c r="GD74" s="884"/>
      <c r="GE74" s="884"/>
      <c r="GF74" s="884"/>
      <c r="GG74" s="884"/>
      <c r="GH74" s="884"/>
      <c r="GI74" s="884"/>
      <c r="GJ74" s="884"/>
      <c r="GK74" s="884"/>
      <c r="GL74" s="884"/>
      <c r="GM74" s="884"/>
      <c r="GN74" s="884"/>
      <c r="GO74" s="884"/>
      <c r="GP74" s="884"/>
      <c r="GQ74" s="884"/>
      <c r="GR74" s="884"/>
      <c r="GS74" s="884"/>
      <c r="GT74" s="884"/>
      <c r="GU74" s="884"/>
      <c r="GV74" s="884"/>
      <c r="GW74" s="884"/>
      <c r="GX74" s="884"/>
      <c r="GY74" s="884"/>
      <c r="GZ74" s="884"/>
      <c r="HA74" s="884"/>
      <c r="HB74" s="884"/>
      <c r="HC74" s="884"/>
      <c r="HD74" s="884"/>
      <c r="HE74" s="884"/>
      <c r="HF74" s="884"/>
      <c r="HG74" s="884"/>
      <c r="HH74" s="884"/>
      <c r="HI74" s="884"/>
      <c r="HJ74" s="884"/>
      <c r="HK74" s="884"/>
      <c r="HL74" s="884"/>
      <c r="HM74" s="884"/>
      <c r="HN74" s="884"/>
      <c r="HO74" s="884"/>
      <c r="HP74" s="884"/>
      <c r="HQ74" s="884"/>
      <c r="HR74" s="884"/>
      <c r="HS74" s="884"/>
      <c r="HT74" s="884"/>
      <c r="HU74" s="884"/>
      <c r="HV74" s="884"/>
      <c r="HW74" s="884"/>
      <c r="HX74" s="884"/>
      <c r="HY74" s="884"/>
      <c r="HZ74" s="884"/>
      <c r="IA74" s="884"/>
      <c r="IB74" s="884"/>
      <c r="IC74" s="884"/>
      <c r="ID74" s="884"/>
      <c r="IE74" s="884"/>
      <c r="IF74" s="884"/>
      <c r="IG74" s="884"/>
      <c r="IH74" s="884"/>
      <c r="II74" s="884"/>
      <c r="IJ74" s="884"/>
      <c r="IK74" s="884"/>
      <c r="IL74" s="884"/>
      <c r="IM74" s="884"/>
      <c r="IN74" s="884"/>
      <c r="IO74" s="884"/>
      <c r="IP74" s="884"/>
      <c r="IQ74" s="884"/>
      <c r="IR74" s="884"/>
      <c r="IS74" s="884"/>
      <c r="IT74" s="884"/>
      <c r="IU74" s="884"/>
      <c r="IV74" s="884"/>
    </row>
    <row r="75" spans="1:256" ht="18">
      <c r="A75" s="884"/>
      <c r="B75" s="884"/>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4"/>
      <c r="AK75" s="884"/>
      <c r="AL75" s="884"/>
      <c r="AM75" s="884"/>
      <c r="AN75" s="884"/>
      <c r="AO75" s="884"/>
      <c r="AP75" s="884"/>
      <c r="AQ75" s="884"/>
      <c r="AR75" s="884"/>
      <c r="AS75" s="884"/>
      <c r="AT75" s="884"/>
      <c r="AU75" s="884"/>
      <c r="AV75" s="884"/>
      <c r="AW75" s="884"/>
      <c r="AX75" s="884"/>
      <c r="AY75" s="884"/>
      <c r="AZ75" s="884"/>
      <c r="BA75" s="884"/>
      <c r="BB75" s="884"/>
      <c r="BC75" s="884"/>
      <c r="BD75" s="884"/>
      <c r="BE75" s="884"/>
      <c r="BF75" s="884"/>
      <c r="BG75" s="884"/>
      <c r="BH75" s="884"/>
      <c r="BI75" s="884"/>
      <c r="BJ75" s="884"/>
      <c r="BK75" s="884"/>
      <c r="BL75" s="884"/>
      <c r="BM75" s="884"/>
      <c r="BN75" s="884"/>
      <c r="BO75" s="884"/>
      <c r="BP75" s="884"/>
      <c r="BQ75" s="884"/>
      <c r="BR75" s="884"/>
      <c r="BS75" s="884"/>
      <c r="BT75" s="884"/>
      <c r="BU75" s="884"/>
      <c r="BV75" s="884"/>
      <c r="BW75" s="884"/>
      <c r="BX75" s="884"/>
      <c r="BY75" s="884"/>
      <c r="BZ75" s="884"/>
      <c r="CA75" s="884"/>
      <c r="CB75" s="884"/>
      <c r="CC75" s="884"/>
      <c r="CD75" s="884"/>
      <c r="CE75" s="884"/>
      <c r="CF75" s="884"/>
      <c r="CG75" s="884"/>
      <c r="CH75" s="884"/>
      <c r="CI75" s="884"/>
      <c r="CJ75" s="884"/>
      <c r="CK75" s="884"/>
      <c r="CL75" s="884"/>
      <c r="CM75" s="884"/>
      <c r="CN75" s="884"/>
      <c r="CO75" s="884"/>
      <c r="CP75" s="884"/>
      <c r="CQ75" s="884"/>
      <c r="CR75" s="884"/>
      <c r="CS75" s="884"/>
      <c r="CT75" s="884"/>
      <c r="CU75" s="884"/>
      <c r="CV75" s="884"/>
      <c r="CW75" s="884"/>
      <c r="CX75" s="884"/>
      <c r="CY75" s="884"/>
      <c r="CZ75" s="884"/>
      <c r="DA75" s="884"/>
      <c r="DB75" s="884"/>
      <c r="DC75" s="884"/>
      <c r="DD75" s="884"/>
      <c r="DE75" s="884"/>
      <c r="DF75" s="884"/>
      <c r="DG75" s="884"/>
      <c r="DH75" s="884"/>
      <c r="DI75" s="884"/>
      <c r="DJ75" s="884"/>
      <c r="DK75" s="884"/>
      <c r="DL75" s="884"/>
      <c r="DM75" s="884"/>
      <c r="DN75" s="884"/>
      <c r="DO75" s="884"/>
      <c r="DP75" s="884"/>
      <c r="DQ75" s="884"/>
      <c r="DR75" s="884"/>
      <c r="DS75" s="884"/>
      <c r="DT75" s="884"/>
      <c r="DU75" s="884"/>
      <c r="DV75" s="884"/>
      <c r="DW75" s="884"/>
      <c r="DX75" s="884"/>
      <c r="DY75" s="884"/>
      <c r="DZ75" s="884"/>
      <c r="EA75" s="884"/>
      <c r="EB75" s="884"/>
      <c r="EC75" s="884"/>
      <c r="ED75" s="884"/>
      <c r="EE75" s="884"/>
      <c r="EF75" s="884"/>
      <c r="EG75" s="884"/>
      <c r="EH75" s="884"/>
      <c r="EI75" s="884"/>
      <c r="EJ75" s="884"/>
      <c r="EK75" s="884"/>
      <c r="EL75" s="884"/>
      <c r="EM75" s="884"/>
      <c r="EN75" s="884"/>
      <c r="EO75" s="884"/>
      <c r="EP75" s="884"/>
      <c r="EQ75" s="884"/>
      <c r="ER75" s="884"/>
      <c r="ES75" s="884"/>
      <c r="ET75" s="884"/>
      <c r="EU75" s="884"/>
      <c r="EV75" s="884"/>
      <c r="EW75" s="884"/>
      <c r="EX75" s="884"/>
      <c r="EY75" s="884"/>
      <c r="EZ75" s="884"/>
      <c r="FA75" s="884"/>
      <c r="FB75" s="884"/>
      <c r="FC75" s="884"/>
      <c r="FD75" s="884"/>
      <c r="FE75" s="884"/>
      <c r="FF75" s="884"/>
      <c r="FG75" s="884"/>
      <c r="FH75" s="884"/>
      <c r="FI75" s="884"/>
      <c r="FJ75" s="884"/>
      <c r="FK75" s="884"/>
      <c r="FL75" s="884"/>
      <c r="FM75" s="884"/>
      <c r="FN75" s="884"/>
      <c r="FO75" s="884"/>
      <c r="FP75" s="884"/>
      <c r="FQ75" s="884"/>
      <c r="FR75" s="884"/>
      <c r="FS75" s="884"/>
      <c r="FT75" s="884"/>
      <c r="FU75" s="884"/>
      <c r="FV75" s="884"/>
      <c r="FW75" s="884"/>
      <c r="FX75" s="884"/>
      <c r="FY75" s="884"/>
      <c r="FZ75" s="884"/>
      <c r="GA75" s="884"/>
      <c r="GB75" s="884"/>
      <c r="GC75" s="884"/>
      <c r="GD75" s="884"/>
      <c r="GE75" s="884"/>
      <c r="GF75" s="884"/>
      <c r="GG75" s="884"/>
      <c r="GH75" s="884"/>
      <c r="GI75" s="884"/>
      <c r="GJ75" s="884"/>
      <c r="GK75" s="884"/>
      <c r="GL75" s="884"/>
      <c r="GM75" s="884"/>
      <c r="GN75" s="884"/>
      <c r="GO75" s="884"/>
      <c r="GP75" s="884"/>
      <c r="GQ75" s="884"/>
      <c r="GR75" s="884"/>
      <c r="GS75" s="884"/>
      <c r="GT75" s="884"/>
      <c r="GU75" s="884"/>
      <c r="GV75" s="884"/>
      <c r="GW75" s="884"/>
      <c r="GX75" s="884"/>
      <c r="GY75" s="884"/>
      <c r="GZ75" s="884"/>
      <c r="HA75" s="884"/>
      <c r="HB75" s="884"/>
      <c r="HC75" s="884"/>
      <c r="HD75" s="884"/>
      <c r="HE75" s="884"/>
      <c r="HF75" s="884"/>
      <c r="HG75" s="884"/>
      <c r="HH75" s="884"/>
      <c r="HI75" s="884"/>
      <c r="HJ75" s="884"/>
      <c r="HK75" s="884"/>
      <c r="HL75" s="884"/>
      <c r="HM75" s="884"/>
      <c r="HN75" s="884"/>
      <c r="HO75" s="884"/>
      <c r="HP75" s="884"/>
      <c r="HQ75" s="884"/>
      <c r="HR75" s="884"/>
      <c r="HS75" s="884"/>
      <c r="HT75" s="884"/>
      <c r="HU75" s="884"/>
      <c r="HV75" s="884"/>
      <c r="HW75" s="884"/>
      <c r="HX75" s="884"/>
      <c r="HY75" s="884"/>
      <c r="HZ75" s="884"/>
      <c r="IA75" s="884"/>
      <c r="IB75" s="884"/>
      <c r="IC75" s="884"/>
      <c r="ID75" s="884"/>
      <c r="IE75" s="884"/>
      <c r="IF75" s="884"/>
      <c r="IG75" s="884"/>
      <c r="IH75" s="884"/>
      <c r="II75" s="884"/>
      <c r="IJ75" s="884"/>
      <c r="IK75" s="884"/>
      <c r="IL75" s="884"/>
      <c r="IM75" s="884"/>
      <c r="IN75" s="884"/>
      <c r="IO75" s="884"/>
      <c r="IP75" s="884"/>
      <c r="IQ75" s="884"/>
      <c r="IR75" s="884"/>
      <c r="IS75" s="884"/>
      <c r="IT75" s="884"/>
      <c r="IU75" s="884"/>
      <c r="IV75" s="884"/>
    </row>
    <row r="76" spans="1:256" ht="18">
      <c r="A76" s="884"/>
      <c r="B76" s="884"/>
      <c r="C76" s="884"/>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c r="AK76" s="884"/>
      <c r="AL76" s="884"/>
      <c r="AM76" s="884"/>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4"/>
      <c r="BJ76" s="884"/>
      <c r="BK76" s="884"/>
      <c r="BL76" s="884"/>
      <c r="BM76" s="884"/>
      <c r="BN76" s="884"/>
      <c r="BO76" s="884"/>
      <c r="BP76" s="884"/>
      <c r="BQ76" s="884"/>
      <c r="BR76" s="884"/>
      <c r="BS76" s="884"/>
      <c r="BT76" s="884"/>
      <c r="BU76" s="884"/>
      <c r="BV76" s="884"/>
      <c r="BW76" s="884"/>
      <c r="BX76" s="884"/>
      <c r="BY76" s="884"/>
      <c r="BZ76" s="884"/>
      <c r="CA76" s="884"/>
      <c r="CB76" s="884"/>
      <c r="CC76" s="884"/>
      <c r="CD76" s="884"/>
      <c r="CE76" s="884"/>
      <c r="CF76" s="884"/>
      <c r="CG76" s="884"/>
      <c r="CH76" s="884"/>
      <c r="CI76" s="884"/>
      <c r="CJ76" s="884"/>
      <c r="CK76" s="884"/>
      <c r="CL76" s="884"/>
      <c r="CM76" s="884"/>
      <c r="CN76" s="884"/>
      <c r="CO76" s="884"/>
      <c r="CP76" s="884"/>
      <c r="CQ76" s="884"/>
      <c r="CR76" s="884"/>
      <c r="CS76" s="884"/>
      <c r="CT76" s="884"/>
      <c r="CU76" s="884"/>
      <c r="CV76" s="884"/>
      <c r="CW76" s="884"/>
      <c r="CX76" s="884"/>
      <c r="CY76" s="884"/>
      <c r="CZ76" s="884"/>
      <c r="DA76" s="884"/>
      <c r="DB76" s="884"/>
      <c r="DC76" s="884"/>
      <c r="DD76" s="884"/>
      <c r="DE76" s="884"/>
      <c r="DF76" s="884"/>
      <c r="DG76" s="884"/>
      <c r="DH76" s="884"/>
      <c r="DI76" s="884"/>
      <c r="DJ76" s="884"/>
      <c r="DK76" s="884"/>
      <c r="DL76" s="884"/>
      <c r="DM76" s="884"/>
      <c r="DN76" s="884"/>
      <c r="DO76" s="884"/>
      <c r="DP76" s="884"/>
      <c r="DQ76" s="884"/>
      <c r="DR76" s="884"/>
      <c r="DS76" s="884"/>
      <c r="DT76" s="884"/>
      <c r="DU76" s="884"/>
      <c r="DV76" s="884"/>
      <c r="DW76" s="884"/>
      <c r="DX76" s="884"/>
      <c r="DY76" s="884"/>
      <c r="DZ76" s="884"/>
      <c r="EA76" s="884"/>
      <c r="EB76" s="884"/>
      <c r="EC76" s="884"/>
      <c r="ED76" s="884"/>
      <c r="EE76" s="884"/>
      <c r="EF76" s="884"/>
      <c r="EG76" s="884"/>
      <c r="EH76" s="884"/>
      <c r="EI76" s="884"/>
      <c r="EJ76" s="884"/>
      <c r="EK76" s="884"/>
      <c r="EL76" s="884"/>
      <c r="EM76" s="884"/>
      <c r="EN76" s="884"/>
      <c r="EO76" s="884"/>
      <c r="EP76" s="884"/>
      <c r="EQ76" s="884"/>
      <c r="ER76" s="884"/>
      <c r="ES76" s="884"/>
      <c r="ET76" s="884"/>
      <c r="EU76" s="884"/>
      <c r="EV76" s="884"/>
      <c r="EW76" s="884"/>
      <c r="EX76" s="884"/>
      <c r="EY76" s="884"/>
      <c r="EZ76" s="884"/>
      <c r="FA76" s="884"/>
      <c r="FB76" s="884"/>
      <c r="FC76" s="884"/>
      <c r="FD76" s="884"/>
      <c r="FE76" s="884"/>
      <c r="FF76" s="884"/>
      <c r="FG76" s="884"/>
      <c r="FH76" s="884"/>
      <c r="FI76" s="884"/>
      <c r="FJ76" s="884"/>
      <c r="FK76" s="884"/>
      <c r="FL76" s="884"/>
      <c r="FM76" s="884"/>
      <c r="FN76" s="884"/>
      <c r="FO76" s="884"/>
      <c r="FP76" s="884"/>
      <c r="FQ76" s="884"/>
      <c r="FR76" s="884"/>
      <c r="FS76" s="884"/>
      <c r="FT76" s="884"/>
      <c r="FU76" s="884"/>
      <c r="FV76" s="884"/>
      <c r="FW76" s="884"/>
      <c r="FX76" s="884"/>
      <c r="FY76" s="884"/>
      <c r="FZ76" s="884"/>
      <c r="GA76" s="884"/>
      <c r="GB76" s="884"/>
      <c r="GC76" s="884"/>
      <c r="GD76" s="884"/>
      <c r="GE76" s="884"/>
      <c r="GF76" s="884"/>
      <c r="GG76" s="884"/>
      <c r="GH76" s="884"/>
      <c r="GI76" s="884"/>
      <c r="GJ76" s="884"/>
      <c r="GK76" s="884"/>
      <c r="GL76" s="884"/>
      <c r="GM76" s="884"/>
      <c r="GN76" s="884"/>
      <c r="GO76" s="884"/>
      <c r="GP76" s="884"/>
      <c r="GQ76" s="884"/>
      <c r="GR76" s="884"/>
      <c r="GS76" s="884"/>
      <c r="GT76" s="884"/>
      <c r="GU76" s="884"/>
      <c r="GV76" s="884"/>
      <c r="GW76" s="884"/>
      <c r="GX76" s="884"/>
      <c r="GY76" s="884"/>
      <c r="GZ76" s="884"/>
      <c r="HA76" s="884"/>
      <c r="HB76" s="884"/>
      <c r="HC76" s="884"/>
      <c r="HD76" s="884"/>
      <c r="HE76" s="884"/>
      <c r="HF76" s="884"/>
      <c r="HG76" s="884"/>
      <c r="HH76" s="884"/>
      <c r="HI76" s="884"/>
      <c r="HJ76" s="884"/>
      <c r="HK76" s="884"/>
      <c r="HL76" s="884"/>
      <c r="HM76" s="884"/>
      <c r="HN76" s="884"/>
      <c r="HO76" s="884"/>
      <c r="HP76" s="884"/>
      <c r="HQ76" s="884"/>
      <c r="HR76" s="884"/>
      <c r="HS76" s="884"/>
      <c r="HT76" s="884"/>
      <c r="HU76" s="884"/>
      <c r="HV76" s="884"/>
      <c r="HW76" s="884"/>
      <c r="HX76" s="884"/>
      <c r="HY76" s="884"/>
      <c r="HZ76" s="884"/>
      <c r="IA76" s="884"/>
      <c r="IB76" s="884"/>
      <c r="IC76" s="884"/>
      <c r="ID76" s="884"/>
      <c r="IE76" s="884"/>
      <c r="IF76" s="884"/>
      <c r="IG76" s="884"/>
      <c r="IH76" s="884"/>
      <c r="II76" s="884"/>
      <c r="IJ76" s="884"/>
      <c r="IK76" s="884"/>
      <c r="IL76" s="884"/>
      <c r="IM76" s="884"/>
      <c r="IN76" s="884"/>
      <c r="IO76" s="884"/>
      <c r="IP76" s="884"/>
      <c r="IQ76" s="884"/>
      <c r="IR76" s="884"/>
      <c r="IS76" s="884"/>
      <c r="IT76" s="884"/>
      <c r="IU76" s="884"/>
      <c r="IV76" s="884"/>
    </row>
    <row r="77" spans="1:256" ht="18">
      <c r="A77" s="884"/>
      <c r="B77" s="884"/>
      <c r="C77" s="884"/>
      <c r="D77" s="884"/>
      <c r="E77" s="884"/>
      <c r="F77" s="884"/>
      <c r="G77" s="884"/>
      <c r="H77" s="884"/>
      <c r="I77" s="884"/>
      <c r="J77" s="884"/>
      <c r="K77" s="884"/>
      <c r="L77" s="88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c r="AK77" s="884"/>
      <c r="AL77" s="884"/>
      <c r="AM77" s="884"/>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4"/>
      <c r="BJ77" s="884"/>
      <c r="BK77" s="884"/>
      <c r="BL77" s="884"/>
      <c r="BM77" s="884"/>
      <c r="BN77" s="884"/>
      <c r="BO77" s="884"/>
      <c r="BP77" s="884"/>
      <c r="BQ77" s="884"/>
      <c r="BR77" s="884"/>
      <c r="BS77" s="884"/>
      <c r="BT77" s="884"/>
      <c r="BU77" s="884"/>
      <c r="BV77" s="884"/>
      <c r="BW77" s="884"/>
      <c r="BX77" s="884"/>
      <c r="BY77" s="884"/>
      <c r="BZ77" s="884"/>
      <c r="CA77" s="884"/>
      <c r="CB77" s="884"/>
      <c r="CC77" s="884"/>
      <c r="CD77" s="884"/>
      <c r="CE77" s="884"/>
      <c r="CF77" s="884"/>
      <c r="CG77" s="884"/>
      <c r="CH77" s="884"/>
      <c r="CI77" s="884"/>
      <c r="CJ77" s="884"/>
      <c r="CK77" s="884"/>
      <c r="CL77" s="884"/>
      <c r="CM77" s="884"/>
      <c r="CN77" s="884"/>
      <c r="CO77" s="884"/>
      <c r="CP77" s="884"/>
      <c r="CQ77" s="884"/>
      <c r="CR77" s="884"/>
      <c r="CS77" s="884"/>
      <c r="CT77" s="884"/>
      <c r="CU77" s="884"/>
      <c r="CV77" s="884"/>
      <c r="CW77" s="884"/>
      <c r="CX77" s="884"/>
      <c r="CY77" s="884"/>
      <c r="CZ77" s="884"/>
      <c r="DA77" s="884"/>
      <c r="DB77" s="884"/>
      <c r="DC77" s="884"/>
      <c r="DD77" s="884"/>
      <c r="DE77" s="884"/>
      <c r="DF77" s="884"/>
      <c r="DG77" s="884"/>
      <c r="DH77" s="884"/>
      <c r="DI77" s="884"/>
      <c r="DJ77" s="884"/>
      <c r="DK77" s="884"/>
      <c r="DL77" s="884"/>
      <c r="DM77" s="884"/>
      <c r="DN77" s="884"/>
      <c r="DO77" s="884"/>
      <c r="DP77" s="884"/>
      <c r="DQ77" s="884"/>
      <c r="DR77" s="884"/>
      <c r="DS77" s="884"/>
      <c r="DT77" s="884"/>
      <c r="DU77" s="884"/>
      <c r="DV77" s="884"/>
      <c r="DW77" s="884"/>
      <c r="DX77" s="884"/>
      <c r="DY77" s="884"/>
      <c r="DZ77" s="884"/>
      <c r="EA77" s="884"/>
      <c r="EB77" s="884"/>
      <c r="EC77" s="884"/>
      <c r="ED77" s="884"/>
      <c r="EE77" s="884"/>
      <c r="EF77" s="884"/>
      <c r="EG77" s="884"/>
      <c r="EH77" s="884"/>
      <c r="EI77" s="884"/>
      <c r="EJ77" s="884"/>
      <c r="EK77" s="884"/>
      <c r="EL77" s="884"/>
      <c r="EM77" s="884"/>
      <c r="EN77" s="884"/>
      <c r="EO77" s="884"/>
      <c r="EP77" s="884"/>
      <c r="EQ77" s="884"/>
      <c r="ER77" s="884"/>
      <c r="ES77" s="884"/>
      <c r="ET77" s="884"/>
      <c r="EU77" s="884"/>
      <c r="EV77" s="884"/>
      <c r="EW77" s="884"/>
      <c r="EX77" s="884"/>
      <c r="EY77" s="884"/>
      <c r="EZ77" s="884"/>
      <c r="FA77" s="884"/>
      <c r="FB77" s="884"/>
      <c r="FC77" s="884"/>
      <c r="FD77" s="884"/>
      <c r="FE77" s="884"/>
      <c r="FF77" s="884"/>
      <c r="FG77" s="884"/>
      <c r="FH77" s="884"/>
      <c r="FI77" s="884"/>
      <c r="FJ77" s="884"/>
      <c r="FK77" s="884"/>
      <c r="FL77" s="884"/>
      <c r="FM77" s="884"/>
      <c r="FN77" s="884"/>
      <c r="FO77" s="884"/>
      <c r="FP77" s="884"/>
      <c r="FQ77" s="884"/>
      <c r="FR77" s="884"/>
      <c r="FS77" s="884"/>
      <c r="FT77" s="884"/>
      <c r="FU77" s="884"/>
      <c r="FV77" s="884"/>
      <c r="FW77" s="884"/>
      <c r="FX77" s="884"/>
      <c r="FY77" s="884"/>
      <c r="FZ77" s="884"/>
      <c r="GA77" s="884"/>
      <c r="GB77" s="884"/>
      <c r="GC77" s="884"/>
      <c r="GD77" s="884"/>
      <c r="GE77" s="884"/>
      <c r="GF77" s="884"/>
      <c r="GG77" s="884"/>
      <c r="GH77" s="884"/>
      <c r="GI77" s="884"/>
      <c r="GJ77" s="884"/>
      <c r="GK77" s="884"/>
      <c r="GL77" s="884"/>
      <c r="GM77" s="884"/>
      <c r="GN77" s="884"/>
      <c r="GO77" s="884"/>
      <c r="GP77" s="884"/>
      <c r="GQ77" s="884"/>
      <c r="GR77" s="884"/>
      <c r="GS77" s="884"/>
      <c r="GT77" s="884"/>
      <c r="GU77" s="884"/>
      <c r="GV77" s="884"/>
      <c r="GW77" s="884"/>
      <c r="GX77" s="884"/>
      <c r="GY77" s="884"/>
      <c r="GZ77" s="884"/>
      <c r="HA77" s="884"/>
      <c r="HB77" s="884"/>
      <c r="HC77" s="884"/>
      <c r="HD77" s="884"/>
      <c r="HE77" s="884"/>
      <c r="HF77" s="884"/>
      <c r="HG77" s="884"/>
      <c r="HH77" s="884"/>
      <c r="HI77" s="884"/>
      <c r="HJ77" s="884"/>
      <c r="HK77" s="884"/>
      <c r="HL77" s="884"/>
      <c r="HM77" s="884"/>
      <c r="HN77" s="884"/>
      <c r="HO77" s="884"/>
      <c r="HP77" s="884"/>
      <c r="HQ77" s="884"/>
      <c r="HR77" s="884"/>
      <c r="HS77" s="884"/>
      <c r="HT77" s="884"/>
      <c r="HU77" s="884"/>
      <c r="HV77" s="884"/>
      <c r="HW77" s="884"/>
      <c r="HX77" s="884"/>
      <c r="HY77" s="884"/>
      <c r="HZ77" s="884"/>
      <c r="IA77" s="884"/>
      <c r="IB77" s="884"/>
      <c r="IC77" s="884"/>
      <c r="ID77" s="884"/>
      <c r="IE77" s="884"/>
      <c r="IF77" s="884"/>
      <c r="IG77" s="884"/>
      <c r="IH77" s="884"/>
      <c r="II77" s="884"/>
      <c r="IJ77" s="884"/>
      <c r="IK77" s="884"/>
      <c r="IL77" s="884"/>
      <c r="IM77" s="884"/>
      <c r="IN77" s="884"/>
      <c r="IO77" s="884"/>
      <c r="IP77" s="884"/>
      <c r="IQ77" s="884"/>
      <c r="IR77" s="884"/>
      <c r="IS77" s="884"/>
      <c r="IT77" s="884"/>
      <c r="IU77" s="884"/>
      <c r="IV77" s="884"/>
    </row>
    <row r="78" spans="1:256" ht="18">
      <c r="A78" s="884"/>
      <c r="B78" s="884"/>
      <c r="C78" s="884"/>
      <c r="D78" s="884"/>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4"/>
      <c r="BJ78" s="884"/>
      <c r="BK78" s="884"/>
      <c r="BL78" s="884"/>
      <c r="BM78" s="884"/>
      <c r="BN78" s="884"/>
      <c r="BO78" s="884"/>
      <c r="BP78" s="884"/>
      <c r="BQ78" s="884"/>
      <c r="BR78" s="884"/>
      <c r="BS78" s="884"/>
      <c r="BT78" s="884"/>
      <c r="BU78" s="884"/>
      <c r="BV78" s="884"/>
      <c r="BW78" s="884"/>
      <c r="BX78" s="884"/>
      <c r="BY78" s="884"/>
      <c r="BZ78" s="884"/>
      <c r="CA78" s="884"/>
      <c r="CB78" s="884"/>
      <c r="CC78" s="884"/>
      <c r="CD78" s="884"/>
      <c r="CE78" s="884"/>
      <c r="CF78" s="884"/>
      <c r="CG78" s="884"/>
      <c r="CH78" s="884"/>
      <c r="CI78" s="884"/>
      <c r="CJ78" s="884"/>
      <c r="CK78" s="884"/>
      <c r="CL78" s="884"/>
      <c r="CM78" s="884"/>
      <c r="CN78" s="884"/>
      <c r="CO78" s="884"/>
      <c r="CP78" s="884"/>
      <c r="CQ78" s="884"/>
      <c r="CR78" s="884"/>
      <c r="CS78" s="884"/>
      <c r="CT78" s="884"/>
      <c r="CU78" s="884"/>
      <c r="CV78" s="884"/>
      <c r="CW78" s="884"/>
      <c r="CX78" s="884"/>
      <c r="CY78" s="884"/>
      <c r="CZ78" s="884"/>
      <c r="DA78" s="884"/>
      <c r="DB78" s="884"/>
      <c r="DC78" s="884"/>
      <c r="DD78" s="884"/>
      <c r="DE78" s="884"/>
      <c r="DF78" s="884"/>
      <c r="DG78" s="884"/>
      <c r="DH78" s="884"/>
      <c r="DI78" s="884"/>
      <c r="DJ78" s="884"/>
      <c r="DK78" s="884"/>
      <c r="DL78" s="884"/>
      <c r="DM78" s="884"/>
      <c r="DN78" s="884"/>
      <c r="DO78" s="884"/>
      <c r="DP78" s="884"/>
      <c r="DQ78" s="884"/>
      <c r="DR78" s="884"/>
      <c r="DS78" s="884"/>
      <c r="DT78" s="884"/>
      <c r="DU78" s="884"/>
      <c r="DV78" s="884"/>
      <c r="DW78" s="884"/>
      <c r="DX78" s="884"/>
      <c r="DY78" s="884"/>
      <c r="DZ78" s="884"/>
      <c r="EA78" s="884"/>
      <c r="EB78" s="884"/>
      <c r="EC78" s="884"/>
      <c r="ED78" s="884"/>
      <c r="EE78" s="884"/>
      <c r="EF78" s="884"/>
      <c r="EG78" s="884"/>
      <c r="EH78" s="884"/>
      <c r="EI78" s="884"/>
      <c r="EJ78" s="884"/>
      <c r="EK78" s="884"/>
      <c r="EL78" s="884"/>
      <c r="EM78" s="884"/>
      <c r="EN78" s="884"/>
      <c r="EO78" s="884"/>
      <c r="EP78" s="884"/>
      <c r="EQ78" s="884"/>
      <c r="ER78" s="884"/>
      <c r="ES78" s="884"/>
      <c r="ET78" s="884"/>
      <c r="EU78" s="884"/>
      <c r="EV78" s="884"/>
      <c r="EW78" s="884"/>
      <c r="EX78" s="884"/>
      <c r="EY78" s="884"/>
      <c r="EZ78" s="884"/>
      <c r="FA78" s="884"/>
      <c r="FB78" s="884"/>
      <c r="FC78" s="884"/>
      <c r="FD78" s="884"/>
      <c r="FE78" s="884"/>
      <c r="FF78" s="884"/>
      <c r="FG78" s="884"/>
      <c r="FH78" s="884"/>
      <c r="FI78" s="884"/>
      <c r="FJ78" s="884"/>
      <c r="FK78" s="884"/>
      <c r="FL78" s="884"/>
      <c r="FM78" s="884"/>
      <c r="FN78" s="884"/>
      <c r="FO78" s="884"/>
      <c r="FP78" s="884"/>
      <c r="FQ78" s="884"/>
      <c r="FR78" s="884"/>
      <c r="FS78" s="884"/>
      <c r="FT78" s="884"/>
      <c r="FU78" s="884"/>
      <c r="FV78" s="884"/>
      <c r="FW78" s="884"/>
      <c r="FX78" s="884"/>
      <c r="FY78" s="884"/>
      <c r="FZ78" s="884"/>
      <c r="GA78" s="884"/>
      <c r="GB78" s="884"/>
      <c r="GC78" s="884"/>
      <c r="GD78" s="884"/>
      <c r="GE78" s="884"/>
      <c r="GF78" s="884"/>
      <c r="GG78" s="884"/>
      <c r="GH78" s="884"/>
      <c r="GI78" s="884"/>
      <c r="GJ78" s="884"/>
      <c r="GK78" s="884"/>
      <c r="GL78" s="884"/>
      <c r="GM78" s="884"/>
      <c r="GN78" s="884"/>
      <c r="GO78" s="884"/>
      <c r="GP78" s="884"/>
      <c r="GQ78" s="884"/>
      <c r="GR78" s="884"/>
      <c r="GS78" s="884"/>
      <c r="GT78" s="884"/>
      <c r="GU78" s="884"/>
      <c r="GV78" s="884"/>
      <c r="GW78" s="884"/>
      <c r="GX78" s="884"/>
      <c r="GY78" s="884"/>
      <c r="GZ78" s="884"/>
      <c r="HA78" s="884"/>
      <c r="HB78" s="884"/>
      <c r="HC78" s="884"/>
      <c r="HD78" s="884"/>
      <c r="HE78" s="884"/>
      <c r="HF78" s="884"/>
      <c r="HG78" s="884"/>
      <c r="HH78" s="884"/>
      <c r="HI78" s="884"/>
      <c r="HJ78" s="884"/>
      <c r="HK78" s="884"/>
      <c r="HL78" s="884"/>
      <c r="HM78" s="884"/>
      <c r="HN78" s="884"/>
      <c r="HO78" s="884"/>
      <c r="HP78" s="884"/>
      <c r="HQ78" s="884"/>
      <c r="HR78" s="884"/>
      <c r="HS78" s="884"/>
      <c r="HT78" s="884"/>
      <c r="HU78" s="884"/>
      <c r="HV78" s="884"/>
      <c r="HW78" s="884"/>
      <c r="HX78" s="884"/>
      <c r="HY78" s="884"/>
      <c r="HZ78" s="884"/>
      <c r="IA78" s="884"/>
      <c r="IB78" s="884"/>
      <c r="IC78" s="884"/>
      <c r="ID78" s="884"/>
      <c r="IE78" s="884"/>
      <c r="IF78" s="884"/>
      <c r="IG78" s="884"/>
      <c r="IH78" s="884"/>
      <c r="II78" s="884"/>
      <c r="IJ78" s="884"/>
      <c r="IK78" s="884"/>
      <c r="IL78" s="884"/>
      <c r="IM78" s="884"/>
      <c r="IN78" s="884"/>
      <c r="IO78" s="884"/>
      <c r="IP78" s="884"/>
      <c r="IQ78" s="884"/>
      <c r="IR78" s="884"/>
      <c r="IS78" s="884"/>
      <c r="IT78" s="884"/>
      <c r="IU78" s="884"/>
      <c r="IV78" s="884"/>
    </row>
    <row r="79" spans="1:256" ht="18">
      <c r="A79" s="1406"/>
      <c r="B79" s="884"/>
      <c r="C79" s="884"/>
      <c r="D79" s="884"/>
      <c r="E79" s="884"/>
      <c r="F79" s="884"/>
      <c r="G79" s="884"/>
      <c r="H79" s="884"/>
      <c r="I79" s="884"/>
      <c r="J79" s="884"/>
      <c r="K79" s="884"/>
      <c r="L79" s="884"/>
      <c r="M79" s="884"/>
      <c r="N79" s="884"/>
      <c r="O79" s="884"/>
      <c r="P79" s="884"/>
      <c r="Q79" s="884"/>
      <c r="R79" s="884"/>
      <c r="S79" s="884"/>
      <c r="T79" s="884"/>
      <c r="U79" s="884"/>
      <c r="V79" s="884"/>
      <c r="W79" s="884"/>
      <c r="X79" s="884"/>
      <c r="Y79" s="884"/>
      <c r="Z79" s="884"/>
      <c r="AA79" s="884"/>
      <c r="AB79" s="884"/>
      <c r="AC79" s="884"/>
      <c r="AD79" s="884"/>
      <c r="AE79" s="884"/>
      <c r="AF79" s="884"/>
      <c r="AG79" s="884"/>
      <c r="AH79" s="884"/>
      <c r="AI79" s="884"/>
      <c r="AJ79" s="884"/>
      <c r="AK79" s="884"/>
      <c r="AL79" s="884"/>
      <c r="AM79" s="884"/>
      <c r="AN79" s="884"/>
      <c r="AO79" s="884"/>
      <c r="AP79" s="884"/>
      <c r="AQ79" s="884"/>
      <c r="AR79" s="884"/>
      <c r="AS79" s="884"/>
      <c r="AT79" s="884"/>
      <c r="AU79" s="884"/>
      <c r="AV79" s="884"/>
      <c r="AW79" s="884"/>
      <c r="AX79" s="884"/>
      <c r="AY79" s="884"/>
      <c r="AZ79" s="884"/>
      <c r="BA79" s="884"/>
      <c r="BB79" s="884"/>
      <c r="BC79" s="884"/>
      <c r="BD79" s="884"/>
      <c r="BE79" s="884"/>
      <c r="BF79" s="884"/>
      <c r="BG79" s="884"/>
      <c r="BH79" s="884"/>
      <c r="BI79" s="884"/>
      <c r="BJ79" s="884"/>
      <c r="BK79" s="884"/>
      <c r="BL79" s="884"/>
      <c r="BM79" s="884"/>
      <c r="BN79" s="884"/>
      <c r="BO79" s="884"/>
      <c r="BP79" s="884"/>
      <c r="BQ79" s="884"/>
      <c r="BR79" s="884"/>
      <c r="BS79" s="884"/>
      <c r="BT79" s="884"/>
      <c r="BU79" s="884"/>
      <c r="BV79" s="884"/>
      <c r="BW79" s="884"/>
      <c r="BX79" s="884"/>
      <c r="BY79" s="884"/>
      <c r="BZ79" s="884"/>
      <c r="CA79" s="884"/>
      <c r="CB79" s="884"/>
      <c r="CC79" s="884"/>
      <c r="CD79" s="884"/>
      <c r="CE79" s="884"/>
      <c r="CF79" s="884"/>
      <c r="CG79" s="884"/>
      <c r="CH79" s="884"/>
      <c r="CI79" s="884"/>
      <c r="CJ79" s="884"/>
      <c r="CK79" s="884"/>
      <c r="CL79" s="884"/>
      <c r="CM79" s="884"/>
      <c r="CN79" s="884"/>
      <c r="CO79" s="884"/>
      <c r="CP79" s="884"/>
      <c r="CQ79" s="884"/>
      <c r="CR79" s="884"/>
      <c r="CS79" s="884"/>
      <c r="CT79" s="884"/>
      <c r="CU79" s="884"/>
      <c r="CV79" s="884"/>
      <c r="CW79" s="884"/>
      <c r="CX79" s="884"/>
      <c r="CY79" s="884"/>
      <c r="CZ79" s="884"/>
      <c r="DA79" s="884"/>
      <c r="DB79" s="884"/>
      <c r="DC79" s="884"/>
      <c r="DD79" s="884"/>
      <c r="DE79" s="884"/>
      <c r="DF79" s="884"/>
      <c r="DG79" s="884"/>
      <c r="DH79" s="884"/>
      <c r="DI79" s="884"/>
      <c r="DJ79" s="884"/>
      <c r="DK79" s="884"/>
      <c r="DL79" s="884"/>
      <c r="DM79" s="884"/>
      <c r="DN79" s="884"/>
      <c r="DO79" s="884"/>
      <c r="DP79" s="884"/>
      <c r="DQ79" s="884"/>
      <c r="DR79" s="884"/>
      <c r="DS79" s="884"/>
      <c r="DT79" s="884"/>
      <c r="DU79" s="884"/>
      <c r="DV79" s="884"/>
      <c r="DW79" s="884"/>
      <c r="DX79" s="884"/>
      <c r="DY79" s="884"/>
      <c r="DZ79" s="884"/>
      <c r="EA79" s="884"/>
      <c r="EB79" s="884"/>
      <c r="EC79" s="884"/>
      <c r="ED79" s="884"/>
      <c r="EE79" s="884"/>
      <c r="EF79" s="884"/>
      <c r="EG79" s="884"/>
      <c r="EH79" s="884"/>
      <c r="EI79" s="884"/>
      <c r="EJ79" s="884"/>
      <c r="EK79" s="884"/>
      <c r="EL79" s="884"/>
      <c r="EM79" s="884"/>
      <c r="EN79" s="884"/>
      <c r="EO79" s="884"/>
      <c r="EP79" s="884"/>
      <c r="EQ79" s="884"/>
      <c r="ER79" s="884"/>
      <c r="ES79" s="884"/>
      <c r="ET79" s="884"/>
      <c r="EU79" s="884"/>
      <c r="EV79" s="884"/>
      <c r="EW79" s="884"/>
      <c r="EX79" s="884"/>
      <c r="EY79" s="884"/>
      <c r="EZ79" s="884"/>
      <c r="FA79" s="884"/>
      <c r="FB79" s="884"/>
      <c r="FC79" s="884"/>
      <c r="FD79" s="884"/>
      <c r="FE79" s="884"/>
      <c r="FF79" s="884"/>
      <c r="FG79" s="884"/>
      <c r="FH79" s="884"/>
      <c r="FI79" s="884"/>
      <c r="FJ79" s="884"/>
      <c r="FK79" s="884"/>
      <c r="FL79" s="884"/>
      <c r="FM79" s="884"/>
      <c r="FN79" s="884"/>
      <c r="FO79" s="884"/>
      <c r="FP79" s="884"/>
      <c r="FQ79" s="884"/>
      <c r="FR79" s="884"/>
      <c r="FS79" s="884"/>
      <c r="FT79" s="884"/>
      <c r="FU79" s="884"/>
      <c r="FV79" s="884"/>
      <c r="FW79" s="884"/>
      <c r="FX79" s="884"/>
      <c r="FY79" s="884"/>
      <c r="FZ79" s="884"/>
      <c r="GA79" s="884"/>
      <c r="GB79" s="884"/>
      <c r="GC79" s="884"/>
      <c r="GD79" s="884"/>
      <c r="GE79" s="884"/>
      <c r="GF79" s="884"/>
      <c r="GG79" s="884"/>
      <c r="GH79" s="884"/>
      <c r="GI79" s="884"/>
      <c r="GJ79" s="884"/>
      <c r="GK79" s="884"/>
      <c r="GL79" s="884"/>
      <c r="GM79" s="884"/>
      <c r="GN79" s="884"/>
      <c r="GO79" s="884"/>
      <c r="GP79" s="884"/>
      <c r="GQ79" s="884"/>
      <c r="GR79" s="884"/>
      <c r="GS79" s="884"/>
      <c r="GT79" s="884"/>
      <c r="GU79" s="884"/>
      <c r="GV79" s="884"/>
      <c r="GW79" s="884"/>
      <c r="GX79" s="884"/>
      <c r="GY79" s="884"/>
      <c r="GZ79" s="884"/>
      <c r="HA79" s="884"/>
      <c r="HB79" s="884"/>
      <c r="HC79" s="884"/>
      <c r="HD79" s="884"/>
      <c r="HE79" s="884"/>
      <c r="HF79" s="884"/>
      <c r="HG79" s="884"/>
      <c r="HH79" s="884"/>
      <c r="HI79" s="884"/>
      <c r="HJ79" s="884"/>
      <c r="HK79" s="884"/>
      <c r="HL79" s="884"/>
      <c r="HM79" s="884"/>
      <c r="HN79" s="884"/>
      <c r="HO79" s="884"/>
      <c r="HP79" s="884"/>
      <c r="HQ79" s="884"/>
      <c r="HR79" s="884"/>
      <c r="HS79" s="884"/>
      <c r="HT79" s="884"/>
      <c r="HU79" s="884"/>
      <c r="HV79" s="884"/>
      <c r="HW79" s="884"/>
      <c r="HX79" s="884"/>
      <c r="HY79" s="884"/>
      <c r="HZ79" s="884"/>
      <c r="IA79" s="884"/>
      <c r="IB79" s="884"/>
      <c r="IC79" s="884"/>
      <c r="ID79" s="884"/>
      <c r="IE79" s="884"/>
      <c r="IF79" s="884"/>
      <c r="IG79" s="884"/>
      <c r="IH79" s="884"/>
      <c r="II79" s="884"/>
      <c r="IJ79" s="884"/>
      <c r="IK79" s="884"/>
      <c r="IL79" s="884"/>
      <c r="IM79" s="884"/>
      <c r="IN79" s="884"/>
      <c r="IO79" s="884"/>
      <c r="IP79" s="884"/>
      <c r="IQ79" s="884"/>
      <c r="IR79" s="884"/>
      <c r="IS79" s="884"/>
      <c r="IT79" s="884"/>
      <c r="IU79" s="884"/>
      <c r="IV79" s="884"/>
    </row>
    <row r="80" spans="1:256" s="884" customFormat="1" ht="18"/>
    <row r="81" spans="1:256" ht="18">
      <c r="A81" s="884"/>
      <c r="B81" s="884"/>
      <c r="C81" s="884"/>
      <c r="D81" s="884"/>
      <c r="E81" s="884"/>
      <c r="F81" s="884"/>
      <c r="G81" s="884"/>
      <c r="H81" s="884"/>
      <c r="I81" s="884"/>
      <c r="J81" s="884"/>
      <c r="K81" s="884"/>
      <c r="L81" s="884"/>
      <c r="M81" s="884"/>
      <c r="N81" s="884"/>
      <c r="O81" s="884"/>
      <c r="P81" s="884"/>
      <c r="Q81" s="884"/>
      <c r="R81" s="884"/>
      <c r="S81" s="884"/>
      <c r="T81" s="884"/>
      <c r="U81" s="884"/>
      <c r="V81" s="884"/>
      <c r="W81" s="884"/>
      <c r="X81" s="884"/>
      <c r="Y81" s="884"/>
      <c r="Z81" s="884"/>
      <c r="AA81" s="884"/>
      <c r="AB81" s="884"/>
      <c r="AC81" s="884"/>
      <c r="AD81" s="884"/>
      <c r="AE81" s="884"/>
      <c r="AF81" s="884"/>
      <c r="AG81" s="884"/>
      <c r="AH81" s="884"/>
      <c r="AI81" s="884"/>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4"/>
      <c r="BN81" s="884"/>
      <c r="BO81" s="884"/>
      <c r="BP81" s="884"/>
      <c r="BQ81" s="884"/>
      <c r="BR81" s="884"/>
      <c r="BS81" s="884"/>
      <c r="BT81" s="884"/>
      <c r="BU81" s="884"/>
      <c r="BV81" s="884"/>
      <c r="BW81" s="884"/>
      <c r="BX81" s="884"/>
      <c r="BY81" s="884"/>
      <c r="BZ81" s="884"/>
      <c r="CA81" s="884"/>
      <c r="CB81" s="884"/>
      <c r="CC81" s="884"/>
      <c r="CD81" s="884"/>
      <c r="CE81" s="884"/>
      <c r="CF81" s="884"/>
      <c r="CG81" s="884"/>
      <c r="CH81" s="884"/>
      <c r="CI81" s="884"/>
      <c r="CJ81" s="884"/>
      <c r="CK81" s="884"/>
      <c r="CL81" s="884"/>
      <c r="CM81" s="884"/>
      <c r="CN81" s="884"/>
      <c r="CO81" s="884"/>
      <c r="CP81" s="884"/>
      <c r="CQ81" s="884"/>
      <c r="CR81" s="884"/>
      <c r="CS81" s="884"/>
      <c r="CT81" s="884"/>
      <c r="CU81" s="884"/>
      <c r="CV81" s="884"/>
      <c r="CW81" s="884"/>
      <c r="CX81" s="884"/>
      <c r="CY81" s="884"/>
      <c r="CZ81" s="884"/>
      <c r="DA81" s="884"/>
      <c r="DB81" s="884"/>
      <c r="DC81" s="884"/>
      <c r="DD81" s="884"/>
      <c r="DE81" s="884"/>
      <c r="DF81" s="884"/>
      <c r="DG81" s="884"/>
      <c r="DH81" s="884"/>
      <c r="DI81" s="884"/>
      <c r="DJ81" s="884"/>
      <c r="DK81" s="884"/>
      <c r="DL81" s="884"/>
      <c r="DM81" s="884"/>
      <c r="DN81" s="884"/>
      <c r="DO81" s="884"/>
      <c r="DP81" s="884"/>
      <c r="DQ81" s="884"/>
      <c r="DR81" s="884"/>
      <c r="DS81" s="884"/>
      <c r="DT81" s="884"/>
      <c r="DU81" s="884"/>
      <c r="DV81" s="884"/>
      <c r="DW81" s="884"/>
      <c r="DX81" s="884"/>
      <c r="DY81" s="884"/>
      <c r="DZ81" s="884"/>
      <c r="EA81" s="884"/>
      <c r="EB81" s="884"/>
      <c r="EC81" s="884"/>
      <c r="ED81" s="884"/>
      <c r="EE81" s="884"/>
      <c r="EF81" s="884"/>
      <c r="EG81" s="884"/>
      <c r="EH81" s="884"/>
      <c r="EI81" s="884"/>
      <c r="EJ81" s="884"/>
      <c r="EK81" s="884"/>
      <c r="EL81" s="884"/>
      <c r="EM81" s="884"/>
      <c r="EN81" s="884"/>
      <c r="EO81" s="884"/>
      <c r="EP81" s="884"/>
      <c r="EQ81" s="884"/>
      <c r="ER81" s="884"/>
      <c r="ES81" s="884"/>
      <c r="ET81" s="884"/>
      <c r="EU81" s="884"/>
      <c r="EV81" s="884"/>
      <c r="EW81" s="884"/>
      <c r="EX81" s="884"/>
      <c r="EY81" s="884"/>
      <c r="EZ81" s="884"/>
      <c r="FA81" s="884"/>
      <c r="FB81" s="884"/>
      <c r="FC81" s="884"/>
      <c r="FD81" s="884"/>
      <c r="FE81" s="884"/>
      <c r="FF81" s="884"/>
      <c r="FG81" s="884"/>
      <c r="FH81" s="884"/>
      <c r="FI81" s="884"/>
      <c r="FJ81" s="884"/>
      <c r="FK81" s="884"/>
      <c r="FL81" s="884"/>
      <c r="FM81" s="884"/>
      <c r="FN81" s="884"/>
      <c r="FO81" s="884"/>
      <c r="FP81" s="884"/>
      <c r="FQ81" s="884"/>
      <c r="FR81" s="884"/>
      <c r="FS81" s="884"/>
      <c r="FT81" s="884"/>
      <c r="FU81" s="884"/>
      <c r="FV81" s="884"/>
      <c r="FW81" s="884"/>
      <c r="FX81" s="884"/>
      <c r="FY81" s="884"/>
      <c r="FZ81" s="884"/>
      <c r="GA81" s="884"/>
      <c r="GB81" s="884"/>
      <c r="GC81" s="884"/>
      <c r="GD81" s="884"/>
      <c r="GE81" s="884"/>
      <c r="GF81" s="884"/>
      <c r="GG81" s="884"/>
      <c r="GH81" s="884"/>
      <c r="GI81" s="884"/>
      <c r="GJ81" s="884"/>
      <c r="GK81" s="884"/>
      <c r="GL81" s="884"/>
      <c r="GM81" s="884"/>
      <c r="GN81" s="884"/>
      <c r="GO81" s="884"/>
      <c r="GP81" s="884"/>
      <c r="GQ81" s="884"/>
      <c r="GR81" s="884"/>
      <c r="GS81" s="884"/>
      <c r="GT81" s="884"/>
      <c r="GU81" s="884"/>
      <c r="GV81" s="884"/>
      <c r="GW81" s="884"/>
      <c r="GX81" s="884"/>
      <c r="GY81" s="884"/>
      <c r="GZ81" s="884"/>
      <c r="HA81" s="884"/>
      <c r="HB81" s="884"/>
      <c r="HC81" s="884"/>
      <c r="HD81" s="884"/>
      <c r="HE81" s="884"/>
      <c r="HF81" s="884"/>
      <c r="HG81" s="884"/>
      <c r="HH81" s="884"/>
      <c r="HI81" s="884"/>
      <c r="HJ81" s="884"/>
      <c r="HK81" s="884"/>
      <c r="HL81" s="884"/>
      <c r="HM81" s="884"/>
      <c r="HN81" s="884"/>
      <c r="HO81" s="884"/>
      <c r="HP81" s="884"/>
      <c r="HQ81" s="884"/>
      <c r="HR81" s="884"/>
      <c r="HS81" s="884"/>
      <c r="HT81" s="884"/>
      <c r="HU81" s="884"/>
      <c r="HV81" s="884"/>
      <c r="HW81" s="884"/>
      <c r="HX81" s="884"/>
      <c r="HY81" s="884"/>
      <c r="HZ81" s="884"/>
      <c r="IA81" s="884"/>
      <c r="IB81" s="884"/>
      <c r="IC81" s="884"/>
      <c r="ID81" s="884"/>
      <c r="IE81" s="884"/>
      <c r="IF81" s="884"/>
      <c r="IG81" s="884"/>
      <c r="IH81" s="884"/>
      <c r="II81" s="884"/>
      <c r="IJ81" s="884"/>
      <c r="IK81" s="884"/>
      <c r="IL81" s="884"/>
      <c r="IM81" s="884"/>
      <c r="IN81" s="884"/>
      <c r="IO81" s="884"/>
      <c r="IP81" s="884"/>
      <c r="IQ81" s="884"/>
      <c r="IR81" s="884"/>
      <c r="IS81" s="884"/>
      <c r="IT81" s="884"/>
      <c r="IU81" s="884"/>
      <c r="IV81" s="884"/>
    </row>
    <row r="82" spans="1:256" s="884" customFormat="1" ht="18"/>
    <row r="83" spans="1:256" s="884" customFormat="1" ht="18"/>
    <row r="84" spans="1:256" s="884" customFormat="1" ht="18"/>
    <row r="85" spans="1:256" ht="18">
      <c r="A85" s="884"/>
      <c r="B85" s="884"/>
      <c r="C85" s="884"/>
      <c r="D85" s="884"/>
      <c r="E85" s="884"/>
      <c r="F85" s="884"/>
      <c r="G85" s="884"/>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884"/>
      <c r="AG85" s="884"/>
      <c r="AH85" s="884"/>
      <c r="AI85" s="884"/>
      <c r="AJ85" s="884"/>
      <c r="AK85" s="884"/>
      <c r="AL85" s="884"/>
      <c r="AM85" s="884"/>
      <c r="AN85" s="884"/>
      <c r="AO85" s="884"/>
      <c r="AP85" s="884"/>
      <c r="AQ85" s="884"/>
      <c r="AR85" s="884"/>
      <c r="AS85" s="884"/>
      <c r="AT85" s="884"/>
      <c r="AU85" s="884"/>
      <c r="AV85" s="884"/>
      <c r="AW85" s="884"/>
      <c r="AX85" s="884"/>
      <c r="AY85" s="884"/>
      <c r="AZ85" s="884"/>
      <c r="BA85" s="884"/>
      <c r="BB85" s="884"/>
      <c r="BC85" s="884"/>
      <c r="BD85" s="884"/>
      <c r="BE85" s="884"/>
      <c r="BF85" s="884"/>
      <c r="BG85" s="884"/>
      <c r="BH85" s="884"/>
      <c r="BI85" s="884"/>
      <c r="BJ85" s="884"/>
      <c r="BK85" s="884"/>
      <c r="BL85" s="884"/>
      <c r="BM85" s="884"/>
      <c r="BN85" s="884"/>
      <c r="BO85" s="884"/>
      <c r="BP85" s="884"/>
      <c r="BQ85" s="884"/>
      <c r="BR85" s="884"/>
      <c r="BS85" s="884"/>
      <c r="BT85" s="884"/>
      <c r="BU85" s="884"/>
      <c r="BV85" s="884"/>
      <c r="BW85" s="884"/>
      <c r="BX85" s="884"/>
      <c r="BY85" s="884"/>
      <c r="BZ85" s="884"/>
      <c r="CA85" s="884"/>
      <c r="CB85" s="884"/>
      <c r="CC85" s="884"/>
      <c r="CD85" s="884"/>
      <c r="CE85" s="884"/>
      <c r="CF85" s="884"/>
      <c r="CG85" s="884"/>
      <c r="CH85" s="884"/>
      <c r="CI85" s="884"/>
      <c r="CJ85" s="884"/>
      <c r="CK85" s="884"/>
      <c r="CL85" s="884"/>
      <c r="CM85" s="884"/>
      <c r="CN85" s="884"/>
      <c r="CO85" s="884"/>
      <c r="CP85" s="884"/>
      <c r="CQ85" s="884"/>
      <c r="CR85" s="884"/>
      <c r="CS85" s="884"/>
      <c r="CT85" s="884"/>
      <c r="CU85" s="884"/>
      <c r="CV85" s="884"/>
      <c r="CW85" s="884"/>
      <c r="CX85" s="884"/>
      <c r="CY85" s="884"/>
      <c r="CZ85" s="884"/>
      <c r="DA85" s="884"/>
      <c r="DB85" s="884"/>
      <c r="DC85" s="884"/>
      <c r="DD85" s="884"/>
      <c r="DE85" s="884"/>
      <c r="DF85" s="884"/>
      <c r="DG85" s="884"/>
      <c r="DH85" s="884"/>
      <c r="DI85" s="884"/>
      <c r="DJ85" s="884"/>
      <c r="DK85" s="884"/>
      <c r="DL85" s="884"/>
      <c r="DM85" s="884"/>
      <c r="DN85" s="884"/>
      <c r="DO85" s="884"/>
      <c r="DP85" s="884"/>
      <c r="DQ85" s="884"/>
      <c r="DR85" s="884"/>
      <c r="DS85" s="884"/>
      <c r="DT85" s="884"/>
      <c r="DU85" s="884"/>
      <c r="DV85" s="884"/>
      <c r="DW85" s="884"/>
      <c r="DX85" s="884"/>
      <c r="DY85" s="884"/>
      <c r="DZ85" s="884"/>
      <c r="EA85" s="884"/>
      <c r="EB85" s="884"/>
      <c r="EC85" s="884"/>
      <c r="ED85" s="884"/>
      <c r="EE85" s="884"/>
      <c r="EF85" s="884"/>
      <c r="EG85" s="884"/>
      <c r="EH85" s="884"/>
      <c r="EI85" s="884"/>
      <c r="EJ85" s="884"/>
      <c r="EK85" s="884"/>
      <c r="EL85" s="884"/>
      <c r="EM85" s="884"/>
      <c r="EN85" s="884"/>
      <c r="EO85" s="884"/>
      <c r="EP85" s="884"/>
      <c r="EQ85" s="884"/>
      <c r="ER85" s="884"/>
      <c r="ES85" s="884"/>
      <c r="ET85" s="884"/>
      <c r="EU85" s="884"/>
      <c r="EV85" s="884"/>
      <c r="EW85" s="884"/>
      <c r="EX85" s="884"/>
      <c r="EY85" s="884"/>
      <c r="EZ85" s="884"/>
      <c r="FA85" s="884"/>
      <c r="FB85" s="884"/>
      <c r="FC85" s="884"/>
      <c r="FD85" s="884"/>
      <c r="FE85" s="884"/>
      <c r="FF85" s="884"/>
      <c r="FG85" s="884"/>
      <c r="FH85" s="884"/>
      <c r="FI85" s="884"/>
      <c r="FJ85" s="884"/>
      <c r="FK85" s="884"/>
      <c r="FL85" s="884"/>
      <c r="FM85" s="884"/>
      <c r="FN85" s="884"/>
      <c r="FO85" s="884"/>
      <c r="FP85" s="884"/>
      <c r="FQ85" s="884"/>
      <c r="FR85" s="884"/>
      <c r="FS85" s="884"/>
      <c r="FT85" s="884"/>
      <c r="FU85" s="884"/>
      <c r="FV85" s="884"/>
      <c r="FW85" s="884"/>
      <c r="FX85" s="884"/>
      <c r="FY85" s="884"/>
      <c r="FZ85" s="884"/>
      <c r="GA85" s="884"/>
      <c r="GB85" s="884"/>
      <c r="GC85" s="884"/>
      <c r="GD85" s="884"/>
      <c r="GE85" s="884"/>
      <c r="GF85" s="884"/>
      <c r="GG85" s="884"/>
      <c r="GH85" s="884"/>
      <c r="GI85" s="884"/>
      <c r="GJ85" s="884"/>
      <c r="GK85" s="884"/>
      <c r="GL85" s="884"/>
      <c r="GM85" s="884"/>
      <c r="GN85" s="884"/>
      <c r="GO85" s="884"/>
      <c r="GP85" s="884"/>
      <c r="GQ85" s="884"/>
      <c r="GR85" s="884"/>
      <c r="GS85" s="884"/>
      <c r="GT85" s="884"/>
      <c r="GU85" s="884"/>
      <c r="GV85" s="884"/>
      <c r="GW85" s="884"/>
      <c r="GX85" s="884"/>
      <c r="GY85" s="884"/>
      <c r="GZ85" s="884"/>
      <c r="HA85" s="884"/>
      <c r="HB85" s="884"/>
      <c r="HC85" s="884"/>
      <c r="HD85" s="884"/>
      <c r="HE85" s="884"/>
      <c r="HF85" s="884"/>
      <c r="HG85" s="884"/>
      <c r="HH85" s="884"/>
      <c r="HI85" s="884"/>
      <c r="HJ85" s="884"/>
      <c r="HK85" s="884"/>
      <c r="HL85" s="884"/>
      <c r="HM85" s="884"/>
      <c r="HN85" s="884"/>
      <c r="HO85" s="884"/>
      <c r="HP85" s="884"/>
      <c r="HQ85" s="884"/>
      <c r="HR85" s="884"/>
      <c r="HS85" s="884"/>
      <c r="HT85" s="884"/>
      <c r="HU85" s="884"/>
      <c r="HV85" s="884"/>
      <c r="HW85" s="884"/>
      <c r="HX85" s="884"/>
      <c r="HY85" s="884"/>
      <c r="HZ85" s="884"/>
      <c r="IA85" s="884"/>
      <c r="IB85" s="884"/>
      <c r="IC85" s="884"/>
      <c r="ID85" s="884"/>
      <c r="IE85" s="884"/>
      <c r="IF85" s="884"/>
      <c r="IG85" s="884"/>
      <c r="IH85" s="884"/>
      <c r="II85" s="884"/>
      <c r="IJ85" s="884"/>
      <c r="IK85" s="884"/>
      <c r="IL85" s="884"/>
      <c r="IM85" s="884"/>
      <c r="IN85" s="884"/>
      <c r="IO85" s="884"/>
      <c r="IP85" s="884"/>
      <c r="IQ85" s="884"/>
      <c r="IR85" s="884"/>
      <c r="IS85" s="884"/>
      <c r="IT85" s="884"/>
      <c r="IU85" s="884"/>
      <c r="IV85" s="884"/>
    </row>
    <row r="86" spans="1:256" s="884" customFormat="1" ht="18"/>
    <row r="87" spans="1:256" s="884" customFormat="1" ht="18"/>
    <row r="88" spans="1:256" s="884" customFormat="1" ht="18"/>
    <row r="89" spans="1:256" s="884" customFormat="1" ht="18"/>
    <row r="90" spans="1:256" s="884" customFormat="1" ht="18"/>
    <row r="91" spans="1:256" s="884" customFormat="1" ht="18"/>
    <row r="92" spans="1:256" s="884" customFormat="1" ht="18"/>
    <row r="93" spans="1:256" s="884" customFormat="1" ht="18"/>
    <row r="94" spans="1:256" s="884" customFormat="1" ht="18"/>
    <row r="95" spans="1:256" s="884" customFormat="1" ht="18"/>
    <row r="96" spans="1:256" s="884" customFormat="1" ht="18"/>
    <row r="97" s="884" customFormat="1" ht="18"/>
    <row r="98" s="884" customFormat="1" ht="18"/>
    <row r="99" s="884" customFormat="1" ht="18"/>
    <row r="100" s="884" customFormat="1" ht="18"/>
    <row r="101" s="884" customFormat="1" ht="18"/>
    <row r="102" s="884" customFormat="1" ht="18"/>
    <row r="103" s="884" customFormat="1" ht="18"/>
    <row r="104" s="884" customFormat="1" ht="18"/>
    <row r="105" s="884" customFormat="1" ht="18"/>
    <row r="106" s="884" customFormat="1" ht="18"/>
    <row r="107" s="884" customFormat="1" ht="18"/>
    <row r="108" s="884" customFormat="1" ht="18"/>
    <row r="109" s="884" customFormat="1" ht="18"/>
    <row r="110" s="884" customFormat="1" ht="18"/>
    <row r="111" s="884" customFormat="1" ht="18"/>
    <row r="112" s="884" customFormat="1" ht="18"/>
    <row r="113" s="884" customFormat="1" ht="18"/>
    <row r="114" s="884" customFormat="1" ht="18"/>
    <row r="115" s="884" customFormat="1" ht="18"/>
    <row r="116" s="884" customFormat="1" ht="18"/>
    <row r="117" s="884" customFormat="1" ht="18"/>
    <row r="118" s="884" customFormat="1" ht="18"/>
    <row r="119" s="884" customFormat="1" ht="18"/>
    <row r="120" s="884" customFormat="1" ht="18"/>
    <row r="121" s="884" customFormat="1" ht="18"/>
    <row r="122" s="884" customFormat="1" ht="18"/>
    <row r="123" s="884" customFormat="1" ht="18"/>
    <row r="124" s="884" customFormat="1" ht="18"/>
    <row r="125" s="884" customFormat="1" ht="18"/>
    <row r="126" s="884" customFormat="1" ht="18"/>
    <row r="127" s="884" customFormat="1" ht="18"/>
    <row r="128" s="884" customFormat="1" ht="18"/>
    <row r="129" s="884" customFormat="1" ht="18"/>
    <row r="130" s="884" customFormat="1" ht="18"/>
    <row r="131" s="884" customFormat="1" ht="18"/>
    <row r="132" s="884" customFormat="1" ht="18"/>
    <row r="133" s="884" customFormat="1" ht="18"/>
    <row r="134" s="884" customFormat="1" ht="18"/>
    <row r="135" s="884"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11" customWidth="1"/>
    <col min="2" max="2" width="1.88671875" style="911" customWidth="1"/>
    <col min="3" max="3" width="2.6640625" style="911" customWidth="1"/>
    <col min="4" max="4" width="20.21875" style="911" customWidth="1"/>
    <col min="5" max="5" width="7.88671875" style="911" customWidth="1"/>
    <col min="6" max="6" width="18.6640625" style="911" customWidth="1"/>
    <col min="7" max="7" width="7.77734375" style="911" customWidth="1"/>
    <col min="8" max="8" width="18.6640625" style="911" customWidth="1"/>
    <col min="9" max="9" width="7.6640625" style="911" customWidth="1"/>
    <col min="10" max="10" width="21.88671875" style="911" customWidth="1"/>
    <col min="11" max="11" width="10.6640625" style="911" customWidth="1"/>
    <col min="12" max="16384" width="8.88671875" style="911"/>
  </cols>
  <sheetData>
    <row r="1" spans="1:10" ht="15">
      <c r="A1" s="1190" t="s">
        <v>1231</v>
      </c>
    </row>
    <row r="2" spans="1:10" ht="15">
      <c r="A2" s="1741"/>
    </row>
    <row r="3" spans="1:10" ht="18">
      <c r="A3" s="865" t="s">
        <v>0</v>
      </c>
      <c r="B3" s="870"/>
      <c r="C3" s="870"/>
      <c r="D3" s="870"/>
      <c r="E3" s="870"/>
      <c r="F3" s="870"/>
      <c r="G3" s="865"/>
      <c r="H3" s="865"/>
      <c r="I3" s="865"/>
      <c r="J3" s="910" t="s">
        <v>400</v>
      </c>
    </row>
    <row r="4" spans="1:10" ht="18">
      <c r="A4" s="865" t="s">
        <v>401</v>
      </c>
      <c r="B4" s="870"/>
      <c r="C4" s="865"/>
      <c r="D4" s="870"/>
      <c r="E4" s="870"/>
      <c r="F4" s="870"/>
      <c r="G4" s="865"/>
      <c r="H4" s="865"/>
      <c r="I4" s="865"/>
      <c r="J4" s="865"/>
    </row>
    <row r="5" spans="1:10" ht="18">
      <c r="A5" s="865" t="s">
        <v>402</v>
      </c>
      <c r="B5" s="870"/>
      <c r="C5" s="865"/>
      <c r="D5" s="870"/>
      <c r="E5" s="870"/>
      <c r="F5" s="870"/>
      <c r="G5" s="865"/>
      <c r="H5" s="865"/>
      <c r="I5" s="865"/>
      <c r="J5" s="865"/>
    </row>
    <row r="6" spans="1:10" ht="18">
      <c r="A6" s="912" t="s">
        <v>1601</v>
      </c>
      <c r="B6" s="870"/>
      <c r="C6" s="865"/>
      <c r="D6" s="870"/>
      <c r="E6" s="870"/>
      <c r="F6" s="870"/>
      <c r="G6" s="865"/>
      <c r="H6" s="865"/>
      <c r="I6" s="865"/>
      <c r="J6" s="865"/>
    </row>
    <row r="7" spans="1:10" ht="18">
      <c r="A7" s="865" t="s">
        <v>1116</v>
      </c>
      <c r="B7" s="870"/>
      <c r="C7" s="865"/>
      <c r="D7" s="870"/>
      <c r="E7" s="870"/>
      <c r="F7" s="870"/>
      <c r="G7" s="865"/>
      <c r="H7" s="865"/>
      <c r="I7" s="865"/>
      <c r="J7" s="865"/>
    </row>
    <row r="8" spans="1:10" ht="18">
      <c r="A8" s="865"/>
      <c r="B8" s="870"/>
      <c r="C8" s="865"/>
      <c r="D8" s="870"/>
      <c r="E8" s="870"/>
      <c r="F8" s="870"/>
      <c r="G8" s="865"/>
      <c r="H8" s="865"/>
      <c r="I8" s="865"/>
      <c r="J8" s="865"/>
    </row>
    <row r="9" spans="1:10" ht="18">
      <c r="A9" s="865"/>
      <c r="B9" s="865"/>
      <c r="C9" s="865"/>
      <c r="D9" s="865"/>
      <c r="E9" s="865"/>
      <c r="F9" s="865"/>
      <c r="G9" s="865"/>
      <c r="H9" s="865"/>
      <c r="I9" s="865"/>
      <c r="J9" s="865"/>
    </row>
    <row r="10" spans="1:10" ht="18">
      <c r="A10" s="865"/>
      <c r="B10" s="865"/>
      <c r="C10" s="865"/>
      <c r="D10" s="913"/>
      <c r="E10" s="865"/>
      <c r="F10" s="865"/>
      <c r="G10" s="865"/>
      <c r="H10" s="865"/>
      <c r="I10" s="865"/>
      <c r="J10" s="913"/>
    </row>
    <row r="11" spans="1:10" ht="18">
      <c r="A11" s="865"/>
      <c r="B11" s="865"/>
      <c r="C11" s="865"/>
      <c r="D11" s="913" t="s">
        <v>243</v>
      </c>
      <c r="E11" s="865"/>
      <c r="F11" s="865"/>
      <c r="G11" s="865"/>
      <c r="H11" s="865"/>
      <c r="I11" s="865"/>
      <c r="J11" s="913" t="s">
        <v>243</v>
      </c>
    </row>
    <row r="12" spans="1:10" ht="18">
      <c r="A12" s="914" t="s">
        <v>369</v>
      </c>
      <c r="B12" s="865"/>
      <c r="C12" s="865"/>
      <c r="D12" s="1860" t="s">
        <v>1600</v>
      </c>
      <c r="E12" s="865"/>
      <c r="F12" s="913" t="s">
        <v>245</v>
      </c>
      <c r="G12" s="865"/>
      <c r="H12" s="913" t="s">
        <v>246</v>
      </c>
      <c r="I12" s="865"/>
      <c r="J12" s="1858" t="s">
        <v>1596</v>
      </c>
    </row>
    <row r="13" spans="1:10" ht="18">
      <c r="A13" s="914"/>
      <c r="B13" s="865"/>
      <c r="C13" s="865"/>
      <c r="D13" s="915"/>
      <c r="E13" s="865"/>
      <c r="F13" s="915"/>
      <c r="G13" s="865"/>
      <c r="H13" s="916" t="s">
        <v>242</v>
      </c>
      <c r="I13" s="865"/>
      <c r="J13" s="915"/>
    </row>
    <row r="14" spans="1:10" ht="18">
      <c r="A14" s="917" t="s">
        <v>403</v>
      </c>
      <c r="B14" s="865"/>
      <c r="C14" s="865"/>
      <c r="D14" s="865"/>
      <c r="E14" s="865"/>
      <c r="F14" s="918"/>
      <c r="G14" s="865"/>
      <c r="H14" s="865"/>
      <c r="I14" s="865"/>
      <c r="J14" s="865"/>
    </row>
    <row r="15" spans="1:10" ht="24.95" customHeight="1">
      <c r="A15" s="870" t="s">
        <v>404</v>
      </c>
      <c r="B15" s="865"/>
      <c r="C15" s="870"/>
      <c r="D15" s="919">
        <v>2.7109999999999999</v>
      </c>
      <c r="E15" s="919"/>
      <c r="F15" s="919">
        <v>0</v>
      </c>
      <c r="G15" s="919"/>
      <c r="H15" s="919">
        <v>0</v>
      </c>
      <c r="I15" s="919"/>
      <c r="J15" s="919">
        <f>ROUND(D15+F15-H15,3)</f>
        <v>2.7109999999999999</v>
      </c>
    </row>
    <row r="16" spans="1:10" ht="24.95" customHeight="1">
      <c r="A16" s="920" t="s">
        <v>405</v>
      </c>
      <c r="B16" s="870"/>
      <c r="C16" s="870"/>
      <c r="D16" s="1344">
        <v>2133.011</v>
      </c>
      <c r="E16" s="921"/>
      <c r="F16" s="922">
        <v>6614.3050000000003</v>
      </c>
      <c r="G16" s="921"/>
      <c r="H16" s="856">
        <v>6869.2250000000004</v>
      </c>
      <c r="I16" s="921"/>
      <c r="J16" s="1344">
        <f>ROUND(D16+F16-H16,3)</f>
        <v>1878.0909999999999</v>
      </c>
    </row>
    <row r="17" spans="1:14" ht="24.95" customHeight="1">
      <c r="A17" s="870" t="s">
        <v>406</v>
      </c>
      <c r="B17" s="870"/>
      <c r="C17" s="870"/>
      <c r="D17" s="852">
        <v>0</v>
      </c>
      <c r="E17" s="921"/>
      <c r="F17" s="852">
        <v>280.935</v>
      </c>
      <c r="G17" s="921"/>
      <c r="H17" s="853">
        <v>280.935</v>
      </c>
      <c r="I17" s="921"/>
      <c r="J17" s="1344">
        <f>ROUND(D17+F17-H17,3)</f>
        <v>0</v>
      </c>
    </row>
    <row r="18" spans="1:14" ht="24.95" customHeight="1" thickBot="1">
      <c r="A18" s="923" t="s">
        <v>407</v>
      </c>
      <c r="B18" s="870"/>
      <c r="C18" s="870"/>
      <c r="D18" s="924">
        <f>ROUND(SUM(D15:D17),3)</f>
        <v>2135.7220000000002</v>
      </c>
      <c r="E18" s="925"/>
      <c r="F18" s="924">
        <f>ROUND(SUM(F15:F17),3)</f>
        <v>6895.24</v>
      </c>
      <c r="G18" s="925"/>
      <c r="H18" s="3471">
        <f>ROUND(SUM(H15:H17),3)</f>
        <v>7150.16</v>
      </c>
      <c r="I18" s="925"/>
      <c r="J18" s="924">
        <f>ROUND(SUM(J15:J17),3)</f>
        <v>1880.8019999999999</v>
      </c>
      <c r="K18" s="926"/>
      <c r="L18" s="926"/>
      <c r="M18" s="926"/>
      <c r="N18" s="926"/>
    </row>
    <row r="19" spans="1:14" ht="18.75" thickTop="1">
      <c r="A19" s="870"/>
      <c r="B19" s="870"/>
      <c r="C19" s="870"/>
      <c r="D19" s="927"/>
      <c r="E19" s="870"/>
      <c r="F19" s="927"/>
      <c r="G19" s="870"/>
      <c r="H19" s="927"/>
      <c r="I19" s="870"/>
      <c r="J19" s="927"/>
    </row>
    <row r="20" spans="1:14" ht="18">
      <c r="A20" s="870"/>
      <c r="B20" s="870"/>
      <c r="C20" s="870"/>
      <c r="D20" s="927"/>
      <c r="E20" s="870"/>
      <c r="F20" s="927"/>
      <c r="G20" s="870"/>
      <c r="H20" s="927"/>
      <c r="I20" s="870"/>
      <c r="J20" s="927"/>
    </row>
    <row r="21" spans="1:14" ht="18">
      <c r="A21" s="870"/>
      <c r="B21" s="870"/>
      <c r="C21" s="870"/>
      <c r="D21" s="927"/>
      <c r="E21" s="870"/>
      <c r="F21" s="927"/>
      <c r="G21" s="870"/>
      <c r="H21" s="927"/>
      <c r="I21" s="870"/>
      <c r="J21" s="927"/>
    </row>
    <row r="22" spans="1:14" ht="18.75" customHeight="1">
      <c r="A22" s="928" t="s">
        <v>408</v>
      </c>
      <c r="B22" s="870"/>
      <c r="C22" s="870"/>
      <c r="D22" s="870"/>
      <c r="E22" s="870"/>
      <c r="F22" s="870" t="s">
        <v>16</v>
      </c>
      <c r="G22" s="870"/>
      <c r="H22" s="870"/>
      <c r="I22" s="870"/>
      <c r="J22" s="870"/>
    </row>
    <row r="23" spans="1:14" ht="12.75" customHeight="1"/>
    <row r="24" spans="1:14" ht="56.25" customHeight="1">
      <c r="A24" s="3533" t="s">
        <v>1248</v>
      </c>
      <c r="B24" s="3534"/>
      <c r="C24" s="3534"/>
      <c r="D24" s="3534"/>
      <c r="E24" s="3534"/>
      <c r="F24" s="3534"/>
      <c r="G24" s="3534"/>
      <c r="H24" s="3534"/>
      <c r="I24" s="3534"/>
      <c r="J24" s="3534"/>
    </row>
    <row r="25" spans="1:14" ht="32.25" customHeight="1">
      <c r="A25" s="3535" t="s">
        <v>1608</v>
      </c>
      <c r="B25" s="3536"/>
      <c r="C25" s="3536"/>
      <c r="D25" s="3536"/>
      <c r="E25" s="3536"/>
      <c r="F25" s="3536"/>
      <c r="G25" s="3536"/>
      <c r="H25" s="3536"/>
      <c r="I25" s="3536"/>
      <c r="J25" s="3536"/>
    </row>
    <row r="26" spans="1:14" ht="18.75" customHeight="1">
      <c r="A26" s="3537"/>
      <c r="B26" s="3538"/>
      <c r="C26" s="3538"/>
      <c r="D26" s="3538"/>
      <c r="E26" s="3538"/>
      <c r="F26" s="3538"/>
      <c r="G26" s="3538"/>
      <c r="H26" s="3538"/>
      <c r="I26" s="3538"/>
      <c r="J26" s="3538"/>
    </row>
    <row r="27" spans="1:14" ht="18" customHeight="1">
      <c r="A27" s="929"/>
      <c r="B27" s="930"/>
      <c r="C27" s="930"/>
      <c r="D27" s="930"/>
      <c r="E27" s="930"/>
      <c r="F27" s="930"/>
      <c r="G27" s="930"/>
      <c r="H27" s="930"/>
      <c r="I27" s="930"/>
      <c r="J27" s="930"/>
    </row>
    <row r="28" spans="1:14" ht="20.25" customHeight="1">
      <c r="A28" s="3539"/>
      <c r="B28" s="3538"/>
      <c r="C28" s="3538"/>
      <c r="D28" s="3538"/>
      <c r="E28" s="3538"/>
      <c r="F28" s="3538"/>
      <c r="G28" s="3538"/>
      <c r="H28" s="3538"/>
      <c r="I28" s="3538"/>
      <c r="J28" s="3538"/>
    </row>
    <row r="29" spans="1:14" ht="20.25" customHeight="1">
      <c r="A29" s="931"/>
      <c r="B29" s="930"/>
      <c r="C29" s="930"/>
      <c r="D29" s="930"/>
      <c r="E29" s="930"/>
      <c r="F29" s="930"/>
      <c r="G29" s="930"/>
      <c r="H29" s="930"/>
      <c r="I29" s="930"/>
      <c r="J29" s="930"/>
    </row>
    <row r="30" spans="1:14" ht="20.25" customHeight="1">
      <c r="A30" s="931"/>
      <c r="B30" s="930"/>
      <c r="C30" s="930"/>
      <c r="D30" s="930"/>
      <c r="E30" s="930"/>
      <c r="F30" s="930"/>
      <c r="G30" s="930"/>
      <c r="H30" s="930"/>
      <c r="I30" s="930"/>
      <c r="J30" s="930"/>
    </row>
    <row r="31" spans="1:14" ht="20.25" customHeight="1">
      <c r="A31" s="931"/>
      <c r="B31" s="930"/>
      <c r="C31" s="930"/>
      <c r="D31" s="930"/>
      <c r="E31" s="930"/>
      <c r="F31" s="930"/>
      <c r="G31" s="930"/>
      <c r="H31" s="930"/>
      <c r="I31" s="930"/>
      <c r="J31" s="930"/>
    </row>
    <row r="32" spans="1:14" ht="20.25" customHeight="1">
      <c r="A32" s="931"/>
      <c r="B32" s="930"/>
      <c r="C32" s="930"/>
      <c r="D32" s="930"/>
      <c r="E32" s="930"/>
      <c r="F32" s="930"/>
      <c r="G32" s="930"/>
      <c r="H32" s="930"/>
      <c r="I32" s="930"/>
      <c r="J32" s="930"/>
    </row>
    <row r="33" spans="1:10" ht="20.25" customHeight="1">
      <c r="A33" s="931"/>
      <c r="B33" s="930"/>
      <c r="C33" s="930"/>
      <c r="D33" s="930"/>
      <c r="E33" s="930"/>
      <c r="F33" s="930"/>
      <c r="G33" s="930"/>
      <c r="H33" s="930"/>
      <c r="I33" s="930"/>
      <c r="J33" s="930"/>
    </row>
    <row r="34" spans="1:10" ht="20.25" customHeight="1">
      <c r="A34" s="931"/>
      <c r="B34" s="930"/>
      <c r="C34" s="930"/>
      <c r="D34" s="930"/>
      <c r="E34" s="930"/>
      <c r="F34" s="930"/>
      <c r="G34" s="930"/>
      <c r="H34" s="930"/>
      <c r="I34" s="930"/>
      <c r="J34" s="930"/>
    </row>
    <row r="35" spans="1:10" ht="20.25" customHeight="1">
      <c r="A35" s="931"/>
      <c r="B35" s="930"/>
      <c r="C35" s="930"/>
      <c r="D35" s="930"/>
      <c r="E35" s="930"/>
      <c r="F35" s="930"/>
      <c r="G35" s="930"/>
      <c r="H35" s="930"/>
      <c r="I35" s="930"/>
      <c r="J35" s="930"/>
    </row>
    <row r="36" spans="1:10" ht="20.25" customHeight="1">
      <c r="A36" s="931"/>
      <c r="B36" s="930"/>
      <c r="C36" s="930"/>
      <c r="D36" s="930"/>
      <c r="E36" s="930"/>
      <c r="F36" s="930"/>
      <c r="G36" s="930"/>
      <c r="H36" s="930"/>
      <c r="I36" s="930"/>
      <c r="J36" s="930"/>
    </row>
    <row r="37" spans="1:10" ht="20.25" customHeight="1">
      <c r="A37" s="931"/>
      <c r="B37" s="930"/>
      <c r="C37" s="930"/>
      <c r="D37" s="930"/>
      <c r="E37" s="930"/>
      <c r="F37" s="930"/>
      <c r="G37" s="930"/>
      <c r="H37" s="930"/>
      <c r="I37" s="930"/>
      <c r="J37" s="930"/>
    </row>
    <row r="38" spans="1:10" ht="20.25" customHeight="1">
      <c r="A38" s="931"/>
      <c r="B38" s="930"/>
      <c r="C38" s="930"/>
      <c r="D38" s="930"/>
      <c r="E38" s="930"/>
      <c r="F38" s="930"/>
      <c r="G38" s="930"/>
      <c r="H38" s="930"/>
      <c r="I38" s="930"/>
      <c r="J38" s="930"/>
    </row>
    <row r="39" spans="1:10" ht="20.25" customHeight="1">
      <c r="A39" s="931"/>
      <c r="B39" s="930"/>
      <c r="C39" s="930"/>
      <c r="D39" s="930"/>
      <c r="E39" s="930"/>
      <c r="F39" s="930"/>
      <c r="G39" s="930"/>
      <c r="H39" s="930"/>
      <c r="I39" s="930"/>
      <c r="J39" s="930"/>
    </row>
    <row r="40" spans="1:10" ht="20.25" customHeight="1">
      <c r="A40" s="931"/>
      <c r="B40" s="930"/>
      <c r="C40" s="930"/>
      <c r="D40" s="930"/>
      <c r="E40" s="930"/>
      <c r="F40" s="930"/>
      <c r="G40" s="930"/>
      <c r="H40" s="930"/>
      <c r="I40" s="930"/>
      <c r="J40" s="930"/>
    </row>
    <row r="41" spans="1:10" ht="21" customHeight="1"/>
    <row r="42" spans="1:10" ht="21" customHeight="1">
      <c r="A42" s="931"/>
      <c r="B42" s="930"/>
      <c r="C42" s="930"/>
      <c r="D42" s="930"/>
      <c r="E42" s="930"/>
      <c r="F42" s="930"/>
      <c r="G42" s="930"/>
      <c r="H42" s="930"/>
      <c r="I42" s="930"/>
      <c r="J42" s="930"/>
    </row>
    <row r="43" spans="1:10" ht="18" customHeight="1">
      <c r="A43" s="932"/>
      <c r="B43" s="933"/>
      <c r="C43" s="934"/>
      <c r="D43" s="935"/>
      <c r="E43" s="934"/>
      <c r="F43" s="935"/>
      <c r="G43" s="934"/>
      <c r="H43" s="935"/>
      <c r="I43" s="936"/>
    </row>
    <row r="44" spans="1:10" ht="18" customHeight="1">
      <c r="A44" s="937"/>
      <c r="B44" s="933"/>
      <c r="C44" s="933"/>
      <c r="D44" s="935"/>
      <c r="E44" s="933"/>
      <c r="F44" s="938"/>
      <c r="G44" s="935"/>
      <c r="H44" s="935"/>
      <c r="I44" s="936"/>
    </row>
    <row r="45" spans="1:10" ht="18" customHeight="1">
      <c r="A45" s="937"/>
      <c r="B45" s="933"/>
      <c r="C45" s="933"/>
      <c r="D45" s="935"/>
      <c r="E45" s="933"/>
      <c r="F45" s="938"/>
      <c r="G45" s="935"/>
      <c r="H45" s="935"/>
      <c r="I45" s="936"/>
    </row>
    <row r="46" spans="1:10" ht="18" customHeight="1">
      <c r="A46" s="937"/>
      <c r="B46" s="933"/>
      <c r="C46" s="933"/>
      <c r="D46" s="935"/>
      <c r="E46" s="933"/>
      <c r="F46" s="938"/>
      <c r="G46" s="935"/>
      <c r="H46" s="935"/>
      <c r="I46" s="936"/>
    </row>
    <row r="47" spans="1:10" ht="18" customHeight="1">
      <c r="A47" s="937"/>
      <c r="B47" s="933"/>
      <c r="C47" s="933"/>
      <c r="D47" s="935"/>
      <c r="E47" s="933"/>
      <c r="F47" s="935"/>
      <c r="G47" s="935"/>
      <c r="H47" s="939"/>
      <c r="I47" s="936"/>
    </row>
    <row r="48" spans="1:10" ht="18" customHeight="1">
      <c r="A48" s="940"/>
      <c r="B48" s="933"/>
      <c r="C48" s="933"/>
      <c r="D48" s="935"/>
      <c r="E48" s="933"/>
      <c r="F48" s="935"/>
      <c r="G48" s="935"/>
      <c r="H48" s="935"/>
      <c r="I48" s="936"/>
    </row>
    <row r="49" spans="1:9" ht="18" customHeight="1">
      <c r="A49" s="941"/>
      <c r="B49" s="933"/>
      <c r="C49" s="933"/>
      <c r="D49" s="935"/>
      <c r="E49" s="933"/>
      <c r="F49" s="939"/>
      <c r="G49" s="935"/>
      <c r="H49" s="935"/>
      <c r="I49" s="936"/>
    </row>
    <row r="50" spans="1:9" ht="18" customHeight="1">
      <c r="A50" s="937"/>
      <c r="B50" s="933"/>
      <c r="C50" s="933"/>
      <c r="D50" s="935"/>
      <c r="E50" s="933"/>
      <c r="F50" s="938"/>
      <c r="G50" s="935"/>
      <c r="H50" s="935"/>
      <c r="I50" s="936"/>
    </row>
    <row r="51" spans="1:9" ht="18" customHeight="1">
      <c r="A51" s="937"/>
      <c r="B51" s="933"/>
      <c r="C51" s="933"/>
      <c r="D51" s="935"/>
      <c r="E51" s="933"/>
      <c r="F51" s="942"/>
      <c r="G51" s="935"/>
      <c r="H51" s="939"/>
      <c r="I51" s="936"/>
    </row>
    <row r="52" spans="1:9" ht="18" customHeight="1">
      <c r="A52" s="940"/>
      <c r="B52" s="933"/>
      <c r="C52" s="934"/>
      <c r="D52" s="943"/>
      <c r="E52" s="934"/>
      <c r="G52" s="934"/>
      <c r="H52" s="943"/>
      <c r="I52" s="936"/>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sheetPr codeName="Sheet32">
    <pageSetUpPr fitToPage="1"/>
  </sheetPr>
  <dimension ref="A1:V83"/>
  <sheetViews>
    <sheetView showGridLines="0" zoomScale="80" zoomScaleNormal="80" zoomScaleSheetLayoutView="75" workbookViewId="0"/>
  </sheetViews>
  <sheetFormatPr defaultRowHeight="12.75"/>
  <cols>
    <col min="1" max="1" width="39.21875" style="1158" customWidth="1"/>
    <col min="2" max="2" width="2.109375" style="1158" customWidth="1"/>
    <col min="3" max="3" width="18" style="1158" bestFit="1" customWidth="1"/>
    <col min="4" max="4" width="2.109375" style="1158" customWidth="1"/>
    <col min="5" max="5" width="14.5546875" style="1158" bestFit="1" customWidth="1"/>
    <col min="6" max="6" width="2.109375" style="1158" customWidth="1"/>
    <col min="7" max="7" width="15.5546875" style="1159" customWidth="1"/>
    <col min="8" max="8" width="2.109375" style="1158" customWidth="1"/>
    <col min="9" max="9" width="16.44140625" style="1159" bestFit="1" customWidth="1"/>
    <col min="10" max="10" width="2.109375" style="1158" customWidth="1"/>
    <col min="11" max="11" width="12.77734375" style="1644" bestFit="1" customWidth="1"/>
    <col min="12" max="12" width="1.88671875" style="1158" customWidth="1"/>
    <col min="13" max="13" width="14.6640625" style="1158" bestFit="1" customWidth="1"/>
    <col min="14" max="14" width="2" style="1158" customWidth="1"/>
    <col min="15" max="15" width="1.6640625" style="1158" customWidth="1"/>
    <col min="16" max="16" width="2.109375" style="1158" customWidth="1"/>
    <col min="17" max="17" width="16.44140625" style="1158" bestFit="1" customWidth="1"/>
    <col min="18" max="18" width="1.6640625" style="1158" customWidth="1"/>
    <col min="19" max="19" width="14.6640625" style="1158" bestFit="1" customWidth="1"/>
    <col min="20" max="20" width="8" style="1158" bestFit="1" customWidth="1"/>
    <col min="21" max="16384" width="8.88671875" style="1158"/>
  </cols>
  <sheetData>
    <row r="1" spans="1:21" ht="15">
      <c r="A1" s="2959" t="s">
        <v>1231</v>
      </c>
      <c r="B1" s="2958"/>
      <c r="C1" s="2958"/>
      <c r="D1" s="2958"/>
      <c r="E1" s="2958"/>
      <c r="F1" s="2958"/>
      <c r="G1" s="2958"/>
      <c r="H1" s="2958"/>
      <c r="I1" s="2958"/>
      <c r="J1" s="2958"/>
      <c r="K1" s="2958"/>
      <c r="L1" s="2958"/>
      <c r="M1" s="2958"/>
      <c r="N1" s="2958"/>
      <c r="O1" s="2958"/>
      <c r="P1" s="2958"/>
      <c r="Q1" s="2958"/>
      <c r="R1" s="2958"/>
      <c r="S1" s="2958"/>
    </row>
    <row r="2" spans="1:21" ht="15">
      <c r="A2" s="2962"/>
      <c r="B2" s="2958"/>
      <c r="C2" s="2958"/>
      <c r="D2" s="2958"/>
      <c r="E2" s="2958"/>
      <c r="F2" s="2958"/>
      <c r="G2" s="2958"/>
      <c r="H2" s="2958"/>
      <c r="I2" s="2958"/>
      <c r="J2" s="2958"/>
      <c r="K2" s="2958"/>
      <c r="L2" s="2958"/>
      <c r="M2" s="2958"/>
      <c r="N2" s="2958"/>
      <c r="O2" s="2958"/>
      <c r="P2" s="2958"/>
      <c r="Q2" s="2958"/>
      <c r="R2" s="2958"/>
      <c r="S2" s="2958"/>
    </row>
    <row r="3" spans="1:21" ht="18">
      <c r="A3" s="2963" t="s">
        <v>0</v>
      </c>
      <c r="B3" s="2958"/>
      <c r="C3" s="2958"/>
      <c r="D3" s="2958"/>
      <c r="E3" s="2958"/>
      <c r="F3" s="2958"/>
      <c r="G3" s="2958"/>
      <c r="H3" s="2958"/>
      <c r="I3" s="2958"/>
      <c r="J3" s="2958"/>
      <c r="K3" s="2958"/>
      <c r="L3" s="2958"/>
      <c r="M3" s="2958"/>
      <c r="N3" s="2958"/>
      <c r="O3" s="2958"/>
      <c r="P3" s="2958"/>
      <c r="Q3" s="2958"/>
      <c r="R3" s="2958"/>
      <c r="S3" s="2963" t="s">
        <v>409</v>
      </c>
    </row>
    <row r="4" spans="1:21" ht="18">
      <c r="A4" s="2963" t="s">
        <v>191</v>
      </c>
      <c r="B4" s="2958"/>
      <c r="C4" s="2958"/>
      <c r="D4" s="2958"/>
      <c r="E4" s="2958"/>
      <c r="F4" s="2958"/>
      <c r="G4" s="2958"/>
      <c r="H4" s="2958"/>
      <c r="I4" s="2958"/>
      <c r="J4" s="2960" t="s">
        <v>16</v>
      </c>
      <c r="K4" s="2958"/>
      <c r="L4" s="2958"/>
      <c r="M4" s="2958"/>
      <c r="N4" s="2958"/>
      <c r="O4" s="2958"/>
      <c r="P4" s="2958"/>
      <c r="Q4" s="2958"/>
      <c r="R4" s="2958"/>
      <c r="S4" s="2958"/>
    </row>
    <row r="5" spans="1:21" ht="18">
      <c r="A5" s="2963" t="s">
        <v>410</v>
      </c>
      <c r="B5" s="2958"/>
      <c r="C5" s="2958"/>
      <c r="D5" s="2958"/>
      <c r="E5" s="2958"/>
      <c r="F5" s="2958"/>
      <c r="G5" s="2958"/>
      <c r="H5" s="2958"/>
      <c r="I5" s="2958"/>
      <c r="J5" s="2958"/>
      <c r="K5" s="2958"/>
      <c r="L5" s="2958"/>
      <c r="M5" s="2958"/>
      <c r="N5" s="2958"/>
      <c r="O5" s="2958"/>
      <c r="P5" s="2958"/>
      <c r="Q5" s="2958"/>
      <c r="R5" s="2958"/>
      <c r="S5" s="2958"/>
    </row>
    <row r="6" spans="1:21" ht="18">
      <c r="A6" s="2964" t="s">
        <v>1545</v>
      </c>
      <c r="B6" s="2958"/>
      <c r="C6" s="2958"/>
      <c r="D6" s="2958"/>
      <c r="E6" s="2958"/>
      <c r="F6" s="2958"/>
      <c r="G6" s="2958"/>
      <c r="H6" s="2958"/>
      <c r="I6" s="2958"/>
      <c r="J6" s="2958"/>
      <c r="K6" s="2958"/>
      <c r="L6" s="2958"/>
      <c r="M6" s="2958"/>
      <c r="N6" s="2958"/>
      <c r="O6" s="2958"/>
      <c r="P6" s="2958"/>
      <c r="Q6" s="2958"/>
      <c r="R6" s="2958"/>
      <c r="S6" s="2958"/>
    </row>
    <row r="9" spans="1:21">
      <c r="A9" s="2958"/>
      <c r="B9" s="2958"/>
      <c r="C9" s="3162"/>
      <c r="D9" s="3169"/>
      <c r="E9" s="3540" t="s">
        <v>1546</v>
      </c>
      <c r="F9" s="3540"/>
      <c r="G9" s="3540"/>
      <c r="H9" s="3170"/>
      <c r="I9" s="3171" t="s">
        <v>1257</v>
      </c>
      <c r="J9" s="3172"/>
      <c r="K9" s="3172"/>
      <c r="L9" s="3162"/>
      <c r="M9" s="3162"/>
      <c r="N9" s="3162"/>
      <c r="O9" s="3173"/>
      <c r="P9" s="3162"/>
      <c r="Q9" s="3174" t="s">
        <v>1184</v>
      </c>
      <c r="R9" s="3174"/>
      <c r="S9" s="3174"/>
    </row>
    <row r="10" spans="1:21">
      <c r="A10" s="2958"/>
      <c r="B10" s="2958"/>
      <c r="C10" s="3175" t="s">
        <v>126</v>
      </c>
      <c r="D10" s="3162"/>
      <c r="E10" s="3162"/>
      <c r="F10" s="3167" t="s">
        <v>16</v>
      </c>
      <c r="G10" s="3167" t="s">
        <v>16</v>
      </c>
      <c r="H10" s="3162"/>
      <c r="I10" s="3168" t="s">
        <v>16</v>
      </c>
      <c r="J10" s="3167" t="s">
        <v>16</v>
      </c>
      <c r="K10" s="3168" t="s">
        <v>16</v>
      </c>
      <c r="L10" s="3162"/>
      <c r="M10" s="3176" t="s">
        <v>126</v>
      </c>
      <c r="N10" s="3162"/>
      <c r="O10" s="3177"/>
      <c r="P10" s="3162"/>
      <c r="Q10" s="3167" t="s">
        <v>16</v>
      </c>
      <c r="R10" s="3167" t="s">
        <v>16</v>
      </c>
      <c r="S10" s="3167" t="s">
        <v>16</v>
      </c>
    </row>
    <row r="11" spans="1:21">
      <c r="A11" s="2958"/>
      <c r="B11" s="2958"/>
      <c r="C11" s="3175" t="s">
        <v>411</v>
      </c>
      <c r="D11" s="3162"/>
      <c r="E11" s="3175" t="s">
        <v>7</v>
      </c>
      <c r="F11" s="3162"/>
      <c r="G11" s="3178" t="s">
        <v>1607</v>
      </c>
      <c r="H11" s="3162"/>
      <c r="I11" s="3175" t="s">
        <v>412</v>
      </c>
      <c r="J11" s="3167" t="s">
        <v>16</v>
      </c>
      <c r="K11" s="3175" t="str">
        <f>G11</f>
        <v>2 MONTHS ENDED</v>
      </c>
      <c r="L11" s="3162"/>
      <c r="M11" s="3176" t="s">
        <v>411</v>
      </c>
      <c r="N11" s="3162"/>
      <c r="O11" s="3177"/>
      <c r="P11" s="3162"/>
      <c r="Q11" s="3175" t="s">
        <v>412</v>
      </c>
      <c r="R11" s="3167" t="s">
        <v>16</v>
      </c>
      <c r="S11" s="3175" t="str">
        <f>K11</f>
        <v>2 MONTHS ENDED</v>
      </c>
    </row>
    <row r="12" spans="1:21">
      <c r="A12" s="2965" t="s">
        <v>413</v>
      </c>
      <c r="B12" s="2958"/>
      <c r="C12" s="3179" t="s">
        <v>1544</v>
      </c>
      <c r="D12" s="3162"/>
      <c r="E12" s="3171" t="s">
        <v>130</v>
      </c>
      <c r="F12" s="3162"/>
      <c r="G12" s="3190" t="s">
        <v>1596</v>
      </c>
      <c r="H12" s="3162"/>
      <c r="I12" s="3171" t="str">
        <f>E12</f>
        <v>MAY</v>
      </c>
      <c r="J12" s="3162"/>
      <c r="K12" s="3163" t="str">
        <f>G12</f>
        <v>MAY 31, 2015</v>
      </c>
      <c r="L12" s="3162"/>
      <c r="M12" s="3163" t="str">
        <f>K12</f>
        <v>MAY 31, 2015</v>
      </c>
      <c r="N12" s="3162"/>
      <c r="O12" s="3177"/>
      <c r="P12" s="3162"/>
      <c r="Q12" s="3171" t="str">
        <f>E12</f>
        <v>MAY</v>
      </c>
      <c r="R12" s="3162"/>
      <c r="S12" s="3163" t="str">
        <f>M12</f>
        <v>MAY 31, 2015</v>
      </c>
    </row>
    <row r="13" spans="1:21">
      <c r="A13" s="2958"/>
      <c r="B13" s="2958"/>
      <c r="C13" s="3162"/>
      <c r="D13" s="3162"/>
      <c r="E13" s="3162"/>
      <c r="F13" s="3162"/>
      <c r="G13" s="3162"/>
      <c r="H13" s="3162"/>
      <c r="I13" s="3162"/>
      <c r="J13" s="3162"/>
      <c r="K13" s="3164"/>
      <c r="L13" s="3162"/>
      <c r="M13" s="3162"/>
      <c r="N13" s="3162"/>
      <c r="O13" s="3177"/>
      <c r="P13" s="3162"/>
      <c r="Q13" s="3162"/>
      <c r="R13" s="3162"/>
      <c r="S13" s="3162"/>
    </row>
    <row r="14" spans="1:21">
      <c r="A14" s="2966" t="s">
        <v>414</v>
      </c>
      <c r="B14" s="2958"/>
      <c r="C14" s="3162"/>
      <c r="D14" s="3162"/>
      <c r="E14" s="3162"/>
      <c r="F14" s="3162"/>
      <c r="G14" s="3162"/>
      <c r="H14" s="3162"/>
      <c r="I14" s="3162"/>
      <c r="J14" s="3162"/>
      <c r="K14" s="3164"/>
      <c r="L14" s="3162"/>
      <c r="M14" s="3162"/>
      <c r="N14" s="3162"/>
      <c r="O14" s="3177"/>
      <c r="P14" s="3162"/>
      <c r="Q14" s="3168"/>
      <c r="R14" s="3162"/>
      <c r="S14" s="3162"/>
    </row>
    <row r="15" spans="1:21">
      <c r="A15" s="2966"/>
      <c r="B15" s="2958"/>
      <c r="C15" s="3162"/>
      <c r="D15" s="3162"/>
      <c r="E15" s="3162"/>
      <c r="F15" s="3162"/>
      <c r="G15" s="3162"/>
      <c r="H15" s="3162"/>
      <c r="I15" s="3162"/>
      <c r="J15" s="3162"/>
      <c r="K15" s="3164"/>
      <c r="L15" s="3162"/>
      <c r="M15" s="3166" t="s">
        <v>16</v>
      </c>
      <c r="N15" s="3162"/>
      <c r="O15" s="3177"/>
      <c r="P15" s="3162"/>
      <c r="Q15" s="3168"/>
      <c r="R15" s="3162"/>
      <c r="S15" s="3162"/>
    </row>
    <row r="16" spans="1:21">
      <c r="A16" s="2960" t="s">
        <v>1258</v>
      </c>
      <c r="B16" s="2961"/>
      <c r="C16" s="3447">
        <v>151044395.19</v>
      </c>
      <c r="D16" s="1159"/>
      <c r="E16" s="3447">
        <v>0</v>
      </c>
      <c r="F16" s="3448"/>
      <c r="G16" s="3447">
        <v>0</v>
      </c>
      <c r="H16" s="1159"/>
      <c r="I16" s="3447">
        <v>0</v>
      </c>
      <c r="J16" s="1159"/>
      <c r="K16" s="3447">
        <v>38222657.049999997</v>
      </c>
      <c r="L16" s="1159"/>
      <c r="M16" s="3449">
        <f>ROUND(SUM(C16)-SUM(K16)+SUM(G16),2)</f>
        <v>112821738.14</v>
      </c>
      <c r="N16" s="3180"/>
      <c r="O16" s="3181"/>
      <c r="P16" s="3168"/>
      <c r="Q16" s="3449">
        <v>0</v>
      </c>
      <c r="R16" s="3459"/>
      <c r="S16" s="3449">
        <v>1330566.43</v>
      </c>
      <c r="T16" s="1570"/>
      <c r="U16" s="1430"/>
    </row>
    <row r="17" spans="1:21" ht="12" customHeight="1">
      <c r="A17" s="2958"/>
      <c r="B17" s="2958"/>
      <c r="C17" s="1428"/>
      <c r="D17" s="1173"/>
      <c r="E17" s="1163"/>
      <c r="F17" s="3448"/>
      <c r="G17" s="3448"/>
      <c r="H17" s="1173"/>
      <c r="I17" s="3448"/>
      <c r="J17" s="1173"/>
      <c r="K17" s="3450"/>
      <c r="L17" s="1173"/>
      <c r="M17" s="1645"/>
      <c r="N17" s="3180"/>
      <c r="O17" s="3181"/>
      <c r="P17" s="3180"/>
      <c r="Q17" s="1164"/>
      <c r="R17" s="3460"/>
      <c r="S17" s="1428"/>
      <c r="T17" s="1429"/>
      <c r="U17" s="1430"/>
    </row>
    <row r="18" spans="1:21">
      <c r="A18" s="2960" t="s">
        <v>415</v>
      </c>
      <c r="B18" s="2958"/>
      <c r="C18" s="1428"/>
      <c r="D18" s="1173"/>
      <c r="E18" s="3451"/>
      <c r="F18" s="3448"/>
      <c r="G18" s="3448"/>
      <c r="H18" s="1173"/>
      <c r="I18" s="3448"/>
      <c r="J18" s="1159"/>
      <c r="K18" s="3450"/>
      <c r="L18" s="1173"/>
      <c r="M18" s="1645"/>
      <c r="N18" s="3180"/>
      <c r="O18" s="3181"/>
      <c r="P18" s="3180"/>
      <c r="Q18" s="1164"/>
      <c r="R18" s="3460"/>
      <c r="S18" s="1428"/>
      <c r="T18" s="1429"/>
      <c r="U18" s="1162"/>
    </row>
    <row r="19" spans="1:21">
      <c r="A19" s="2960" t="s">
        <v>1259</v>
      </c>
      <c r="B19" s="2958"/>
      <c r="C19" s="3452">
        <v>9754327.5999999996</v>
      </c>
      <c r="D19" s="1173"/>
      <c r="E19" s="3191">
        <v>0</v>
      </c>
      <c r="F19" s="3448"/>
      <c r="G19" s="3191">
        <v>0</v>
      </c>
      <c r="H19" s="1173"/>
      <c r="I19" s="3191">
        <v>0</v>
      </c>
      <c r="J19" s="1159"/>
      <c r="K19" s="1165">
        <v>2185305.0699999998</v>
      </c>
      <c r="L19" s="1159" t="s">
        <v>16</v>
      </c>
      <c r="M19" s="3452">
        <f>ROUND(SUM(C19)-SUM(K19)+SUM(G19),2)</f>
        <v>7569022.5300000003</v>
      </c>
      <c r="N19" s="3180"/>
      <c r="O19" s="3181"/>
      <c r="P19" s="3180" t="s">
        <v>16</v>
      </c>
      <c r="Q19" s="1645">
        <v>166.99</v>
      </c>
      <c r="R19" s="3459"/>
      <c r="S19" s="3457">
        <f>54632.63+423.04</f>
        <v>55055.67</v>
      </c>
      <c r="T19" s="1429"/>
      <c r="U19" s="1430"/>
    </row>
    <row r="20" spans="1:21">
      <c r="A20" s="2960" t="s">
        <v>416</v>
      </c>
      <c r="B20" s="2958"/>
      <c r="C20" s="3452">
        <v>0</v>
      </c>
      <c r="D20" s="1173"/>
      <c r="E20" s="3191">
        <v>0</v>
      </c>
      <c r="F20" s="3448"/>
      <c r="G20" s="3191">
        <v>0</v>
      </c>
      <c r="H20" s="1173"/>
      <c r="I20" s="3191">
        <v>0</v>
      </c>
      <c r="J20" s="1169"/>
      <c r="K20" s="1165">
        <v>0</v>
      </c>
      <c r="L20" s="1173"/>
      <c r="M20" s="3452">
        <f>ROUND(SUM(C20)-SUM(K20)+SUM(G20),2)</f>
        <v>0</v>
      </c>
      <c r="N20" s="3180"/>
      <c r="O20" s="3181"/>
      <c r="P20" s="3180"/>
      <c r="Q20" s="1645">
        <v>0</v>
      </c>
      <c r="R20" s="1159"/>
      <c r="S20" s="3452">
        <v>0</v>
      </c>
      <c r="T20" s="1429"/>
      <c r="U20" s="1430"/>
    </row>
    <row r="21" spans="1:21" ht="12" customHeight="1">
      <c r="A21" s="2960" t="s">
        <v>417</v>
      </c>
      <c r="B21" s="2958"/>
      <c r="C21" s="3452">
        <v>429426360.5</v>
      </c>
      <c r="D21" s="1173"/>
      <c r="E21" s="3191">
        <v>0</v>
      </c>
      <c r="F21" s="3448"/>
      <c r="G21" s="3191">
        <v>0</v>
      </c>
      <c r="H21" s="1173"/>
      <c r="I21" s="3191">
        <v>0</v>
      </c>
      <c r="J21" s="1159"/>
      <c r="K21" s="1165">
        <v>6304925.4299999997</v>
      </c>
      <c r="L21" s="1173"/>
      <c r="M21" s="3452">
        <f>ROUND(SUM(C21)-SUM(K21)+SUM(G21),2)</f>
        <v>423121435.06999999</v>
      </c>
      <c r="N21" s="3180"/>
      <c r="O21" s="3181"/>
      <c r="P21" s="3180"/>
      <c r="Q21" s="1645">
        <v>4428.33</v>
      </c>
      <c r="R21" s="1159"/>
      <c r="S21" s="3457">
        <f>1531182.09+10937.31</f>
        <v>1542119.4000000001</v>
      </c>
      <c r="T21" s="1429"/>
      <c r="U21" s="1430"/>
    </row>
    <row r="22" spans="1:21">
      <c r="A22" s="2960" t="s">
        <v>418</v>
      </c>
      <c r="B22" s="2958"/>
      <c r="C22" s="3452">
        <v>42810106.090000004</v>
      </c>
      <c r="D22" s="1173"/>
      <c r="E22" s="3191">
        <v>0</v>
      </c>
      <c r="F22" s="3448"/>
      <c r="G22" s="3191">
        <v>0</v>
      </c>
      <c r="H22" s="1173"/>
      <c r="I22" s="3191">
        <v>0</v>
      </c>
      <c r="J22" s="1173"/>
      <c r="K22" s="1165">
        <v>1703185.85</v>
      </c>
      <c r="L22" s="1173"/>
      <c r="M22" s="3452">
        <f>ROUND(SUM(C22)-SUM(K22)+SUM(G22),2)</f>
        <v>41106920.240000002</v>
      </c>
      <c r="N22" s="3180"/>
      <c r="O22" s="3181"/>
      <c r="P22" s="3180"/>
      <c r="Q22" s="1645">
        <v>1800.83</v>
      </c>
      <c r="R22" s="1159"/>
      <c r="S22" s="3457">
        <f>62721.26+4562.1</f>
        <v>67283.360000000001</v>
      </c>
      <c r="T22" s="1429"/>
      <c r="U22" s="1430"/>
    </row>
    <row r="23" spans="1:21">
      <c r="A23" s="2960" t="s">
        <v>1260</v>
      </c>
      <c r="B23" s="2958"/>
      <c r="C23" s="3452">
        <v>91604900.75</v>
      </c>
      <c r="D23" s="1173"/>
      <c r="E23" s="3191">
        <v>0</v>
      </c>
      <c r="F23" s="3448"/>
      <c r="G23" s="3191">
        <v>0</v>
      </c>
      <c r="H23" s="1173"/>
      <c r="I23" s="3191">
        <v>0</v>
      </c>
      <c r="J23" s="1169"/>
      <c r="K23" s="1165">
        <v>165000</v>
      </c>
      <c r="L23" s="1173"/>
      <c r="M23" s="3452">
        <f>ROUND(SUM(C23)-SUM(K23)+SUM(G23),2)</f>
        <v>91439900.75</v>
      </c>
      <c r="N23" s="3180"/>
      <c r="O23" s="3181"/>
      <c r="P23" s="3180"/>
      <c r="Q23" s="1645">
        <v>274.24</v>
      </c>
      <c r="R23" s="1159"/>
      <c r="S23" s="3457">
        <f>33125+676.32</f>
        <v>33801.32</v>
      </c>
      <c r="T23" s="1429"/>
      <c r="U23" s="1430"/>
    </row>
    <row r="24" spans="1:21" ht="15">
      <c r="A24" s="2958"/>
      <c r="B24" s="2958"/>
      <c r="C24" s="1645"/>
      <c r="D24" s="1173"/>
      <c r="E24" s="3192"/>
      <c r="F24" s="3448"/>
      <c r="G24" s="3448"/>
      <c r="H24" s="1173"/>
      <c r="I24" s="3448"/>
      <c r="J24" s="1173"/>
      <c r="K24" s="3450"/>
      <c r="L24" s="1173"/>
      <c r="M24" s="1645"/>
      <c r="N24" s="3180"/>
      <c r="O24" s="3181"/>
      <c r="P24" s="3180"/>
      <c r="Q24" s="1645"/>
      <c r="R24" s="1173"/>
      <c r="S24" s="3461"/>
      <c r="T24" s="1429"/>
      <c r="U24" s="1430"/>
    </row>
    <row r="25" spans="1:21" ht="15">
      <c r="A25" s="2960" t="s">
        <v>1133</v>
      </c>
      <c r="B25" s="2958"/>
      <c r="C25" s="1645"/>
      <c r="D25" s="1173"/>
      <c r="E25" s="3192"/>
      <c r="F25" s="3448"/>
      <c r="G25" s="3448"/>
      <c r="H25" s="1173"/>
      <c r="I25" s="3448"/>
      <c r="J25" s="1173"/>
      <c r="K25" s="3450"/>
      <c r="L25" s="1173"/>
      <c r="M25" s="1645"/>
      <c r="N25" s="3180"/>
      <c r="O25" s="3181"/>
      <c r="P25" s="3180"/>
      <c r="Q25" s="1645"/>
      <c r="R25" s="1173"/>
      <c r="S25" s="3461"/>
      <c r="T25" s="1429"/>
      <c r="U25" s="1162"/>
    </row>
    <row r="26" spans="1:21">
      <c r="A26" s="2960" t="s">
        <v>1283</v>
      </c>
      <c r="B26" s="2958"/>
      <c r="C26" s="3452">
        <v>5286209.05</v>
      </c>
      <c r="D26" s="1173"/>
      <c r="E26" s="3191">
        <v>0</v>
      </c>
      <c r="F26" s="3448"/>
      <c r="G26" s="3191">
        <v>0</v>
      </c>
      <c r="H26" s="1173"/>
      <c r="I26" s="3191">
        <v>0</v>
      </c>
      <c r="J26" s="1159"/>
      <c r="K26" s="1165">
        <v>1957750.21</v>
      </c>
      <c r="L26" s="1173"/>
      <c r="M26" s="3452">
        <f>ROUND(SUM(C26)-SUM(K26)+SUM(G26),2)</f>
        <v>3328458.84</v>
      </c>
      <c r="N26" s="3180"/>
      <c r="O26" s="3181"/>
      <c r="P26" s="3180"/>
      <c r="Q26" s="3452">
        <v>0</v>
      </c>
      <c r="R26" s="1159"/>
      <c r="S26" s="3457">
        <v>86812.21</v>
      </c>
      <c r="T26" s="1429"/>
      <c r="U26" s="1430"/>
    </row>
    <row r="27" spans="1:21" ht="15">
      <c r="A27" s="2958"/>
      <c r="B27" s="2958"/>
      <c r="C27" s="1645"/>
      <c r="D27" s="1173"/>
      <c r="E27" s="3192"/>
      <c r="F27" s="3448"/>
      <c r="G27" s="3448"/>
      <c r="H27" s="1173"/>
      <c r="I27" s="3448"/>
      <c r="J27" s="1173"/>
      <c r="K27" s="3450"/>
      <c r="L27" s="1173"/>
      <c r="M27" s="1645"/>
      <c r="N27" s="3180"/>
      <c r="O27" s="3181"/>
      <c r="P27" s="3180"/>
      <c r="Q27" s="1645"/>
      <c r="R27" s="1173"/>
      <c r="S27" s="3461"/>
      <c r="T27" s="1429"/>
      <c r="U27" s="1430"/>
    </row>
    <row r="28" spans="1:21" ht="15">
      <c r="A28" s="2960" t="s">
        <v>419</v>
      </c>
      <c r="B28" s="2958"/>
      <c r="C28" s="1645"/>
      <c r="D28" s="1173"/>
      <c r="E28" s="3192"/>
      <c r="F28" s="3448"/>
      <c r="G28" s="3448"/>
      <c r="H28" s="1173"/>
      <c r="I28" s="3448"/>
      <c r="J28" s="1173"/>
      <c r="K28" s="3450"/>
      <c r="L28" s="1173"/>
      <c r="M28" s="1645"/>
      <c r="N28" s="3180"/>
      <c r="O28" s="3181"/>
      <c r="P28" s="3180"/>
      <c r="Q28" s="1645"/>
      <c r="R28" s="1173"/>
      <c r="S28" s="3461"/>
      <c r="T28" s="1429"/>
    </row>
    <row r="29" spans="1:21">
      <c r="A29" s="2960" t="s">
        <v>420</v>
      </c>
      <c r="B29" s="2958"/>
      <c r="C29" s="3452">
        <v>2986458.23</v>
      </c>
      <c r="D29" s="1173"/>
      <c r="E29" s="3191">
        <v>0</v>
      </c>
      <c r="F29" s="3448"/>
      <c r="G29" s="3191">
        <v>0</v>
      </c>
      <c r="H29" s="1173"/>
      <c r="I29" s="3191">
        <v>0</v>
      </c>
      <c r="J29" s="1159"/>
      <c r="K29" s="3452">
        <v>2488893.87</v>
      </c>
      <c r="L29" s="1173"/>
      <c r="M29" s="3452">
        <f>ROUND(SUM(C29)-SUM(K29)+SUM(G29),2)</f>
        <v>497564.36</v>
      </c>
      <c r="N29" s="3180"/>
      <c r="O29" s="3181"/>
      <c r="P29" s="3180"/>
      <c r="Q29" s="3452">
        <v>0</v>
      </c>
      <c r="R29" s="1159"/>
      <c r="S29" s="3457">
        <v>74222.350000000006</v>
      </c>
      <c r="T29" s="1429"/>
      <c r="U29" s="1430"/>
    </row>
    <row r="30" spans="1:21">
      <c r="A30" s="2960" t="s">
        <v>1261</v>
      </c>
      <c r="B30" s="2958"/>
      <c r="C30" s="3452">
        <v>10029155.140000001</v>
      </c>
      <c r="D30" s="1173"/>
      <c r="E30" s="3191">
        <v>0</v>
      </c>
      <c r="F30" s="3448"/>
      <c r="G30" s="3191">
        <v>0</v>
      </c>
      <c r="H30" s="1173"/>
      <c r="I30" s="3191">
        <v>0</v>
      </c>
      <c r="J30" s="1159"/>
      <c r="K30" s="3452">
        <v>2531960.59</v>
      </c>
      <c r="L30" s="1173"/>
      <c r="M30" s="3452">
        <f>ROUND(SUM(C30)-SUM(K30)+SUM(G30),2)</f>
        <v>7497194.5499999998</v>
      </c>
      <c r="N30" s="3180"/>
      <c r="O30" s="3181"/>
      <c r="P30" s="3180"/>
      <c r="Q30" s="3452">
        <v>0</v>
      </c>
      <c r="R30" s="1159"/>
      <c r="S30" s="3457">
        <v>119980.06</v>
      </c>
      <c r="T30" s="1429"/>
      <c r="U30" s="1430"/>
    </row>
    <row r="31" spans="1:21">
      <c r="A31" s="2960" t="s">
        <v>421</v>
      </c>
      <c r="B31" s="2958"/>
      <c r="C31" s="3452">
        <v>40929864.299999997</v>
      </c>
      <c r="D31" s="1173"/>
      <c r="E31" s="3191">
        <v>0</v>
      </c>
      <c r="F31" s="3448"/>
      <c r="G31" s="3448">
        <v>0</v>
      </c>
      <c r="H31" s="1173"/>
      <c r="I31" s="3448">
        <v>0</v>
      </c>
      <c r="J31" s="1159"/>
      <c r="K31" s="3452">
        <v>6869066.8700000001</v>
      </c>
      <c r="L31" s="1173"/>
      <c r="M31" s="3452">
        <f>ROUND(SUM(C31)-SUM(K31)+SUM(G31),2)</f>
        <v>34060797.43</v>
      </c>
      <c r="N31" s="3180"/>
      <c r="O31" s="3181"/>
      <c r="P31" s="3180"/>
      <c r="Q31" s="3452">
        <v>0</v>
      </c>
      <c r="R31" s="1159"/>
      <c r="S31" s="3457">
        <v>526418.88</v>
      </c>
      <c r="T31" s="1429"/>
      <c r="U31" s="1430"/>
    </row>
    <row r="32" spans="1:21" ht="15">
      <c r="A32" s="2958"/>
      <c r="B32" s="2958"/>
      <c r="C32" s="1645"/>
      <c r="D32" s="1173"/>
      <c r="E32" s="3192"/>
      <c r="F32" s="3448"/>
      <c r="G32" s="3448"/>
      <c r="H32" s="1173"/>
      <c r="I32" s="3448"/>
      <c r="J32" s="1173"/>
      <c r="K32" s="3450"/>
      <c r="L32" s="1173"/>
      <c r="M32" s="1645"/>
      <c r="N32" s="3180"/>
      <c r="O32" s="3181"/>
      <c r="P32" s="3180"/>
      <c r="Q32" s="1645"/>
      <c r="R32" s="1173"/>
      <c r="S32" s="3461"/>
      <c r="T32" s="1429"/>
      <c r="U32" s="1430"/>
    </row>
    <row r="33" spans="1:22" ht="15">
      <c r="A33" s="2960" t="s">
        <v>422</v>
      </c>
      <c r="B33" s="2958"/>
      <c r="C33" s="1645"/>
      <c r="D33" s="1173"/>
      <c r="E33" s="3192"/>
      <c r="F33" s="3448"/>
      <c r="G33" s="3448"/>
      <c r="H33" s="1173"/>
      <c r="I33" s="3448"/>
      <c r="J33" s="1173"/>
      <c r="K33" s="3450"/>
      <c r="L33" s="1173"/>
      <c r="M33" s="1645"/>
      <c r="N33" s="3180"/>
      <c r="O33" s="3181"/>
      <c r="P33" s="3180"/>
      <c r="Q33" s="1645"/>
      <c r="R33" s="1173"/>
      <c r="S33" s="3461"/>
      <c r="T33" s="1429"/>
      <c r="U33" s="1162"/>
    </row>
    <row r="34" spans="1:22">
      <c r="A34" s="2960" t="s">
        <v>1284</v>
      </c>
      <c r="B34" s="2958"/>
      <c r="C34" s="3452">
        <v>20036912.739999998</v>
      </c>
      <c r="D34" s="1173"/>
      <c r="E34" s="3191">
        <v>0</v>
      </c>
      <c r="F34" s="3448"/>
      <c r="G34" s="3191">
        <v>0</v>
      </c>
      <c r="H34" s="1173"/>
      <c r="I34" s="3191">
        <v>0</v>
      </c>
      <c r="J34" s="1159"/>
      <c r="K34" s="3452">
        <v>2353238.06</v>
      </c>
      <c r="L34" s="1173"/>
      <c r="M34" s="3452">
        <f>ROUND(SUM(C34)-SUM(K34)+SUM(G34),2)</f>
        <v>17683674.68</v>
      </c>
      <c r="N34" s="3180"/>
      <c r="O34" s="3181"/>
      <c r="P34" s="3180"/>
      <c r="Q34" s="3452">
        <v>435.31</v>
      </c>
      <c r="R34" s="1159"/>
      <c r="S34" s="3457">
        <f>87525.18+1042.11</f>
        <v>88567.29</v>
      </c>
      <c r="T34" s="1429"/>
      <c r="U34" s="1430"/>
    </row>
    <row r="35" spans="1:22" ht="14.25">
      <c r="A35" s="2960" t="s">
        <v>423</v>
      </c>
      <c r="B35" s="2958"/>
      <c r="C35" s="3452">
        <v>226116165.97</v>
      </c>
      <c r="D35" s="1173"/>
      <c r="E35" s="3191">
        <v>0</v>
      </c>
      <c r="F35" s="3448"/>
      <c r="G35" s="3191">
        <v>0</v>
      </c>
      <c r="H35" s="1173"/>
      <c r="I35" s="3191">
        <v>0</v>
      </c>
      <c r="J35" s="1159"/>
      <c r="K35" s="3452">
        <v>11962586.300000001</v>
      </c>
      <c r="L35" s="1173"/>
      <c r="M35" s="3452">
        <f>ROUND(SUM(C35)-SUM(K35)+SUM(G35),2)</f>
        <v>214153579.66999999</v>
      </c>
      <c r="N35" s="3180"/>
      <c r="O35" s="3181"/>
      <c r="P35" s="3180"/>
      <c r="Q35" s="3452">
        <f>261.73+1189.42</f>
        <v>1451.15</v>
      </c>
      <c r="R35" s="3462" t="s">
        <v>16</v>
      </c>
      <c r="S35" s="3457">
        <f>35374.39+758565.26+626.56+2847.41</f>
        <v>797413.62000000011</v>
      </c>
      <c r="T35" s="1429"/>
      <c r="U35" s="1430"/>
      <c r="V35" s="1162"/>
    </row>
    <row r="36" spans="1:22" ht="15">
      <c r="A36" s="2958"/>
      <c r="B36" s="2958"/>
      <c r="C36" s="1645"/>
      <c r="D36" s="1173"/>
      <c r="E36" s="3192"/>
      <c r="F36" s="3448"/>
      <c r="G36" s="3448"/>
      <c r="H36" s="1173"/>
      <c r="I36" s="3448"/>
      <c r="J36" s="1173"/>
      <c r="K36" s="3450"/>
      <c r="L36" s="1173"/>
      <c r="M36" s="1645"/>
      <c r="N36" s="3180"/>
      <c r="O36" s="3181"/>
      <c r="P36" s="3180"/>
      <c r="Q36" s="1645"/>
      <c r="R36" s="1173"/>
      <c r="S36" s="3461"/>
      <c r="T36" s="1429"/>
      <c r="U36" s="1430"/>
    </row>
    <row r="37" spans="1:22" ht="15">
      <c r="A37" s="2960" t="s">
        <v>424</v>
      </c>
      <c r="B37" s="2958"/>
      <c r="C37" s="1645"/>
      <c r="D37" s="1173"/>
      <c r="E37" s="3192"/>
      <c r="F37" s="3453"/>
      <c r="G37" s="3453"/>
      <c r="H37" s="1173"/>
      <c r="I37" s="3453"/>
      <c r="J37" s="1173"/>
      <c r="K37" s="3450"/>
      <c r="L37" s="1173"/>
      <c r="M37" s="1645"/>
      <c r="N37" s="3180"/>
      <c r="O37" s="3181"/>
      <c r="P37" s="3180"/>
      <c r="Q37" s="3452"/>
      <c r="R37" s="1173"/>
      <c r="S37" s="3461"/>
      <c r="T37" s="1429"/>
      <c r="U37" s="1162"/>
    </row>
    <row r="38" spans="1:22">
      <c r="A38" s="2960" t="s">
        <v>425</v>
      </c>
      <c r="B38" s="2958"/>
      <c r="C38" s="3452">
        <v>19890000</v>
      </c>
      <c r="D38" s="1173"/>
      <c r="E38" s="3191">
        <v>0</v>
      </c>
      <c r="F38" s="3448"/>
      <c r="G38" s="3191">
        <v>0</v>
      </c>
      <c r="H38" s="1173"/>
      <c r="I38" s="3191">
        <v>0</v>
      </c>
      <c r="J38" s="3454"/>
      <c r="K38" s="3452">
        <v>1690000</v>
      </c>
      <c r="L38" s="1173"/>
      <c r="M38" s="3452">
        <f>ROUND(SUM(C38)-SUM(K38)+SUM(G38),2)</f>
        <v>18200000</v>
      </c>
      <c r="N38" s="3180"/>
      <c r="O38" s="3181"/>
      <c r="P38" s="3180"/>
      <c r="Q38" s="3452">
        <v>0</v>
      </c>
      <c r="R38" s="1173"/>
      <c r="S38" s="3457">
        <v>282000</v>
      </c>
      <c r="T38" s="1429"/>
      <c r="U38" s="1430"/>
    </row>
    <row r="39" spans="1:22">
      <c r="A39" s="2960" t="s">
        <v>1262</v>
      </c>
      <c r="B39" s="2958"/>
      <c r="C39" s="3452">
        <v>17285000</v>
      </c>
      <c r="D39" s="1173"/>
      <c r="E39" s="3191">
        <v>0</v>
      </c>
      <c r="F39" s="3448"/>
      <c r="G39" s="3191">
        <v>0</v>
      </c>
      <c r="H39" s="1173"/>
      <c r="I39" s="3191">
        <v>0</v>
      </c>
      <c r="J39" s="1163"/>
      <c r="K39" s="3452">
        <v>0</v>
      </c>
      <c r="L39" s="1173"/>
      <c r="M39" s="3452">
        <f>ROUND(SUM(C39)-SUM(K39)+SUM(G39),2)</f>
        <v>17285000</v>
      </c>
      <c r="N39" s="3180"/>
      <c r="O39" s="3181"/>
      <c r="P39" s="3180"/>
      <c r="Q39" s="1165">
        <v>0</v>
      </c>
      <c r="R39" s="1159"/>
      <c r="S39" s="3452">
        <v>0</v>
      </c>
      <c r="T39" s="1429"/>
      <c r="U39" s="1430"/>
    </row>
    <row r="40" spans="1:22">
      <c r="A40" s="2958"/>
      <c r="B40" s="2958"/>
      <c r="C40" s="1645"/>
      <c r="D40" s="1173"/>
      <c r="E40" s="3191"/>
      <c r="F40" s="3448"/>
      <c r="G40" s="3448"/>
      <c r="H40" s="1173"/>
      <c r="I40" s="3448"/>
      <c r="J40" s="1431"/>
      <c r="K40" s="3455"/>
      <c r="L40" s="1173"/>
      <c r="M40" s="1645"/>
      <c r="N40" s="3180"/>
      <c r="O40" s="3181"/>
      <c r="P40" s="3180"/>
      <c r="Q40" s="3463"/>
      <c r="R40" s="1173"/>
      <c r="S40" s="1571"/>
      <c r="T40" s="1429"/>
      <c r="U40" s="1430"/>
    </row>
    <row r="41" spans="1:22">
      <c r="A41" s="2960" t="s">
        <v>1263</v>
      </c>
      <c r="B41" s="2958"/>
      <c r="C41" s="3452">
        <v>9270.0499999999993</v>
      </c>
      <c r="D41" s="1173"/>
      <c r="E41" s="3191">
        <v>0</v>
      </c>
      <c r="F41" s="3456"/>
      <c r="G41" s="3191">
        <v>0</v>
      </c>
      <c r="H41" s="1173"/>
      <c r="I41" s="3191">
        <v>0</v>
      </c>
      <c r="J41" s="1163"/>
      <c r="K41" s="3452">
        <v>0</v>
      </c>
      <c r="L41" s="1173"/>
      <c r="M41" s="3452">
        <f>ROUND(SUM(C41)-SUM(K41)+SUM(G41),2)</f>
        <v>9270.0499999999993</v>
      </c>
      <c r="N41" s="3180"/>
      <c r="O41" s="3181"/>
      <c r="P41" s="3180"/>
      <c r="Q41" s="1165">
        <v>0</v>
      </c>
      <c r="R41" s="1159"/>
      <c r="S41" s="3452">
        <v>0</v>
      </c>
      <c r="T41" s="1429"/>
      <c r="U41" s="1430"/>
    </row>
    <row r="42" spans="1:22">
      <c r="A42" s="2958"/>
      <c r="B42" s="2958"/>
      <c r="C42" s="3452"/>
      <c r="D42" s="1173"/>
      <c r="E42" s="3192"/>
      <c r="F42" s="3453"/>
      <c r="G42" s="3453"/>
      <c r="H42" s="1173"/>
      <c r="I42" s="3453"/>
      <c r="J42" s="1173"/>
      <c r="K42" s="3450"/>
      <c r="L42" s="1173"/>
      <c r="M42" s="1645"/>
      <c r="N42" s="3180"/>
      <c r="O42" s="3181"/>
      <c r="P42" s="3180"/>
      <c r="Q42" s="3463"/>
      <c r="R42" s="1173"/>
      <c r="S42" s="1169"/>
      <c r="T42" s="1429"/>
      <c r="U42" s="1430"/>
    </row>
    <row r="43" spans="1:22" ht="15">
      <c r="A43" s="2960" t="s">
        <v>426</v>
      </c>
      <c r="B43" s="2958"/>
      <c r="C43" s="3452">
        <v>38693774.380000003</v>
      </c>
      <c r="D43" s="1173"/>
      <c r="E43" s="3191">
        <v>0</v>
      </c>
      <c r="F43" s="3456"/>
      <c r="G43" s="3191">
        <v>0</v>
      </c>
      <c r="H43" s="1173"/>
      <c r="I43" s="3191">
        <v>0</v>
      </c>
      <c r="J43" s="1159"/>
      <c r="K43" s="3452">
        <v>4334483.95</v>
      </c>
      <c r="L43" s="1173"/>
      <c r="M43" s="3452">
        <f>ROUND(SUM(C43)-SUM(K43)+SUM(G43),2)</f>
        <v>34359290.43</v>
      </c>
      <c r="N43" s="3180"/>
      <c r="O43" s="3181"/>
      <c r="P43" s="3180"/>
      <c r="Q43" s="3452">
        <v>0</v>
      </c>
      <c r="R43" s="3464"/>
      <c r="S43" s="3452">
        <v>369195.42</v>
      </c>
      <c r="T43" s="1429"/>
      <c r="U43" s="1430"/>
    </row>
    <row r="44" spans="1:22" ht="15">
      <c r="A44" s="2958"/>
      <c r="B44" s="2958"/>
      <c r="C44" s="3452"/>
      <c r="D44" s="1173"/>
      <c r="E44" s="3192"/>
      <c r="F44" s="3453"/>
      <c r="G44" s="3453"/>
      <c r="H44" s="1173"/>
      <c r="I44" s="3453"/>
      <c r="J44" s="1173"/>
      <c r="K44" s="3450"/>
      <c r="L44" s="1173"/>
      <c r="M44" s="1645"/>
      <c r="N44" s="3180"/>
      <c r="O44" s="3181"/>
      <c r="P44" s="3180"/>
      <c r="Q44" s="1645"/>
      <c r="R44" s="3461"/>
      <c r="S44" s="3461"/>
      <c r="T44" s="1429"/>
      <c r="U44" s="1430"/>
    </row>
    <row r="45" spans="1:22" ht="15">
      <c r="A45" s="2960" t="s">
        <v>427</v>
      </c>
      <c r="B45" s="2958"/>
      <c r="C45" s="3452">
        <v>747162.13</v>
      </c>
      <c r="D45" s="1173"/>
      <c r="E45" s="3191">
        <v>0</v>
      </c>
      <c r="F45" s="1165"/>
      <c r="G45" s="3191">
        <v>0</v>
      </c>
      <c r="H45" s="1173"/>
      <c r="I45" s="3191">
        <v>0</v>
      </c>
      <c r="J45" s="1159"/>
      <c r="K45" s="3452">
        <v>304723.49</v>
      </c>
      <c r="L45" s="1173"/>
      <c r="M45" s="3452">
        <f>ROUND(SUM(C45)-SUM(K45)+SUM(G45),2)</f>
        <v>442438.64</v>
      </c>
      <c r="N45" s="3180"/>
      <c r="O45" s="3181"/>
      <c r="P45" s="3180"/>
      <c r="Q45" s="3452">
        <v>0</v>
      </c>
      <c r="R45" s="3464"/>
      <c r="S45" s="3452">
        <v>15881.48</v>
      </c>
      <c r="T45" s="1429"/>
      <c r="U45" s="1430"/>
    </row>
    <row r="46" spans="1:22" ht="15">
      <c r="A46" s="2958"/>
      <c r="B46" s="2958"/>
      <c r="C46" s="3452"/>
      <c r="D46" s="1173"/>
      <c r="E46" s="3192"/>
      <c r="F46" s="3448"/>
      <c r="G46" s="3448"/>
      <c r="H46" s="1173"/>
      <c r="I46" s="3448"/>
      <c r="J46" s="1173"/>
      <c r="K46" s="3450"/>
      <c r="L46" s="1173"/>
      <c r="M46" s="1645"/>
      <c r="N46" s="3180"/>
      <c r="O46" s="3181"/>
      <c r="P46" s="3180"/>
      <c r="Q46" s="1645"/>
      <c r="R46" s="3461"/>
      <c r="S46" s="3461"/>
      <c r="T46" s="1429"/>
      <c r="U46" s="1430"/>
    </row>
    <row r="47" spans="1:22" ht="15">
      <c r="A47" s="2960" t="s">
        <v>428</v>
      </c>
      <c r="B47" s="2958"/>
      <c r="C47" s="3457"/>
      <c r="D47" s="1173"/>
      <c r="E47" s="3192"/>
      <c r="F47" s="3453"/>
      <c r="G47" s="3453"/>
      <c r="H47" s="1173"/>
      <c r="I47" s="3453"/>
      <c r="J47" s="1431"/>
      <c r="K47" s="3450"/>
      <c r="L47" s="1173"/>
      <c r="M47" s="1645"/>
      <c r="N47" s="3180"/>
      <c r="O47" s="3181"/>
      <c r="P47" s="3180"/>
      <c r="Q47" s="1645"/>
      <c r="R47" s="3461"/>
      <c r="S47" s="3461"/>
      <c r="T47" s="1429"/>
      <c r="U47" s="1430"/>
    </row>
    <row r="48" spans="1:22" ht="15">
      <c r="A48" s="2960" t="s">
        <v>429</v>
      </c>
      <c r="B48" s="2958"/>
      <c r="C48" s="3457">
        <v>855692480.44000006</v>
      </c>
      <c r="D48" s="1173"/>
      <c r="E48" s="3191">
        <v>0</v>
      </c>
      <c r="F48" s="3448"/>
      <c r="G48" s="3191">
        <v>0</v>
      </c>
      <c r="H48" s="1173"/>
      <c r="I48" s="3191">
        <v>0</v>
      </c>
      <c r="J48" s="1169"/>
      <c r="K48" s="3452">
        <v>0</v>
      </c>
      <c r="L48" s="1173"/>
      <c r="M48" s="3452">
        <f t="shared" ref="M48:M53" si="0">ROUND(SUM(C48)-SUM(K48)+SUM(G48),2)</f>
        <v>855692480.44000006</v>
      </c>
      <c r="N48" s="3180"/>
      <c r="O48" s="3181"/>
      <c r="P48" s="3180"/>
      <c r="Q48" s="1165">
        <v>0</v>
      </c>
      <c r="R48" s="3461"/>
      <c r="S48" s="3452">
        <v>0</v>
      </c>
      <c r="T48" s="1429"/>
      <c r="U48" s="1430"/>
    </row>
    <row r="49" spans="1:21" ht="15">
      <c r="A49" s="2960" t="s">
        <v>430</v>
      </c>
      <c r="B49" s="2958"/>
      <c r="C49" s="3457">
        <v>17492917.890000001</v>
      </c>
      <c r="D49" s="3458"/>
      <c r="E49" s="3191">
        <v>0</v>
      </c>
      <c r="F49" s="3448"/>
      <c r="G49" s="3191">
        <v>0</v>
      </c>
      <c r="H49" s="1173"/>
      <c r="I49" s="3191">
        <v>0</v>
      </c>
      <c r="J49" s="1169"/>
      <c r="K49" s="3452">
        <v>0</v>
      </c>
      <c r="L49" s="1173"/>
      <c r="M49" s="3452">
        <f t="shared" si="0"/>
        <v>17492917.890000001</v>
      </c>
      <c r="N49" s="3180"/>
      <c r="O49" s="3181"/>
      <c r="P49" s="3180"/>
      <c r="Q49" s="1645">
        <v>0</v>
      </c>
      <c r="R49" s="3461"/>
      <c r="S49" s="3452">
        <v>0</v>
      </c>
      <c r="T49" s="1429"/>
      <c r="U49" s="1430"/>
    </row>
    <row r="50" spans="1:21" ht="15">
      <c r="A50" s="2960" t="s">
        <v>431</v>
      </c>
      <c r="B50" s="2958"/>
      <c r="C50" s="3457">
        <v>51322171.859999999</v>
      </c>
      <c r="D50" s="3458"/>
      <c r="E50" s="3191">
        <v>0</v>
      </c>
      <c r="F50" s="1645"/>
      <c r="G50" s="3191">
        <v>0</v>
      </c>
      <c r="H50" s="1173"/>
      <c r="I50" s="3191">
        <v>0</v>
      </c>
      <c r="J50" s="1169"/>
      <c r="K50" s="1645">
        <v>0</v>
      </c>
      <c r="L50" s="1173"/>
      <c r="M50" s="3452">
        <f t="shared" si="0"/>
        <v>51322171.859999999</v>
      </c>
      <c r="N50" s="3180"/>
      <c r="O50" s="3181"/>
      <c r="P50" s="3180"/>
      <c r="Q50" s="1645">
        <v>0</v>
      </c>
      <c r="R50" s="3461"/>
      <c r="S50" s="1645">
        <v>0</v>
      </c>
      <c r="T50" s="1429"/>
      <c r="U50" s="1430"/>
    </row>
    <row r="51" spans="1:21" ht="15">
      <c r="A51" s="2960" t="s">
        <v>432</v>
      </c>
      <c r="B51" s="2958"/>
      <c r="C51" s="3457">
        <v>82762796.200000003</v>
      </c>
      <c r="D51" s="1173"/>
      <c r="E51" s="3191">
        <v>0</v>
      </c>
      <c r="F51" s="3448"/>
      <c r="G51" s="3191">
        <v>0</v>
      </c>
      <c r="H51" s="1173"/>
      <c r="I51" s="3191">
        <v>0</v>
      </c>
      <c r="J51" s="1169"/>
      <c r="K51" s="1645">
        <v>0</v>
      </c>
      <c r="L51" s="1173"/>
      <c r="M51" s="3452">
        <f t="shared" si="0"/>
        <v>82762796.200000003</v>
      </c>
      <c r="N51" s="3180"/>
      <c r="O51" s="3181"/>
      <c r="P51" s="3180"/>
      <c r="Q51" s="1645">
        <v>0</v>
      </c>
      <c r="R51" s="3461"/>
      <c r="S51" s="1645">
        <v>0</v>
      </c>
      <c r="T51" s="1429"/>
      <c r="U51" s="1430"/>
    </row>
    <row r="52" spans="1:21" ht="15">
      <c r="A52" s="2960" t="s">
        <v>433</v>
      </c>
      <c r="B52" s="2958"/>
      <c r="C52" s="3457">
        <v>7992060.7699999996</v>
      </c>
      <c r="D52" s="1173"/>
      <c r="E52" s="3191">
        <v>0</v>
      </c>
      <c r="F52" s="3448"/>
      <c r="G52" s="3191">
        <v>0</v>
      </c>
      <c r="H52" s="1173"/>
      <c r="I52" s="3191">
        <v>0</v>
      </c>
      <c r="J52" s="1169"/>
      <c r="K52" s="1165">
        <v>0</v>
      </c>
      <c r="L52" s="1173"/>
      <c r="M52" s="3452">
        <f t="shared" si="0"/>
        <v>7992060.7699999996</v>
      </c>
      <c r="N52" s="3180"/>
      <c r="O52" s="3181"/>
      <c r="P52" s="3180"/>
      <c r="Q52" s="1165">
        <v>0</v>
      </c>
      <c r="R52" s="3461"/>
      <c r="S52" s="1165">
        <v>0</v>
      </c>
      <c r="T52" s="1429"/>
      <c r="U52" s="1430"/>
    </row>
    <row r="53" spans="1:21" ht="15">
      <c r="A53" s="2960" t="s">
        <v>1134</v>
      </c>
      <c r="B53" s="2958"/>
      <c r="C53" s="3452">
        <v>877031335.38999999</v>
      </c>
      <c r="D53" s="1173"/>
      <c r="E53" s="3191">
        <v>0</v>
      </c>
      <c r="F53" s="3456"/>
      <c r="G53" s="3191">
        <v>0</v>
      </c>
      <c r="H53" s="1173"/>
      <c r="I53" s="3191">
        <v>0</v>
      </c>
      <c r="J53" s="1163"/>
      <c r="K53" s="3452">
        <v>0</v>
      </c>
      <c r="L53" s="1173"/>
      <c r="M53" s="3452">
        <f t="shared" si="0"/>
        <v>877031335.38999999</v>
      </c>
      <c r="N53" s="3180"/>
      <c r="O53" s="3181"/>
      <c r="P53" s="3180"/>
      <c r="Q53" s="1165">
        <v>0</v>
      </c>
      <c r="R53" s="3464"/>
      <c r="S53" s="3452">
        <v>0</v>
      </c>
      <c r="T53" s="1429"/>
      <c r="U53" s="1430"/>
    </row>
    <row r="54" spans="1:21">
      <c r="A54" s="2958"/>
      <c r="B54" s="2958"/>
      <c r="C54" s="3452"/>
      <c r="D54" s="1173"/>
      <c r="E54" s="3192"/>
      <c r="F54" s="3448"/>
      <c r="G54" s="3448"/>
      <c r="H54" s="1173"/>
      <c r="I54" s="3448"/>
      <c r="J54" s="1173"/>
      <c r="K54" s="3450"/>
      <c r="L54" s="1173"/>
      <c r="M54" s="3452"/>
      <c r="N54" s="3180"/>
      <c r="O54" s="3181"/>
      <c r="P54" s="3180"/>
      <c r="Q54" s="1645"/>
      <c r="R54" s="1645"/>
      <c r="S54" s="1645"/>
      <c r="T54" s="1429"/>
      <c r="U54" s="1430"/>
    </row>
    <row r="55" spans="1:21">
      <c r="A55" s="2960" t="s">
        <v>1135</v>
      </c>
      <c r="B55" s="2958"/>
      <c r="C55" s="3452"/>
      <c r="D55" s="1173"/>
      <c r="E55" s="3192"/>
      <c r="F55" s="3453"/>
      <c r="G55" s="3453"/>
      <c r="H55" s="1173"/>
      <c r="I55" s="3453"/>
      <c r="J55" s="1431"/>
      <c r="K55" s="3450"/>
      <c r="L55" s="1173"/>
      <c r="M55" s="3452"/>
      <c r="N55" s="3180"/>
      <c r="O55" s="3181"/>
      <c r="P55" s="3180"/>
      <c r="Q55" s="3452"/>
      <c r="R55" s="1645"/>
      <c r="S55" s="1645"/>
      <c r="T55" s="1429"/>
      <c r="U55" s="1162"/>
    </row>
    <row r="56" spans="1:21">
      <c r="A56" s="2960" t="s">
        <v>1264</v>
      </c>
      <c r="B56" s="2958"/>
      <c r="C56" s="3452">
        <v>1808681.4</v>
      </c>
      <c r="D56" s="1173"/>
      <c r="E56" s="3191">
        <v>0</v>
      </c>
      <c r="F56" s="3448"/>
      <c r="G56" s="3191">
        <v>0</v>
      </c>
      <c r="H56" s="1173"/>
      <c r="I56" s="3191">
        <v>0</v>
      </c>
      <c r="J56" s="1163"/>
      <c r="K56" s="3452">
        <v>0</v>
      </c>
      <c r="L56" s="1173"/>
      <c r="M56" s="3452">
        <f>ROUND(SUM(C56)-SUM(K56)+SUM(G56),2)</f>
        <v>1808681.4</v>
      </c>
      <c r="N56" s="3180"/>
      <c r="O56" s="3181"/>
      <c r="P56" s="3180"/>
      <c r="Q56" s="1645">
        <v>0</v>
      </c>
      <c r="R56" s="1645"/>
      <c r="S56" s="3452">
        <v>0</v>
      </c>
      <c r="T56" s="1429"/>
      <c r="U56" s="1430"/>
    </row>
    <row r="57" spans="1:21" ht="15">
      <c r="A57" s="2960" t="s">
        <v>1217</v>
      </c>
      <c r="B57" s="2958"/>
      <c r="C57" s="3452">
        <v>7849619.1600000001</v>
      </c>
      <c r="D57" s="1173"/>
      <c r="E57" s="3191">
        <v>0</v>
      </c>
      <c r="F57" s="3448"/>
      <c r="G57" s="3191">
        <v>0</v>
      </c>
      <c r="H57" s="1173"/>
      <c r="I57" s="3191">
        <v>0</v>
      </c>
      <c r="J57" s="1159"/>
      <c r="K57" s="3452">
        <v>1498633.78</v>
      </c>
      <c r="L57" s="1173"/>
      <c r="M57" s="3452">
        <f>ROUND(SUM(C57)-SUM(K57)+SUM(G57),2)</f>
        <v>6350985.3799999999</v>
      </c>
      <c r="N57" s="3180"/>
      <c r="O57" s="3181"/>
      <c r="P57" s="3180"/>
      <c r="Q57" s="1645">
        <v>0</v>
      </c>
      <c r="R57" s="3464"/>
      <c r="S57" s="3452">
        <v>122315.85</v>
      </c>
      <c r="T57" s="1429"/>
      <c r="U57" s="1430"/>
    </row>
    <row r="58" spans="1:21" ht="15">
      <c r="A58" s="2958"/>
      <c r="B58" s="2958"/>
      <c r="C58" s="3452"/>
      <c r="D58" s="1173"/>
      <c r="E58" s="3191"/>
      <c r="F58" s="3448"/>
      <c r="G58" s="3448"/>
      <c r="H58" s="1173"/>
      <c r="I58" s="3448"/>
      <c r="J58" s="1173"/>
      <c r="K58" s="3450"/>
      <c r="L58" s="1173"/>
      <c r="M58" s="1645"/>
      <c r="N58" s="3180"/>
      <c r="O58" s="3181"/>
      <c r="P58" s="3180"/>
      <c r="Q58" s="1645"/>
      <c r="R58" s="3461"/>
      <c r="S58" s="3461"/>
      <c r="T58" s="1429"/>
      <c r="U58" s="1430"/>
    </row>
    <row r="59" spans="1:21" ht="13.5" customHeight="1">
      <c r="A59" s="2960" t="s">
        <v>434</v>
      </c>
      <c r="B59" s="2958"/>
      <c r="C59" s="3452"/>
      <c r="D59" s="1173"/>
      <c r="E59" s="3192"/>
      <c r="F59" s="3448"/>
      <c r="G59" s="3448"/>
      <c r="H59" s="1173"/>
      <c r="I59" s="3448"/>
      <c r="J59" s="1173"/>
      <c r="K59" s="3450"/>
      <c r="L59" s="1173"/>
      <c r="M59" s="1645"/>
      <c r="N59" s="3180"/>
      <c r="O59" s="3181"/>
      <c r="P59" s="3180"/>
      <c r="Q59" s="3452"/>
      <c r="R59" s="3461"/>
      <c r="S59" s="3461"/>
      <c r="T59" s="1429"/>
      <c r="U59" s="1162"/>
    </row>
    <row r="60" spans="1:21" ht="15">
      <c r="A60" s="2960" t="s">
        <v>431</v>
      </c>
      <c r="B60" s="2958"/>
      <c r="C60" s="3452">
        <v>9069490.5800000001</v>
      </c>
      <c r="D60" s="1173"/>
      <c r="E60" s="3192">
        <v>0</v>
      </c>
      <c r="F60" s="3448"/>
      <c r="G60" s="3191">
        <v>0</v>
      </c>
      <c r="H60" s="1173"/>
      <c r="I60" s="3191">
        <v>0</v>
      </c>
      <c r="J60" s="1159"/>
      <c r="K60" s="3452">
        <v>1602875.6</v>
      </c>
      <c r="L60" s="1173"/>
      <c r="M60" s="3452">
        <f>ROUND(SUM(C60)-SUM(K60)+SUM(G60),2)</f>
        <v>7466614.9800000004</v>
      </c>
      <c r="N60" s="3180"/>
      <c r="O60" s="3181"/>
      <c r="P60" s="3180"/>
      <c r="Q60" s="3452">
        <v>0</v>
      </c>
      <c r="R60" s="3461"/>
      <c r="S60" s="3457">
        <v>106374.79</v>
      </c>
      <c r="T60" s="1429"/>
      <c r="U60" s="1430"/>
    </row>
    <row r="61" spans="1:21" ht="15">
      <c r="A61" s="2960" t="s">
        <v>435</v>
      </c>
      <c r="B61" s="2958"/>
      <c r="C61" s="3452">
        <v>78383.649999999994</v>
      </c>
      <c r="D61" s="1173"/>
      <c r="E61" s="3191">
        <v>0</v>
      </c>
      <c r="F61" s="3448"/>
      <c r="G61" s="3191">
        <v>0</v>
      </c>
      <c r="H61" s="1173"/>
      <c r="I61" s="3191">
        <v>0</v>
      </c>
      <c r="J61" s="1159"/>
      <c r="K61" s="3452">
        <v>39713.879999999997</v>
      </c>
      <c r="L61" s="1173"/>
      <c r="M61" s="3452">
        <f>ROUND(SUM(C61)-SUM(K61)+SUM(G61),2)</f>
        <v>38669.769999999997</v>
      </c>
      <c r="N61" s="3180"/>
      <c r="O61" s="3181"/>
      <c r="P61" s="3180"/>
      <c r="Q61" s="1645">
        <v>0</v>
      </c>
      <c r="R61" s="3464"/>
      <c r="S61" s="3452">
        <v>2014.23</v>
      </c>
      <c r="T61" s="1429"/>
      <c r="U61" s="1430"/>
    </row>
    <row r="62" spans="1:21">
      <c r="A62" s="2958"/>
      <c r="B62" s="2967"/>
      <c r="C62" s="3182"/>
      <c r="D62" s="3180"/>
      <c r="E62" s="3191"/>
      <c r="F62" s="3170"/>
      <c r="G62" s="3183"/>
      <c r="H62" s="3180"/>
      <c r="I62" s="3184"/>
      <c r="J62" s="3180"/>
      <c r="K62" s="3185"/>
      <c r="L62" s="3180"/>
      <c r="M62" s="3186"/>
      <c r="N62" s="3180"/>
      <c r="O62" s="3181"/>
      <c r="P62" s="3180"/>
      <c r="Q62" s="3184"/>
      <c r="R62" s="3180"/>
      <c r="S62" s="3182"/>
    </row>
    <row r="63" spans="1:21" ht="15.75" thickBot="1">
      <c r="A63" s="2966" t="s">
        <v>436</v>
      </c>
      <c r="B63" s="2970"/>
      <c r="C63" s="3165">
        <f>SUM(C16:C62)</f>
        <v>3017749999.46</v>
      </c>
      <c r="D63" s="3187"/>
      <c r="E63" s="3165">
        <f>SUM(E16:E62)</f>
        <v>0</v>
      </c>
      <c r="F63" s="3168"/>
      <c r="G63" s="3165">
        <f>SUM(G16:G62)</f>
        <v>0</v>
      </c>
      <c r="H63" s="3187"/>
      <c r="I63" s="3165">
        <f>SUM(I16:I62)</f>
        <v>0</v>
      </c>
      <c r="J63" s="3187"/>
      <c r="K63" s="3165">
        <f>SUM(K16:K62)</f>
        <v>86214999.999999985</v>
      </c>
      <c r="L63" s="3187"/>
      <c r="M63" s="3165">
        <f>SUM(M16:M62)</f>
        <v>2931534999.46</v>
      </c>
      <c r="N63" s="3188"/>
      <c r="O63" s="3189"/>
      <c r="P63" s="3187"/>
      <c r="Q63" s="3165">
        <f>SUM(Q16:Q62)</f>
        <v>8556.85</v>
      </c>
      <c r="R63" s="3187"/>
      <c r="S63" s="3165">
        <f>SUM(S16:S62)</f>
        <v>5620022.3600000003</v>
      </c>
      <c r="T63" s="1572"/>
      <c r="U63" s="1572"/>
    </row>
    <row r="64" spans="1:21" ht="15" customHeight="1" thickTop="1">
      <c r="A64" s="2972"/>
      <c r="B64" s="2973"/>
      <c r="C64" s="2971"/>
      <c r="D64" s="2973"/>
      <c r="E64" s="2974"/>
      <c r="F64" s="2975"/>
      <c r="G64" s="2974"/>
      <c r="H64" s="2973"/>
      <c r="I64" s="2971"/>
      <c r="J64" s="2973"/>
      <c r="K64" s="2976"/>
      <c r="L64" s="2973"/>
      <c r="M64" s="2977"/>
      <c r="N64" s="2966"/>
      <c r="O64" s="2966"/>
      <c r="P64" s="2973"/>
      <c r="Q64" s="2976"/>
      <c r="R64" s="2973"/>
      <c r="S64" s="2971"/>
      <c r="T64" s="1573"/>
      <c r="U64" s="1573"/>
    </row>
    <row r="65" spans="1:19" ht="15" customHeight="1">
      <c r="A65" s="2978"/>
      <c r="B65" s="2969"/>
      <c r="C65" s="2969"/>
      <c r="D65" s="2979"/>
      <c r="E65" s="2969"/>
      <c r="F65" s="2979"/>
      <c r="G65" s="2958"/>
      <c r="H65" s="2967"/>
      <c r="I65" s="2960"/>
      <c r="J65" s="2967"/>
      <c r="K65" s="2960"/>
      <c r="L65" s="2967"/>
      <c r="M65" s="2958"/>
      <c r="N65" s="2969"/>
      <c r="O65" s="2958"/>
      <c r="P65" s="2968"/>
      <c r="Q65" s="2958"/>
      <c r="R65" s="2958"/>
      <c r="S65" s="2958"/>
    </row>
    <row r="66" spans="1:19">
      <c r="A66" s="1431"/>
      <c r="C66" s="1168"/>
      <c r="D66" s="1575"/>
      <c r="E66" s="1168"/>
      <c r="F66" s="1429"/>
      <c r="G66" s="1173"/>
      <c r="H66" s="1429"/>
      <c r="I66" s="1173"/>
      <c r="J66" s="1430"/>
      <c r="M66" s="1168"/>
      <c r="N66" s="1430"/>
      <c r="P66" s="1162"/>
    </row>
    <row r="67" spans="1:19">
      <c r="A67" s="1174"/>
      <c r="E67" s="1172"/>
      <c r="G67" s="1164"/>
      <c r="I67" s="1164"/>
      <c r="O67" s="1162"/>
      <c r="Q67" s="1162"/>
      <c r="R67" s="1161"/>
    </row>
    <row r="68" spans="1:19">
      <c r="E68" s="1173"/>
      <c r="K68" s="1645"/>
      <c r="M68" s="1168"/>
      <c r="O68" s="1431"/>
    </row>
    <row r="69" spans="1:19">
      <c r="C69" s="1162"/>
      <c r="E69" s="1163"/>
      <c r="G69" s="1164"/>
      <c r="I69" s="1164"/>
      <c r="K69" s="1165"/>
      <c r="M69" s="1168"/>
      <c r="O69" s="1169"/>
      <c r="Q69" s="1162"/>
    </row>
    <row r="70" spans="1:19">
      <c r="C70" s="1162"/>
      <c r="E70" s="1430"/>
      <c r="G70" s="1164"/>
      <c r="I70" s="1164"/>
      <c r="K70" s="1814"/>
      <c r="M70" s="1168"/>
      <c r="O70" s="1430"/>
      <c r="Q70" s="1162"/>
    </row>
    <row r="71" spans="1:19">
      <c r="C71" s="1162"/>
      <c r="E71" s="1428"/>
      <c r="G71" s="1164"/>
      <c r="I71" s="1164"/>
      <c r="K71" s="1645"/>
      <c r="M71" s="1168"/>
      <c r="O71" s="1571"/>
      <c r="Q71" s="1162"/>
    </row>
    <row r="72" spans="1:19">
      <c r="C72" s="1162"/>
      <c r="E72" s="1163"/>
      <c r="G72" s="1164"/>
      <c r="I72" s="1164"/>
      <c r="K72" s="1165"/>
      <c r="M72" s="1168"/>
      <c r="O72" s="1169"/>
      <c r="Q72" s="1162"/>
      <c r="R72" s="1161"/>
    </row>
    <row r="73" spans="1:19">
      <c r="C73" s="1162"/>
      <c r="E73" s="1163"/>
      <c r="G73" s="1164"/>
      <c r="I73" s="1164"/>
      <c r="K73" s="1165"/>
      <c r="M73" s="1168"/>
      <c r="O73" s="1169"/>
      <c r="Q73" s="1162"/>
    </row>
    <row r="74" spans="1:19">
      <c r="C74" s="1162"/>
      <c r="E74" s="1430"/>
      <c r="G74" s="1164"/>
      <c r="I74" s="1164"/>
      <c r="K74" s="1814"/>
      <c r="M74" s="1168"/>
      <c r="O74" s="1430"/>
      <c r="Q74" s="1162"/>
    </row>
    <row r="75" spans="1:19">
      <c r="C75" s="1162"/>
      <c r="E75" s="1428"/>
      <c r="G75" s="1164"/>
      <c r="I75" s="1164"/>
      <c r="K75" s="1645"/>
      <c r="M75" s="1168"/>
      <c r="O75" s="1571"/>
      <c r="Q75" s="1162"/>
    </row>
    <row r="76" spans="1:19">
      <c r="B76" s="1168"/>
      <c r="C76" s="1576"/>
      <c r="D76" s="1168"/>
      <c r="E76" s="1577"/>
      <c r="F76" s="1168"/>
      <c r="G76" s="1578"/>
      <c r="H76" s="1168"/>
      <c r="I76" s="1578"/>
      <c r="J76" s="1168"/>
      <c r="K76" s="1815"/>
      <c r="L76" s="1168"/>
      <c r="M76" s="1168"/>
      <c r="N76" s="1168"/>
      <c r="O76" s="1579"/>
      <c r="P76" s="1168"/>
      <c r="Q76" s="1576"/>
    </row>
    <row r="77" spans="1:19">
      <c r="A77" s="1168"/>
      <c r="B77" s="1168"/>
      <c r="C77" s="1167"/>
      <c r="D77" s="1166"/>
      <c r="E77" s="1580"/>
      <c r="F77" s="1166"/>
      <c r="G77" s="1170"/>
      <c r="H77" s="1166"/>
      <c r="I77" s="1170"/>
      <c r="J77" s="1166"/>
      <c r="K77" s="1816"/>
      <c r="L77" s="1166"/>
      <c r="M77" s="1166"/>
      <c r="N77" s="1166"/>
      <c r="O77" s="1580"/>
      <c r="P77" s="1166"/>
      <c r="Q77" s="1167"/>
    </row>
    <row r="78" spans="1:19">
      <c r="A78" s="1166"/>
      <c r="C78" s="1573"/>
      <c r="D78" s="1160"/>
      <c r="E78" s="1573"/>
      <c r="F78" s="1160"/>
      <c r="G78" s="1569"/>
      <c r="H78" s="1160"/>
      <c r="I78" s="1569"/>
      <c r="J78" s="1160"/>
      <c r="K78" s="1813"/>
      <c r="L78" s="1160"/>
      <c r="M78" s="1160"/>
      <c r="N78" s="1160"/>
      <c r="O78" s="1573"/>
      <c r="P78" s="1160"/>
      <c r="Q78" s="1573"/>
    </row>
    <row r="79" spans="1:19">
      <c r="A79" s="1160"/>
    </row>
    <row r="80" spans="1:19">
      <c r="C80" s="1431"/>
    </row>
    <row r="81" spans="3:11">
      <c r="C81" s="1174"/>
      <c r="E81" s="1574"/>
      <c r="F81" s="1168"/>
      <c r="G81" s="1171"/>
      <c r="H81" s="1168"/>
      <c r="I81" s="1171"/>
      <c r="J81" s="1168"/>
      <c r="K81" s="1817"/>
    </row>
    <row r="82" spans="3:11">
      <c r="E82" s="1432"/>
    </row>
    <row r="83" spans="3:11">
      <c r="E83" s="117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5" zoomScaleNormal="65" workbookViewId="0"/>
  </sheetViews>
  <sheetFormatPr defaultRowHeight="12.75"/>
  <cols>
    <col min="1" max="1" width="3.77734375" style="2615" customWidth="1"/>
    <col min="2" max="2" width="43.88671875" style="2615" customWidth="1"/>
    <col min="3" max="3" width="2.109375" style="2615" customWidth="1"/>
    <col min="4" max="4" width="13.77734375" style="2615" customWidth="1"/>
    <col min="5" max="5" width="2.109375" style="2615" customWidth="1"/>
    <col min="6" max="6" width="18.109375" style="2615" customWidth="1"/>
    <col min="7" max="7" width="2.109375" style="2615" customWidth="1"/>
    <col min="8" max="8" width="20.33203125" style="2615" customWidth="1"/>
    <col min="9" max="9" width="2.109375" style="2615" customWidth="1"/>
    <col min="10" max="10" width="17.33203125" style="2615" bestFit="1" customWidth="1"/>
    <col min="11" max="11" width="2.109375" style="2615" customWidth="1"/>
    <col min="12" max="12" width="16.5546875" style="2615" customWidth="1"/>
    <col min="13" max="13" width="2.109375" style="2615" customWidth="1"/>
    <col min="14" max="14" width="17.109375" style="2615" customWidth="1"/>
    <col min="15" max="15" width="2.109375" style="2615" customWidth="1"/>
    <col min="16" max="16" width="18.21875" style="2615" bestFit="1" customWidth="1"/>
    <col min="17" max="17" width="2.109375" style="2615" customWidth="1"/>
    <col min="18" max="18" width="19.6640625" style="2615" customWidth="1"/>
    <col min="19" max="19" width="2.109375" style="2615" customWidth="1"/>
    <col min="20" max="20" width="20.109375" style="2615" customWidth="1"/>
    <col min="21" max="21" width="2.109375" style="2615" customWidth="1"/>
    <col min="22" max="22" width="20" style="2615" customWidth="1"/>
    <col min="23" max="23" width="17.109375" style="2615" customWidth="1"/>
    <col min="24" max="24" width="18.5546875" style="2615" customWidth="1"/>
    <col min="25" max="25" width="35.33203125" style="2615" bestFit="1" customWidth="1"/>
    <col min="26" max="16384" width="8.88671875" style="2615"/>
  </cols>
  <sheetData>
    <row r="1" spans="1:23" ht="15">
      <c r="B1" s="1190" t="s">
        <v>1231</v>
      </c>
    </row>
    <row r="2" spans="1:23" ht="16.5">
      <c r="B2" s="1433"/>
      <c r="C2" s="1433"/>
      <c r="D2" s="1433"/>
      <c r="E2" s="1433"/>
      <c r="F2" s="1433"/>
      <c r="G2" s="1433"/>
      <c r="H2" s="1433"/>
      <c r="I2" s="1433"/>
      <c r="J2" s="1433"/>
      <c r="K2" s="1433"/>
      <c r="L2" s="1433"/>
      <c r="M2" s="1433"/>
      <c r="N2" s="1433"/>
      <c r="O2" s="1433"/>
      <c r="P2" s="1433"/>
      <c r="Q2" s="1433"/>
      <c r="R2" s="1433"/>
      <c r="S2" s="1433"/>
      <c r="T2" s="1433"/>
      <c r="U2" s="1433"/>
      <c r="V2" s="1433"/>
      <c r="W2" s="1458"/>
    </row>
    <row r="3" spans="1:23" ht="18">
      <c r="A3" s="2616"/>
      <c r="B3" s="1157" t="s">
        <v>0</v>
      </c>
      <c r="C3" s="1434"/>
      <c r="D3" s="1434"/>
      <c r="E3" s="1434"/>
      <c r="F3" s="1433"/>
      <c r="G3" s="1433"/>
      <c r="H3" s="1433"/>
      <c r="I3" s="1433"/>
      <c r="J3" s="1433"/>
      <c r="K3" s="1433"/>
      <c r="L3" s="1433"/>
      <c r="M3" s="1433"/>
      <c r="N3" s="1433"/>
      <c r="O3" s="1433"/>
      <c r="P3" s="1433"/>
      <c r="Q3" s="1433"/>
      <c r="R3" s="1433"/>
      <c r="S3" s="1433"/>
      <c r="T3" s="1433"/>
      <c r="U3" s="1433"/>
      <c r="V3" s="1655" t="s">
        <v>437</v>
      </c>
      <c r="W3" s="1459"/>
    </row>
    <row r="4" spans="1:23" ht="18">
      <c r="A4" s="2616"/>
      <c r="B4" s="1157" t="s">
        <v>438</v>
      </c>
      <c r="C4" s="1434"/>
      <c r="D4" s="1434"/>
      <c r="E4" s="1434"/>
      <c r="F4" s="1433"/>
      <c r="G4" s="1433"/>
      <c r="H4" s="1433"/>
      <c r="I4" s="1433"/>
      <c r="J4" s="1433"/>
      <c r="K4" s="1433"/>
      <c r="L4" s="1433"/>
      <c r="M4" s="1433"/>
      <c r="N4" s="1433"/>
      <c r="O4" s="1433"/>
      <c r="P4" s="1433"/>
      <c r="Q4" s="1433"/>
      <c r="R4" s="1433"/>
      <c r="S4" s="1433"/>
      <c r="T4" s="1433"/>
      <c r="U4" s="1433"/>
      <c r="V4" s="1581"/>
      <c r="W4" s="1458"/>
    </row>
    <row r="5" spans="1:23" ht="18">
      <c r="A5" s="2616"/>
      <c r="B5" s="1157" t="s">
        <v>439</v>
      </c>
      <c r="C5" s="1434"/>
      <c r="D5" s="1434"/>
      <c r="E5" s="1434"/>
      <c r="F5" s="1433"/>
      <c r="G5" s="1433"/>
      <c r="H5" s="1433"/>
      <c r="I5" s="1433"/>
      <c r="J5" s="1433"/>
      <c r="K5" s="1433"/>
      <c r="L5" s="1433"/>
      <c r="M5" s="1433"/>
      <c r="N5" s="1433"/>
      <c r="O5" s="1433"/>
      <c r="P5" s="1433"/>
      <c r="Q5" s="1433"/>
      <c r="R5" s="1433"/>
      <c r="S5" s="1433"/>
      <c r="T5" s="1433"/>
      <c r="U5" s="1433"/>
      <c r="V5" s="1433"/>
      <c r="W5" s="1458"/>
    </row>
    <row r="6" spans="1:23" ht="18">
      <c r="A6" s="2616"/>
      <c r="B6" s="1651" t="s">
        <v>1605</v>
      </c>
      <c r="C6" s="1582"/>
      <c r="D6" s="1434"/>
      <c r="E6" s="1434"/>
      <c r="F6" s="1433"/>
      <c r="G6" s="1433"/>
      <c r="H6" s="1433"/>
      <c r="I6" s="1433"/>
      <c r="J6" s="1433"/>
      <c r="K6" s="1433"/>
      <c r="L6" s="1433"/>
      <c r="M6" s="1433"/>
      <c r="N6" s="1433"/>
      <c r="O6" s="1433"/>
      <c r="P6" s="1433"/>
      <c r="Q6" s="1433"/>
      <c r="R6" s="1433"/>
      <c r="S6" s="1433"/>
      <c r="T6" s="1433"/>
      <c r="U6" s="1433"/>
      <c r="V6" s="1433"/>
      <c r="W6" s="1458"/>
    </row>
    <row r="7" spans="1:23" ht="16.5">
      <c r="A7" s="2616"/>
      <c r="B7" s="1435"/>
      <c r="C7" s="1435"/>
      <c r="D7" s="1434"/>
      <c r="E7" s="1434"/>
      <c r="F7" s="1433"/>
      <c r="G7" s="1433"/>
      <c r="H7" s="1433"/>
      <c r="I7" s="1433"/>
      <c r="J7" s="1433"/>
      <c r="K7" s="1433"/>
      <c r="L7" s="1433"/>
      <c r="M7" s="1433"/>
      <c r="N7" s="1433"/>
      <c r="O7" s="1433"/>
      <c r="P7" s="1433"/>
      <c r="Q7" s="1433"/>
      <c r="R7" s="1433"/>
      <c r="S7" s="1433"/>
      <c r="T7" s="1433"/>
      <c r="U7" s="1433"/>
      <c r="V7" s="1433"/>
      <c r="W7" s="1458"/>
    </row>
    <row r="8" spans="1:23" ht="5.25" customHeight="1">
      <c r="B8" s="1583"/>
      <c r="C8" s="1583"/>
      <c r="D8" s="1433"/>
      <c r="E8" s="1433"/>
      <c r="F8" s="1433"/>
      <c r="G8" s="1433"/>
      <c r="H8" s="1433"/>
      <c r="I8" s="1433"/>
      <c r="J8" s="1433"/>
      <c r="K8" s="1433"/>
      <c r="L8" s="1433"/>
      <c r="M8" s="1433"/>
      <c r="N8" s="1433"/>
      <c r="O8" s="1433"/>
      <c r="P8" s="1433"/>
      <c r="Q8" s="1433"/>
      <c r="R8" s="1433"/>
      <c r="S8" s="1433"/>
      <c r="T8" s="1433"/>
      <c r="U8" s="1433"/>
      <c r="V8" s="1433"/>
      <c r="W8" s="1458"/>
    </row>
    <row r="9" spans="1:23" ht="16.5">
      <c r="B9" s="1433"/>
      <c r="C9" s="1433"/>
      <c r="D9" s="1584" t="s">
        <v>126</v>
      </c>
      <c r="E9" s="1584"/>
      <c r="F9" s="1584"/>
      <c r="G9" s="1584"/>
      <c r="H9" s="1584"/>
      <c r="I9" s="1584"/>
      <c r="J9" s="1584" t="s">
        <v>440</v>
      </c>
      <c r="K9" s="1584"/>
      <c r="L9" s="1584"/>
      <c r="M9" s="1584"/>
      <c r="N9" s="1584"/>
      <c r="O9" s="1584"/>
      <c r="P9" s="1584"/>
      <c r="Q9" s="1584"/>
      <c r="R9" s="1433"/>
      <c r="S9" s="1433"/>
      <c r="T9" s="1433"/>
      <c r="U9" s="1433"/>
      <c r="V9" s="1433"/>
      <c r="W9" s="1458"/>
    </row>
    <row r="10" spans="1:23" ht="16.5">
      <c r="B10" s="1433"/>
      <c r="C10" s="1433"/>
      <c r="D10" s="1436" t="s">
        <v>441</v>
      </c>
      <c r="E10" s="1436"/>
      <c r="F10" s="1436" t="s">
        <v>108</v>
      </c>
      <c r="G10" s="1436"/>
      <c r="H10" s="1436" t="s">
        <v>442</v>
      </c>
      <c r="I10" s="1436"/>
      <c r="J10" s="1436" t="s">
        <v>443</v>
      </c>
      <c r="K10" s="1436"/>
      <c r="L10" s="1436" t="s">
        <v>444</v>
      </c>
      <c r="M10" s="1436"/>
      <c r="N10" s="1436" t="s">
        <v>11</v>
      </c>
      <c r="O10" s="1436"/>
      <c r="P10" s="1436" t="s">
        <v>1136</v>
      </c>
      <c r="Q10" s="1436"/>
      <c r="R10" s="1433"/>
      <c r="S10" s="1433"/>
      <c r="T10" s="1433"/>
      <c r="U10" s="1433"/>
      <c r="V10" s="1433"/>
      <c r="W10" s="1458"/>
    </row>
    <row r="11" spans="1:23" ht="16.5">
      <c r="B11" s="1433"/>
      <c r="C11" s="1433"/>
      <c r="D11" s="1436" t="s">
        <v>445</v>
      </c>
      <c r="E11" s="1436"/>
      <c r="F11" s="1436" t="s">
        <v>126</v>
      </c>
      <c r="G11" s="1436"/>
      <c r="H11" s="1436" t="s">
        <v>446</v>
      </c>
      <c r="I11" s="1436"/>
      <c r="J11" s="1436" t="s">
        <v>447</v>
      </c>
      <c r="K11" s="1436"/>
      <c r="L11" s="1436" t="s">
        <v>448</v>
      </c>
      <c r="M11" s="1436"/>
      <c r="N11" s="1437" t="s">
        <v>449</v>
      </c>
      <c r="O11" s="1436"/>
      <c r="P11" s="1436" t="s">
        <v>1137</v>
      </c>
      <c r="Q11" s="1436"/>
      <c r="R11" s="1585" t="s">
        <v>450</v>
      </c>
      <c r="S11" s="1585"/>
      <c r="T11" s="1585"/>
      <c r="U11" s="1585"/>
      <c r="V11" s="1433"/>
      <c r="W11" s="1458"/>
    </row>
    <row r="12" spans="1:23" ht="16.5">
      <c r="B12" s="1433"/>
      <c r="C12" s="1433"/>
      <c r="D12" s="1436" t="s">
        <v>10</v>
      </c>
      <c r="E12" s="1436"/>
      <c r="F12" s="1436" t="s">
        <v>12</v>
      </c>
      <c r="G12" s="1436"/>
      <c r="H12" s="1436" t="s">
        <v>451</v>
      </c>
      <c r="I12" s="1436"/>
      <c r="J12" s="1436" t="s">
        <v>452</v>
      </c>
      <c r="K12" s="1436"/>
      <c r="L12" s="1436" t="s">
        <v>453</v>
      </c>
      <c r="M12" s="1436"/>
      <c r="N12" s="1437" t="s">
        <v>452</v>
      </c>
      <c r="O12" s="1437"/>
      <c r="P12" s="1436" t="s">
        <v>452</v>
      </c>
      <c r="Q12" s="1436"/>
      <c r="R12" s="1439" t="s">
        <v>1606</v>
      </c>
      <c r="S12" s="1439"/>
      <c r="T12" s="1439"/>
      <c r="U12" s="1438"/>
      <c r="V12" s="1584" t="s">
        <v>1138</v>
      </c>
      <c r="W12" s="1460"/>
    </row>
    <row r="13" spans="1:23" ht="16.5">
      <c r="A13" s="2617"/>
      <c r="B13" s="1440" t="s">
        <v>461</v>
      </c>
      <c r="C13" s="1445"/>
      <c r="D13" s="1441" t="s">
        <v>454</v>
      </c>
      <c r="E13" s="1460"/>
      <c r="F13" s="1441" t="s">
        <v>455</v>
      </c>
      <c r="G13" s="1460"/>
      <c r="H13" s="1442" t="s">
        <v>456</v>
      </c>
      <c r="I13" s="1460"/>
      <c r="J13" s="1442" t="s">
        <v>457</v>
      </c>
      <c r="K13" s="1460"/>
      <c r="L13" s="1442" t="s">
        <v>458</v>
      </c>
      <c r="M13" s="1460"/>
      <c r="N13" s="1443" t="s">
        <v>459</v>
      </c>
      <c r="O13" s="1460"/>
      <c r="P13" s="1443" t="s">
        <v>1139</v>
      </c>
      <c r="Q13" s="1460"/>
      <c r="R13" s="2618">
        <v>2015</v>
      </c>
      <c r="S13" s="2618"/>
      <c r="T13" s="2618">
        <v>2014</v>
      </c>
      <c r="U13" s="1460"/>
      <c r="V13" s="1444" t="s">
        <v>460</v>
      </c>
      <c r="W13" s="1460"/>
    </row>
    <row r="14" spans="1:23" ht="16.5">
      <c r="B14" s="1445" t="s">
        <v>462</v>
      </c>
      <c r="C14" s="1445"/>
      <c r="D14" s="1586"/>
      <c r="E14" s="1586"/>
      <c r="F14" s="1587"/>
      <c r="G14" s="1587"/>
      <c r="H14" s="1588"/>
      <c r="I14" s="1588"/>
      <c r="J14" s="1588"/>
      <c r="K14" s="1588"/>
      <c r="L14" s="1588"/>
      <c r="M14" s="1588"/>
      <c r="N14" s="1586"/>
      <c r="O14" s="1586"/>
      <c r="P14" s="1586"/>
      <c r="Q14" s="1586"/>
      <c r="R14" s="1588"/>
      <c r="S14" s="1588"/>
      <c r="T14" s="1589"/>
      <c r="U14" s="1589"/>
      <c r="V14" s="1590"/>
      <c r="W14" s="1458"/>
    </row>
    <row r="15" spans="1:23" ht="15" customHeight="1">
      <c r="A15" s="2619"/>
      <c r="B15" s="1591" t="s">
        <v>462</v>
      </c>
      <c r="C15" s="1591"/>
      <c r="D15" s="1592"/>
      <c r="E15" s="1592"/>
      <c r="F15" s="1593"/>
      <c r="G15" s="1593"/>
      <c r="H15" s="1592"/>
      <c r="I15" s="1592"/>
      <c r="J15" s="1592"/>
      <c r="K15" s="1592"/>
      <c r="L15" s="1592"/>
      <c r="M15" s="1592"/>
      <c r="N15" s="1592"/>
      <c r="O15" s="1592"/>
      <c r="P15" s="1592"/>
      <c r="Q15" s="1592"/>
      <c r="R15" s="1594"/>
      <c r="S15" s="1594"/>
      <c r="T15" s="1595"/>
      <c r="U15" s="1595"/>
      <c r="V15" s="1433"/>
      <c r="W15" s="1458"/>
    </row>
    <row r="16" spans="1:23" ht="15" customHeight="1">
      <c r="A16" s="2619"/>
      <c r="B16" s="1583" t="s">
        <v>463</v>
      </c>
      <c r="C16" s="1583"/>
      <c r="D16" s="1461">
        <v>0</v>
      </c>
      <c r="E16" s="1461"/>
      <c r="F16" s="1461">
        <v>166518521</v>
      </c>
      <c r="G16" s="1446"/>
      <c r="H16" s="1461">
        <v>0</v>
      </c>
      <c r="I16" s="2948"/>
      <c r="J16" s="1461">
        <v>0</v>
      </c>
      <c r="K16" s="2948"/>
      <c r="L16" s="1461">
        <v>0</v>
      </c>
      <c r="M16" s="2948"/>
      <c r="N16" s="1461">
        <v>0</v>
      </c>
      <c r="O16" s="2948"/>
      <c r="P16" s="1461">
        <v>0</v>
      </c>
      <c r="Q16" s="1446"/>
      <c r="R16" s="1461">
        <f>ROUND(SUM(D16:Q16),0)</f>
        <v>166518521</v>
      </c>
      <c r="S16" s="1461"/>
      <c r="T16" s="2946">
        <v>125015043</v>
      </c>
      <c r="U16" s="1446"/>
      <c r="V16" s="1595">
        <f>ROUND(R16-T16,0)</f>
        <v>41503478</v>
      </c>
      <c r="W16" s="1461"/>
    </row>
    <row r="17" spans="1:23" ht="15" customHeight="1">
      <c r="A17" s="2619"/>
      <c r="B17" s="1433" t="s">
        <v>464</v>
      </c>
      <c r="C17" s="1433"/>
      <c r="D17" s="1447"/>
      <c r="E17" s="1447"/>
      <c r="F17" s="1447"/>
      <c r="G17" s="1447"/>
      <c r="H17" s="1447"/>
      <c r="I17" s="2949"/>
      <c r="J17" s="1447"/>
      <c r="K17" s="2948"/>
      <c r="L17" s="1447"/>
      <c r="M17" s="2950"/>
      <c r="N17" s="1447"/>
      <c r="O17" s="2950"/>
      <c r="P17" s="1447"/>
      <c r="Q17" s="1448"/>
      <c r="R17" s="1448"/>
      <c r="S17" s="1448"/>
      <c r="T17" s="2947"/>
      <c r="U17" s="1448"/>
      <c r="V17" s="1596"/>
      <c r="W17" s="1462"/>
    </row>
    <row r="18" spans="1:23" ht="15" customHeight="1">
      <c r="A18" s="2619"/>
      <c r="B18" s="1433" t="s">
        <v>465</v>
      </c>
      <c r="C18" s="1433"/>
      <c r="D18" s="1447">
        <v>0</v>
      </c>
      <c r="E18" s="1447"/>
      <c r="F18" s="1447">
        <v>0</v>
      </c>
      <c r="G18" s="1448"/>
      <c r="H18" s="1447">
        <v>0</v>
      </c>
      <c r="I18" s="2949"/>
      <c r="J18" s="1447">
        <v>0</v>
      </c>
      <c r="K18" s="2950"/>
      <c r="L18" s="1447">
        <v>0</v>
      </c>
      <c r="M18" s="2950"/>
      <c r="N18" s="1447">
        <v>0</v>
      </c>
      <c r="O18" s="2950"/>
      <c r="P18" s="1447">
        <v>0</v>
      </c>
      <c r="Q18" s="1448"/>
      <c r="R18" s="1448">
        <f>ROUND(SUM(D18:Q18),0)</f>
        <v>0</v>
      </c>
      <c r="S18" s="1448"/>
      <c r="T18" s="2947">
        <v>0</v>
      </c>
      <c r="U18" s="1449"/>
      <c r="V18" s="1449">
        <f t="shared" ref="V18:V59" si="0">ROUND(R18-T18,0)</f>
        <v>0</v>
      </c>
      <c r="W18" s="1450"/>
    </row>
    <row r="19" spans="1:23" ht="15" customHeight="1">
      <c r="A19" s="2619"/>
      <c r="B19" s="1433" t="s">
        <v>1536</v>
      </c>
      <c r="C19" s="1433"/>
      <c r="D19" s="1447">
        <v>0</v>
      </c>
      <c r="E19" s="1447"/>
      <c r="F19" s="1447">
        <v>0</v>
      </c>
      <c r="G19" s="1448"/>
      <c r="H19" s="1447">
        <v>0</v>
      </c>
      <c r="I19" s="2949"/>
      <c r="J19" s="1447">
        <v>0</v>
      </c>
      <c r="K19" s="2950"/>
      <c r="L19" s="1447">
        <v>0</v>
      </c>
      <c r="M19" s="2950"/>
      <c r="N19" s="1447">
        <v>0</v>
      </c>
      <c r="O19" s="2950"/>
      <c r="P19" s="1447">
        <v>0</v>
      </c>
      <c r="Q19" s="1448"/>
      <c r="R19" s="1448">
        <f t="shared" ref="R19:R37" si="1">ROUND(SUM(D19:Q19),0)</f>
        <v>0</v>
      </c>
      <c r="S19" s="1448"/>
      <c r="T19" s="2947">
        <v>0</v>
      </c>
      <c r="U19" s="1449"/>
      <c r="V19" s="1449">
        <f t="shared" si="0"/>
        <v>0</v>
      </c>
      <c r="W19" s="1450"/>
    </row>
    <row r="20" spans="1:23" ht="15" customHeight="1">
      <c r="A20" s="2619"/>
      <c r="B20" s="1433" t="s">
        <v>1510</v>
      </c>
      <c r="C20" s="1433"/>
      <c r="D20" s="1447">
        <v>0</v>
      </c>
      <c r="E20" s="1447"/>
      <c r="F20" s="1447">
        <v>0</v>
      </c>
      <c r="G20" s="1448"/>
      <c r="H20" s="1447">
        <v>0</v>
      </c>
      <c r="I20" s="2949"/>
      <c r="J20" s="1447">
        <v>0</v>
      </c>
      <c r="K20" s="2950"/>
      <c r="L20" s="1447">
        <v>0</v>
      </c>
      <c r="M20" s="2950"/>
      <c r="N20" s="1447">
        <v>0</v>
      </c>
      <c r="O20" s="2950"/>
      <c r="P20" s="1447">
        <v>0</v>
      </c>
      <c r="Q20" s="1448"/>
      <c r="R20" s="1448">
        <f t="shared" si="1"/>
        <v>0</v>
      </c>
      <c r="S20" s="1448"/>
      <c r="T20" s="2947">
        <v>0</v>
      </c>
      <c r="U20" s="1449"/>
      <c r="V20" s="1449">
        <f t="shared" si="0"/>
        <v>0</v>
      </c>
      <c r="W20" s="1450"/>
    </row>
    <row r="21" spans="1:23" ht="16.5">
      <c r="A21" s="2619"/>
      <c r="B21" s="1433" t="s">
        <v>1221</v>
      </c>
      <c r="C21" s="1433"/>
      <c r="D21" s="1447">
        <v>0</v>
      </c>
      <c r="E21" s="1447"/>
      <c r="F21" s="1447">
        <v>0</v>
      </c>
      <c r="G21" s="1448"/>
      <c r="H21" s="1447">
        <v>0</v>
      </c>
      <c r="I21" s="2949"/>
      <c r="J21" s="1447">
        <v>0</v>
      </c>
      <c r="K21" s="2950"/>
      <c r="L21" s="1447">
        <v>0</v>
      </c>
      <c r="M21" s="2950"/>
      <c r="N21" s="1447">
        <v>0</v>
      </c>
      <c r="O21" s="2950"/>
      <c r="P21" s="1447">
        <v>0</v>
      </c>
      <c r="Q21" s="1448"/>
      <c r="R21" s="1448">
        <f t="shared" si="1"/>
        <v>0</v>
      </c>
      <c r="S21" s="1448"/>
      <c r="T21" s="2947">
        <v>0</v>
      </c>
      <c r="U21" s="1449"/>
      <c r="V21" s="1449">
        <f t="shared" si="0"/>
        <v>0</v>
      </c>
      <c r="W21" s="1450"/>
    </row>
    <row r="22" spans="1:23" ht="15" customHeight="1">
      <c r="A22" s="2619"/>
      <c r="B22" s="1433" t="s">
        <v>467</v>
      </c>
      <c r="C22" s="1433"/>
      <c r="D22" s="1447">
        <v>0</v>
      </c>
      <c r="E22" s="1447"/>
      <c r="F22" s="1447">
        <v>0</v>
      </c>
      <c r="G22" s="1448"/>
      <c r="H22" s="1447">
        <v>14100513</v>
      </c>
      <c r="I22" s="2950"/>
      <c r="J22" s="1447">
        <v>0</v>
      </c>
      <c r="K22" s="2950"/>
      <c r="L22" s="1447">
        <v>0</v>
      </c>
      <c r="M22" s="2950"/>
      <c r="N22" s="1447">
        <v>0</v>
      </c>
      <c r="O22" s="2950"/>
      <c r="P22" s="1447">
        <v>0</v>
      </c>
      <c r="Q22" s="1448"/>
      <c r="R22" s="1448">
        <f t="shared" si="1"/>
        <v>14100513</v>
      </c>
      <c r="S22" s="1448"/>
      <c r="T22" s="2947">
        <v>14101613</v>
      </c>
      <c r="U22" s="1449"/>
      <c r="V22" s="1449">
        <f t="shared" si="0"/>
        <v>-1100</v>
      </c>
      <c r="W22" s="1450"/>
    </row>
    <row r="23" spans="1:23" ht="15" customHeight="1">
      <c r="A23" s="2619"/>
      <c r="B23" s="1433" t="s">
        <v>468</v>
      </c>
      <c r="C23" s="1433"/>
      <c r="D23" s="1447">
        <v>0</v>
      </c>
      <c r="E23" s="1447"/>
      <c r="F23" s="1447">
        <v>0</v>
      </c>
      <c r="G23" s="1448"/>
      <c r="H23" s="1447">
        <v>0</v>
      </c>
      <c r="I23" s="2949"/>
      <c r="J23" s="1447">
        <v>0</v>
      </c>
      <c r="K23" s="2950"/>
      <c r="L23" s="1447">
        <v>0</v>
      </c>
      <c r="M23" s="2950"/>
      <c r="N23" s="1447">
        <v>0</v>
      </c>
      <c r="O23" s="2950"/>
      <c r="P23" s="1447">
        <v>0</v>
      </c>
      <c r="Q23" s="1448"/>
      <c r="R23" s="1448">
        <f t="shared" si="1"/>
        <v>0</v>
      </c>
      <c r="S23" s="1448"/>
      <c r="T23" s="2947">
        <v>0</v>
      </c>
      <c r="U23" s="1449"/>
      <c r="V23" s="1449">
        <f t="shared" si="0"/>
        <v>0</v>
      </c>
      <c r="W23" s="1450"/>
    </row>
    <row r="24" spans="1:23" ht="15" customHeight="1">
      <c r="A24" s="2619"/>
      <c r="B24" s="1433" t="s">
        <v>469</v>
      </c>
      <c r="C24" s="1433"/>
      <c r="D24" s="1447">
        <v>0</v>
      </c>
      <c r="E24" s="1447"/>
      <c r="F24" s="1447">
        <v>0</v>
      </c>
      <c r="G24" s="1448"/>
      <c r="H24" s="1447">
        <v>0</v>
      </c>
      <c r="I24" s="2949"/>
      <c r="J24" s="1447">
        <v>0</v>
      </c>
      <c r="K24" s="2950"/>
      <c r="L24" s="1447">
        <v>0</v>
      </c>
      <c r="M24" s="2950"/>
      <c r="N24" s="1447">
        <v>0</v>
      </c>
      <c r="O24" s="2950"/>
      <c r="P24" s="1447">
        <v>0</v>
      </c>
      <c r="Q24" s="1448"/>
      <c r="R24" s="1448">
        <f t="shared" si="1"/>
        <v>0</v>
      </c>
      <c r="S24" s="1448"/>
      <c r="T24" s="2947">
        <v>0</v>
      </c>
      <c r="U24" s="1449"/>
      <c r="V24" s="1449">
        <f t="shared" si="0"/>
        <v>0</v>
      </c>
      <c r="W24" s="1450"/>
    </row>
    <row r="25" spans="1:23" ht="15" customHeight="1">
      <c r="A25" s="2619"/>
      <c r="B25" s="1433" t="s">
        <v>470</v>
      </c>
      <c r="C25" s="1433"/>
      <c r="D25" s="1447">
        <v>0</v>
      </c>
      <c r="E25" s="1447"/>
      <c r="F25" s="1447">
        <v>0</v>
      </c>
      <c r="G25" s="1448"/>
      <c r="H25" s="1447">
        <v>0</v>
      </c>
      <c r="I25" s="2949"/>
      <c r="J25" s="1447">
        <v>0</v>
      </c>
      <c r="K25" s="2950"/>
      <c r="L25" s="1447">
        <v>0</v>
      </c>
      <c r="M25" s="2950"/>
      <c r="N25" s="1447">
        <v>0</v>
      </c>
      <c r="O25" s="2950"/>
      <c r="P25" s="1447">
        <v>0</v>
      </c>
      <c r="Q25" s="1448"/>
      <c r="R25" s="1448">
        <f t="shared" si="1"/>
        <v>0</v>
      </c>
      <c r="S25" s="1448"/>
      <c r="T25" s="2947">
        <v>0</v>
      </c>
      <c r="U25" s="1449"/>
      <c r="V25" s="1449">
        <f t="shared" si="0"/>
        <v>0</v>
      </c>
      <c r="W25" s="1450"/>
    </row>
    <row r="26" spans="1:23" ht="15" customHeight="1">
      <c r="A26" s="2619"/>
      <c r="B26" s="1433" t="s">
        <v>471</v>
      </c>
      <c r="C26" s="1433"/>
      <c r="D26" s="1447">
        <v>0</v>
      </c>
      <c r="E26" s="1447"/>
      <c r="F26" s="1447">
        <v>0</v>
      </c>
      <c r="G26" s="1448"/>
      <c r="H26" s="1447">
        <v>0</v>
      </c>
      <c r="I26" s="2949"/>
      <c r="J26" s="1447">
        <v>0</v>
      </c>
      <c r="K26" s="2950"/>
      <c r="L26" s="1447">
        <v>0</v>
      </c>
      <c r="M26" s="2950"/>
      <c r="N26" s="1447">
        <v>0</v>
      </c>
      <c r="O26" s="2950"/>
      <c r="P26" s="1447">
        <v>0</v>
      </c>
      <c r="Q26" s="1448"/>
      <c r="R26" s="1448">
        <f t="shared" si="1"/>
        <v>0</v>
      </c>
      <c r="S26" s="1448"/>
      <c r="T26" s="2947">
        <v>0</v>
      </c>
      <c r="U26" s="1450"/>
      <c r="V26" s="1449">
        <f t="shared" si="0"/>
        <v>0</v>
      </c>
      <c r="W26" s="1450"/>
    </row>
    <row r="27" spans="1:23" ht="15" customHeight="1">
      <c r="A27" s="2619"/>
      <c r="B27" s="1433" t="s">
        <v>1265</v>
      </c>
      <c r="C27" s="1433"/>
      <c r="D27" s="1447">
        <v>0</v>
      </c>
      <c r="E27" s="1447"/>
      <c r="F27" s="1447">
        <v>0</v>
      </c>
      <c r="G27" s="1448"/>
      <c r="H27" s="1447">
        <v>0</v>
      </c>
      <c r="I27" s="2949"/>
      <c r="J27" s="1447">
        <v>0</v>
      </c>
      <c r="K27" s="2950"/>
      <c r="L27" s="1447">
        <v>0</v>
      </c>
      <c r="M27" s="2950"/>
      <c r="N27" s="1447">
        <v>0</v>
      </c>
      <c r="O27" s="2950"/>
      <c r="P27" s="1447">
        <v>0</v>
      </c>
      <c r="Q27" s="1448"/>
      <c r="R27" s="1448">
        <f t="shared" si="1"/>
        <v>0</v>
      </c>
      <c r="S27" s="1448"/>
      <c r="T27" s="2947">
        <v>0</v>
      </c>
      <c r="U27" s="1450"/>
      <c r="V27" s="1449">
        <f t="shared" si="0"/>
        <v>0</v>
      </c>
      <c r="W27" s="1450"/>
    </row>
    <row r="28" spans="1:23" ht="15" customHeight="1">
      <c r="A28" s="2619"/>
      <c r="B28" s="1433" t="s">
        <v>472</v>
      </c>
      <c r="C28" s="1433"/>
      <c r="D28" s="1447">
        <v>0</v>
      </c>
      <c r="E28" s="1447"/>
      <c r="F28" s="1447">
        <v>0</v>
      </c>
      <c r="G28" s="1448"/>
      <c r="H28" s="1447">
        <v>0</v>
      </c>
      <c r="I28" s="2949"/>
      <c r="J28" s="1447">
        <v>0</v>
      </c>
      <c r="K28" s="2950"/>
      <c r="L28" s="1447">
        <v>0</v>
      </c>
      <c r="M28" s="2950"/>
      <c r="N28" s="1447">
        <v>0</v>
      </c>
      <c r="O28" s="2950"/>
      <c r="P28" s="1447">
        <v>0</v>
      </c>
      <c r="Q28" s="1448"/>
      <c r="R28" s="1448">
        <f t="shared" si="1"/>
        <v>0</v>
      </c>
      <c r="S28" s="1448"/>
      <c r="T28" s="2947">
        <v>0</v>
      </c>
      <c r="U28" s="1450"/>
      <c r="V28" s="1449">
        <f t="shared" si="0"/>
        <v>0</v>
      </c>
      <c r="W28" s="1450"/>
    </row>
    <row r="29" spans="1:23" ht="15" customHeight="1">
      <c r="A29" s="2619"/>
      <c r="B29" s="1433" t="s">
        <v>1140</v>
      </c>
      <c r="C29" s="1433"/>
      <c r="D29" s="1447">
        <v>0</v>
      </c>
      <c r="E29" s="1447"/>
      <c r="F29" s="1447">
        <v>0</v>
      </c>
      <c r="G29" s="1448"/>
      <c r="H29" s="1447">
        <v>0</v>
      </c>
      <c r="I29" s="2949"/>
      <c r="J29" s="1447">
        <v>0</v>
      </c>
      <c r="K29" s="2950"/>
      <c r="L29" s="1447">
        <v>0</v>
      </c>
      <c r="M29" s="2950"/>
      <c r="N29" s="1447">
        <v>0</v>
      </c>
      <c r="O29" s="2950"/>
      <c r="P29" s="1447">
        <v>0</v>
      </c>
      <c r="Q29" s="1448"/>
      <c r="R29" s="1448">
        <f t="shared" si="1"/>
        <v>0</v>
      </c>
      <c r="S29" s="1448"/>
      <c r="T29" s="2947">
        <v>0</v>
      </c>
      <c r="U29" s="1450"/>
      <c r="V29" s="1449">
        <f t="shared" si="0"/>
        <v>0</v>
      </c>
      <c r="W29" s="1450"/>
    </row>
    <row r="30" spans="1:23" ht="15" customHeight="1">
      <c r="A30" s="2619"/>
      <c r="B30" s="1433" t="s">
        <v>1069</v>
      </c>
      <c r="C30" s="1433"/>
      <c r="D30" s="1447">
        <v>0</v>
      </c>
      <c r="E30" s="1447"/>
      <c r="F30" s="1447">
        <v>0</v>
      </c>
      <c r="G30" s="1448"/>
      <c r="H30" s="1447">
        <v>0</v>
      </c>
      <c r="I30" s="2949"/>
      <c r="J30" s="1447">
        <v>0</v>
      </c>
      <c r="K30" s="2950"/>
      <c r="L30" s="1447">
        <v>0</v>
      </c>
      <c r="M30" s="2950"/>
      <c r="N30" s="1447">
        <v>0</v>
      </c>
      <c r="O30" s="2950"/>
      <c r="P30" s="1447">
        <v>0</v>
      </c>
      <c r="Q30" s="1448"/>
      <c r="R30" s="1448">
        <f t="shared" si="1"/>
        <v>0</v>
      </c>
      <c r="S30" s="1448"/>
      <c r="T30" s="2947">
        <v>0</v>
      </c>
      <c r="U30" s="1450"/>
      <c r="V30" s="1449">
        <f t="shared" si="0"/>
        <v>0</v>
      </c>
      <c r="W30" s="1450"/>
    </row>
    <row r="31" spans="1:23" ht="15" customHeight="1">
      <c r="A31" s="2619"/>
      <c r="B31" s="1433" t="s">
        <v>1511</v>
      </c>
      <c r="C31" s="1433"/>
      <c r="D31" s="1447">
        <v>0</v>
      </c>
      <c r="E31" s="1447"/>
      <c r="F31" s="1447">
        <v>0</v>
      </c>
      <c r="G31" s="1448"/>
      <c r="H31" s="1447">
        <v>0</v>
      </c>
      <c r="I31" s="2949"/>
      <c r="J31" s="1447">
        <v>0</v>
      </c>
      <c r="K31" s="2950"/>
      <c r="L31" s="1447">
        <v>0</v>
      </c>
      <c r="M31" s="2950"/>
      <c r="N31" s="1447">
        <v>0</v>
      </c>
      <c r="O31" s="2950"/>
      <c r="P31" s="1447">
        <v>0</v>
      </c>
      <c r="Q31" s="1448"/>
      <c r="R31" s="1448">
        <f t="shared" si="1"/>
        <v>0</v>
      </c>
      <c r="S31" s="1448"/>
      <c r="T31" s="2947">
        <v>0</v>
      </c>
      <c r="U31" s="1450"/>
      <c r="V31" s="1449">
        <f t="shared" si="0"/>
        <v>0</v>
      </c>
      <c r="W31" s="1450"/>
    </row>
    <row r="32" spans="1:23" ht="15" customHeight="1">
      <c r="A32" s="2619"/>
      <c r="B32" s="1433" t="s">
        <v>1266</v>
      </c>
      <c r="C32" s="1433"/>
      <c r="D32" s="1447">
        <v>0</v>
      </c>
      <c r="E32" s="1447"/>
      <c r="F32" s="1447">
        <v>0</v>
      </c>
      <c r="G32" s="1448"/>
      <c r="H32" s="1447">
        <v>0</v>
      </c>
      <c r="I32" s="2949"/>
      <c r="J32" s="1447">
        <v>0</v>
      </c>
      <c r="K32" s="2950"/>
      <c r="L32" s="1447">
        <v>0</v>
      </c>
      <c r="M32" s="2950"/>
      <c r="N32" s="1447">
        <v>0</v>
      </c>
      <c r="O32" s="2950"/>
      <c r="P32" s="1447">
        <v>0</v>
      </c>
      <c r="Q32" s="1448"/>
      <c r="R32" s="1448">
        <f t="shared" si="1"/>
        <v>0</v>
      </c>
      <c r="S32" s="1448"/>
      <c r="T32" s="2947">
        <v>0</v>
      </c>
      <c r="U32" s="1449"/>
      <c r="V32" s="1449">
        <f t="shared" si="0"/>
        <v>0</v>
      </c>
      <c r="W32" s="1450"/>
    </row>
    <row r="33" spans="1:23" ht="15" customHeight="1">
      <c r="A33" s="2619"/>
      <c r="B33" s="1433" t="s">
        <v>1537</v>
      </c>
      <c r="C33" s="1433"/>
      <c r="D33" s="1447">
        <v>0</v>
      </c>
      <c r="E33" s="1447"/>
      <c r="F33" s="1447">
        <v>0</v>
      </c>
      <c r="G33" s="1448"/>
      <c r="H33" s="1447">
        <v>0</v>
      </c>
      <c r="I33" s="2949"/>
      <c r="J33" s="1447">
        <v>0</v>
      </c>
      <c r="K33" s="2950"/>
      <c r="L33" s="1447">
        <v>0</v>
      </c>
      <c r="M33" s="2950"/>
      <c r="N33" s="1447">
        <v>0</v>
      </c>
      <c r="O33" s="2950"/>
      <c r="P33" s="1447">
        <v>0</v>
      </c>
      <c r="Q33" s="1448"/>
      <c r="R33" s="1448">
        <f t="shared" si="1"/>
        <v>0</v>
      </c>
      <c r="S33" s="1448"/>
      <c r="T33" s="2947">
        <v>0</v>
      </c>
      <c r="U33" s="1449"/>
      <c r="V33" s="1449">
        <f t="shared" si="0"/>
        <v>0</v>
      </c>
      <c r="W33" s="1450"/>
    </row>
    <row r="34" spans="1:23" ht="15" customHeight="1">
      <c r="A34" s="2619"/>
      <c r="B34" s="1433" t="s">
        <v>1538</v>
      </c>
      <c r="C34" s="1433"/>
      <c r="D34" s="1447">
        <v>0</v>
      </c>
      <c r="E34" s="1447"/>
      <c r="F34" s="1447">
        <v>0</v>
      </c>
      <c r="G34" s="1448"/>
      <c r="H34" s="1447">
        <v>0</v>
      </c>
      <c r="I34" s="2949"/>
      <c r="J34" s="1447">
        <v>0</v>
      </c>
      <c r="K34" s="2950"/>
      <c r="L34" s="1447">
        <v>0</v>
      </c>
      <c r="M34" s="2950"/>
      <c r="N34" s="1447">
        <v>0</v>
      </c>
      <c r="O34" s="2950"/>
      <c r="P34" s="1447">
        <v>0</v>
      </c>
      <c r="Q34" s="1448"/>
      <c r="R34" s="1448">
        <f t="shared" si="1"/>
        <v>0</v>
      </c>
      <c r="S34" s="1448"/>
      <c r="T34" s="2947">
        <v>0</v>
      </c>
      <c r="U34" s="1449"/>
      <c r="V34" s="1449">
        <f t="shared" si="0"/>
        <v>0</v>
      </c>
      <c r="W34" s="1450"/>
    </row>
    <row r="35" spans="1:23" ht="15" customHeight="1">
      <c r="A35" s="2619"/>
      <c r="B35" s="1433" t="s">
        <v>473</v>
      </c>
      <c r="C35" s="1433"/>
      <c r="D35" s="1447">
        <v>0</v>
      </c>
      <c r="E35" s="1447"/>
      <c r="F35" s="1447">
        <v>0</v>
      </c>
      <c r="G35" s="1448"/>
      <c r="H35" s="1447">
        <v>0</v>
      </c>
      <c r="I35" s="2950"/>
      <c r="J35" s="1447">
        <v>0</v>
      </c>
      <c r="K35" s="2950"/>
      <c r="L35" s="1447">
        <v>0</v>
      </c>
      <c r="M35" s="2950"/>
      <c r="N35" s="1447">
        <v>0</v>
      </c>
      <c r="O35" s="2950"/>
      <c r="P35" s="1447">
        <v>0</v>
      </c>
      <c r="Q35" s="1448"/>
      <c r="R35" s="1448">
        <f t="shared" si="1"/>
        <v>0</v>
      </c>
      <c r="S35" s="1448"/>
      <c r="T35" s="2947">
        <v>0</v>
      </c>
      <c r="U35" s="1449"/>
      <c r="V35" s="1449">
        <f t="shared" si="0"/>
        <v>0</v>
      </c>
      <c r="W35" s="1450"/>
    </row>
    <row r="36" spans="1:23" ht="15" customHeight="1">
      <c r="A36" s="2619"/>
      <c r="B36" s="1433" t="s">
        <v>474</v>
      </c>
      <c r="C36" s="1433"/>
      <c r="D36" s="1447">
        <v>0</v>
      </c>
      <c r="E36" s="1447"/>
      <c r="F36" s="1447">
        <v>0</v>
      </c>
      <c r="G36" s="1448"/>
      <c r="H36" s="1447">
        <v>0</v>
      </c>
      <c r="I36" s="2951"/>
      <c r="J36" s="1447">
        <v>0</v>
      </c>
      <c r="K36" s="2950"/>
      <c r="L36" s="1447">
        <v>0</v>
      </c>
      <c r="M36" s="2950"/>
      <c r="N36" s="1447">
        <v>0</v>
      </c>
      <c r="O36" s="2950"/>
      <c r="P36" s="1447">
        <v>0</v>
      </c>
      <c r="Q36" s="1448"/>
      <c r="R36" s="1448">
        <f t="shared" si="1"/>
        <v>0</v>
      </c>
      <c r="S36" s="1448"/>
      <c r="T36" s="2947">
        <v>0</v>
      </c>
      <c r="U36" s="1449"/>
      <c r="V36" s="1449">
        <f t="shared" si="0"/>
        <v>0</v>
      </c>
      <c r="W36" s="1450"/>
    </row>
    <row r="37" spans="1:23" ht="15" customHeight="1">
      <c r="A37" s="2619"/>
      <c r="B37" s="1433" t="s">
        <v>1539</v>
      </c>
      <c r="C37" s="1433"/>
      <c r="D37" s="1447">
        <v>0</v>
      </c>
      <c r="E37" s="1447"/>
      <c r="F37" s="1447">
        <v>0</v>
      </c>
      <c r="G37" s="1448"/>
      <c r="H37" s="1447">
        <v>0</v>
      </c>
      <c r="I37" s="2952"/>
      <c r="J37" s="1447">
        <v>0</v>
      </c>
      <c r="K37" s="2950"/>
      <c r="L37" s="1447">
        <v>0</v>
      </c>
      <c r="M37" s="2950"/>
      <c r="N37" s="1447">
        <v>0</v>
      </c>
      <c r="O37" s="2950"/>
      <c r="P37" s="1447">
        <v>0</v>
      </c>
      <c r="Q37" s="1448"/>
      <c r="R37" s="1448">
        <f t="shared" si="1"/>
        <v>0</v>
      </c>
      <c r="S37" s="1448"/>
      <c r="T37" s="2947">
        <v>343275</v>
      </c>
      <c r="U37" s="1449"/>
      <c r="V37" s="1449">
        <f t="shared" si="0"/>
        <v>-343275</v>
      </c>
      <c r="W37" s="1450"/>
    </row>
    <row r="38" spans="1:23" ht="15" customHeight="1">
      <c r="A38" s="2619"/>
      <c r="B38" s="1433" t="s">
        <v>475</v>
      </c>
      <c r="C38" s="1433"/>
      <c r="D38" s="1597" t="s">
        <v>16</v>
      </c>
      <c r="E38" s="1597"/>
      <c r="F38" s="1597" t="s">
        <v>16</v>
      </c>
      <c r="G38" s="1448"/>
      <c r="H38" s="1597" t="s">
        <v>16</v>
      </c>
      <c r="I38" s="2951"/>
      <c r="J38" s="1597" t="s">
        <v>16</v>
      </c>
      <c r="K38" s="2950"/>
      <c r="L38" s="1597" t="s">
        <v>16</v>
      </c>
      <c r="M38" s="2950"/>
      <c r="N38" s="1597" t="s">
        <v>16</v>
      </c>
      <c r="O38" s="2950"/>
      <c r="P38" s="1597" t="s">
        <v>16</v>
      </c>
      <c r="Q38" s="1448"/>
      <c r="R38" s="1448"/>
      <c r="S38" s="1448"/>
      <c r="T38" s="2947"/>
      <c r="U38" s="1449"/>
      <c r="V38" s="1448"/>
      <c r="W38" s="1452"/>
    </row>
    <row r="39" spans="1:23" ht="15" customHeight="1">
      <c r="A39" s="2619"/>
      <c r="B39" s="1433" t="s">
        <v>476</v>
      </c>
      <c r="C39" s="1433"/>
      <c r="D39" s="1598">
        <v>0</v>
      </c>
      <c r="E39" s="1598"/>
      <c r="F39" s="1598">
        <v>0</v>
      </c>
      <c r="G39" s="1448"/>
      <c r="H39" s="1598">
        <v>0</v>
      </c>
      <c r="I39" s="2952"/>
      <c r="J39" s="1598">
        <v>0</v>
      </c>
      <c r="K39" s="2950"/>
      <c r="L39" s="1598">
        <v>0</v>
      </c>
      <c r="M39" s="2950"/>
      <c r="N39" s="1598">
        <v>0</v>
      </c>
      <c r="O39" s="2950"/>
      <c r="P39" s="1598">
        <v>0</v>
      </c>
      <c r="Q39" s="1448"/>
      <c r="R39" s="1448">
        <f>ROUND(SUM(D39:Q39),0)</f>
        <v>0</v>
      </c>
      <c r="S39" s="1448"/>
      <c r="T39" s="2947">
        <v>0</v>
      </c>
      <c r="U39" s="1449"/>
      <c r="V39" s="1449">
        <f t="shared" si="0"/>
        <v>0</v>
      </c>
      <c r="W39" s="1450"/>
    </row>
    <row r="40" spans="1:23" ht="15" customHeight="1">
      <c r="A40" s="2619"/>
      <c r="B40" s="1433" t="s">
        <v>1198</v>
      </c>
      <c r="C40" s="1433"/>
      <c r="D40" s="1447"/>
      <c r="E40" s="1447"/>
      <c r="F40" s="1447"/>
      <c r="G40" s="1448"/>
      <c r="H40" s="1447"/>
      <c r="I40" s="2949"/>
      <c r="J40" s="1447"/>
      <c r="K40" s="2950"/>
      <c r="L40" s="1447"/>
      <c r="M40" s="2950"/>
      <c r="N40" s="1447"/>
      <c r="O40" s="2950"/>
      <c r="P40" s="1447"/>
      <c r="Q40" s="1448"/>
      <c r="R40" s="1448"/>
      <c r="S40" s="1448"/>
      <c r="T40" s="2947"/>
      <c r="U40" s="1449"/>
      <c r="V40" s="1448"/>
      <c r="W40" s="1452"/>
    </row>
    <row r="41" spans="1:23" ht="15" customHeight="1">
      <c r="A41" s="2619"/>
      <c r="B41" s="1433" t="s">
        <v>1197</v>
      </c>
      <c r="C41" s="1433"/>
      <c r="D41" s="1447">
        <v>0</v>
      </c>
      <c r="E41" s="1447"/>
      <c r="F41" s="1447">
        <v>148061882</v>
      </c>
      <c r="G41" s="1448"/>
      <c r="H41" s="1447">
        <v>0</v>
      </c>
      <c r="I41" s="2949"/>
      <c r="J41" s="1447">
        <v>0</v>
      </c>
      <c r="K41" s="2950"/>
      <c r="L41" s="1447">
        <v>0</v>
      </c>
      <c r="M41" s="2950"/>
      <c r="N41" s="1447">
        <v>0</v>
      </c>
      <c r="O41" s="2950"/>
      <c r="P41" s="1447">
        <v>0</v>
      </c>
      <c r="Q41" s="1448"/>
      <c r="R41" s="1448">
        <f>ROUND(SUM(D41:Q41),0)</f>
        <v>148061882</v>
      </c>
      <c r="S41" s="1448"/>
      <c r="T41" s="2947">
        <v>155244834</v>
      </c>
      <c r="U41" s="1449"/>
      <c r="V41" s="1449">
        <f t="shared" si="0"/>
        <v>-7182952</v>
      </c>
      <c r="W41" s="1450"/>
    </row>
    <row r="42" spans="1:23" ht="16.5">
      <c r="A42" s="2619"/>
      <c r="B42" s="1433" t="s">
        <v>1196</v>
      </c>
      <c r="C42" s="1433"/>
      <c r="D42" s="1447">
        <v>0</v>
      </c>
      <c r="E42" s="1447"/>
      <c r="F42" s="1447">
        <v>0</v>
      </c>
      <c r="G42" s="1448"/>
      <c r="H42" s="1447">
        <v>0</v>
      </c>
      <c r="I42" s="2951"/>
      <c r="J42" s="1447">
        <v>0</v>
      </c>
      <c r="K42" s="2950"/>
      <c r="L42" s="1447">
        <v>0</v>
      </c>
      <c r="M42" s="2950"/>
      <c r="N42" s="1447">
        <v>0</v>
      </c>
      <c r="O42" s="2950"/>
      <c r="P42" s="1447">
        <v>0</v>
      </c>
      <c r="Q42" s="1448"/>
      <c r="R42" s="1448">
        <f>ROUND(SUM(D42:Q42),0)</f>
        <v>0</v>
      </c>
      <c r="S42" s="1448"/>
      <c r="T42" s="2947">
        <v>0</v>
      </c>
      <c r="U42" s="1449"/>
      <c r="V42" s="1449">
        <f t="shared" si="0"/>
        <v>0</v>
      </c>
      <c r="W42" s="1450"/>
    </row>
    <row r="43" spans="1:23" ht="15" customHeight="1">
      <c r="A43" s="2619"/>
      <c r="B43" s="1433" t="s">
        <v>1141</v>
      </c>
      <c r="C43" s="1433"/>
      <c r="D43" s="1447">
        <v>0</v>
      </c>
      <c r="E43" s="1447"/>
      <c r="F43" s="1447">
        <v>0</v>
      </c>
      <c r="G43" s="1448"/>
      <c r="H43" s="1447">
        <v>0</v>
      </c>
      <c r="I43" s="2952"/>
      <c r="J43" s="1447">
        <v>0</v>
      </c>
      <c r="K43" s="2950"/>
      <c r="L43" s="1447">
        <v>0</v>
      </c>
      <c r="M43" s="2950"/>
      <c r="N43" s="1447">
        <v>0</v>
      </c>
      <c r="O43" s="2950"/>
      <c r="P43" s="1447">
        <v>0</v>
      </c>
      <c r="Q43" s="1448"/>
      <c r="R43" s="1448">
        <f>ROUND(SUM(D43:Q43),0)</f>
        <v>0</v>
      </c>
      <c r="S43" s="1448"/>
      <c r="T43" s="2947">
        <v>0</v>
      </c>
      <c r="U43" s="1449"/>
      <c r="V43" s="1449">
        <f t="shared" si="0"/>
        <v>0</v>
      </c>
      <c r="W43" s="1450"/>
    </row>
    <row r="44" spans="1:23" ht="15" customHeight="1">
      <c r="A44" s="2619"/>
      <c r="B44" s="1433" t="s">
        <v>477</v>
      </c>
      <c r="C44" s="1433"/>
      <c r="D44" s="1447"/>
      <c r="E44" s="1447"/>
      <c r="F44" s="1447"/>
      <c r="G44" s="1451"/>
      <c r="H44" s="1447"/>
      <c r="I44" s="2949"/>
      <c r="J44" s="1447"/>
      <c r="K44" s="2950"/>
      <c r="L44" s="1447"/>
      <c r="M44" s="2950"/>
      <c r="N44" s="1447"/>
      <c r="O44" s="2950"/>
      <c r="P44" s="1447"/>
      <c r="Q44" s="1448"/>
      <c r="R44" s="1448"/>
      <c r="S44" s="1448"/>
      <c r="T44" s="2947"/>
      <c r="U44" s="1449"/>
      <c r="V44" s="1448"/>
      <c r="W44" s="1452"/>
    </row>
    <row r="45" spans="1:23" ht="15" customHeight="1">
      <c r="A45" s="2619"/>
      <c r="B45" s="1433" t="s">
        <v>1512</v>
      </c>
      <c r="C45" s="1433"/>
      <c r="D45" s="1447">
        <v>0</v>
      </c>
      <c r="E45" s="1447"/>
      <c r="F45" s="1447">
        <v>0</v>
      </c>
      <c r="G45" s="1448"/>
      <c r="H45" s="1447">
        <v>0</v>
      </c>
      <c r="I45" s="2949"/>
      <c r="J45" s="1447">
        <v>0</v>
      </c>
      <c r="K45" s="2950"/>
      <c r="L45" s="1447">
        <v>0</v>
      </c>
      <c r="M45" s="2950"/>
      <c r="N45" s="1447">
        <v>0</v>
      </c>
      <c r="O45" s="2950"/>
      <c r="P45" s="1447">
        <v>0</v>
      </c>
      <c r="Q45" s="1448"/>
      <c r="R45" s="1448">
        <f t="shared" ref="R45:R55" si="2">ROUND(SUM(D45:Q45),0)</f>
        <v>0</v>
      </c>
      <c r="S45" s="1448"/>
      <c r="T45" s="2947">
        <v>0</v>
      </c>
      <c r="U45" s="1449"/>
      <c r="V45" s="1449">
        <f t="shared" si="0"/>
        <v>0</v>
      </c>
      <c r="W45" s="1450"/>
    </row>
    <row r="46" spans="1:23" ht="15" customHeight="1">
      <c r="A46" s="2619"/>
      <c r="B46" s="1433" t="s">
        <v>478</v>
      </c>
      <c r="C46" s="1433"/>
      <c r="D46" s="1447">
        <v>0</v>
      </c>
      <c r="E46" s="1447"/>
      <c r="F46" s="1447">
        <v>0</v>
      </c>
      <c r="G46" s="1448"/>
      <c r="H46" s="1447">
        <v>0</v>
      </c>
      <c r="I46" s="2949"/>
      <c r="J46" s="1447">
        <v>0</v>
      </c>
      <c r="K46" s="2950"/>
      <c r="L46" s="1447">
        <v>0</v>
      </c>
      <c r="M46" s="2950"/>
      <c r="N46" s="1447">
        <v>0</v>
      </c>
      <c r="O46" s="2950"/>
      <c r="P46" s="1447">
        <v>0</v>
      </c>
      <c r="Q46" s="1448"/>
      <c r="R46" s="1448">
        <f t="shared" si="2"/>
        <v>0</v>
      </c>
      <c r="S46" s="1448"/>
      <c r="T46" s="2947">
        <v>0</v>
      </c>
      <c r="U46" s="1450"/>
      <c r="V46" s="1449">
        <f t="shared" si="0"/>
        <v>0</v>
      </c>
      <c r="W46" s="1450"/>
    </row>
    <row r="47" spans="1:23" ht="15" customHeight="1">
      <c r="A47" s="2619"/>
      <c r="B47" s="1600" t="s">
        <v>479</v>
      </c>
      <c r="C47" s="1599"/>
      <c r="D47" s="1447">
        <v>0</v>
      </c>
      <c r="E47" s="1447"/>
      <c r="F47" s="1447">
        <v>0</v>
      </c>
      <c r="G47" s="1448"/>
      <c r="H47" s="1447">
        <v>0</v>
      </c>
      <c r="I47" s="2949"/>
      <c r="J47" s="1447">
        <v>0</v>
      </c>
      <c r="K47" s="2950"/>
      <c r="L47" s="1447">
        <v>0</v>
      </c>
      <c r="M47" s="2950"/>
      <c r="N47" s="1447">
        <v>0</v>
      </c>
      <c r="O47" s="2950"/>
      <c r="P47" s="1447">
        <v>0</v>
      </c>
      <c r="Q47" s="1448"/>
      <c r="R47" s="1448">
        <f t="shared" si="2"/>
        <v>0</v>
      </c>
      <c r="S47" s="1448"/>
      <c r="T47" s="2947">
        <v>0</v>
      </c>
      <c r="U47" s="1450"/>
      <c r="V47" s="1449">
        <f t="shared" si="0"/>
        <v>0</v>
      </c>
      <c r="W47" s="1450"/>
    </row>
    <row r="48" spans="1:23" ht="15" customHeight="1">
      <c r="A48" s="2619"/>
      <c r="B48" s="1601" t="s">
        <v>480</v>
      </c>
      <c r="C48" s="1601"/>
      <c r="D48" s="1453">
        <v>0</v>
      </c>
      <c r="E48" s="1453"/>
      <c r="F48" s="1453">
        <v>0</v>
      </c>
      <c r="G48" s="1452"/>
      <c r="H48" s="1453">
        <v>0</v>
      </c>
      <c r="I48" s="2954"/>
      <c r="J48" s="1453">
        <v>0</v>
      </c>
      <c r="K48" s="2953"/>
      <c r="L48" s="1453">
        <v>0</v>
      </c>
      <c r="M48" s="2953"/>
      <c r="N48" s="1453">
        <v>0</v>
      </c>
      <c r="O48" s="2953"/>
      <c r="P48" s="1453">
        <v>0</v>
      </c>
      <c r="Q48" s="1452"/>
      <c r="R48" s="1448">
        <f t="shared" si="2"/>
        <v>0</v>
      </c>
      <c r="S48" s="1448"/>
      <c r="T48" s="2947">
        <v>0</v>
      </c>
      <c r="U48" s="1449"/>
      <c r="V48" s="1449">
        <f t="shared" si="0"/>
        <v>0</v>
      </c>
      <c r="W48" s="1450"/>
    </row>
    <row r="49" spans="1:25" ht="15" customHeight="1">
      <c r="A49" s="2619"/>
      <c r="B49" s="1433" t="s">
        <v>466</v>
      </c>
      <c r="C49" s="1433"/>
      <c r="D49" s="1447">
        <v>0</v>
      </c>
      <c r="E49" s="1447"/>
      <c r="F49" s="1447">
        <v>0</v>
      </c>
      <c r="G49" s="1448"/>
      <c r="H49" s="1447">
        <v>0</v>
      </c>
      <c r="I49" s="2949"/>
      <c r="J49" s="1447">
        <v>0</v>
      </c>
      <c r="K49" s="2950"/>
      <c r="L49" s="1447">
        <v>0</v>
      </c>
      <c r="M49" s="2950"/>
      <c r="N49" s="1447">
        <v>0</v>
      </c>
      <c r="O49" s="2950"/>
      <c r="P49" s="1447">
        <v>0</v>
      </c>
      <c r="Q49" s="1448"/>
      <c r="R49" s="1448">
        <f t="shared" si="2"/>
        <v>0</v>
      </c>
      <c r="S49" s="1448"/>
      <c r="T49" s="2947">
        <v>0</v>
      </c>
      <c r="U49" s="1450"/>
      <c r="V49" s="1449">
        <f t="shared" si="0"/>
        <v>0</v>
      </c>
      <c r="W49" s="1450"/>
    </row>
    <row r="50" spans="1:25" ht="16.5">
      <c r="A50" s="2619"/>
      <c r="B50" s="1600" t="s">
        <v>481</v>
      </c>
      <c r="C50" s="1599"/>
      <c r="D50" s="1447">
        <v>0</v>
      </c>
      <c r="E50" s="1447"/>
      <c r="F50" s="1447">
        <v>0</v>
      </c>
      <c r="G50" s="1448"/>
      <c r="H50" s="1447">
        <v>0</v>
      </c>
      <c r="I50" s="2949"/>
      <c r="J50" s="1447">
        <v>0</v>
      </c>
      <c r="K50" s="2950"/>
      <c r="L50" s="1447">
        <v>0</v>
      </c>
      <c r="M50" s="2950"/>
      <c r="N50" s="1447">
        <v>0</v>
      </c>
      <c r="O50" s="2950"/>
      <c r="P50" s="1447">
        <v>0</v>
      </c>
      <c r="Q50" s="1448"/>
      <c r="R50" s="1448">
        <f t="shared" si="2"/>
        <v>0</v>
      </c>
      <c r="S50" s="1448"/>
      <c r="T50" s="2947">
        <v>0</v>
      </c>
      <c r="U50" s="1449"/>
      <c r="V50" s="1449">
        <f t="shared" si="0"/>
        <v>0</v>
      </c>
      <c r="W50" s="1450"/>
    </row>
    <row r="51" spans="1:25" ht="15" customHeight="1">
      <c r="A51" s="2619"/>
      <c r="B51" s="1583" t="s">
        <v>482</v>
      </c>
      <c r="C51" s="1583"/>
      <c r="D51" s="1454">
        <v>0</v>
      </c>
      <c r="E51" s="1454"/>
      <c r="F51" s="1454">
        <v>0</v>
      </c>
      <c r="G51" s="1448"/>
      <c r="H51" s="1454">
        <v>0</v>
      </c>
      <c r="I51" s="2949"/>
      <c r="J51" s="1454">
        <v>0</v>
      </c>
      <c r="K51" s="2950"/>
      <c r="L51" s="1454">
        <v>0</v>
      </c>
      <c r="M51" s="2950"/>
      <c r="N51" s="1454">
        <v>0</v>
      </c>
      <c r="O51" s="2950"/>
      <c r="P51" s="1454">
        <v>0</v>
      </c>
      <c r="Q51" s="1448"/>
      <c r="R51" s="1448">
        <f t="shared" si="2"/>
        <v>0</v>
      </c>
      <c r="S51" s="1448"/>
      <c r="T51" s="2947">
        <v>0</v>
      </c>
      <c r="U51" s="1449"/>
      <c r="V51" s="1449">
        <f t="shared" si="0"/>
        <v>0</v>
      </c>
      <c r="W51" s="1450"/>
    </row>
    <row r="52" spans="1:25" customFormat="1" ht="15" customHeight="1">
      <c r="B52" s="1583" t="s">
        <v>1455</v>
      </c>
      <c r="D52" s="2808">
        <v>0</v>
      </c>
      <c r="E52" s="2808"/>
      <c r="F52" s="2808">
        <v>0</v>
      </c>
      <c r="G52" s="2809"/>
      <c r="H52" s="2808">
        <v>0</v>
      </c>
      <c r="I52" s="2954"/>
      <c r="J52" s="2808">
        <v>0</v>
      </c>
      <c r="K52" s="2953"/>
      <c r="L52" s="2808">
        <v>0</v>
      </c>
      <c r="M52" s="2950"/>
      <c r="N52" s="2808">
        <v>0</v>
      </c>
      <c r="O52" s="2950"/>
      <c r="P52" s="2808">
        <v>0</v>
      </c>
      <c r="R52" s="2809">
        <f>ROUND(SUM(D52:Q52),0)</f>
        <v>0</v>
      </c>
      <c r="T52" s="2947">
        <v>0</v>
      </c>
      <c r="V52" s="2810">
        <f t="shared" si="0"/>
        <v>0</v>
      </c>
    </row>
    <row r="53" spans="1:25" ht="15" customHeight="1">
      <c r="A53" s="2619"/>
      <c r="B53" s="1583" t="s">
        <v>468</v>
      </c>
      <c r="C53" s="1583"/>
      <c r="D53" s="1453">
        <v>0</v>
      </c>
      <c r="E53" s="1453"/>
      <c r="F53" s="1453">
        <v>0</v>
      </c>
      <c r="G53" s="1452"/>
      <c r="H53" s="1453">
        <v>0</v>
      </c>
      <c r="I53" s="2955"/>
      <c r="J53" s="1453">
        <v>0</v>
      </c>
      <c r="K53" s="2953"/>
      <c r="L53" s="1453">
        <v>0</v>
      </c>
      <c r="M53" s="2950"/>
      <c r="N53" s="1453">
        <v>0</v>
      </c>
      <c r="O53" s="2950"/>
      <c r="P53" s="1453">
        <v>0</v>
      </c>
      <c r="Q53" s="1452"/>
      <c r="R53" s="1448">
        <f t="shared" si="2"/>
        <v>0</v>
      </c>
      <c r="S53" s="1448"/>
      <c r="T53" s="2947">
        <v>0</v>
      </c>
      <c r="U53" s="1448"/>
      <c r="V53" s="2810">
        <f t="shared" si="0"/>
        <v>0</v>
      </c>
      <c r="W53" s="1450"/>
    </row>
    <row r="54" spans="1:25" ht="15" customHeight="1">
      <c r="A54" s="2619"/>
      <c r="B54" s="1433" t="s">
        <v>470</v>
      </c>
      <c r="C54" s="1433"/>
      <c r="D54" s="1447">
        <v>0</v>
      </c>
      <c r="E54" s="1447"/>
      <c r="F54" s="1447">
        <v>0</v>
      </c>
      <c r="G54" s="1448"/>
      <c r="H54" s="1447">
        <v>0</v>
      </c>
      <c r="I54" s="2952"/>
      <c r="J54" s="1447">
        <v>0</v>
      </c>
      <c r="K54" s="2950"/>
      <c r="L54" s="1447">
        <v>0</v>
      </c>
      <c r="M54" s="2950"/>
      <c r="N54" s="1447">
        <v>0</v>
      </c>
      <c r="O54" s="2950"/>
      <c r="P54" s="1447">
        <v>0</v>
      </c>
      <c r="Q54" s="1448"/>
      <c r="R54" s="1448">
        <f t="shared" si="2"/>
        <v>0</v>
      </c>
      <c r="S54" s="1448"/>
      <c r="T54" s="2947">
        <v>0</v>
      </c>
      <c r="U54" s="1448"/>
      <c r="V54" s="2810">
        <f t="shared" si="0"/>
        <v>0</v>
      </c>
      <c r="W54" s="1450"/>
    </row>
    <row r="55" spans="1:25" ht="15" customHeight="1">
      <c r="A55" s="2619"/>
      <c r="B55" s="1433" t="s">
        <v>1540</v>
      </c>
      <c r="C55" s="1433"/>
      <c r="D55" s="1447">
        <v>0</v>
      </c>
      <c r="E55" s="1447"/>
      <c r="F55" s="1447">
        <v>0</v>
      </c>
      <c r="G55" s="1448"/>
      <c r="H55" s="1447">
        <v>0</v>
      </c>
      <c r="I55" s="2949"/>
      <c r="J55" s="1447">
        <v>0</v>
      </c>
      <c r="K55" s="2950"/>
      <c r="L55" s="1447">
        <v>0</v>
      </c>
      <c r="M55" s="2950"/>
      <c r="N55" s="1447">
        <v>0</v>
      </c>
      <c r="O55" s="2950"/>
      <c r="P55" s="1447">
        <v>0</v>
      </c>
      <c r="Q55" s="1448"/>
      <c r="R55" s="1448">
        <f t="shared" si="2"/>
        <v>0</v>
      </c>
      <c r="S55" s="1448"/>
      <c r="T55" s="2947">
        <v>0</v>
      </c>
      <c r="U55" s="1449"/>
      <c r="V55" s="2810">
        <f t="shared" si="0"/>
        <v>0</v>
      </c>
      <c r="W55" s="1450"/>
    </row>
    <row r="56" spans="1:25" ht="15" customHeight="1">
      <c r="A56" s="2617"/>
      <c r="B56" s="1433" t="s">
        <v>1513</v>
      </c>
      <c r="C56" s="1433"/>
      <c r="D56" s="1602" t="s">
        <v>16</v>
      </c>
      <c r="E56" s="1602"/>
      <c r="F56" s="1602" t="s">
        <v>16</v>
      </c>
      <c r="G56" s="1448"/>
      <c r="H56" s="1602" t="s">
        <v>16</v>
      </c>
      <c r="I56" s="2951"/>
      <c r="J56" s="1602" t="s">
        <v>16</v>
      </c>
      <c r="K56" s="2950"/>
      <c r="L56" s="1602" t="s">
        <v>16</v>
      </c>
      <c r="M56" s="2950"/>
      <c r="N56" s="1602" t="s">
        <v>16</v>
      </c>
      <c r="O56" s="2950"/>
      <c r="P56" s="1602" t="s">
        <v>16</v>
      </c>
      <c r="Q56" s="1448"/>
      <c r="R56" s="1448"/>
      <c r="S56" s="1448"/>
      <c r="U56" s="1449"/>
      <c r="V56" s="2810"/>
      <c r="W56" s="1452"/>
    </row>
    <row r="57" spans="1:25" ht="16.5">
      <c r="A57" s="2617"/>
      <c r="B57" s="1433" t="s">
        <v>483</v>
      </c>
      <c r="C57" s="1433"/>
      <c r="D57" s="1603">
        <v>0</v>
      </c>
      <c r="E57" s="1603"/>
      <c r="F57" s="1603">
        <v>0</v>
      </c>
      <c r="G57" s="1455"/>
      <c r="H57" s="1603">
        <v>0</v>
      </c>
      <c r="I57" s="2952"/>
      <c r="J57" s="1603">
        <v>0</v>
      </c>
      <c r="K57" s="2950"/>
      <c r="L57" s="1603">
        <v>0</v>
      </c>
      <c r="M57" s="2950"/>
      <c r="N57" s="1603">
        <v>0</v>
      </c>
      <c r="O57" s="2950"/>
      <c r="P57" s="1603">
        <v>0</v>
      </c>
      <c r="Q57" s="1448"/>
      <c r="R57" s="1448">
        <f>ROUND(SUM(D57:Q57),0)</f>
        <v>0</v>
      </c>
      <c r="S57" s="1448"/>
      <c r="T57" s="2947">
        <v>0</v>
      </c>
      <c r="U57" s="2620"/>
      <c r="V57" s="2810">
        <f t="shared" si="0"/>
        <v>0</v>
      </c>
      <c r="W57" s="1450"/>
      <c r="Y57" s="2621"/>
    </row>
    <row r="58" spans="1:25" ht="16.5">
      <c r="A58" s="2617"/>
      <c r="B58" s="1433" t="s">
        <v>1287</v>
      </c>
      <c r="C58" s="1433"/>
      <c r="D58" s="1603">
        <v>0</v>
      </c>
      <c r="E58" s="1603"/>
      <c r="F58" s="1603">
        <v>0</v>
      </c>
      <c r="G58" s="1455"/>
      <c r="H58" s="1603">
        <v>0</v>
      </c>
      <c r="I58" s="2952"/>
      <c r="J58" s="1603">
        <v>0</v>
      </c>
      <c r="K58" s="2950"/>
      <c r="L58" s="1603">
        <v>0</v>
      </c>
      <c r="M58" s="2950"/>
      <c r="N58" s="1603">
        <v>0</v>
      </c>
      <c r="O58" s="2950"/>
      <c r="P58" s="1603">
        <v>0</v>
      </c>
      <c r="Q58" s="1448"/>
      <c r="R58" s="1448">
        <f>ROUND(SUM(D58:Q58),0)</f>
        <v>0</v>
      </c>
      <c r="S58" s="1448"/>
      <c r="T58" s="2947">
        <v>0</v>
      </c>
      <c r="U58" s="2620"/>
      <c r="V58" s="2810">
        <f t="shared" si="0"/>
        <v>0</v>
      </c>
      <c r="W58" s="1450"/>
      <c r="Y58" s="2621"/>
    </row>
    <row r="59" spans="1:25" ht="16.5">
      <c r="B59" s="1433" t="s">
        <v>484</v>
      </c>
      <c r="C59" s="1433"/>
      <c r="D59" s="1454">
        <v>0</v>
      </c>
      <c r="E59" s="1454"/>
      <c r="F59" s="1454">
        <v>0</v>
      </c>
      <c r="G59" s="1455"/>
      <c r="H59" s="1454">
        <v>0</v>
      </c>
      <c r="I59" s="2949"/>
      <c r="J59" s="1454">
        <v>0</v>
      </c>
      <c r="K59" s="2950"/>
      <c r="L59" s="1454">
        <v>0</v>
      </c>
      <c r="M59" s="2950"/>
      <c r="N59" s="1454">
        <v>0</v>
      </c>
      <c r="O59" s="2950"/>
      <c r="P59" s="1454">
        <v>0</v>
      </c>
      <c r="Q59" s="1448"/>
      <c r="R59" s="1448">
        <f>ROUND(SUM(D59:Q59),0)</f>
        <v>0</v>
      </c>
      <c r="S59" s="1448"/>
      <c r="T59" s="2947">
        <v>0</v>
      </c>
      <c r="U59" s="2622"/>
      <c r="V59" s="2810">
        <f t="shared" si="0"/>
        <v>0</v>
      </c>
      <c r="W59" s="1450"/>
    </row>
    <row r="60" spans="1:25" ht="16.5">
      <c r="A60" s="2623"/>
      <c r="B60" s="1434" t="s">
        <v>485</v>
      </c>
      <c r="C60" s="1434"/>
      <c r="D60" s="1581"/>
      <c r="E60" s="1581"/>
      <c r="F60" s="1581"/>
      <c r="G60" s="1581"/>
      <c r="H60" s="1604"/>
      <c r="I60" s="1604"/>
      <c r="J60" s="1596"/>
      <c r="K60" s="1596"/>
      <c r="L60" s="1596"/>
      <c r="M60" s="1596"/>
      <c r="N60" s="1604"/>
      <c r="O60" s="1604"/>
      <c r="P60" s="1604"/>
      <c r="Q60" s="1604"/>
      <c r="R60" s="1604"/>
      <c r="S60" s="1604"/>
      <c r="T60" s="1604"/>
      <c r="U60" s="2624"/>
      <c r="V60" s="1448"/>
      <c r="W60" s="1452"/>
    </row>
    <row r="61" spans="1:25" s="2616" customFormat="1" ht="17.25" thickBot="1">
      <c r="B61" s="1605" t="s">
        <v>486</v>
      </c>
      <c r="C61" s="1582"/>
      <c r="D61" s="1647">
        <f>ROUND(SUM(D15:D59),0)</f>
        <v>0</v>
      </c>
      <c r="E61" s="1648"/>
      <c r="F61" s="1647">
        <f>ROUND(SUM(F15:F59),0)</f>
        <v>314580403</v>
      </c>
      <c r="G61" s="1648"/>
      <c r="H61" s="1647">
        <f>ROUND(SUM(H15:H59),0)</f>
        <v>14100513</v>
      </c>
      <c r="I61" s="1648"/>
      <c r="J61" s="1647">
        <f>ROUND(SUM(J15:J59),0)</f>
        <v>0</v>
      </c>
      <c r="K61" s="1649"/>
      <c r="L61" s="1647">
        <f>ROUND(SUM(L15:L59),0)</f>
        <v>0</v>
      </c>
      <c r="M61" s="1649"/>
      <c r="N61" s="1647">
        <f>ROUND(SUM(N15:N59),0)</f>
        <v>0</v>
      </c>
      <c r="O61" s="1648"/>
      <c r="P61" s="1647">
        <f>ROUND(SUM(P15:P59),0)</f>
        <v>0</v>
      </c>
      <c r="Q61" s="1648"/>
      <c r="R61" s="1647">
        <f>ROUND(SUM(R15:R59),0)</f>
        <v>328680916</v>
      </c>
      <c r="S61" s="1648"/>
      <c r="T61" s="1647">
        <f>ROUND(SUM(T15:T59),0)</f>
        <v>294704765</v>
      </c>
      <c r="U61" s="1648"/>
      <c r="V61" s="1647">
        <f>ROUND(SUM(V15:V59),0)</f>
        <v>33976151</v>
      </c>
      <c r="W61" s="1650"/>
    </row>
    <row r="62" spans="1:25" ht="17.25" thickTop="1">
      <c r="B62" s="1456"/>
      <c r="C62" s="1456"/>
      <c r="D62" s="1433"/>
      <c r="E62" s="1433"/>
      <c r="F62" s="1433"/>
      <c r="G62" s="1433"/>
      <c r="H62" s="1433"/>
      <c r="I62" s="1433"/>
      <c r="J62" s="1433"/>
      <c r="K62" s="1433"/>
      <c r="L62" s="1433"/>
      <c r="M62" s="1433"/>
      <c r="N62" s="1433"/>
      <c r="O62" s="1433"/>
      <c r="P62" s="1433"/>
      <c r="Q62" s="1433"/>
      <c r="R62" s="1433"/>
      <c r="S62" s="1433"/>
      <c r="T62" s="1433"/>
      <c r="U62" s="1433"/>
      <c r="V62" s="1457"/>
      <c r="W62" s="1458"/>
    </row>
    <row r="63" spans="1:25" ht="16.5">
      <c r="B63" s="1433"/>
      <c r="C63" s="1433"/>
      <c r="D63" s="1433"/>
      <c r="E63" s="1433"/>
      <c r="F63" s="2928"/>
      <c r="G63" s="1433"/>
      <c r="H63" s="1433"/>
      <c r="I63" s="1433"/>
      <c r="J63" s="1433"/>
      <c r="K63" s="1433"/>
      <c r="L63" s="1433"/>
      <c r="M63" s="1433"/>
      <c r="N63" s="1433"/>
      <c r="O63" s="1433"/>
      <c r="P63" s="1433"/>
      <c r="Q63" s="1433"/>
      <c r="R63" s="1433"/>
      <c r="S63" s="1433"/>
      <c r="T63" s="1433"/>
      <c r="U63" s="1433"/>
      <c r="V63" s="1433"/>
    </row>
    <row r="64" spans="1:25" ht="15">
      <c r="B64" s="2625"/>
    </row>
    <row r="65" spans="2:2" ht="15">
      <c r="B65" s="2625"/>
    </row>
    <row r="66" spans="2:2" ht="15">
      <c r="B66" s="2625"/>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5"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598" customWidth="1"/>
    <col min="4" max="4" width="10.44140625" style="2598" customWidth="1"/>
    <col min="5" max="5" width="14.77734375" style="2598" customWidth="1"/>
    <col min="6" max="6" width="1.33203125" style="2598" customWidth="1"/>
    <col min="7" max="7" width="16.6640625" style="2598" customWidth="1"/>
    <col min="8" max="8" width="1.33203125" style="2598" customWidth="1"/>
    <col min="9" max="9" width="16.6640625" style="2598" bestFit="1" customWidth="1"/>
    <col min="10" max="10" width="9.6640625" style="2598" customWidth="1"/>
    <col min="11" max="11" width="15.6640625" style="2598" customWidth="1"/>
    <col min="12" max="16384" width="8.88671875" style="2598"/>
  </cols>
  <sheetData>
    <row r="1" spans="1:11">
      <c r="A1" s="1190" t="s">
        <v>1231</v>
      </c>
    </row>
    <row r="2" spans="1:11">
      <c r="A2" s="1743"/>
    </row>
    <row r="3" spans="1:11" ht="15.75">
      <c r="A3" s="1411" t="s">
        <v>0</v>
      </c>
      <c r="I3" s="2404" t="s">
        <v>1453</v>
      </c>
    </row>
    <row r="4" spans="1:11" ht="15.75">
      <c r="A4" s="1744" t="s">
        <v>1452</v>
      </c>
    </row>
    <row r="5" spans="1:11" ht="15.75">
      <c r="A5" s="3541" t="s">
        <v>1601</v>
      </c>
      <c r="B5" s="3542"/>
      <c r="C5" s="3542"/>
      <c r="D5" s="3542"/>
      <c r="E5" s="3542"/>
      <c r="F5" s="3542"/>
      <c r="G5" s="3542"/>
      <c r="H5" s="3542"/>
      <c r="I5" s="3542"/>
      <c r="J5" s="3542"/>
      <c r="K5" s="3542"/>
    </row>
    <row r="6" spans="1:11" ht="15.75">
      <c r="A6" s="3541" t="s">
        <v>1119</v>
      </c>
      <c r="B6" s="3542"/>
      <c r="C6" s="3542"/>
      <c r="D6" s="3542"/>
      <c r="E6" s="3542"/>
      <c r="F6" s="3542"/>
      <c r="G6" s="3542"/>
      <c r="H6" s="3542"/>
      <c r="I6" s="3542"/>
      <c r="J6" s="3542"/>
      <c r="K6" s="3542"/>
    </row>
    <row r="7" spans="1:11" ht="15.75">
      <c r="A7" s="3541" t="s">
        <v>1116</v>
      </c>
      <c r="B7" s="3543"/>
      <c r="C7" s="3543"/>
      <c r="D7" s="3543"/>
      <c r="E7" s="3543"/>
      <c r="F7" s="3543"/>
      <c r="G7" s="3543"/>
      <c r="H7" s="3543"/>
      <c r="I7" s="3543"/>
      <c r="J7" s="3543"/>
      <c r="K7" s="3543"/>
    </row>
    <row r="8" spans="1:11" ht="15.75">
      <c r="A8" s="754"/>
      <c r="F8" s="754"/>
      <c r="H8" s="754"/>
      <c r="I8" s="755" t="s">
        <v>487</v>
      </c>
    </row>
    <row r="9" spans="1:11" ht="15.75">
      <c r="A9" s="754"/>
      <c r="F9" s="754"/>
      <c r="G9" s="756" t="s">
        <v>488</v>
      </c>
      <c r="H9" s="754"/>
      <c r="I9" s="756" t="s">
        <v>489</v>
      </c>
    </row>
    <row r="10" spans="1:11" ht="15.75">
      <c r="A10" s="754"/>
      <c r="E10" s="757" t="s">
        <v>1594</v>
      </c>
      <c r="F10" s="754"/>
      <c r="G10" s="756" t="s">
        <v>490</v>
      </c>
      <c r="H10" s="754"/>
      <c r="I10" s="757" t="s">
        <v>1598</v>
      </c>
    </row>
    <row r="11" spans="1:11" ht="15.75">
      <c r="A11" s="754"/>
      <c r="E11" s="758"/>
      <c r="F11" s="754"/>
      <c r="G11" s="758"/>
      <c r="H11" s="754"/>
      <c r="I11" s="758"/>
    </row>
    <row r="12" spans="1:11" ht="15.75">
      <c r="A12" s="759" t="s">
        <v>1220</v>
      </c>
      <c r="F12" s="754"/>
      <c r="H12" s="754"/>
    </row>
    <row r="13" spans="1:11">
      <c r="A13" s="754"/>
      <c r="F13" s="754"/>
      <c r="H13" s="754"/>
    </row>
    <row r="14" spans="1:11">
      <c r="A14" s="1269" t="s">
        <v>1219</v>
      </c>
      <c r="E14" s="2599">
        <v>14543.1</v>
      </c>
      <c r="F14" s="2599"/>
      <c r="G14" s="2600">
        <v>12695.9</v>
      </c>
      <c r="H14" s="2599"/>
      <c r="I14" s="2601">
        <v>6823</v>
      </c>
    </row>
    <row r="15" spans="1:11">
      <c r="A15" s="1269" t="s">
        <v>1218</v>
      </c>
      <c r="E15" s="760">
        <v>1.0200000000000001E-3</v>
      </c>
      <c r="F15" s="1656"/>
      <c r="G15" s="761">
        <v>1.0200000000000001E-3</v>
      </c>
      <c r="H15" s="1656"/>
      <c r="I15" s="762">
        <v>1.2700000000000001E-3</v>
      </c>
    </row>
    <row r="16" spans="1:11">
      <c r="A16" s="1656" t="s">
        <v>491</v>
      </c>
      <c r="E16" s="2602">
        <v>1.1319999999999999</v>
      </c>
      <c r="F16" s="763"/>
      <c r="G16" s="2603">
        <v>2.1259999999999999</v>
      </c>
      <c r="H16" s="1852"/>
      <c r="I16" s="2604">
        <v>1.7170000000000001</v>
      </c>
    </row>
    <row r="17" spans="1:10">
      <c r="A17" s="754"/>
      <c r="J17" s="754"/>
    </row>
    <row r="18" spans="1:10">
      <c r="A18" s="1818"/>
      <c r="B18" s="2605"/>
      <c r="C18" s="2605"/>
      <c r="D18" s="2605"/>
      <c r="E18" s="2605"/>
      <c r="F18" s="2605"/>
      <c r="G18" s="2605"/>
      <c r="H18" s="2605"/>
      <c r="I18" s="2605"/>
      <c r="J18" s="1818"/>
    </row>
    <row r="19" spans="1:10">
      <c r="A19" s="1818"/>
      <c r="B19" s="2605"/>
      <c r="C19" s="2605"/>
      <c r="D19" s="2605"/>
      <c r="E19" s="2605"/>
      <c r="F19" s="2605"/>
      <c r="G19" s="2605"/>
      <c r="H19" s="2605"/>
      <c r="I19" s="2605"/>
      <c r="J19" s="1818"/>
    </row>
    <row r="20" spans="1:10" ht="18">
      <c r="A20" s="1819" t="s">
        <v>492</v>
      </c>
      <c r="B20" s="1820"/>
      <c r="C20" s="1820"/>
      <c r="D20" s="2605"/>
      <c r="E20" s="2605"/>
      <c r="F20" s="2605"/>
      <c r="G20" s="2605"/>
      <c r="H20" s="2605"/>
      <c r="I20" s="2605"/>
      <c r="J20" s="1818"/>
    </row>
    <row r="21" spans="1:10">
      <c r="A21" s="1818"/>
      <c r="B21" s="2605"/>
      <c r="C21" s="2605"/>
      <c r="D21" s="2605"/>
      <c r="E21" s="2605"/>
      <c r="F21" s="1156"/>
      <c r="G21" s="1156" t="s">
        <v>1594</v>
      </c>
      <c r="H21" s="1156"/>
      <c r="I21" s="1156" t="s">
        <v>1598</v>
      </c>
      <c r="J21" s="1818"/>
    </row>
    <row r="22" spans="1:10">
      <c r="A22" s="1818"/>
      <c r="B22" s="1821" t="s">
        <v>493</v>
      </c>
      <c r="C22" s="2605"/>
      <c r="D22" s="2606" t="s">
        <v>16</v>
      </c>
      <c r="E22" s="2605"/>
      <c r="F22" s="1822"/>
      <c r="G22" s="2607" t="s">
        <v>494</v>
      </c>
      <c r="H22" s="1822"/>
      <c r="I22" s="2607" t="s">
        <v>494</v>
      </c>
      <c r="J22" s="1818"/>
    </row>
    <row r="23" spans="1:10">
      <c r="A23" s="1818"/>
      <c r="B23" s="2606" t="s">
        <v>495</v>
      </c>
      <c r="C23" s="2605"/>
      <c r="D23" s="2605"/>
      <c r="E23" s="2605"/>
      <c r="F23" s="2608"/>
      <c r="G23" s="2609">
        <v>1000</v>
      </c>
      <c r="H23" s="2608"/>
      <c r="I23" s="2609">
        <v>0</v>
      </c>
      <c r="J23" s="1818"/>
    </row>
    <row r="24" spans="1:10">
      <c r="A24" s="1818"/>
      <c r="B24" s="2606" t="s">
        <v>496</v>
      </c>
      <c r="C24" s="2605"/>
      <c r="D24" s="2605"/>
      <c r="E24" s="2605"/>
      <c r="F24" s="2608"/>
      <c r="G24" s="2610">
        <v>26.5</v>
      </c>
      <c r="H24" s="2608"/>
      <c r="I24" s="2610">
        <v>0</v>
      </c>
      <c r="J24" s="1818"/>
    </row>
    <row r="25" spans="1:10">
      <c r="A25" s="1818"/>
      <c r="B25" s="2606" t="s">
        <v>497</v>
      </c>
      <c r="C25" s="2605"/>
      <c r="D25" s="2605"/>
      <c r="E25" s="2605"/>
      <c r="F25" s="2611"/>
      <c r="G25" s="2610">
        <v>9752.2000000000007</v>
      </c>
      <c r="H25" s="2611"/>
      <c r="I25" s="2612">
        <v>2628.3</v>
      </c>
      <c r="J25" s="1818"/>
    </row>
    <row r="26" spans="1:10">
      <c r="A26" s="1818"/>
      <c r="B26" s="2606" t="s">
        <v>498</v>
      </c>
      <c r="C26" s="2605"/>
      <c r="D26" s="2605"/>
      <c r="E26" s="2605"/>
      <c r="F26" s="2611"/>
      <c r="G26" s="2610">
        <v>2456.1999999999998</v>
      </c>
      <c r="H26" s="2611"/>
      <c r="I26" s="2612">
        <v>3962.8</v>
      </c>
      <c r="J26" s="1818"/>
    </row>
    <row r="27" spans="1:10">
      <c r="A27" s="1818"/>
      <c r="B27" s="1823" t="s">
        <v>1070</v>
      </c>
      <c r="C27" s="2605"/>
      <c r="D27" s="2605"/>
      <c r="E27" s="2605"/>
      <c r="F27" s="2613"/>
      <c r="G27" s="2610">
        <v>5155</v>
      </c>
      <c r="H27" s="2613"/>
      <c r="I27" s="2612">
        <v>4953</v>
      </c>
      <c r="J27" s="1818"/>
    </row>
    <row r="28" spans="1:10" ht="16.5" thickBot="1">
      <c r="A28" s="1818"/>
      <c r="B28" s="2605"/>
      <c r="C28" s="2605"/>
      <c r="D28" s="2605"/>
      <c r="E28" s="2605"/>
      <c r="F28" s="764"/>
      <c r="G28" s="765">
        <f>ROUND(SUM(G23:G27),1)</f>
        <v>18389.900000000001</v>
      </c>
      <c r="H28" s="764"/>
      <c r="I28" s="765">
        <f>ROUND(SUM(I23:I27),1)</f>
        <v>11544.1</v>
      </c>
      <c r="J28" s="1818"/>
    </row>
    <row r="29" spans="1:10" ht="15.75" thickTop="1">
      <c r="A29" s="754"/>
      <c r="F29" s="2614"/>
      <c r="G29" s="2614"/>
      <c r="H29" s="2614"/>
      <c r="J29" s="754"/>
    </row>
    <row r="30" spans="1:10">
      <c r="A30" s="754"/>
      <c r="J30" s="754"/>
    </row>
    <row r="31" spans="1:10" ht="15.75">
      <c r="A31" s="759"/>
      <c r="J31" s="754"/>
    </row>
    <row r="32" spans="1:10" ht="192.75" customHeight="1">
      <c r="A32" s="3544" t="s">
        <v>1237</v>
      </c>
      <c r="B32" s="3545"/>
      <c r="C32" s="3545"/>
      <c r="D32" s="3545"/>
      <c r="E32" s="3545"/>
      <c r="F32" s="3545"/>
      <c r="G32" s="3545"/>
      <c r="H32" s="3545"/>
      <c r="I32" s="3545"/>
      <c r="J32" s="754"/>
    </row>
    <row r="34" spans="1:11" ht="15" customHeight="1">
      <c r="A34" s="1206" t="s">
        <v>1222</v>
      </c>
      <c r="B34" s="1409"/>
      <c r="C34" s="1409"/>
      <c r="D34" s="1409"/>
      <c r="E34" s="1409"/>
      <c r="F34" s="1409"/>
      <c r="G34" s="1409"/>
      <c r="H34" s="1409"/>
      <c r="I34" s="1409"/>
      <c r="J34" s="1409"/>
      <c r="K34" s="1409"/>
    </row>
    <row r="35" spans="1:11" ht="17.25" customHeight="1">
      <c r="A35" s="1407"/>
      <c r="B35" s="1410"/>
      <c r="C35" s="1410"/>
      <c r="D35" s="1410"/>
      <c r="E35" s="1410"/>
      <c r="F35" s="1410"/>
      <c r="G35" s="1410"/>
      <c r="H35" s="1410"/>
      <c r="I35" s="1410"/>
      <c r="J35" s="1410"/>
      <c r="K35" s="766"/>
    </row>
    <row r="36" spans="1:11">
      <c r="A36" s="1656"/>
      <c r="B36" s="1656"/>
      <c r="C36" s="1410"/>
      <c r="D36" s="1410"/>
      <c r="E36" s="1410"/>
      <c r="F36" s="1410"/>
      <c r="G36" s="1410"/>
      <c r="H36" s="1410"/>
      <c r="I36" s="1410"/>
      <c r="J36" s="1410"/>
      <c r="K36" s="766"/>
    </row>
    <row r="37" spans="1:11">
      <c r="A37" s="1407"/>
      <c r="B37" s="1408"/>
      <c r="C37" s="1410"/>
      <c r="D37" s="1410"/>
      <c r="E37" s="1410"/>
      <c r="F37" s="1410"/>
      <c r="G37" s="1410"/>
      <c r="H37" s="1410"/>
      <c r="I37" s="1410"/>
      <c r="J37" s="1410"/>
      <c r="K37" s="766"/>
    </row>
    <row r="38" spans="1:11">
      <c r="A38" s="754"/>
      <c r="B38" s="1656" t="s">
        <v>16</v>
      </c>
      <c r="C38" s="754"/>
      <c r="D38" s="754"/>
      <c r="E38" s="754"/>
      <c r="F38" s="754"/>
      <c r="G38" s="754"/>
      <c r="H38" s="754"/>
      <c r="I38" s="754"/>
    </row>
    <row r="39" spans="1:11">
      <c r="B39" s="1656"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50" workbookViewId="0"/>
  </sheetViews>
  <sheetFormatPr defaultColWidth="8.88671875" defaultRowHeight="12.75" outlineLevelCol="1"/>
  <cols>
    <col min="1" max="1" width="45.44140625" style="948" customWidth="1"/>
    <col min="2" max="2" width="17" style="767" bestFit="1" customWidth="1"/>
    <col min="3" max="3" width="1.77734375" style="767" customWidth="1"/>
    <col min="4" max="4" width="17" style="767" bestFit="1" customWidth="1"/>
    <col min="5" max="5" width="1.6640625" style="773" customWidth="1" outlineLevel="1"/>
    <col min="6" max="6" width="17.21875" style="767" customWidth="1"/>
    <col min="7" max="7" width="1.6640625" style="773" customWidth="1" outlineLevel="1"/>
    <col min="8" max="8" width="17.5546875" style="767" customWidth="1"/>
    <col min="9" max="9" width="1.6640625" style="773" customWidth="1" outlineLevel="1"/>
    <col min="10" max="10" width="16.44140625" style="767" customWidth="1"/>
    <col min="11" max="11" width="1.6640625" style="767" customWidth="1"/>
    <col min="12" max="12" width="17" style="767" bestFit="1" customWidth="1"/>
    <col min="13" max="13" width="1.6640625" style="773" customWidth="1" outlineLevel="1"/>
    <col min="14" max="14" width="16.109375" style="767" customWidth="1"/>
    <col min="15" max="15" width="1.6640625" style="773" customWidth="1" outlineLevel="1"/>
    <col min="16" max="16" width="16.109375" style="767" customWidth="1"/>
    <col min="17" max="17" width="1.6640625" style="773" customWidth="1" outlineLevel="1"/>
    <col min="18" max="18" width="13.6640625" style="767" customWidth="1"/>
    <col min="19" max="19" width="1.6640625" style="773" customWidth="1" outlineLevel="1"/>
    <col min="20" max="20" width="13.6640625" style="767" customWidth="1"/>
    <col min="21" max="21" width="1.6640625" style="773" customWidth="1"/>
    <col min="22" max="22" width="13.6640625" style="767" customWidth="1"/>
    <col min="23" max="23" width="1.6640625" style="773" customWidth="1"/>
    <col min="24" max="24" width="13.6640625" style="767" customWidth="1"/>
    <col min="25" max="25" width="1.6640625" style="773" customWidth="1"/>
    <col min="26" max="26" width="22.44140625" style="769" bestFit="1" customWidth="1"/>
    <col min="27" max="27" width="1.5546875" style="948" customWidth="1"/>
    <col min="28" max="28" width="18.77734375" style="948" bestFit="1" customWidth="1"/>
    <col min="29" max="29" width="12.6640625" style="948" bestFit="1" customWidth="1"/>
    <col min="30" max="16384" width="8.88671875" style="948"/>
  </cols>
  <sheetData>
    <row r="1" spans="1:40" ht="15">
      <c r="A1" s="1190" t="s">
        <v>1231</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row>
    <row r="2" spans="1:40" ht="15">
      <c r="A2" s="1190"/>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row>
    <row r="3" spans="1:40" ht="24" customHeight="1">
      <c r="A3" s="1722" t="s">
        <v>0</v>
      </c>
      <c r="B3" s="945"/>
      <c r="C3" s="945"/>
      <c r="D3" s="946"/>
      <c r="E3" s="947"/>
      <c r="F3" s="946"/>
      <c r="G3" s="947"/>
      <c r="H3" s="946"/>
      <c r="I3" s="947"/>
      <c r="K3" s="945"/>
      <c r="L3" s="768"/>
      <c r="M3" s="945"/>
      <c r="N3" s="946"/>
      <c r="O3" s="947"/>
      <c r="P3" s="946"/>
      <c r="Q3" s="947"/>
      <c r="R3" s="946"/>
      <c r="S3" s="947"/>
      <c r="T3" s="946"/>
      <c r="U3" s="947"/>
      <c r="V3" s="946"/>
      <c r="W3" s="947"/>
      <c r="X3" s="946"/>
      <c r="Y3" s="947"/>
      <c r="Z3" s="1646" t="s">
        <v>499</v>
      </c>
      <c r="AA3" s="945"/>
      <c r="AC3" s="945"/>
      <c r="AE3" s="945"/>
    </row>
    <row r="4" spans="1:40" ht="16.5">
      <c r="A4" s="1722" t="s">
        <v>500</v>
      </c>
      <c r="B4" s="2555"/>
      <c r="C4" s="2555"/>
      <c r="D4" s="949"/>
      <c r="E4" s="947"/>
      <c r="F4" s="2555"/>
      <c r="G4" s="947"/>
      <c r="H4" s="2555"/>
      <c r="I4" s="947"/>
      <c r="J4" s="2555"/>
      <c r="K4" s="2555"/>
      <c r="L4" s="2555"/>
      <c r="M4" s="950"/>
      <c r="N4" s="2555"/>
      <c r="O4" s="947"/>
      <c r="P4" s="2555"/>
      <c r="Q4" s="947"/>
      <c r="R4" s="2555"/>
      <c r="S4" s="947"/>
      <c r="T4" s="2555"/>
      <c r="U4" s="947"/>
      <c r="V4" s="2555"/>
      <c r="W4" s="947"/>
      <c r="X4" s="2555"/>
      <c r="Y4" s="947"/>
      <c r="Z4" s="2556"/>
      <c r="AA4" s="951"/>
      <c r="AC4" s="945"/>
    </row>
    <row r="5" spans="1:40" ht="16.5">
      <c r="A5" s="1723" t="s">
        <v>1481</v>
      </c>
      <c r="B5" s="2555"/>
      <c r="C5" s="2555"/>
      <c r="D5" s="2555"/>
      <c r="E5" s="947"/>
      <c r="F5" s="2555"/>
      <c r="G5" s="947"/>
      <c r="H5" s="2555"/>
      <c r="I5" s="947"/>
      <c r="J5" s="2555"/>
      <c r="K5" s="2555"/>
      <c r="L5" s="2555"/>
      <c r="M5" s="950"/>
      <c r="N5" s="2555"/>
      <c r="O5" s="947"/>
      <c r="P5" s="2555"/>
      <c r="Q5" s="947"/>
      <c r="R5" s="2555"/>
      <c r="S5" s="947"/>
      <c r="T5" s="2555"/>
      <c r="U5" s="947"/>
      <c r="V5" s="2555"/>
      <c r="W5" s="947"/>
      <c r="X5" s="2555"/>
      <c r="Y5" s="947"/>
      <c r="Z5" s="2556"/>
    </row>
    <row r="6" spans="1:40" ht="18" customHeight="1">
      <c r="A6" s="952" t="s">
        <v>1547</v>
      </c>
      <c r="B6" s="2555"/>
      <c r="C6" s="2555"/>
      <c r="D6" s="954"/>
      <c r="E6" s="947"/>
      <c r="F6" s="2555"/>
      <c r="G6" s="947"/>
      <c r="H6" s="2555"/>
      <c r="I6" s="947"/>
      <c r="J6" s="2555"/>
      <c r="K6" s="2555"/>
      <c r="L6" s="2555"/>
      <c r="M6" s="950"/>
      <c r="N6" s="2555"/>
      <c r="O6" s="947"/>
      <c r="P6" s="2555"/>
      <c r="Q6" s="947"/>
      <c r="R6" s="2555"/>
      <c r="S6" s="947"/>
      <c r="T6" s="2555"/>
      <c r="U6" s="947"/>
      <c r="V6" s="2555"/>
      <c r="W6" s="947"/>
      <c r="X6" s="2555"/>
      <c r="Y6" s="947"/>
      <c r="Z6" s="2556"/>
    </row>
    <row r="7" spans="1:40" ht="15" customHeight="1">
      <c r="A7" s="953"/>
      <c r="B7" s="2555"/>
      <c r="C7" s="2555"/>
      <c r="D7" s="2555"/>
      <c r="E7" s="947"/>
      <c r="F7" s="2555"/>
      <c r="G7" s="947"/>
      <c r="H7" s="2555"/>
      <c r="I7" s="947"/>
      <c r="J7" s="2555"/>
      <c r="K7" s="2555"/>
      <c r="L7" s="2555"/>
      <c r="M7" s="950"/>
      <c r="N7" s="2555"/>
      <c r="O7" s="947"/>
      <c r="P7" s="2555"/>
      <c r="Q7" s="947"/>
      <c r="R7" s="2557"/>
      <c r="S7" s="947"/>
      <c r="T7" s="2557"/>
      <c r="U7" s="947"/>
      <c r="V7" s="2557"/>
      <c r="W7" s="947"/>
      <c r="X7" s="2557"/>
      <c r="Y7" s="947"/>
      <c r="Z7" s="2556"/>
    </row>
    <row r="8" spans="1:40" ht="15.75">
      <c r="A8" s="944"/>
      <c r="B8" s="2555"/>
      <c r="C8" s="2555"/>
      <c r="D8" s="2555"/>
      <c r="E8" s="947"/>
      <c r="F8" s="2555"/>
      <c r="G8" s="947"/>
      <c r="H8" s="2555"/>
      <c r="I8" s="947"/>
      <c r="J8" s="2555"/>
      <c r="K8" s="2555"/>
      <c r="L8" s="2555"/>
      <c r="M8" s="947"/>
      <c r="N8" s="2555"/>
      <c r="O8" s="947"/>
      <c r="P8" s="2555"/>
      <c r="Q8" s="947"/>
      <c r="R8" s="2555"/>
      <c r="S8" s="947"/>
      <c r="T8" s="2555"/>
      <c r="U8" s="947"/>
      <c r="V8" s="2555"/>
      <c r="W8" s="947"/>
      <c r="X8" s="2555"/>
      <c r="Y8" s="947"/>
      <c r="Z8" s="955"/>
      <c r="AA8" s="956"/>
    </row>
    <row r="9" spans="1:40" ht="15" customHeight="1">
      <c r="A9" s="2558"/>
      <c r="B9" s="1867">
        <v>2015</v>
      </c>
      <c r="C9" s="957"/>
      <c r="D9" s="957"/>
      <c r="E9" s="950"/>
      <c r="F9" s="957"/>
      <c r="G9" s="950"/>
      <c r="H9" s="957"/>
      <c r="I9" s="950"/>
      <c r="J9" s="957"/>
      <c r="K9" s="957"/>
      <c r="L9" s="958"/>
      <c r="M9" s="950"/>
      <c r="N9" s="958"/>
      <c r="O9" s="950"/>
      <c r="P9" s="958"/>
      <c r="Q9" s="950"/>
      <c r="R9" s="958"/>
      <c r="S9" s="950"/>
      <c r="T9" s="1867">
        <v>2016</v>
      </c>
      <c r="U9" s="950"/>
      <c r="V9" s="958"/>
      <c r="W9" s="950"/>
      <c r="X9" s="958"/>
      <c r="Y9" s="950"/>
      <c r="Z9" s="959" t="s">
        <v>1611</v>
      </c>
      <c r="AA9" s="959"/>
    </row>
    <row r="10" spans="1:40" ht="15" customHeight="1">
      <c r="A10" s="2558"/>
      <c r="B10" s="960" t="s">
        <v>129</v>
      </c>
      <c r="C10" s="961"/>
      <c r="D10" s="958" t="s">
        <v>130</v>
      </c>
      <c r="E10" s="950"/>
      <c r="F10" s="958" t="s">
        <v>131</v>
      </c>
      <c r="G10" s="950"/>
      <c r="H10" s="958" t="s">
        <v>132</v>
      </c>
      <c r="I10" s="950"/>
      <c r="J10" s="958" t="s">
        <v>133</v>
      </c>
      <c r="K10" s="962"/>
      <c r="L10" s="958" t="s">
        <v>134</v>
      </c>
      <c r="M10" s="950"/>
      <c r="N10" s="958" t="s">
        <v>135</v>
      </c>
      <c r="O10" s="950"/>
      <c r="P10" s="958" t="s">
        <v>136</v>
      </c>
      <c r="Q10" s="950"/>
      <c r="R10" s="958" t="s">
        <v>137</v>
      </c>
      <c r="S10" s="950"/>
      <c r="T10" s="958" t="s">
        <v>154</v>
      </c>
      <c r="U10" s="950"/>
      <c r="V10" s="958" t="s">
        <v>139</v>
      </c>
      <c r="W10" s="950"/>
      <c r="X10" s="958" t="s">
        <v>140</v>
      </c>
      <c r="Y10" s="950"/>
      <c r="Z10" s="963">
        <v>42155</v>
      </c>
      <c r="AA10" s="963"/>
    </row>
    <row r="11" spans="1:40" ht="15" customHeight="1">
      <c r="A11" s="2558"/>
      <c r="B11" s="2559" t="s">
        <v>16</v>
      </c>
      <c r="C11" s="2560"/>
      <c r="D11" s="2559" t="s">
        <v>16</v>
      </c>
      <c r="E11" s="2561"/>
      <c r="F11" s="2559" t="s">
        <v>16</v>
      </c>
      <c r="G11" s="2561"/>
      <c r="H11" s="2559" t="s">
        <v>16</v>
      </c>
      <c r="I11" s="2561"/>
      <c r="J11" s="2559" t="s">
        <v>16</v>
      </c>
      <c r="K11" s="962"/>
      <c r="L11" s="2559" t="s">
        <v>16</v>
      </c>
      <c r="M11" s="2561"/>
      <c r="N11" s="2559" t="s">
        <v>16</v>
      </c>
      <c r="O11" s="2561"/>
      <c r="P11" s="2559" t="s">
        <v>16</v>
      </c>
      <c r="Q11" s="2561"/>
      <c r="R11" s="2559" t="s">
        <v>16</v>
      </c>
      <c r="S11" s="2561"/>
      <c r="T11" s="2559" t="s">
        <v>16</v>
      </c>
      <c r="U11" s="2561"/>
      <c r="V11" s="2559" t="s">
        <v>16</v>
      </c>
      <c r="W11" s="2561"/>
      <c r="X11" s="2559" t="s">
        <v>16</v>
      </c>
      <c r="Y11" s="2561"/>
      <c r="Z11" s="2562" t="s">
        <v>16</v>
      </c>
      <c r="AB11" s="964"/>
      <c r="AC11" s="964"/>
      <c r="AD11" s="964"/>
      <c r="AE11" s="964"/>
      <c r="AF11" s="964"/>
      <c r="AG11" s="964"/>
      <c r="AH11" s="964"/>
      <c r="AI11" s="964"/>
      <c r="AJ11" s="964"/>
      <c r="AK11" s="964"/>
      <c r="AL11" s="964"/>
      <c r="AM11" s="964"/>
      <c r="AN11" s="964"/>
    </row>
    <row r="12" spans="1:40" s="969" customFormat="1" ht="15" customHeight="1">
      <c r="A12" s="1724" t="s">
        <v>501</v>
      </c>
      <c r="B12" s="965">
        <v>14124710</v>
      </c>
      <c r="C12" s="966"/>
      <c r="D12" s="965">
        <f>B46</f>
        <v>41637489</v>
      </c>
      <c r="E12" s="2563"/>
      <c r="F12" s="965"/>
      <c r="G12" s="2563"/>
      <c r="H12" s="965"/>
      <c r="I12" s="2563"/>
      <c r="J12" s="965"/>
      <c r="K12" s="967"/>
      <c r="L12" s="965"/>
      <c r="M12" s="968"/>
      <c r="N12" s="965"/>
      <c r="O12" s="965"/>
      <c r="P12" s="965"/>
      <c r="Q12" s="965"/>
      <c r="R12" s="965"/>
      <c r="S12" s="965"/>
      <c r="T12" s="965"/>
      <c r="U12" s="965"/>
      <c r="V12" s="965"/>
      <c r="W12" s="965"/>
      <c r="X12" s="965"/>
      <c r="Y12" s="965"/>
      <c r="Z12" s="965">
        <f>+B12</f>
        <v>14124710</v>
      </c>
    </row>
    <row r="13" spans="1:40" ht="15" customHeight="1">
      <c r="A13" s="2564"/>
      <c r="B13" s="2565"/>
      <c r="C13" s="2566"/>
      <c r="D13" s="2565"/>
      <c r="E13" s="2565"/>
      <c r="F13" s="2565"/>
      <c r="G13" s="2565"/>
      <c r="H13" s="2565"/>
      <c r="I13" s="2565"/>
      <c r="J13" s="2565"/>
      <c r="K13" s="962"/>
      <c r="L13" s="2565"/>
      <c r="M13" s="2565"/>
      <c r="N13" s="2565"/>
      <c r="O13" s="2565"/>
      <c r="P13" s="2565"/>
      <c r="Q13" s="2565"/>
      <c r="R13" s="2565"/>
      <c r="S13" s="2565"/>
      <c r="T13" s="2565"/>
      <c r="U13" s="2565"/>
      <c r="V13" s="2565"/>
      <c r="W13" s="2565"/>
      <c r="X13" s="2565"/>
      <c r="Y13" s="2565"/>
      <c r="Z13" s="2567"/>
    </row>
    <row r="14" spans="1:40" ht="15" customHeight="1">
      <c r="A14" s="970" t="s">
        <v>15</v>
      </c>
      <c r="B14" s="2565"/>
      <c r="C14" s="2566"/>
      <c r="D14" s="2565"/>
      <c r="E14" s="2565"/>
      <c r="F14" s="2565"/>
      <c r="G14" s="2565"/>
      <c r="H14" s="2565"/>
      <c r="I14" s="2565"/>
      <c r="J14" s="2565"/>
      <c r="K14" s="2565"/>
      <c r="L14" s="2565"/>
      <c r="M14" s="2565"/>
      <c r="N14" s="2565"/>
      <c r="O14" s="2565"/>
      <c r="P14" s="2565"/>
      <c r="Q14" s="2565"/>
      <c r="R14" s="2565"/>
      <c r="S14" s="2565"/>
      <c r="T14" s="2565"/>
      <c r="U14" s="2565"/>
      <c r="V14" s="2565"/>
      <c r="W14" s="2565"/>
      <c r="X14" s="2565"/>
      <c r="Y14" s="2565"/>
      <c r="Z14" s="2567"/>
    </row>
    <row r="15" spans="1:40" ht="15" customHeight="1">
      <c r="A15" s="1725" t="s">
        <v>502</v>
      </c>
      <c r="B15" s="2568">
        <v>83184099</v>
      </c>
      <c r="C15" s="2569"/>
      <c r="D15" s="2568">
        <v>72230176</v>
      </c>
      <c r="E15" s="2568"/>
      <c r="F15" s="2568"/>
      <c r="G15" s="2568"/>
      <c r="H15" s="2568"/>
      <c r="I15" s="2568"/>
      <c r="J15" s="2568"/>
      <c r="K15" s="2568"/>
      <c r="L15" s="2568"/>
      <c r="M15" s="2565"/>
      <c r="N15" s="2568"/>
      <c r="O15" s="2568"/>
      <c r="P15" s="2568"/>
      <c r="Q15" s="2568"/>
      <c r="R15" s="2568"/>
      <c r="S15" s="2568"/>
      <c r="T15" s="2568"/>
      <c r="U15" s="2568"/>
      <c r="V15" s="2568"/>
      <c r="W15" s="2568"/>
      <c r="X15" s="2568"/>
      <c r="Y15" s="2568"/>
      <c r="Z15" s="2570">
        <f>ROUND(SUM(B15:X15),0)</f>
        <v>155414275</v>
      </c>
    </row>
    <row r="16" spans="1:40" ht="15" customHeight="1">
      <c r="A16" s="1725" t="s">
        <v>503</v>
      </c>
      <c r="B16" s="2568">
        <v>3562000</v>
      </c>
      <c r="C16" s="2569"/>
      <c r="D16" s="2568">
        <v>3238000</v>
      </c>
      <c r="E16" s="2568"/>
      <c r="F16" s="2568"/>
      <c r="G16" s="2568"/>
      <c r="H16" s="2568"/>
      <c r="I16" s="2568"/>
      <c r="J16" s="2568"/>
      <c r="K16" s="2568"/>
      <c r="L16" s="2568"/>
      <c r="M16" s="2565"/>
      <c r="N16" s="2568"/>
      <c r="O16" s="2568"/>
      <c r="P16" s="2568"/>
      <c r="Q16" s="2568"/>
      <c r="R16" s="2568"/>
      <c r="S16" s="2568"/>
      <c r="T16" s="2568"/>
      <c r="U16" s="2568"/>
      <c r="V16" s="2568"/>
      <c r="W16" s="2568"/>
      <c r="X16" s="2568"/>
      <c r="Y16" s="2568"/>
      <c r="Z16" s="2570">
        <f t="shared" ref="Z16:Z23" si="0">ROUND(SUM(B16:X16),0)</f>
        <v>6800000</v>
      </c>
    </row>
    <row r="17" spans="1:28" ht="15" customHeight="1">
      <c r="A17" s="1725" t="s">
        <v>504</v>
      </c>
      <c r="B17" s="2568">
        <v>24861</v>
      </c>
      <c r="C17" s="2569"/>
      <c r="D17" s="2568">
        <v>21536</v>
      </c>
      <c r="E17" s="2568"/>
      <c r="F17" s="2568"/>
      <c r="G17" s="2568"/>
      <c r="H17" s="2568"/>
      <c r="I17" s="2568"/>
      <c r="J17" s="2571"/>
      <c r="K17" s="2568"/>
      <c r="L17" s="2568"/>
      <c r="M17" s="2565"/>
      <c r="N17" s="2568"/>
      <c r="O17" s="2568"/>
      <c r="P17" s="2568"/>
      <c r="Q17" s="2568"/>
      <c r="R17" s="2568"/>
      <c r="S17" s="2568"/>
      <c r="T17" s="2568"/>
      <c r="U17" s="2568"/>
      <c r="V17" s="2568"/>
      <c r="W17" s="2568"/>
      <c r="X17" s="2568"/>
      <c r="Y17" s="2568"/>
      <c r="Z17" s="2570">
        <f t="shared" si="0"/>
        <v>46397</v>
      </c>
    </row>
    <row r="18" spans="1:28" ht="15" customHeight="1">
      <c r="A18" s="1725" t="s">
        <v>505</v>
      </c>
      <c r="B18" s="2571">
        <v>0</v>
      </c>
      <c r="C18" s="2572"/>
      <c r="D18" s="2568">
        <v>0</v>
      </c>
      <c r="E18" s="2571"/>
      <c r="F18" s="2571"/>
      <c r="G18" s="2571"/>
      <c r="H18" s="2571"/>
      <c r="I18" s="2568"/>
      <c r="J18" s="2571"/>
      <c r="K18" s="2573"/>
      <c r="L18" s="2571"/>
      <c r="M18" s="2565"/>
      <c r="N18" s="2571"/>
      <c r="O18" s="2568"/>
      <c r="P18" s="2571"/>
      <c r="Q18" s="2568"/>
      <c r="R18" s="2571"/>
      <c r="S18" s="2568"/>
      <c r="T18" s="2571"/>
      <c r="U18" s="2568"/>
      <c r="V18" s="2571"/>
      <c r="W18" s="2568"/>
      <c r="X18" s="2571"/>
      <c r="Y18" s="2568"/>
      <c r="Z18" s="2570">
        <f t="shared" si="0"/>
        <v>0</v>
      </c>
    </row>
    <row r="19" spans="1:28" ht="15" customHeight="1">
      <c r="A19" s="1725" t="s">
        <v>506</v>
      </c>
      <c r="B19" s="2568">
        <v>309539056</v>
      </c>
      <c r="C19" s="2569"/>
      <c r="D19" s="2568">
        <v>374780454</v>
      </c>
      <c r="E19" s="2568"/>
      <c r="F19" s="2568"/>
      <c r="G19" s="2568"/>
      <c r="H19" s="2568"/>
      <c r="I19" s="2568"/>
      <c r="J19" s="2568"/>
      <c r="K19" s="2568"/>
      <c r="L19" s="2568"/>
      <c r="M19" s="2565"/>
      <c r="N19" s="2568"/>
      <c r="O19" s="2568"/>
      <c r="P19" s="2568"/>
      <c r="Q19" s="2568"/>
      <c r="R19" s="2568"/>
      <c r="S19" s="2568"/>
      <c r="T19" s="2568"/>
      <c r="U19" s="2568"/>
      <c r="V19" s="2568"/>
      <c r="W19" s="2568"/>
      <c r="X19" s="2568"/>
      <c r="Y19" s="2568"/>
      <c r="Z19" s="2570">
        <f t="shared" si="0"/>
        <v>684319510</v>
      </c>
    </row>
    <row r="20" spans="1:28" ht="15" customHeight="1">
      <c r="A20" s="1725" t="s">
        <v>507</v>
      </c>
      <c r="B20" s="2574">
        <v>581000</v>
      </c>
      <c r="C20" s="2572"/>
      <c r="D20" s="2568">
        <v>83000</v>
      </c>
      <c r="E20" s="2568"/>
      <c r="F20" s="2574"/>
      <c r="G20" s="2568"/>
      <c r="H20" s="2574"/>
      <c r="I20" s="2568"/>
      <c r="J20" s="2568"/>
      <c r="K20" s="2575"/>
      <c r="L20" s="2568"/>
      <c r="M20" s="2565"/>
      <c r="N20" s="2568"/>
      <c r="O20" s="2568"/>
      <c r="P20" s="2576"/>
      <c r="Q20" s="2568"/>
      <c r="R20" s="2576"/>
      <c r="S20" s="2568"/>
      <c r="T20" s="2574"/>
      <c r="U20" s="2568"/>
      <c r="V20" s="2571"/>
      <c r="W20" s="2571"/>
      <c r="X20" s="2574"/>
      <c r="Y20" s="2568"/>
      <c r="Z20" s="2570">
        <f t="shared" si="0"/>
        <v>664000</v>
      </c>
    </row>
    <row r="21" spans="1:28" ht="15" customHeight="1">
      <c r="A21" s="1725" t="s">
        <v>508</v>
      </c>
      <c r="B21" s="2574">
        <v>3396937</v>
      </c>
      <c r="C21" s="2572"/>
      <c r="D21" s="2568">
        <v>0</v>
      </c>
      <c r="E21" s="2568"/>
      <c r="F21" s="2574"/>
      <c r="G21" s="2568"/>
      <c r="H21" s="2571"/>
      <c r="I21" s="2568"/>
      <c r="J21" s="2571"/>
      <c r="K21" s="2575"/>
      <c r="L21" s="2571"/>
      <c r="M21" s="2565"/>
      <c r="N21" s="2571"/>
      <c r="O21" s="2568"/>
      <c r="P21" s="2568"/>
      <c r="Q21" s="2568"/>
      <c r="R21" s="2568"/>
      <c r="S21" s="2568"/>
      <c r="T21" s="2571"/>
      <c r="U21" s="2568"/>
      <c r="V21" s="2571"/>
      <c r="W21" s="2571"/>
      <c r="X21" s="2574"/>
      <c r="Y21" s="2568"/>
      <c r="Z21" s="2570">
        <f t="shared" si="0"/>
        <v>3396937</v>
      </c>
    </row>
    <row r="22" spans="1:28" ht="15" customHeight="1">
      <c r="A22" s="1725" t="s">
        <v>509</v>
      </c>
      <c r="B22" s="2574">
        <v>0</v>
      </c>
      <c r="C22" s="2572"/>
      <c r="D22" s="2568">
        <v>0</v>
      </c>
      <c r="E22" s="2568"/>
      <c r="F22" s="2574"/>
      <c r="G22" s="2568"/>
      <c r="H22" s="2574"/>
      <c r="I22" s="2568"/>
      <c r="J22" s="2568"/>
      <c r="K22" s="2575"/>
      <c r="L22" s="2568"/>
      <c r="M22" s="2565"/>
      <c r="N22" s="2568"/>
      <c r="O22" s="2568"/>
      <c r="P22" s="2568"/>
      <c r="Q22" s="2568"/>
      <c r="R22" s="2568"/>
      <c r="S22" s="2568"/>
      <c r="T22" s="2571"/>
      <c r="U22" s="2568"/>
      <c r="V22" s="2574"/>
      <c r="W22" s="2571"/>
      <c r="X22" s="2571"/>
      <c r="Y22" s="2568"/>
      <c r="Z22" s="2570">
        <f t="shared" si="0"/>
        <v>0</v>
      </c>
    </row>
    <row r="23" spans="1:28" ht="15" customHeight="1">
      <c r="A23" s="1725" t="s">
        <v>510</v>
      </c>
      <c r="B23" s="2571">
        <v>65000</v>
      </c>
      <c r="C23" s="2577"/>
      <c r="D23" s="2568">
        <v>0</v>
      </c>
      <c r="E23" s="2568"/>
      <c r="F23" s="2571"/>
      <c r="G23" s="2568"/>
      <c r="H23" s="2568"/>
      <c r="I23" s="2568"/>
      <c r="J23" s="2571"/>
      <c r="K23" s="2568"/>
      <c r="L23" s="2575"/>
      <c r="M23" s="2565"/>
      <c r="N23" s="2571"/>
      <c r="O23" s="2568"/>
      <c r="P23" s="2571"/>
      <c r="Q23" s="2568"/>
      <c r="R23" s="2571"/>
      <c r="S23" s="2568"/>
      <c r="T23" s="2571"/>
      <c r="U23" s="2568"/>
      <c r="V23" s="2574"/>
      <c r="W23" s="2568"/>
      <c r="X23" s="2575"/>
      <c r="Y23" s="2568"/>
      <c r="Z23" s="2570">
        <f t="shared" si="0"/>
        <v>65000</v>
      </c>
    </row>
    <row r="24" spans="1:28" s="969" customFormat="1" ht="22.5" customHeight="1">
      <c r="A24" s="970" t="s">
        <v>156</v>
      </c>
      <c r="B24" s="971">
        <f>ROUND(SUM(B15:B23),0)</f>
        <v>400352953</v>
      </c>
      <c r="C24" s="972"/>
      <c r="D24" s="971">
        <f>ROUND(SUM(D15:D23),0)</f>
        <v>450353166</v>
      </c>
      <c r="E24" s="973"/>
      <c r="F24" s="971">
        <f>ROUND(SUM(F15:F23),0)</f>
        <v>0</v>
      </c>
      <c r="G24" s="973"/>
      <c r="H24" s="971">
        <f>ROUND(SUM(H15:H23),0)</f>
        <v>0</v>
      </c>
      <c r="I24" s="973"/>
      <c r="J24" s="971">
        <f>ROUND(SUM(J15:J23),0)</f>
        <v>0</v>
      </c>
      <c r="K24" s="975"/>
      <c r="L24" s="971">
        <f>ROUND(SUM(L15:L23),0)</f>
        <v>0</v>
      </c>
      <c r="M24" s="968"/>
      <c r="N24" s="971">
        <f>ROUND(SUM(N15:N23),0)</f>
        <v>0</v>
      </c>
      <c r="O24" s="973"/>
      <c r="P24" s="971">
        <f>ROUND(SUM(P15:P23),0)</f>
        <v>0</v>
      </c>
      <c r="Q24" s="973"/>
      <c r="R24" s="971">
        <f>ROUND(SUM(R15:R23),0)</f>
        <v>0</v>
      </c>
      <c r="S24" s="973"/>
      <c r="T24" s="971">
        <f>ROUND(SUM(T15:T23),0)</f>
        <v>0</v>
      </c>
      <c r="U24" s="973"/>
      <c r="V24" s="971">
        <f>ROUND(SUM(V15:V23),0)</f>
        <v>0</v>
      </c>
      <c r="W24" s="973"/>
      <c r="X24" s="971">
        <f>ROUND(SUM(X15:X23),0)</f>
        <v>0</v>
      </c>
      <c r="Y24" s="973"/>
      <c r="Z24" s="971">
        <f>ROUND(SUM(Z15:Z23),0)</f>
        <v>850706119</v>
      </c>
      <c r="AB24" s="770"/>
    </row>
    <row r="25" spans="1:28" ht="15" customHeight="1">
      <c r="A25" s="2564"/>
      <c r="B25" s="2568"/>
      <c r="C25" s="2569"/>
      <c r="D25" s="2568"/>
      <c r="E25" s="2568"/>
      <c r="F25" s="2568"/>
      <c r="G25" s="2568"/>
      <c r="H25" s="2568"/>
      <c r="I25" s="2568"/>
      <c r="J25" s="2568"/>
      <c r="K25" s="2568"/>
      <c r="L25" s="2568"/>
      <c r="M25" s="2565"/>
      <c r="N25" s="2568"/>
      <c r="O25" s="2568"/>
      <c r="P25" s="2568"/>
      <c r="Q25" s="2568"/>
      <c r="R25" s="2568"/>
      <c r="S25" s="2568"/>
      <c r="T25" s="2568"/>
      <c r="U25" s="2568"/>
      <c r="V25" s="2568"/>
      <c r="W25" s="2568"/>
      <c r="X25" s="2568"/>
      <c r="Y25" s="2568"/>
      <c r="Z25" s="2578"/>
    </row>
    <row r="26" spans="1:28" ht="15" customHeight="1">
      <c r="A26" s="970" t="s">
        <v>24</v>
      </c>
      <c r="B26" s="2568"/>
      <c r="C26" s="2569"/>
      <c r="D26" s="2568"/>
      <c r="E26" s="2568"/>
      <c r="F26" s="2568"/>
      <c r="G26" s="2568"/>
      <c r="H26" s="2568"/>
      <c r="I26" s="2568"/>
      <c r="J26" s="2568"/>
      <c r="K26" s="2568"/>
      <c r="L26" s="2568"/>
      <c r="M26" s="2565"/>
      <c r="N26" s="2568"/>
      <c r="O26" s="2568"/>
      <c r="P26" s="2568"/>
      <c r="Q26" s="2568"/>
      <c r="R26" s="2568"/>
      <c r="S26" s="2568"/>
      <c r="T26" s="2568"/>
      <c r="U26" s="2568"/>
      <c r="V26" s="2568"/>
      <c r="W26" s="2568"/>
      <c r="X26" s="2568"/>
      <c r="Y26" s="2568"/>
      <c r="Z26" s="2578"/>
    </row>
    <row r="27" spans="1:28" ht="15" customHeight="1">
      <c r="A27" s="1726" t="s">
        <v>511</v>
      </c>
      <c r="B27" s="2579">
        <v>353036557</v>
      </c>
      <c r="C27" s="2580"/>
      <c r="D27" s="2568">
        <v>348765808</v>
      </c>
      <c r="E27" s="2579"/>
      <c r="F27" s="2579"/>
      <c r="G27" s="2579"/>
      <c r="H27" s="2579"/>
      <c r="I27" s="2579"/>
      <c r="J27" s="2579"/>
      <c r="K27" s="2579"/>
      <c r="L27" s="2579"/>
      <c r="M27" s="2581"/>
      <c r="N27" s="2579"/>
      <c r="O27" s="2579"/>
      <c r="P27" s="2579"/>
      <c r="Q27" s="2579"/>
      <c r="R27" s="2579"/>
      <c r="S27" s="2579"/>
      <c r="T27" s="2579"/>
      <c r="U27" s="2579"/>
      <c r="V27" s="2579"/>
      <c r="W27" s="2579"/>
      <c r="X27" s="2579"/>
      <c r="Y27" s="2579"/>
      <c r="Z27" s="2570">
        <f>ROUND(SUM(B27:X27),0)</f>
        <v>701802365</v>
      </c>
    </row>
    <row r="28" spans="1:28" ht="15" customHeight="1">
      <c r="A28" s="1726" t="s">
        <v>512</v>
      </c>
      <c r="B28" s="2579">
        <v>0</v>
      </c>
      <c r="C28" s="2580"/>
      <c r="D28" s="2568">
        <v>2</v>
      </c>
      <c r="E28" s="2579"/>
      <c r="F28" s="2579"/>
      <c r="G28" s="2579"/>
      <c r="H28" s="2579"/>
      <c r="I28" s="2579"/>
      <c r="J28" s="2579"/>
      <c r="K28" s="2579"/>
      <c r="L28" s="2579"/>
      <c r="M28" s="2581"/>
      <c r="N28" s="2582"/>
      <c r="O28" s="2579"/>
      <c r="P28" s="2583"/>
      <c r="Q28" s="2579"/>
      <c r="R28" s="2579"/>
      <c r="S28" s="2579"/>
      <c r="T28" s="2582"/>
      <c r="U28" s="2579"/>
      <c r="V28" s="2579"/>
      <c r="W28" s="2579"/>
      <c r="X28" s="2584"/>
      <c r="Y28" s="2579"/>
      <c r="Z28" s="2570">
        <f>ROUND(SUM(B28:X28),0)</f>
        <v>2</v>
      </c>
      <c r="AB28" s="771"/>
    </row>
    <row r="29" spans="1:28" ht="15" customHeight="1">
      <c r="A29" s="1726" t="s">
        <v>513</v>
      </c>
      <c r="B29" s="2579">
        <v>833823</v>
      </c>
      <c r="C29" s="2580"/>
      <c r="D29" s="2568">
        <v>398373</v>
      </c>
      <c r="E29" s="2579"/>
      <c r="F29" s="2579"/>
      <c r="G29" s="2579"/>
      <c r="H29" s="2579"/>
      <c r="I29" s="2579"/>
      <c r="J29" s="2579"/>
      <c r="K29" s="2579"/>
      <c r="L29" s="2579"/>
      <c r="M29" s="2581"/>
      <c r="N29" s="2582"/>
      <c r="O29" s="2579"/>
      <c r="P29" s="2583"/>
      <c r="Q29" s="2579"/>
      <c r="R29" s="2579"/>
      <c r="S29" s="2579"/>
      <c r="T29" s="2579"/>
      <c r="U29" s="2579"/>
      <c r="V29" s="2579"/>
      <c r="W29" s="2579"/>
      <c r="X29" s="2579"/>
      <c r="Y29" s="2579"/>
      <c r="Z29" s="2570">
        <f>ROUND(SUM(B29:X29),0)</f>
        <v>1232196</v>
      </c>
    </row>
    <row r="30" spans="1:28" ht="15" customHeight="1">
      <c r="A30" s="1726" t="s">
        <v>514</v>
      </c>
      <c r="B30" s="2579">
        <v>1889246</v>
      </c>
      <c r="C30" s="2580"/>
      <c r="D30" s="2568">
        <v>581716</v>
      </c>
      <c r="E30" s="2579"/>
      <c r="F30" s="2584"/>
      <c r="G30" s="2579"/>
      <c r="H30" s="2579"/>
      <c r="I30" s="2579"/>
      <c r="J30" s="2579"/>
      <c r="K30" s="2579"/>
      <c r="L30" s="2579"/>
      <c r="M30" s="2581"/>
      <c r="N30" s="2582"/>
      <c r="O30" s="2579"/>
      <c r="P30" s="2583"/>
      <c r="Q30" s="2579"/>
      <c r="R30" s="2579"/>
      <c r="S30" s="2579"/>
      <c r="T30" s="2579"/>
      <c r="U30" s="2579"/>
      <c r="V30" s="2579"/>
      <c r="W30" s="2579"/>
      <c r="X30" s="2579"/>
      <c r="Y30" s="2579"/>
      <c r="Z30" s="2570">
        <f>ROUND(SUM(B30:X30),0)</f>
        <v>2470962</v>
      </c>
    </row>
    <row r="31" spans="1:28" ht="15" customHeight="1">
      <c r="A31" s="1726" t="s">
        <v>515</v>
      </c>
      <c r="B31" s="2585">
        <v>1253638</v>
      </c>
      <c r="C31" s="2580"/>
      <c r="D31" s="2568">
        <v>489467</v>
      </c>
      <c r="E31" s="2579"/>
      <c r="F31" s="2586"/>
      <c r="G31" s="2579"/>
      <c r="H31" s="2585"/>
      <c r="I31" s="2579"/>
      <c r="J31" s="2579"/>
      <c r="K31" s="2579"/>
      <c r="L31" s="2579"/>
      <c r="M31" s="2581"/>
      <c r="N31" s="2585"/>
      <c r="O31" s="2579"/>
      <c r="P31" s="2579"/>
      <c r="Q31" s="2579"/>
      <c r="R31" s="2584"/>
      <c r="S31" s="2579"/>
      <c r="T31" s="2586"/>
      <c r="U31" s="2579"/>
      <c r="V31" s="2586"/>
      <c r="W31" s="2579"/>
      <c r="X31" s="2584"/>
      <c r="Y31" s="2579"/>
      <c r="Z31" s="2570">
        <f>ROUND(SUM(B31:X31),0)</f>
        <v>1743105</v>
      </c>
    </row>
    <row r="32" spans="1:28" ht="22.5" customHeight="1">
      <c r="A32" s="976" t="s">
        <v>162</v>
      </c>
      <c r="B32" s="974">
        <f>ROUND(SUM(B27:B31),0)</f>
        <v>357013264</v>
      </c>
      <c r="C32" s="2580"/>
      <c r="D32" s="974">
        <f>ROUND(SUM(D27:D31),0)</f>
        <v>350235366</v>
      </c>
      <c r="E32" s="2579"/>
      <c r="F32" s="974">
        <f>ROUND(SUM(F27:F31),0)</f>
        <v>0</v>
      </c>
      <c r="G32" s="2579"/>
      <c r="H32" s="974">
        <f>ROUND(SUM(H27:H31),0)</f>
        <v>0</v>
      </c>
      <c r="I32" s="2579"/>
      <c r="J32" s="974">
        <f>ROUND(SUM(J27:J31),0)</f>
        <v>0</v>
      </c>
      <c r="K32" s="2579"/>
      <c r="L32" s="974">
        <f>ROUND(SUM(L27:L31),0)</f>
        <v>0</v>
      </c>
      <c r="M32" s="2581"/>
      <c r="N32" s="974">
        <f>ROUND(SUM(N27:N31),0)</f>
        <v>0</v>
      </c>
      <c r="O32" s="2579"/>
      <c r="P32" s="974">
        <f>ROUND(SUM(P27:P31),0)</f>
        <v>0</v>
      </c>
      <c r="Q32" s="2579"/>
      <c r="R32" s="974">
        <f>ROUND(SUM(R27:R31),0)</f>
        <v>0</v>
      </c>
      <c r="S32" s="2579"/>
      <c r="T32" s="974">
        <f>ROUND(SUM(T27:T31),0)</f>
        <v>0</v>
      </c>
      <c r="U32" s="2579"/>
      <c r="V32" s="974">
        <f>ROUND(SUM(V27:V31),0)</f>
        <v>0</v>
      </c>
      <c r="W32" s="2579"/>
      <c r="X32" s="974">
        <f>ROUND(SUM(X27:X31),0)</f>
        <v>0</v>
      </c>
      <c r="Y32" s="2579"/>
      <c r="Z32" s="974">
        <f>ROUND(SUM(Z27:Z31),0)</f>
        <v>707248630</v>
      </c>
    </row>
    <row r="33" spans="1:28" ht="15" customHeight="1">
      <c r="A33" s="976"/>
      <c r="B33" s="2579"/>
      <c r="C33" s="2580"/>
      <c r="D33" s="2579"/>
      <c r="E33" s="2579"/>
      <c r="F33" s="2585"/>
      <c r="G33" s="2579"/>
      <c r="H33" s="2585"/>
      <c r="I33" s="2579"/>
      <c r="J33" s="2579"/>
      <c r="K33" s="2579"/>
      <c r="L33" s="2584"/>
      <c r="M33" s="2581"/>
      <c r="N33" s="2584"/>
      <c r="O33" s="2579"/>
      <c r="P33" s="2583"/>
      <c r="Q33" s="2579"/>
      <c r="R33" s="2585"/>
      <c r="S33" s="2579"/>
      <c r="T33" s="2585"/>
      <c r="U33" s="2579"/>
      <c r="V33" s="2580"/>
      <c r="W33" s="2579"/>
      <c r="X33" s="2585"/>
      <c r="Y33" s="2579"/>
      <c r="Z33" s="2570"/>
    </row>
    <row r="34" spans="1:28" ht="15" customHeight="1">
      <c r="A34" s="977" t="s">
        <v>516</v>
      </c>
      <c r="B34" s="2585"/>
      <c r="C34" s="2587"/>
      <c r="D34" s="2585"/>
      <c r="E34" s="2579"/>
      <c r="F34" s="2584"/>
      <c r="G34" s="2579"/>
      <c r="H34" s="2585"/>
      <c r="I34" s="2579"/>
      <c r="J34" s="2585"/>
      <c r="K34" s="2579"/>
      <c r="L34" s="2585"/>
      <c r="M34" s="2581"/>
      <c r="N34" s="2585"/>
      <c r="O34" s="2579"/>
      <c r="P34" s="2583"/>
      <c r="Q34" s="2579"/>
      <c r="R34" s="2585"/>
      <c r="S34" s="2579"/>
      <c r="T34" s="2585"/>
      <c r="U34" s="2579"/>
      <c r="V34" s="2584"/>
      <c r="W34" s="2579"/>
      <c r="X34" s="2584"/>
      <c r="Y34" s="2579"/>
      <c r="Z34" s="2570"/>
    </row>
    <row r="35" spans="1:28" ht="15" customHeight="1">
      <c r="A35" s="1726" t="s">
        <v>517</v>
      </c>
      <c r="B35" s="2585">
        <v>0</v>
      </c>
      <c r="C35" s="2587"/>
      <c r="D35" s="2568">
        <v>0</v>
      </c>
      <c r="E35" s="2579"/>
      <c r="F35" s="2585"/>
      <c r="G35" s="2579"/>
      <c r="H35" s="2585"/>
      <c r="I35" s="2579"/>
      <c r="J35" s="2585"/>
      <c r="K35" s="2579"/>
      <c r="L35" s="2585"/>
      <c r="M35" s="2581"/>
      <c r="N35" s="2584"/>
      <c r="O35" s="2579"/>
      <c r="P35" s="2585"/>
      <c r="Q35" s="2579"/>
      <c r="R35" s="2586"/>
      <c r="S35" s="2579"/>
      <c r="T35" s="2586"/>
      <c r="U35" s="2579"/>
      <c r="V35" s="2586"/>
      <c r="W35" s="2579"/>
      <c r="X35" s="2586"/>
      <c r="Y35" s="2579"/>
      <c r="Z35" s="2570">
        <f t="shared" ref="Z35:Z41" si="1">ROUND(SUM(B35:X35),0)</f>
        <v>0</v>
      </c>
    </row>
    <row r="36" spans="1:28" ht="15" customHeight="1">
      <c r="A36" s="1726" t="s">
        <v>518</v>
      </c>
      <c r="B36" s="2585">
        <v>0</v>
      </c>
      <c r="C36" s="2587"/>
      <c r="D36" s="2568">
        <v>0</v>
      </c>
      <c r="E36" s="2579"/>
      <c r="F36" s="2585"/>
      <c r="G36" s="2579"/>
      <c r="H36" s="2585"/>
      <c r="I36" s="2579"/>
      <c r="J36" s="2585"/>
      <c r="K36" s="2579"/>
      <c r="L36" s="2585"/>
      <c r="M36" s="2581"/>
      <c r="N36" s="2585"/>
      <c r="O36" s="2579"/>
      <c r="P36" s="2585"/>
      <c r="Q36" s="2579"/>
      <c r="R36" s="2585"/>
      <c r="S36" s="2579"/>
      <c r="T36" s="2571"/>
      <c r="U36" s="2579"/>
      <c r="V36" s="2571"/>
      <c r="W36" s="2579"/>
      <c r="X36" s="2585"/>
      <c r="Y36" s="2579"/>
      <c r="Z36" s="2570">
        <f t="shared" si="1"/>
        <v>0</v>
      </c>
    </row>
    <row r="37" spans="1:28" ht="15" customHeight="1">
      <c r="A37" s="1726" t="s">
        <v>150</v>
      </c>
      <c r="B37" s="2585">
        <v>0</v>
      </c>
      <c r="C37" s="2587"/>
      <c r="D37" s="2568">
        <v>0</v>
      </c>
      <c r="E37" s="2579"/>
      <c r="F37" s="2585"/>
      <c r="G37" s="2579"/>
      <c r="H37" s="2585"/>
      <c r="I37" s="2579"/>
      <c r="J37" s="2586"/>
      <c r="K37" s="2579"/>
      <c r="L37" s="2584"/>
      <c r="M37" s="2581"/>
      <c r="N37" s="2585"/>
      <c r="O37" s="2579"/>
      <c r="P37" s="2585"/>
      <c r="Q37" s="2579"/>
      <c r="R37" s="2585"/>
      <c r="S37" s="2579"/>
      <c r="T37" s="2571"/>
      <c r="U37" s="2579"/>
      <c r="V37" s="2586"/>
      <c r="W37" s="2579"/>
      <c r="X37" s="2586"/>
      <c r="Y37" s="2579"/>
      <c r="Z37" s="2570">
        <f t="shared" si="1"/>
        <v>0</v>
      </c>
    </row>
    <row r="38" spans="1:28" ht="13.5" customHeight="1">
      <c r="A38" s="1726" t="s">
        <v>519</v>
      </c>
      <c r="B38" s="978"/>
      <c r="C38" s="978"/>
      <c r="D38" s="2568"/>
      <c r="E38" s="978"/>
      <c r="F38" s="978"/>
      <c r="G38" s="978"/>
      <c r="H38" s="978"/>
      <c r="I38" s="978"/>
      <c r="J38" s="978"/>
      <c r="K38" s="978"/>
      <c r="L38" s="978"/>
      <c r="M38" s="2581"/>
      <c r="N38" s="978"/>
      <c r="O38" s="978"/>
      <c r="P38" s="978"/>
      <c r="Q38" s="978"/>
      <c r="R38" s="978"/>
      <c r="S38" s="978"/>
      <c r="T38" s="978"/>
      <c r="U38" s="978"/>
      <c r="V38" s="978"/>
      <c r="W38" s="978"/>
      <c r="X38" s="978"/>
      <c r="Y38" s="978"/>
      <c r="Z38" s="2570"/>
    </row>
    <row r="39" spans="1:28" ht="13.5" customHeight="1">
      <c r="A39" s="1726" t="s">
        <v>520</v>
      </c>
      <c r="B39" s="2585">
        <v>0</v>
      </c>
      <c r="C39" s="2587"/>
      <c r="D39" s="2568">
        <v>0</v>
      </c>
      <c r="E39" s="2579"/>
      <c r="F39" s="2585"/>
      <c r="G39" s="2579"/>
      <c r="H39" s="2585"/>
      <c r="I39" s="2579"/>
      <c r="J39" s="2585"/>
      <c r="K39" s="2579"/>
      <c r="L39" s="2585"/>
      <c r="M39" s="2581"/>
      <c r="N39" s="2585"/>
      <c r="O39" s="2579"/>
      <c r="P39" s="2585"/>
      <c r="Q39" s="2579"/>
      <c r="R39" s="2585"/>
      <c r="S39" s="2579"/>
      <c r="T39" s="2571"/>
      <c r="U39" s="2579"/>
      <c r="V39" s="2571"/>
      <c r="W39" s="2579"/>
      <c r="X39" s="2586"/>
      <c r="Y39" s="2579"/>
      <c r="Z39" s="2570">
        <f t="shared" si="1"/>
        <v>0</v>
      </c>
    </row>
    <row r="40" spans="1:28" ht="13.5" customHeight="1">
      <c r="A40" s="1726" t="s">
        <v>521</v>
      </c>
      <c r="B40" s="2585">
        <v>15148000</v>
      </c>
      <c r="C40" s="2587"/>
      <c r="D40" s="2568">
        <v>0</v>
      </c>
      <c r="E40" s="2579"/>
      <c r="F40" s="2585"/>
      <c r="G40" s="2579"/>
      <c r="H40" s="2579"/>
      <c r="I40" s="2579"/>
      <c r="J40" s="2585"/>
      <c r="K40" s="2579"/>
      <c r="L40" s="2585"/>
      <c r="M40" s="2581"/>
      <c r="N40" s="2584"/>
      <c r="O40" s="2579"/>
      <c r="P40" s="2585"/>
      <c r="Q40" s="2579"/>
      <c r="R40" s="2585"/>
      <c r="S40" s="2579"/>
      <c r="T40" s="2571"/>
      <c r="U40" s="2579"/>
      <c r="V40" s="2571"/>
      <c r="W40" s="2579"/>
      <c r="X40" s="2586"/>
      <c r="Y40" s="2579"/>
      <c r="Z40" s="2570">
        <f t="shared" si="1"/>
        <v>15148000</v>
      </c>
    </row>
    <row r="41" spans="1:28" ht="15" customHeight="1">
      <c r="A41" s="1726" t="s">
        <v>522</v>
      </c>
      <c r="B41" s="2586">
        <v>678910</v>
      </c>
      <c r="C41" s="2587"/>
      <c r="D41" s="2568">
        <v>741607</v>
      </c>
      <c r="E41" s="2579"/>
      <c r="F41" s="2586"/>
      <c r="G41" s="2579"/>
      <c r="H41" s="2586"/>
      <c r="I41" s="2579"/>
      <c r="J41" s="2586"/>
      <c r="K41" s="2579"/>
      <c r="L41" s="2586"/>
      <c r="M41" s="2581"/>
      <c r="N41" s="2584"/>
      <c r="O41" s="2579"/>
      <c r="P41" s="2584"/>
      <c r="Q41" s="2579"/>
      <c r="R41" s="2584"/>
      <c r="S41" s="2579"/>
      <c r="T41" s="2584"/>
      <c r="U41" s="2579"/>
      <c r="V41" s="2586"/>
      <c r="W41" s="2579"/>
      <c r="X41" s="2586"/>
      <c r="Y41" s="2579"/>
      <c r="Z41" s="2570">
        <f t="shared" si="1"/>
        <v>1420517</v>
      </c>
    </row>
    <row r="42" spans="1:28" ht="22.5" customHeight="1">
      <c r="A42" s="970" t="s">
        <v>523</v>
      </c>
      <c r="B42" s="979">
        <f>ROUND(SUM(B35:B41),0)</f>
        <v>15826910</v>
      </c>
      <c r="C42" s="2572"/>
      <c r="D42" s="979">
        <f>ROUND(SUM(D35:D41),0)</f>
        <v>741607</v>
      </c>
      <c r="E42" s="2568"/>
      <c r="F42" s="979">
        <f>ROUND(SUM(F35:F41),0)</f>
        <v>0</v>
      </c>
      <c r="G42" s="2568"/>
      <c r="H42" s="979">
        <f>ROUND(SUM(H35:H41),0)</f>
        <v>0</v>
      </c>
      <c r="I42" s="2568"/>
      <c r="J42" s="979">
        <f>ROUND(SUM(J35:J41),0)</f>
        <v>0</v>
      </c>
      <c r="K42" s="2568"/>
      <c r="L42" s="979">
        <f>ROUND(SUM(L35:L41),0)</f>
        <v>0</v>
      </c>
      <c r="M42" s="2565"/>
      <c r="N42" s="979">
        <f>ROUND(SUM(N35:N41),0)</f>
        <v>0</v>
      </c>
      <c r="O42" s="2568"/>
      <c r="P42" s="979">
        <f>ROUND(SUM(P35:P41),0)</f>
        <v>0</v>
      </c>
      <c r="Q42" s="2568"/>
      <c r="R42" s="979">
        <f>ROUND(SUM(R35:R41),0)</f>
        <v>0</v>
      </c>
      <c r="S42" s="2568"/>
      <c r="T42" s="979">
        <f>ROUND(SUM(T35:T41),0)</f>
        <v>0</v>
      </c>
      <c r="U42" s="2568"/>
      <c r="V42" s="979">
        <f>ROUND(SUM(V35:V41),0)</f>
        <v>0</v>
      </c>
      <c r="W42" s="2568"/>
      <c r="X42" s="979">
        <f>ROUND(SUM(X35:X41),0)</f>
        <v>0</v>
      </c>
      <c r="Y42" s="2568"/>
      <c r="Z42" s="979">
        <f>ROUND(SUM(Z35:Z41),0)</f>
        <v>16568517</v>
      </c>
    </row>
    <row r="43" spans="1:28" ht="15" customHeight="1">
      <c r="B43" s="2588"/>
      <c r="C43" s="2572"/>
      <c r="D43" s="2588"/>
      <c r="E43" s="2568"/>
      <c r="F43" s="2589"/>
      <c r="G43" s="2568"/>
      <c r="H43" s="2588"/>
      <c r="I43" s="2568"/>
      <c r="J43" s="2588"/>
      <c r="K43" s="2568"/>
      <c r="L43" s="2588"/>
      <c r="M43" s="2565"/>
      <c r="N43" s="2588"/>
      <c r="O43" s="2568"/>
      <c r="P43" s="2590"/>
      <c r="Q43" s="2568"/>
      <c r="R43" s="2588"/>
      <c r="S43" s="2568"/>
      <c r="T43" s="2588"/>
      <c r="U43" s="2568"/>
      <c r="V43" s="2589"/>
      <c r="W43" s="2568"/>
      <c r="X43" s="2591"/>
      <c r="Y43" s="2568"/>
      <c r="Z43" s="2592"/>
    </row>
    <row r="44" spans="1:28" s="969" customFormat="1" ht="20.25" customHeight="1">
      <c r="A44" s="970" t="s">
        <v>524</v>
      </c>
      <c r="B44" s="2593">
        <f>ROUND(B32+B42,0)</f>
        <v>372840174</v>
      </c>
      <c r="C44" s="972"/>
      <c r="D44" s="2593">
        <f>ROUND(D32+D42,0)</f>
        <v>350976973</v>
      </c>
      <c r="E44" s="973"/>
      <c r="F44" s="2593">
        <f>ROUND(F32+F42,0)</f>
        <v>0</v>
      </c>
      <c r="G44" s="973"/>
      <c r="H44" s="2593">
        <f>ROUND(H32+H42,0)</f>
        <v>0</v>
      </c>
      <c r="I44" s="973"/>
      <c r="J44" s="2593">
        <f>ROUND(J32+J42,0)</f>
        <v>0</v>
      </c>
      <c r="K44" s="972"/>
      <c r="L44" s="2593">
        <f>ROUND(L32+L42,0)</f>
        <v>0</v>
      </c>
      <c r="M44" s="968"/>
      <c r="N44" s="2593">
        <f>ROUND(N32+N42,0)</f>
        <v>0</v>
      </c>
      <c r="O44" s="973"/>
      <c r="P44" s="2593">
        <f>ROUND(P32+P42,0)</f>
        <v>0</v>
      </c>
      <c r="Q44" s="973"/>
      <c r="R44" s="2593">
        <f>ROUND(R32+R42,0)</f>
        <v>0</v>
      </c>
      <c r="S44" s="973"/>
      <c r="T44" s="2593">
        <f>ROUND(T32+T42,0)</f>
        <v>0</v>
      </c>
      <c r="U44" s="973"/>
      <c r="V44" s="2593">
        <f>ROUND(V32+V42,0)</f>
        <v>0</v>
      </c>
      <c r="W44" s="973"/>
      <c r="X44" s="2593">
        <f>ROUND(X32+X42,0)</f>
        <v>0</v>
      </c>
      <c r="Y44" s="973"/>
      <c r="Z44" s="2593">
        <f>ROUND(Z32+Z42,0)</f>
        <v>723817147</v>
      </c>
      <c r="AB44" s="770"/>
    </row>
    <row r="45" spans="1:28" ht="15" customHeight="1">
      <c r="A45" s="2564"/>
      <c r="B45" s="2566"/>
      <c r="C45" s="2566"/>
      <c r="D45" s="2566"/>
      <c r="E45" s="2565"/>
      <c r="F45" s="2566"/>
      <c r="G45" s="2565"/>
      <c r="H45" s="2566"/>
      <c r="I45" s="2565"/>
      <c r="J45" s="2594"/>
      <c r="K45" s="2566"/>
      <c r="L45" s="2594"/>
      <c r="M45" s="2565"/>
      <c r="N45" s="2594"/>
      <c r="O45" s="2565"/>
      <c r="P45" s="2594"/>
      <c r="Q45" s="2565"/>
      <c r="R45" s="2594"/>
      <c r="S45" s="2565"/>
      <c r="T45" s="2594"/>
      <c r="U45" s="2565"/>
      <c r="V45" s="2594"/>
      <c r="W45" s="2565"/>
      <c r="X45" s="2594"/>
      <c r="Y45" s="2565"/>
      <c r="Z45" s="2595"/>
    </row>
    <row r="46" spans="1:28" s="969" customFormat="1" ht="20.25" customHeight="1" thickBot="1">
      <c r="A46" s="977" t="s">
        <v>525</v>
      </c>
      <c r="B46" s="980">
        <f>ROUND(B12+B24-B44,0)</f>
        <v>41637489</v>
      </c>
      <c r="C46" s="966"/>
      <c r="D46" s="980">
        <f>ROUND(D12+D24-D44,0)</f>
        <v>141013682</v>
      </c>
      <c r="E46" s="2563"/>
      <c r="F46" s="980">
        <f>ROUND(F12+F24-F44,0)</f>
        <v>0</v>
      </c>
      <c r="G46" s="2563"/>
      <c r="H46" s="980">
        <f>ROUND(H12+H24-H44,0)</f>
        <v>0</v>
      </c>
      <c r="I46" s="2563"/>
      <c r="J46" s="980">
        <f>ROUND(J12+J24-J44,0)</f>
        <v>0</v>
      </c>
      <c r="K46" s="966"/>
      <c r="L46" s="980">
        <f>ROUND(L12+L24-L44,0)</f>
        <v>0</v>
      </c>
      <c r="M46" s="981"/>
      <c r="N46" s="980">
        <f>ROUND(N12+N24-N44,0)</f>
        <v>0</v>
      </c>
      <c r="O46" s="982"/>
      <c r="P46" s="980">
        <f>ROUND(P12+P24-P44,0)</f>
        <v>0</v>
      </c>
      <c r="Q46" s="982"/>
      <c r="R46" s="980">
        <f>ROUND(R12+R24-R44,0)</f>
        <v>0</v>
      </c>
      <c r="S46" s="982"/>
      <c r="T46" s="980">
        <f>ROUND(T12+T24-T44,0)</f>
        <v>0</v>
      </c>
      <c r="U46" s="982"/>
      <c r="V46" s="980">
        <f>ROUND(V12+V24-V44,0)</f>
        <v>0</v>
      </c>
      <c r="W46" s="982"/>
      <c r="X46" s="980">
        <f>ROUND(X12+X24-X44,0)</f>
        <v>0</v>
      </c>
      <c r="Y46" s="982"/>
      <c r="Z46" s="980">
        <f>ROUND(Z12+Z24-Z44,0)</f>
        <v>141013682</v>
      </c>
    </row>
    <row r="47" spans="1:28" ht="15" customHeight="1" thickTop="1">
      <c r="A47" s="2564"/>
      <c r="B47" s="2560"/>
      <c r="C47" s="2560"/>
      <c r="D47" s="2560"/>
      <c r="E47" s="2596"/>
      <c r="F47" s="2560"/>
      <c r="G47" s="2596"/>
      <c r="H47" s="2560"/>
      <c r="I47" s="2596"/>
      <c r="J47" s="2560"/>
      <c r="K47" s="2560"/>
      <c r="L47" s="2560"/>
      <c r="M47" s="2596"/>
      <c r="N47" s="2560"/>
      <c r="O47" s="2596"/>
      <c r="P47" s="2560"/>
      <c r="Q47" s="2596"/>
      <c r="R47" s="2560"/>
      <c r="S47" s="2596"/>
      <c r="T47" s="2560"/>
      <c r="U47" s="2596"/>
      <c r="V47" s="2560"/>
      <c r="W47" s="2596"/>
      <c r="X47" s="2560"/>
      <c r="Y47" s="2596"/>
      <c r="Z47" s="2595"/>
    </row>
    <row r="48" spans="1:28" ht="20.100000000000001" customHeight="1">
      <c r="A48" s="983"/>
      <c r="B48" s="2597"/>
      <c r="C48" s="2597"/>
      <c r="D48" s="2597"/>
      <c r="E48" s="2561"/>
      <c r="F48" s="2597"/>
      <c r="G48" s="2561"/>
      <c r="H48" s="2597"/>
      <c r="I48" s="2561"/>
      <c r="J48" s="2597"/>
      <c r="K48" s="2597"/>
      <c r="L48" s="2597"/>
      <c r="M48" s="2561"/>
      <c r="N48" s="2597"/>
      <c r="O48" s="2561"/>
      <c r="P48" s="2597"/>
      <c r="Q48" s="2561"/>
      <c r="R48" s="2597"/>
      <c r="S48" s="2561"/>
      <c r="T48" s="2597"/>
      <c r="U48" s="2561"/>
      <c r="V48" s="2597"/>
      <c r="W48" s="2561"/>
      <c r="X48" s="2597"/>
      <c r="Y48" s="2561"/>
      <c r="Z48" s="2567"/>
    </row>
    <row r="50" spans="1:26" ht="18" customHeight="1">
      <c r="A50" s="984"/>
      <c r="B50" s="2555"/>
      <c r="C50" s="2555"/>
      <c r="D50" s="2555"/>
      <c r="E50" s="947"/>
      <c r="F50" s="2555"/>
      <c r="G50" s="947"/>
      <c r="H50" s="2555"/>
      <c r="I50" s="947"/>
      <c r="J50" s="2555"/>
      <c r="K50" s="2555"/>
      <c r="L50" s="2555"/>
      <c r="M50" s="2561"/>
      <c r="N50" s="2555"/>
      <c r="O50" s="947"/>
      <c r="P50" s="2555"/>
      <c r="Q50" s="947"/>
      <c r="R50" s="2555"/>
      <c r="S50" s="947"/>
      <c r="T50" s="2555"/>
      <c r="U50" s="947"/>
      <c r="V50" s="2555"/>
      <c r="W50" s="947"/>
      <c r="X50" s="2555"/>
      <c r="Y50" s="947"/>
      <c r="Z50" s="2556"/>
    </row>
    <row r="51" spans="1:26" ht="20.100000000000001" customHeight="1">
      <c r="A51" s="2558"/>
      <c r="B51" s="2597"/>
      <c r="C51" s="2597"/>
      <c r="D51" s="2597"/>
      <c r="E51" s="2561"/>
      <c r="F51" s="2597"/>
      <c r="G51" s="2561"/>
      <c r="H51" s="2597"/>
      <c r="I51" s="2561"/>
      <c r="J51" s="2597"/>
      <c r="K51" s="2597"/>
      <c r="L51" s="2597"/>
      <c r="M51" s="2561"/>
      <c r="N51" s="2597"/>
      <c r="O51" s="2561"/>
      <c r="P51" s="2597"/>
      <c r="Q51" s="2561"/>
      <c r="R51" s="2597"/>
      <c r="S51" s="2561"/>
      <c r="T51" s="2597"/>
      <c r="U51" s="2561"/>
      <c r="V51" s="2597"/>
      <c r="W51" s="2561"/>
      <c r="X51" s="2597"/>
      <c r="Y51" s="2561"/>
      <c r="Z51" s="2567"/>
    </row>
    <row r="52" spans="1:26" ht="20.100000000000001" customHeight="1">
      <c r="A52" s="2558"/>
      <c r="B52" s="2597"/>
      <c r="C52" s="2597"/>
      <c r="D52" s="2597"/>
      <c r="E52" s="2561"/>
      <c r="F52" s="2597"/>
      <c r="G52" s="2561"/>
      <c r="H52" s="2597"/>
      <c r="I52" s="2561"/>
      <c r="J52" s="2597"/>
      <c r="K52" s="2597"/>
      <c r="L52" s="2597"/>
      <c r="M52" s="2561"/>
      <c r="N52" s="2597"/>
      <c r="O52" s="2561"/>
      <c r="P52" s="2597"/>
      <c r="Q52" s="2561"/>
      <c r="R52" s="2597"/>
      <c r="S52" s="2561"/>
      <c r="T52" s="2597"/>
      <c r="U52" s="2561"/>
      <c r="V52" s="2597"/>
      <c r="W52" s="2561"/>
      <c r="X52" s="2597"/>
      <c r="Y52" s="2561"/>
      <c r="Z52" s="2567"/>
    </row>
    <row r="53" spans="1:26" ht="20.100000000000001" customHeight="1">
      <c r="A53" s="944"/>
      <c r="B53" s="946"/>
      <c r="C53" s="946"/>
      <c r="D53" s="946"/>
      <c r="E53" s="947"/>
      <c r="F53" s="946"/>
      <c r="G53" s="947"/>
      <c r="H53" s="946"/>
      <c r="I53" s="947"/>
      <c r="J53" s="946"/>
      <c r="K53" s="946"/>
      <c r="L53" s="946"/>
      <c r="M53" s="947"/>
      <c r="N53" s="946"/>
      <c r="O53" s="947"/>
      <c r="P53" s="946"/>
      <c r="Q53" s="947"/>
      <c r="R53" s="946"/>
      <c r="S53" s="947"/>
      <c r="T53" s="946"/>
      <c r="U53" s="947"/>
      <c r="V53" s="946"/>
      <c r="W53" s="947"/>
      <c r="X53" s="946"/>
      <c r="Y53" s="947"/>
      <c r="Z53" s="772"/>
    </row>
    <row r="54" spans="1:26" ht="20.100000000000001" customHeight="1">
      <c r="A54" s="944"/>
      <c r="B54" s="946"/>
      <c r="C54" s="946"/>
      <c r="D54" s="946"/>
      <c r="E54" s="947"/>
      <c r="F54" s="946"/>
      <c r="G54" s="947"/>
      <c r="H54" s="946"/>
      <c r="I54" s="947"/>
      <c r="J54" s="946"/>
      <c r="K54" s="946"/>
      <c r="L54" s="946"/>
      <c r="M54" s="947"/>
      <c r="N54" s="946"/>
      <c r="O54" s="947"/>
      <c r="P54" s="946"/>
      <c r="Q54" s="947"/>
      <c r="R54" s="946"/>
      <c r="S54" s="947"/>
      <c r="T54" s="946"/>
      <c r="U54" s="947"/>
      <c r="V54" s="946"/>
      <c r="W54" s="947"/>
      <c r="X54" s="946"/>
      <c r="Y54" s="947"/>
      <c r="Z54" s="772"/>
    </row>
    <row r="55" spans="1:26" ht="20.100000000000001" customHeight="1">
      <c r="A55" s="944"/>
      <c r="B55" s="946"/>
      <c r="C55" s="946"/>
      <c r="D55" s="946"/>
      <c r="E55" s="947"/>
      <c r="F55" s="946"/>
      <c r="G55" s="947"/>
      <c r="H55" s="946"/>
      <c r="I55" s="947"/>
      <c r="J55" s="946"/>
      <c r="K55" s="946"/>
      <c r="L55" s="946"/>
      <c r="M55" s="947"/>
      <c r="N55" s="946"/>
      <c r="O55" s="947"/>
      <c r="P55" s="946"/>
      <c r="Q55" s="947"/>
      <c r="R55" s="946"/>
      <c r="S55" s="947"/>
      <c r="T55" s="946"/>
      <c r="U55" s="947"/>
      <c r="V55" s="946"/>
      <c r="W55" s="947"/>
      <c r="X55" s="946"/>
      <c r="Y55" s="947"/>
      <c r="Z55" s="772"/>
    </row>
    <row r="56" spans="1:26" ht="20.100000000000001" customHeight="1">
      <c r="A56" s="944"/>
      <c r="B56" s="946"/>
      <c r="C56" s="946"/>
      <c r="D56" s="946"/>
      <c r="E56" s="947"/>
      <c r="F56" s="946"/>
      <c r="G56" s="947"/>
      <c r="H56" s="946"/>
      <c r="I56" s="947"/>
      <c r="J56" s="946"/>
      <c r="K56" s="946"/>
      <c r="L56" s="946"/>
      <c r="M56" s="947"/>
      <c r="N56" s="946"/>
      <c r="O56" s="947"/>
      <c r="P56" s="946"/>
      <c r="Q56" s="947"/>
      <c r="R56" s="946"/>
      <c r="S56" s="947"/>
      <c r="T56" s="946"/>
      <c r="U56" s="947"/>
      <c r="V56" s="946"/>
      <c r="W56" s="947"/>
      <c r="X56" s="946"/>
      <c r="Y56" s="947"/>
      <c r="Z56" s="772"/>
    </row>
    <row r="57" spans="1:26" ht="20.100000000000001" customHeight="1">
      <c r="A57" s="944"/>
      <c r="B57" s="946"/>
      <c r="C57" s="946"/>
      <c r="D57" s="946"/>
      <c r="E57" s="947"/>
      <c r="F57" s="946"/>
      <c r="G57" s="947"/>
      <c r="H57" s="946"/>
      <c r="I57" s="947"/>
      <c r="J57" s="946"/>
      <c r="K57" s="946"/>
      <c r="L57" s="946"/>
      <c r="M57" s="947"/>
      <c r="N57" s="946"/>
      <c r="O57" s="947"/>
      <c r="P57" s="946"/>
      <c r="Q57" s="947"/>
      <c r="R57" s="946"/>
      <c r="S57" s="947"/>
      <c r="T57" s="946"/>
      <c r="U57" s="947"/>
      <c r="V57" s="946"/>
      <c r="W57" s="947"/>
      <c r="X57" s="946"/>
      <c r="Y57" s="947"/>
      <c r="Z57" s="772"/>
    </row>
    <row r="58" spans="1:26">
      <c r="A58" s="944"/>
      <c r="B58" s="946"/>
      <c r="C58" s="946"/>
      <c r="D58" s="946"/>
      <c r="E58" s="947"/>
      <c r="F58" s="946"/>
      <c r="G58" s="947"/>
      <c r="H58" s="946"/>
      <c r="I58" s="947"/>
      <c r="J58" s="946"/>
      <c r="K58" s="946"/>
      <c r="L58" s="946"/>
      <c r="M58" s="947"/>
      <c r="N58" s="946"/>
      <c r="O58" s="947"/>
      <c r="P58" s="946"/>
      <c r="Q58" s="947"/>
      <c r="R58" s="946"/>
      <c r="S58" s="947"/>
      <c r="T58" s="946"/>
      <c r="U58" s="947"/>
      <c r="V58" s="946"/>
      <c r="W58" s="947"/>
      <c r="X58" s="946"/>
      <c r="Y58" s="947"/>
      <c r="Z58" s="772"/>
    </row>
    <row r="59" spans="1:26">
      <c r="A59" s="944"/>
      <c r="B59" s="946"/>
      <c r="C59" s="946"/>
      <c r="D59" s="946"/>
      <c r="E59" s="947"/>
      <c r="F59" s="946"/>
      <c r="G59" s="947"/>
      <c r="H59" s="946"/>
      <c r="I59" s="947"/>
      <c r="J59" s="946"/>
      <c r="K59" s="946"/>
      <c r="L59" s="946"/>
      <c r="M59" s="947"/>
      <c r="N59" s="946"/>
      <c r="O59" s="947"/>
      <c r="P59" s="946"/>
      <c r="Q59" s="947"/>
      <c r="R59" s="946"/>
      <c r="S59" s="947"/>
      <c r="T59" s="946"/>
      <c r="U59" s="947"/>
      <c r="V59" s="946"/>
      <c r="W59" s="947"/>
      <c r="X59" s="946"/>
      <c r="Y59" s="947"/>
      <c r="Z59" s="772"/>
    </row>
    <row r="60" spans="1:26">
      <c r="A60" s="944"/>
      <c r="B60" s="946"/>
      <c r="C60" s="946"/>
      <c r="D60" s="946"/>
      <c r="E60" s="947"/>
      <c r="F60" s="946"/>
      <c r="G60" s="947"/>
      <c r="H60" s="946"/>
      <c r="I60" s="947"/>
      <c r="J60" s="946"/>
      <c r="K60" s="946"/>
      <c r="L60" s="946"/>
      <c r="M60" s="947"/>
      <c r="N60" s="946"/>
      <c r="O60" s="947"/>
      <c r="P60" s="946"/>
      <c r="Q60" s="947"/>
      <c r="R60" s="946"/>
      <c r="S60" s="947"/>
      <c r="T60" s="946"/>
      <c r="U60" s="947"/>
      <c r="V60" s="946"/>
      <c r="W60" s="947"/>
      <c r="X60" s="946"/>
      <c r="Y60" s="947"/>
      <c r="Z60" s="772"/>
    </row>
    <row r="61" spans="1:26">
      <c r="A61" s="944"/>
      <c r="B61" s="946"/>
      <c r="C61" s="946"/>
      <c r="D61" s="946"/>
      <c r="E61" s="947"/>
      <c r="F61" s="946"/>
      <c r="G61" s="947"/>
      <c r="H61" s="946"/>
      <c r="I61" s="947"/>
      <c r="J61" s="946"/>
      <c r="K61" s="946"/>
      <c r="L61" s="946"/>
      <c r="M61" s="947"/>
      <c r="N61" s="946"/>
      <c r="O61" s="947"/>
      <c r="P61" s="946"/>
      <c r="Q61" s="947"/>
      <c r="R61" s="946"/>
      <c r="S61" s="947"/>
      <c r="T61" s="946"/>
      <c r="U61" s="947"/>
      <c r="V61" s="946"/>
      <c r="W61" s="947"/>
      <c r="X61" s="946"/>
      <c r="Y61" s="947"/>
      <c r="Z61" s="772"/>
    </row>
    <row r="62" spans="1:26">
      <c r="A62" s="944"/>
      <c r="B62" s="946"/>
      <c r="C62" s="946"/>
      <c r="D62" s="946"/>
      <c r="E62" s="947"/>
      <c r="F62" s="946"/>
      <c r="G62" s="947"/>
      <c r="H62" s="946"/>
      <c r="I62" s="947"/>
      <c r="J62" s="946"/>
      <c r="K62" s="946"/>
      <c r="L62" s="946"/>
      <c r="M62" s="947"/>
      <c r="N62" s="946"/>
      <c r="O62" s="947"/>
      <c r="P62" s="946"/>
      <c r="Q62" s="947"/>
      <c r="R62" s="946"/>
      <c r="S62" s="947"/>
      <c r="T62" s="946"/>
      <c r="U62" s="947"/>
      <c r="V62" s="946"/>
      <c r="W62" s="947"/>
      <c r="X62" s="946"/>
      <c r="Y62" s="947"/>
      <c r="Z62" s="772"/>
    </row>
    <row r="63" spans="1:26">
      <c r="A63" s="944"/>
      <c r="B63" s="946"/>
      <c r="C63" s="946"/>
      <c r="D63" s="946"/>
      <c r="E63" s="947"/>
      <c r="F63" s="946"/>
      <c r="G63" s="947"/>
      <c r="H63" s="946"/>
      <c r="I63" s="947"/>
      <c r="J63" s="946"/>
      <c r="K63" s="946"/>
      <c r="L63" s="946"/>
      <c r="M63" s="947"/>
      <c r="N63" s="946"/>
      <c r="O63" s="947"/>
      <c r="P63" s="946"/>
      <c r="Q63" s="947"/>
      <c r="R63" s="946"/>
      <c r="S63" s="947"/>
      <c r="T63" s="946"/>
      <c r="U63" s="947"/>
      <c r="V63" s="946"/>
      <c r="W63" s="947"/>
      <c r="X63" s="946"/>
      <c r="Y63" s="947"/>
      <c r="Z63" s="772"/>
    </row>
    <row r="64" spans="1:26">
      <c r="A64" s="944"/>
      <c r="B64" s="946"/>
      <c r="C64" s="946"/>
      <c r="D64" s="946"/>
      <c r="E64" s="947"/>
      <c r="F64" s="946"/>
      <c r="G64" s="947"/>
      <c r="H64" s="946"/>
      <c r="I64" s="947"/>
      <c r="J64" s="946"/>
      <c r="K64" s="946"/>
      <c r="L64" s="946"/>
      <c r="M64" s="947"/>
      <c r="N64" s="946"/>
      <c r="O64" s="947"/>
      <c r="P64" s="946"/>
      <c r="Q64" s="947"/>
      <c r="R64" s="946"/>
      <c r="S64" s="947"/>
      <c r="T64" s="946"/>
      <c r="U64" s="947"/>
      <c r="V64" s="946"/>
      <c r="W64" s="947"/>
      <c r="X64" s="946"/>
      <c r="Y64" s="947"/>
      <c r="Z64" s="772"/>
    </row>
    <row r="65" spans="1:26">
      <c r="A65" s="944"/>
      <c r="B65" s="946"/>
      <c r="C65" s="946"/>
      <c r="D65" s="946"/>
      <c r="E65" s="947"/>
      <c r="F65" s="946"/>
      <c r="G65" s="947"/>
      <c r="H65" s="946"/>
      <c r="I65" s="947"/>
      <c r="J65" s="946"/>
      <c r="K65" s="946"/>
      <c r="L65" s="946"/>
      <c r="M65" s="947"/>
      <c r="N65" s="946"/>
      <c r="O65" s="947"/>
      <c r="P65" s="946"/>
      <c r="Q65" s="947"/>
      <c r="R65" s="946"/>
      <c r="S65" s="947"/>
      <c r="T65" s="946"/>
      <c r="U65" s="947"/>
      <c r="V65" s="946"/>
      <c r="W65" s="947"/>
      <c r="X65" s="946"/>
      <c r="Y65" s="947"/>
      <c r="Z65" s="772"/>
    </row>
    <row r="66" spans="1:26">
      <c r="A66" s="944"/>
      <c r="B66" s="946"/>
      <c r="C66" s="946"/>
      <c r="D66" s="946"/>
      <c r="E66" s="947"/>
      <c r="F66" s="946"/>
      <c r="G66" s="947"/>
      <c r="H66" s="946"/>
      <c r="I66" s="947"/>
      <c r="J66" s="946"/>
      <c r="K66" s="946"/>
      <c r="L66" s="946"/>
      <c r="M66" s="947"/>
      <c r="N66" s="946"/>
      <c r="O66" s="947"/>
      <c r="P66" s="946"/>
      <c r="Q66" s="947"/>
      <c r="R66" s="946"/>
      <c r="S66" s="947"/>
      <c r="T66" s="946"/>
      <c r="U66" s="947"/>
      <c r="V66" s="946"/>
      <c r="W66" s="947"/>
      <c r="X66" s="946"/>
      <c r="Y66" s="947"/>
      <c r="Z66" s="772"/>
    </row>
    <row r="67" spans="1:26">
      <c r="A67" s="944"/>
      <c r="B67" s="946"/>
      <c r="C67" s="946"/>
      <c r="D67" s="946"/>
      <c r="E67" s="947"/>
      <c r="F67" s="946"/>
      <c r="G67" s="947"/>
      <c r="H67" s="946"/>
      <c r="I67" s="947"/>
      <c r="J67" s="946"/>
      <c r="K67" s="946"/>
      <c r="L67" s="946"/>
      <c r="M67" s="947"/>
      <c r="N67" s="946"/>
      <c r="O67" s="947"/>
      <c r="P67" s="946"/>
      <c r="Q67" s="947"/>
      <c r="R67" s="946"/>
      <c r="S67" s="947"/>
      <c r="T67" s="946"/>
      <c r="U67" s="947"/>
      <c r="V67" s="946"/>
      <c r="W67" s="947"/>
      <c r="X67" s="946"/>
      <c r="Y67" s="947"/>
      <c r="Z67" s="772"/>
    </row>
    <row r="68" spans="1:26">
      <c r="A68" s="944"/>
      <c r="B68" s="946"/>
      <c r="C68" s="946"/>
      <c r="D68" s="946"/>
      <c r="E68" s="947"/>
      <c r="F68" s="946"/>
      <c r="G68" s="947"/>
      <c r="H68" s="946"/>
      <c r="I68" s="947"/>
      <c r="J68" s="946"/>
      <c r="K68" s="946"/>
      <c r="L68" s="946"/>
      <c r="M68" s="947"/>
      <c r="N68" s="946"/>
      <c r="O68" s="947"/>
      <c r="P68" s="946"/>
      <c r="Q68" s="947"/>
      <c r="R68" s="946"/>
      <c r="S68" s="947"/>
      <c r="T68" s="946"/>
      <c r="U68" s="947"/>
      <c r="V68" s="946"/>
      <c r="W68" s="947"/>
      <c r="X68" s="946"/>
      <c r="Y68" s="947"/>
      <c r="Z68" s="772"/>
    </row>
    <row r="69" spans="1:26">
      <c r="A69" s="944"/>
      <c r="B69" s="946"/>
      <c r="C69" s="946"/>
      <c r="D69" s="946"/>
      <c r="E69" s="947"/>
      <c r="F69" s="946"/>
      <c r="G69" s="947"/>
      <c r="H69" s="946"/>
      <c r="I69" s="947"/>
      <c r="J69" s="946"/>
      <c r="K69" s="946"/>
      <c r="L69" s="946"/>
      <c r="M69" s="947"/>
      <c r="N69" s="946"/>
      <c r="O69" s="947"/>
      <c r="P69" s="946"/>
      <c r="Q69" s="947"/>
      <c r="R69" s="946"/>
      <c r="S69" s="947"/>
      <c r="T69" s="946"/>
      <c r="U69" s="947"/>
      <c r="V69" s="946"/>
      <c r="W69" s="947"/>
      <c r="X69" s="946"/>
      <c r="Y69" s="947"/>
      <c r="Z69" s="772"/>
    </row>
    <row r="70" spans="1:26">
      <c r="A70" s="944"/>
      <c r="B70" s="946"/>
      <c r="C70" s="946"/>
      <c r="D70" s="946"/>
      <c r="E70" s="947"/>
      <c r="F70" s="946"/>
      <c r="G70" s="947"/>
      <c r="H70" s="946"/>
      <c r="I70" s="947"/>
      <c r="J70" s="946"/>
      <c r="K70" s="946"/>
      <c r="L70" s="946"/>
      <c r="M70" s="947"/>
      <c r="N70" s="946"/>
      <c r="O70" s="947"/>
      <c r="P70" s="946"/>
      <c r="Q70" s="947"/>
      <c r="R70" s="946"/>
      <c r="S70" s="947"/>
      <c r="T70" s="946"/>
      <c r="U70" s="947"/>
      <c r="V70" s="946"/>
      <c r="W70" s="947"/>
      <c r="X70" s="946"/>
      <c r="Y70" s="947"/>
      <c r="Z70" s="772"/>
    </row>
    <row r="71" spans="1:26">
      <c r="A71" s="944"/>
      <c r="B71" s="946"/>
      <c r="C71" s="946"/>
      <c r="D71" s="946"/>
      <c r="E71" s="947"/>
      <c r="F71" s="946"/>
      <c r="G71" s="947"/>
      <c r="H71" s="946"/>
      <c r="I71" s="947"/>
      <c r="J71" s="946"/>
      <c r="K71" s="946"/>
      <c r="L71" s="946"/>
      <c r="M71" s="947"/>
      <c r="N71" s="946"/>
      <c r="O71" s="947"/>
      <c r="P71" s="946"/>
      <c r="Q71" s="947"/>
      <c r="R71" s="946"/>
      <c r="S71" s="947"/>
      <c r="T71" s="946"/>
      <c r="U71" s="947"/>
      <c r="V71" s="946"/>
      <c r="W71" s="947"/>
      <c r="X71" s="946"/>
      <c r="Y71" s="947"/>
      <c r="Z71" s="772"/>
    </row>
    <row r="72" spans="1:26">
      <c r="A72" s="944"/>
      <c r="B72" s="946"/>
      <c r="C72" s="946"/>
      <c r="D72" s="946"/>
      <c r="E72" s="947"/>
      <c r="F72" s="946"/>
      <c r="G72" s="947"/>
      <c r="H72" s="946"/>
      <c r="I72" s="947"/>
      <c r="J72" s="946"/>
      <c r="K72" s="946"/>
      <c r="L72" s="946"/>
      <c r="M72" s="947"/>
      <c r="N72" s="946"/>
      <c r="O72" s="947"/>
      <c r="P72" s="946"/>
      <c r="Q72" s="947"/>
      <c r="R72" s="946"/>
      <c r="S72" s="947"/>
      <c r="T72" s="946"/>
      <c r="U72" s="947"/>
      <c r="V72" s="946"/>
      <c r="W72" s="947"/>
      <c r="X72" s="946"/>
      <c r="Y72" s="947"/>
      <c r="Z72" s="772"/>
    </row>
    <row r="73" spans="1:26">
      <c r="A73" s="944"/>
      <c r="B73" s="946"/>
      <c r="C73" s="946"/>
      <c r="D73" s="946"/>
      <c r="E73" s="947"/>
      <c r="F73" s="946"/>
      <c r="G73" s="947"/>
      <c r="H73" s="946"/>
      <c r="I73" s="947"/>
      <c r="J73" s="946"/>
      <c r="K73" s="946"/>
      <c r="L73" s="946"/>
      <c r="M73" s="947"/>
      <c r="N73" s="946"/>
      <c r="O73" s="947"/>
      <c r="P73" s="946"/>
      <c r="Q73" s="947"/>
      <c r="R73" s="946"/>
      <c r="S73" s="947"/>
      <c r="T73" s="946"/>
      <c r="U73" s="947"/>
      <c r="V73" s="946"/>
      <c r="W73" s="947"/>
      <c r="X73" s="946"/>
      <c r="Y73" s="947"/>
      <c r="Z73" s="772"/>
    </row>
    <row r="74" spans="1:26">
      <c r="A74" s="944"/>
      <c r="B74" s="946"/>
      <c r="C74" s="946"/>
      <c r="D74" s="946"/>
      <c r="E74" s="947"/>
      <c r="F74" s="946"/>
      <c r="G74" s="947"/>
      <c r="H74" s="946"/>
      <c r="I74" s="947"/>
      <c r="J74" s="946"/>
      <c r="K74" s="946"/>
      <c r="L74" s="946"/>
      <c r="M74" s="947"/>
      <c r="N74" s="946"/>
      <c r="O74" s="947"/>
      <c r="P74" s="946"/>
      <c r="Q74" s="947"/>
      <c r="R74" s="946"/>
      <c r="S74" s="947"/>
      <c r="T74" s="946"/>
      <c r="U74" s="947"/>
      <c r="V74" s="946"/>
      <c r="W74" s="947"/>
      <c r="X74" s="946"/>
      <c r="Y74" s="947"/>
      <c r="Z74" s="772"/>
    </row>
    <row r="75" spans="1:26">
      <c r="A75" s="944"/>
      <c r="B75" s="946"/>
      <c r="C75" s="946"/>
      <c r="D75" s="946"/>
      <c r="E75" s="947"/>
      <c r="F75" s="946"/>
      <c r="G75" s="947"/>
      <c r="H75" s="946"/>
      <c r="I75" s="947"/>
      <c r="J75" s="946"/>
      <c r="K75" s="946"/>
      <c r="L75" s="946"/>
      <c r="M75" s="947"/>
      <c r="N75" s="946"/>
      <c r="O75" s="947"/>
      <c r="P75" s="946"/>
      <c r="Q75" s="947"/>
      <c r="R75" s="946"/>
      <c r="S75" s="947"/>
      <c r="T75" s="946"/>
      <c r="U75" s="947"/>
      <c r="V75" s="946"/>
      <c r="W75" s="947"/>
      <c r="X75" s="946"/>
      <c r="Y75" s="947"/>
      <c r="Z75" s="772"/>
    </row>
    <row r="76" spans="1:26">
      <c r="A76" s="944"/>
      <c r="B76" s="946"/>
      <c r="C76" s="946"/>
      <c r="D76" s="946"/>
      <c r="E76" s="947"/>
      <c r="F76" s="946"/>
      <c r="G76" s="947"/>
      <c r="H76" s="946"/>
      <c r="I76" s="947"/>
      <c r="J76" s="946"/>
      <c r="K76" s="946"/>
      <c r="L76" s="946"/>
      <c r="M76" s="947"/>
      <c r="N76" s="946"/>
      <c r="O76" s="947"/>
      <c r="P76" s="946"/>
      <c r="Q76" s="947"/>
      <c r="R76" s="946"/>
      <c r="S76" s="947"/>
      <c r="T76" s="946"/>
      <c r="U76" s="947"/>
      <c r="V76" s="946"/>
      <c r="W76" s="947"/>
      <c r="X76" s="946"/>
      <c r="Y76" s="947"/>
      <c r="Z76" s="772"/>
    </row>
    <row r="77" spans="1:26">
      <c r="A77" s="944"/>
      <c r="B77" s="946"/>
      <c r="C77" s="946"/>
      <c r="D77" s="946"/>
      <c r="E77" s="947"/>
      <c r="F77" s="946"/>
      <c r="G77" s="947"/>
      <c r="H77" s="946"/>
      <c r="I77" s="947"/>
      <c r="J77" s="946"/>
      <c r="K77" s="946"/>
      <c r="L77" s="946"/>
      <c r="M77" s="947"/>
      <c r="N77" s="946"/>
      <c r="O77" s="947"/>
      <c r="P77" s="946"/>
      <c r="Q77" s="947"/>
      <c r="R77" s="946"/>
      <c r="S77" s="947"/>
      <c r="T77" s="946"/>
      <c r="U77" s="947"/>
      <c r="V77" s="946"/>
      <c r="W77" s="947"/>
      <c r="X77" s="946"/>
      <c r="Y77" s="947"/>
      <c r="Z77" s="772"/>
    </row>
    <row r="78" spans="1:26">
      <c r="A78" s="944"/>
      <c r="B78" s="946"/>
      <c r="C78" s="946"/>
      <c r="D78" s="946"/>
      <c r="E78" s="947"/>
      <c r="F78" s="946"/>
      <c r="G78" s="947"/>
      <c r="H78" s="946"/>
      <c r="I78" s="947"/>
      <c r="J78" s="946"/>
      <c r="K78" s="946"/>
      <c r="L78" s="946"/>
      <c r="M78" s="947"/>
      <c r="N78" s="946"/>
      <c r="O78" s="947"/>
      <c r="P78" s="946"/>
      <c r="Q78" s="947"/>
      <c r="R78" s="946"/>
      <c r="S78" s="947"/>
      <c r="T78" s="946"/>
      <c r="U78" s="947"/>
      <c r="V78" s="946"/>
      <c r="W78" s="947"/>
      <c r="X78" s="946"/>
      <c r="Y78" s="947"/>
      <c r="Z78" s="772"/>
    </row>
    <row r="79" spans="1:26">
      <c r="A79" s="944"/>
      <c r="B79" s="946"/>
      <c r="C79" s="946"/>
      <c r="D79" s="946"/>
      <c r="E79" s="947"/>
      <c r="F79" s="946"/>
      <c r="G79" s="947"/>
      <c r="H79" s="946"/>
      <c r="I79" s="947"/>
      <c r="J79" s="946"/>
      <c r="K79" s="946"/>
      <c r="L79" s="946"/>
      <c r="M79" s="947"/>
      <c r="N79" s="946"/>
      <c r="O79" s="947"/>
      <c r="P79" s="946"/>
      <c r="Q79" s="947"/>
      <c r="R79" s="946"/>
      <c r="S79" s="947"/>
      <c r="T79" s="946"/>
      <c r="U79" s="947"/>
      <c r="V79" s="946"/>
      <c r="W79" s="947"/>
      <c r="X79" s="946"/>
      <c r="Y79" s="947"/>
      <c r="Z79" s="772"/>
    </row>
    <row r="80" spans="1:26">
      <c r="A80" s="944"/>
      <c r="B80" s="946"/>
      <c r="C80" s="946"/>
      <c r="D80" s="946"/>
      <c r="E80" s="947"/>
      <c r="F80" s="946"/>
      <c r="G80" s="947"/>
      <c r="H80" s="946"/>
      <c r="I80" s="947"/>
      <c r="J80" s="946"/>
      <c r="K80" s="946"/>
      <c r="L80" s="946"/>
      <c r="M80" s="947"/>
      <c r="N80" s="946"/>
      <c r="O80" s="947"/>
      <c r="P80" s="946"/>
      <c r="Q80" s="947"/>
      <c r="R80" s="946"/>
      <c r="S80" s="947"/>
      <c r="T80" s="946"/>
      <c r="U80" s="947"/>
      <c r="V80" s="946"/>
      <c r="W80" s="947"/>
      <c r="X80" s="946"/>
      <c r="Y80" s="947"/>
      <c r="Z80" s="772"/>
    </row>
    <row r="81" spans="1:26">
      <c r="A81" s="944"/>
      <c r="B81" s="946"/>
      <c r="C81" s="946"/>
      <c r="D81" s="946"/>
      <c r="E81" s="947"/>
      <c r="F81" s="946"/>
      <c r="G81" s="947"/>
      <c r="H81" s="946"/>
      <c r="I81" s="947"/>
      <c r="J81" s="946"/>
      <c r="K81" s="946"/>
      <c r="L81" s="946"/>
      <c r="M81" s="947"/>
      <c r="N81" s="946"/>
      <c r="O81" s="947"/>
      <c r="P81" s="946"/>
      <c r="Q81" s="947"/>
      <c r="R81" s="946"/>
      <c r="S81" s="947"/>
      <c r="T81" s="946"/>
      <c r="U81" s="947"/>
      <c r="V81" s="946"/>
      <c r="W81" s="947"/>
      <c r="X81" s="946"/>
      <c r="Y81" s="947"/>
      <c r="Z81" s="772"/>
    </row>
    <row r="82" spans="1:26">
      <c r="A82" s="944"/>
      <c r="B82" s="946"/>
      <c r="C82" s="946"/>
      <c r="D82" s="946"/>
      <c r="E82" s="947"/>
      <c r="F82" s="946"/>
      <c r="G82" s="947"/>
      <c r="H82" s="946"/>
      <c r="I82" s="947"/>
      <c r="J82" s="946"/>
      <c r="K82" s="946"/>
      <c r="L82" s="946"/>
      <c r="M82" s="947"/>
      <c r="N82" s="946"/>
      <c r="O82" s="947"/>
      <c r="P82" s="946"/>
      <c r="Q82" s="947"/>
      <c r="R82" s="946"/>
      <c r="S82" s="947"/>
      <c r="T82" s="946"/>
      <c r="U82" s="947"/>
      <c r="V82" s="946"/>
      <c r="W82" s="947"/>
      <c r="X82" s="946"/>
      <c r="Y82" s="947"/>
      <c r="Z82" s="772"/>
    </row>
    <row r="83" spans="1:26">
      <c r="A83" s="944"/>
      <c r="B83" s="946"/>
      <c r="C83" s="946"/>
      <c r="D83" s="946"/>
      <c r="E83" s="947"/>
      <c r="F83" s="946"/>
      <c r="G83" s="947"/>
      <c r="H83" s="946"/>
      <c r="I83" s="947"/>
      <c r="J83" s="946"/>
      <c r="K83" s="946"/>
      <c r="L83" s="946"/>
      <c r="M83" s="947"/>
      <c r="N83" s="946"/>
      <c r="O83" s="947"/>
      <c r="P83" s="946"/>
      <c r="Q83" s="947"/>
      <c r="R83" s="946"/>
      <c r="S83" s="947"/>
      <c r="T83" s="946"/>
      <c r="U83" s="947"/>
      <c r="V83" s="946"/>
      <c r="W83" s="947"/>
      <c r="X83" s="946"/>
      <c r="Y83" s="947"/>
      <c r="Z83" s="772"/>
    </row>
    <row r="84" spans="1:26">
      <c r="A84" s="944"/>
      <c r="B84" s="946"/>
      <c r="C84" s="946"/>
      <c r="D84" s="946"/>
      <c r="E84" s="947"/>
      <c r="F84" s="946"/>
      <c r="G84" s="947"/>
      <c r="H84" s="946"/>
      <c r="I84" s="947"/>
      <c r="J84" s="946"/>
      <c r="K84" s="946"/>
      <c r="L84" s="946"/>
      <c r="M84" s="947"/>
      <c r="N84" s="946"/>
      <c r="O84" s="947"/>
      <c r="P84" s="946"/>
      <c r="Q84" s="947"/>
      <c r="R84" s="946"/>
      <c r="S84" s="947"/>
      <c r="T84" s="946"/>
      <c r="U84" s="947"/>
      <c r="V84" s="946"/>
      <c r="W84" s="947"/>
      <c r="X84" s="946"/>
      <c r="Y84" s="947"/>
      <c r="Z84" s="772"/>
    </row>
    <row r="85" spans="1:26">
      <c r="A85" s="944"/>
      <c r="B85" s="946"/>
      <c r="C85" s="946"/>
      <c r="D85" s="946"/>
      <c r="E85" s="947"/>
      <c r="F85" s="946"/>
      <c r="G85" s="947"/>
      <c r="H85" s="946"/>
      <c r="I85" s="947"/>
      <c r="J85" s="946"/>
      <c r="K85" s="946"/>
      <c r="L85" s="946"/>
      <c r="M85" s="947"/>
      <c r="N85" s="946"/>
      <c r="O85" s="947"/>
      <c r="P85" s="946"/>
      <c r="Q85" s="947"/>
      <c r="R85" s="946"/>
      <c r="S85" s="947"/>
      <c r="T85" s="946"/>
      <c r="U85" s="947"/>
      <c r="V85" s="946"/>
      <c r="W85" s="947"/>
      <c r="X85" s="946"/>
      <c r="Y85" s="947"/>
      <c r="Z85" s="772"/>
    </row>
    <row r="86" spans="1:26">
      <c r="A86" s="944"/>
      <c r="B86" s="946"/>
      <c r="C86" s="946"/>
      <c r="D86" s="946"/>
      <c r="E86" s="947"/>
      <c r="F86" s="946"/>
      <c r="G86" s="947"/>
      <c r="H86" s="946"/>
      <c r="I86" s="947"/>
      <c r="J86" s="946"/>
      <c r="K86" s="946"/>
      <c r="L86" s="946"/>
      <c r="M86" s="947"/>
      <c r="N86" s="946"/>
      <c r="O86" s="947"/>
      <c r="P86" s="946"/>
      <c r="Q86" s="947"/>
      <c r="R86" s="946"/>
      <c r="S86" s="947"/>
      <c r="T86" s="946"/>
      <c r="U86" s="947"/>
      <c r="V86" s="946"/>
      <c r="W86" s="947"/>
      <c r="X86" s="946"/>
      <c r="Y86" s="947"/>
      <c r="Z86" s="772"/>
    </row>
    <row r="87" spans="1:26">
      <c r="A87" s="944"/>
      <c r="B87" s="946"/>
      <c r="C87" s="946"/>
      <c r="D87" s="946"/>
      <c r="E87" s="947"/>
      <c r="F87" s="946"/>
      <c r="G87" s="947"/>
      <c r="H87" s="946"/>
      <c r="I87" s="947"/>
      <c r="J87" s="946"/>
      <c r="K87" s="946"/>
      <c r="L87" s="946"/>
      <c r="M87" s="947"/>
      <c r="N87" s="946"/>
      <c r="O87" s="947"/>
      <c r="P87" s="946"/>
      <c r="Q87" s="947"/>
      <c r="R87" s="946"/>
      <c r="S87" s="947"/>
      <c r="T87" s="946"/>
      <c r="U87" s="947"/>
      <c r="V87" s="946"/>
      <c r="W87" s="947"/>
      <c r="X87" s="946"/>
      <c r="Y87" s="947"/>
      <c r="Z87" s="772"/>
    </row>
    <row r="88" spans="1:26">
      <c r="A88" s="944"/>
      <c r="B88" s="946"/>
      <c r="C88" s="946"/>
      <c r="D88" s="946"/>
      <c r="E88" s="947"/>
      <c r="F88" s="946"/>
      <c r="G88" s="947"/>
      <c r="H88" s="946"/>
      <c r="I88" s="947"/>
      <c r="J88" s="946"/>
      <c r="K88" s="946"/>
      <c r="L88" s="946"/>
      <c r="M88" s="947"/>
      <c r="N88" s="946"/>
      <c r="O88" s="947"/>
      <c r="P88" s="946"/>
      <c r="Q88" s="947"/>
      <c r="R88" s="946"/>
      <c r="S88" s="947"/>
      <c r="T88" s="946"/>
      <c r="U88" s="947"/>
      <c r="V88" s="946"/>
      <c r="W88" s="947"/>
      <c r="X88" s="946"/>
      <c r="Y88" s="947"/>
      <c r="Z88" s="772"/>
    </row>
    <row r="89" spans="1:26">
      <c r="A89" s="944"/>
      <c r="B89" s="946"/>
      <c r="C89" s="946"/>
      <c r="D89" s="946"/>
      <c r="E89" s="947"/>
      <c r="F89" s="946"/>
      <c r="G89" s="947"/>
      <c r="H89" s="946"/>
      <c r="I89" s="947"/>
      <c r="J89" s="946"/>
      <c r="K89" s="946"/>
      <c r="L89" s="946"/>
      <c r="M89" s="947"/>
      <c r="N89" s="946"/>
      <c r="O89" s="947"/>
      <c r="P89" s="946"/>
      <c r="Q89" s="947"/>
      <c r="R89" s="946"/>
      <c r="S89" s="947"/>
      <c r="T89" s="946"/>
      <c r="U89" s="947"/>
      <c r="V89" s="946"/>
      <c r="W89" s="947"/>
      <c r="X89" s="946"/>
      <c r="Y89" s="947"/>
      <c r="Z89" s="772"/>
    </row>
    <row r="90" spans="1:26">
      <c r="A90" s="944"/>
      <c r="B90" s="946"/>
      <c r="C90" s="946"/>
      <c r="D90" s="946"/>
      <c r="E90" s="947"/>
      <c r="F90" s="946"/>
      <c r="G90" s="947"/>
      <c r="H90" s="946"/>
      <c r="I90" s="947"/>
      <c r="J90" s="946"/>
      <c r="K90" s="946"/>
      <c r="L90" s="946"/>
      <c r="M90" s="947"/>
      <c r="N90" s="946"/>
      <c r="O90" s="947"/>
      <c r="P90" s="946"/>
      <c r="Q90" s="947"/>
      <c r="R90" s="946"/>
      <c r="S90" s="947"/>
      <c r="T90" s="946"/>
      <c r="U90" s="947"/>
      <c r="V90" s="946"/>
      <c r="W90" s="947"/>
      <c r="X90" s="946"/>
      <c r="Y90" s="947"/>
      <c r="Z90" s="772"/>
    </row>
    <row r="91" spans="1:26">
      <c r="A91" s="944"/>
      <c r="B91" s="946"/>
      <c r="C91" s="946"/>
      <c r="D91" s="946"/>
      <c r="E91" s="947"/>
      <c r="F91" s="946"/>
      <c r="G91" s="947"/>
      <c r="H91" s="946"/>
      <c r="I91" s="947"/>
      <c r="J91" s="946"/>
      <c r="K91" s="946"/>
      <c r="L91" s="946"/>
      <c r="M91" s="947"/>
      <c r="N91" s="946"/>
      <c r="O91" s="947"/>
      <c r="P91" s="946"/>
      <c r="Q91" s="947"/>
      <c r="R91" s="946"/>
      <c r="S91" s="947"/>
      <c r="T91" s="946"/>
      <c r="U91" s="947"/>
      <c r="V91" s="946"/>
      <c r="W91" s="947"/>
      <c r="X91" s="946"/>
      <c r="Y91" s="947"/>
      <c r="Z91" s="772"/>
    </row>
    <row r="92" spans="1:26">
      <c r="A92" s="944"/>
      <c r="B92" s="946"/>
      <c r="C92" s="946"/>
      <c r="D92" s="946"/>
      <c r="E92" s="947"/>
      <c r="F92" s="946"/>
      <c r="G92" s="947"/>
      <c r="H92" s="946"/>
      <c r="I92" s="947"/>
      <c r="J92" s="946"/>
      <c r="K92" s="946"/>
      <c r="L92" s="946"/>
      <c r="M92" s="947"/>
      <c r="N92" s="946"/>
      <c r="O92" s="947"/>
      <c r="P92" s="946"/>
      <c r="Q92" s="947"/>
      <c r="R92" s="946"/>
      <c r="S92" s="947"/>
      <c r="T92" s="946"/>
      <c r="U92" s="947"/>
      <c r="V92" s="946"/>
      <c r="W92" s="947"/>
      <c r="X92" s="946"/>
      <c r="Y92" s="947"/>
      <c r="Z92" s="772"/>
    </row>
    <row r="93" spans="1:26">
      <c r="A93" s="944"/>
      <c r="B93" s="946"/>
      <c r="C93" s="946"/>
      <c r="D93" s="946"/>
      <c r="E93" s="947"/>
      <c r="F93" s="946"/>
      <c r="G93" s="947"/>
      <c r="H93" s="946"/>
      <c r="I93" s="947"/>
      <c r="J93" s="946"/>
      <c r="K93" s="946"/>
      <c r="L93" s="946"/>
      <c r="M93" s="947"/>
      <c r="N93" s="946"/>
      <c r="O93" s="947"/>
      <c r="P93" s="946"/>
      <c r="Q93" s="947"/>
      <c r="R93" s="946"/>
      <c r="S93" s="947"/>
      <c r="T93" s="946"/>
      <c r="U93" s="947"/>
      <c r="V93" s="946"/>
      <c r="W93" s="947"/>
      <c r="X93" s="946"/>
      <c r="Y93" s="947"/>
      <c r="Z93" s="772"/>
    </row>
    <row r="94" spans="1:26">
      <c r="A94" s="944"/>
      <c r="B94" s="946"/>
      <c r="C94" s="946"/>
      <c r="D94" s="946"/>
      <c r="E94" s="947"/>
      <c r="F94" s="946"/>
      <c r="G94" s="947"/>
      <c r="H94" s="946"/>
      <c r="I94" s="947"/>
      <c r="J94" s="946"/>
      <c r="K94" s="946"/>
      <c r="L94" s="946"/>
      <c r="M94" s="947"/>
      <c r="N94" s="946"/>
      <c r="O94" s="947"/>
      <c r="P94" s="946"/>
      <c r="Q94" s="947"/>
      <c r="R94" s="946"/>
      <c r="S94" s="947"/>
      <c r="T94" s="946"/>
      <c r="U94" s="947"/>
      <c r="V94" s="946"/>
      <c r="W94" s="947"/>
      <c r="X94" s="946"/>
      <c r="Y94" s="947"/>
      <c r="Z94" s="772"/>
    </row>
    <row r="95" spans="1:26">
      <c r="A95" s="944"/>
      <c r="B95" s="946"/>
      <c r="C95" s="946"/>
      <c r="D95" s="946"/>
      <c r="E95" s="947"/>
      <c r="F95" s="946"/>
      <c r="G95" s="947"/>
      <c r="H95" s="946"/>
      <c r="I95" s="947"/>
      <c r="J95" s="946"/>
      <c r="K95" s="946"/>
      <c r="L95" s="946"/>
      <c r="M95" s="947"/>
      <c r="N95" s="946"/>
      <c r="O95" s="947"/>
      <c r="P95" s="946"/>
      <c r="Q95" s="947"/>
      <c r="R95" s="946"/>
      <c r="S95" s="947"/>
      <c r="T95" s="946"/>
      <c r="U95" s="947"/>
      <c r="V95" s="946"/>
      <c r="W95" s="947"/>
      <c r="X95" s="946"/>
      <c r="Y95" s="947"/>
      <c r="Z95" s="772"/>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2"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O117"/>
  <sheetViews>
    <sheetView showGridLines="0" zoomScaleNormal="100" workbookViewId="0"/>
  </sheetViews>
  <sheetFormatPr defaultRowHeight="12.75"/>
  <cols>
    <col min="1" max="1" width="46.5546875" style="1872" customWidth="1"/>
    <col min="2" max="2" width="1.21875" style="1872" customWidth="1"/>
    <col min="3" max="3" width="23.109375" style="1872" customWidth="1"/>
    <col min="4" max="4" width="1.21875" style="1872" customWidth="1"/>
    <col min="5" max="5" width="23.109375" style="1873" customWidth="1"/>
    <col min="6" max="6" width="1.21875" style="1873" customWidth="1"/>
    <col min="7" max="7" width="23" style="2904" customWidth="1"/>
    <col min="8" max="8" width="2.33203125" style="1872" customWidth="1"/>
    <col min="9" max="9" width="15.21875" style="1872" customWidth="1"/>
    <col min="10" max="10" width="7.109375" style="1872" customWidth="1"/>
    <col min="11" max="12" width="8.88671875" style="1875"/>
    <col min="13" max="14" width="13" style="2552" bestFit="1" customWidth="1"/>
    <col min="15" max="15" width="8.88671875" style="1875"/>
    <col min="16" max="16384" width="8.88671875" style="1872"/>
  </cols>
  <sheetData>
    <row r="1" spans="1:15" ht="15">
      <c r="A1" s="1190" t="s">
        <v>1231</v>
      </c>
      <c r="G1" s="1873"/>
      <c r="H1" s="1873"/>
      <c r="I1" s="2904"/>
    </row>
    <row r="2" spans="1:15" ht="15">
      <c r="A2" s="3350"/>
      <c r="G2" s="1873"/>
      <c r="H2" s="1873"/>
      <c r="I2" s="2904"/>
    </row>
    <row r="3" spans="1:15" s="1889" customFormat="1">
      <c r="A3" s="3351" t="s">
        <v>526</v>
      </c>
      <c r="B3" s="3351"/>
      <c r="C3" s="3352"/>
      <c r="D3" s="3353"/>
      <c r="E3" s="3031"/>
      <c r="F3" s="3031"/>
      <c r="G3" s="3031"/>
      <c r="H3" s="3031"/>
      <c r="I3" s="3354" t="s">
        <v>527</v>
      </c>
      <c r="K3" s="1158"/>
      <c r="L3" s="1158"/>
      <c r="M3" s="2553"/>
      <c r="N3" s="2553"/>
      <c r="O3" s="1158"/>
    </row>
    <row r="4" spans="1:15" s="1889" customFormat="1">
      <c r="A4" s="3351" t="s">
        <v>528</v>
      </c>
      <c r="B4" s="3351"/>
      <c r="C4" s="3352"/>
      <c r="D4" s="3353"/>
      <c r="E4" s="3031"/>
      <c r="F4" s="3031"/>
      <c r="G4" s="3031"/>
      <c r="H4" s="3031"/>
      <c r="I4" s="3355"/>
      <c r="K4" s="1158"/>
      <c r="L4" s="1158"/>
      <c r="M4" s="2553"/>
      <c r="N4" s="2553"/>
      <c r="O4" s="1158"/>
    </row>
    <row r="5" spans="1:15" s="1889" customFormat="1">
      <c r="A5" s="3351" t="s">
        <v>529</v>
      </c>
      <c r="B5" s="3351"/>
      <c r="C5" s="3352"/>
      <c r="D5" s="3353"/>
      <c r="E5" s="3031"/>
      <c r="F5" s="3031"/>
      <c r="G5" s="3031"/>
      <c r="H5" s="3031"/>
      <c r="I5" s="3355"/>
      <c r="K5" s="1158"/>
      <c r="L5" s="1158"/>
      <c r="M5" s="2553"/>
      <c r="N5" s="2553"/>
      <c r="O5" s="1158"/>
    </row>
    <row r="6" spans="1:15" s="1889" customFormat="1">
      <c r="A6" s="3356" t="s">
        <v>1541</v>
      </c>
      <c r="B6" s="3356"/>
      <c r="C6" s="3357"/>
      <c r="D6" s="3358"/>
      <c r="E6" s="3031"/>
      <c r="F6" s="3031"/>
      <c r="G6" s="3031"/>
      <c r="H6" s="3031"/>
      <c r="I6" s="3355"/>
      <c r="K6" s="1158"/>
      <c r="L6" s="1158"/>
      <c r="M6" s="2553"/>
      <c r="N6" s="2553"/>
      <c r="O6" s="1158"/>
    </row>
    <row r="7" spans="1:15">
      <c r="C7" s="1875"/>
      <c r="G7" s="1873"/>
      <c r="H7" s="1873"/>
      <c r="I7" s="3032"/>
    </row>
    <row r="8" spans="1:15" ht="27" customHeight="1">
      <c r="A8" s="3359" t="s">
        <v>531</v>
      </c>
      <c r="B8" s="3360"/>
      <c r="C8" s="3361" t="s">
        <v>1145</v>
      </c>
      <c r="D8" s="3033"/>
      <c r="E8" s="3034" t="s">
        <v>1577</v>
      </c>
      <c r="F8" s="3032"/>
      <c r="G8" s="3034" t="s">
        <v>1610</v>
      </c>
      <c r="H8" s="3032"/>
      <c r="I8" s="3362" t="s">
        <v>1628</v>
      </c>
    </row>
    <row r="9" spans="1:15" s="1889" customFormat="1">
      <c r="A9" s="3363" t="s">
        <v>532</v>
      </c>
      <c r="B9" s="3364"/>
      <c r="C9" s="3035">
        <v>75016000</v>
      </c>
      <c r="D9" s="3364"/>
      <c r="E9" s="3365"/>
      <c r="F9" s="3365"/>
      <c r="G9" s="3365"/>
      <c r="H9" s="3365"/>
      <c r="I9" s="3035"/>
      <c r="J9" s="3366"/>
      <c r="K9" s="1158"/>
      <c r="L9" s="1158"/>
      <c r="M9" s="2553"/>
      <c r="N9" s="2553"/>
      <c r="O9" s="1158"/>
    </row>
    <row r="10" spans="1:15" s="1889" customFormat="1">
      <c r="A10" s="1872" t="s">
        <v>1238</v>
      </c>
      <c r="B10" s="1872"/>
      <c r="C10" s="3367"/>
      <c r="D10" s="3368"/>
      <c r="E10" s="3369">
        <v>0</v>
      </c>
      <c r="F10" s="3369"/>
      <c r="G10" s="3369">
        <v>0</v>
      </c>
      <c r="H10" s="3369"/>
      <c r="I10" s="3369">
        <v>0</v>
      </c>
      <c r="J10" s="3366"/>
      <c r="K10" s="1158"/>
      <c r="L10" s="1158"/>
      <c r="M10" s="2553"/>
      <c r="N10" s="2553"/>
      <c r="O10" s="1158"/>
    </row>
    <row r="11" spans="1:15" s="1889" customFormat="1">
      <c r="A11" s="1872" t="s">
        <v>1239</v>
      </c>
      <c r="B11" s="1872"/>
      <c r="C11" s="3367"/>
      <c r="D11" s="3368"/>
      <c r="E11" s="3370">
        <v>0</v>
      </c>
      <c r="F11" s="3371"/>
      <c r="G11" s="3371">
        <v>0</v>
      </c>
      <c r="H11" s="3370"/>
      <c r="I11" s="3370">
        <f>ROUND(SUM(E11)+G11,0)</f>
        <v>0</v>
      </c>
      <c r="J11" s="3366"/>
      <c r="K11" s="1158"/>
      <c r="L11" s="1158"/>
      <c r="M11" s="2553"/>
      <c r="N11" s="2553"/>
      <c r="O11" s="1158"/>
    </row>
    <row r="12" spans="1:15" s="1889" customFormat="1">
      <c r="A12" s="1872" t="s">
        <v>533</v>
      </c>
      <c r="B12" s="1872" t="s">
        <v>16</v>
      </c>
      <c r="C12" s="3367"/>
      <c r="D12" s="3368"/>
      <c r="E12" s="3370">
        <v>0</v>
      </c>
      <c r="F12" s="3371"/>
      <c r="G12" s="3371">
        <v>0</v>
      </c>
      <c r="H12" s="3370"/>
      <c r="I12" s="3370">
        <f t="shared" ref="I12:I75" si="0">ROUND(SUM(E12)+G12,0)</f>
        <v>0</v>
      </c>
      <c r="J12" s="3366"/>
      <c r="K12" s="1158"/>
      <c r="L12" s="1158"/>
      <c r="M12" s="2553"/>
      <c r="N12" s="2553"/>
      <c r="O12" s="1158"/>
    </row>
    <row r="13" spans="1:15" s="1889" customFormat="1">
      <c r="A13" s="1872" t="s">
        <v>534</v>
      </c>
      <c r="B13" s="1872"/>
      <c r="C13" s="3367"/>
      <c r="D13" s="3368"/>
      <c r="E13" s="3370">
        <v>0</v>
      </c>
      <c r="F13" s="3371"/>
      <c r="G13" s="3371">
        <v>0</v>
      </c>
      <c r="H13" s="3370"/>
      <c r="I13" s="3370">
        <f t="shared" si="0"/>
        <v>0</v>
      </c>
      <c r="J13" s="3366"/>
      <c r="K13" s="1158"/>
      <c r="L13" s="1158"/>
      <c r="M13" s="2553"/>
      <c r="N13" s="2553"/>
      <c r="O13" s="1158"/>
    </row>
    <row r="14" spans="1:15" s="1889" customFormat="1">
      <c r="A14" s="1872" t="s">
        <v>535</v>
      </c>
      <c r="B14" s="1872"/>
      <c r="C14" s="3367"/>
      <c r="D14" s="3368"/>
      <c r="E14" s="3370">
        <v>0</v>
      </c>
      <c r="F14" s="3371"/>
      <c r="G14" s="3371">
        <v>0</v>
      </c>
      <c r="H14" s="3370"/>
      <c r="I14" s="3370">
        <f t="shared" si="0"/>
        <v>0</v>
      </c>
      <c r="J14" s="3366"/>
      <c r="K14" s="1158"/>
      <c r="L14" s="1158"/>
      <c r="M14" s="2553"/>
      <c r="N14" s="2553"/>
      <c r="O14" s="1158"/>
    </row>
    <row r="15" spans="1:15" s="1889" customFormat="1">
      <c r="A15" s="1872" t="s">
        <v>536</v>
      </c>
      <c r="B15" s="1872"/>
      <c r="C15" s="3367"/>
      <c r="D15" s="3368"/>
      <c r="E15" s="3370">
        <v>0</v>
      </c>
      <c r="F15" s="3371"/>
      <c r="G15" s="3371">
        <v>0</v>
      </c>
      <c r="H15" s="3370"/>
      <c r="I15" s="3370">
        <f t="shared" si="0"/>
        <v>0</v>
      </c>
      <c r="J15" s="3366"/>
      <c r="K15" s="1158"/>
      <c r="L15" s="1158"/>
      <c r="M15" s="2553"/>
      <c r="N15" s="2553"/>
      <c r="O15" s="1158"/>
    </row>
    <row r="16" spans="1:15" s="1889" customFormat="1">
      <c r="A16" s="3363" t="s">
        <v>537</v>
      </c>
      <c r="B16" s="3360"/>
      <c r="C16" s="3484">
        <v>144408082</v>
      </c>
      <c r="D16" s="3036"/>
      <c r="E16" s="3370"/>
      <c r="F16" s="3371"/>
      <c r="G16" s="3371"/>
      <c r="H16" s="3370"/>
      <c r="I16" s="3370"/>
      <c r="J16" s="3366"/>
      <c r="K16" s="1158"/>
      <c r="L16" s="1158"/>
      <c r="M16" s="2553"/>
      <c r="N16" s="2553"/>
      <c r="O16" s="1158"/>
    </row>
    <row r="17" spans="1:15" s="1889" customFormat="1">
      <c r="A17" s="1872" t="s">
        <v>538</v>
      </c>
      <c r="B17" s="3372"/>
      <c r="C17" s="3485"/>
      <c r="D17" s="3037"/>
      <c r="E17" s="3370">
        <v>0</v>
      </c>
      <c r="F17" s="3371"/>
      <c r="G17" s="3371">
        <v>0</v>
      </c>
      <c r="H17" s="3370"/>
      <c r="I17" s="3370">
        <f t="shared" si="0"/>
        <v>0</v>
      </c>
      <c r="J17" s="3366"/>
      <c r="K17" s="1158"/>
      <c r="L17" s="1158"/>
      <c r="M17" s="2553"/>
      <c r="N17" s="2553"/>
      <c r="O17" s="1158"/>
    </row>
    <row r="18" spans="1:15" s="1889" customFormat="1">
      <c r="A18" s="1872" t="s">
        <v>539</v>
      </c>
      <c r="B18" s="3372"/>
      <c r="C18" s="3485"/>
      <c r="D18" s="3037"/>
      <c r="E18" s="3370">
        <v>0</v>
      </c>
      <c r="F18" s="3371"/>
      <c r="G18" s="3371">
        <v>0</v>
      </c>
      <c r="H18" s="3370"/>
      <c r="I18" s="3370">
        <f t="shared" si="0"/>
        <v>0</v>
      </c>
      <c r="J18" s="3366"/>
      <c r="K18" s="1158"/>
      <c r="L18" s="1158"/>
      <c r="M18" s="2553"/>
      <c r="N18" s="2553"/>
      <c r="O18" s="1158"/>
    </row>
    <row r="19" spans="1:15" s="1889" customFormat="1">
      <c r="A19" s="1872" t="s">
        <v>540</v>
      </c>
      <c r="B19" s="3372"/>
      <c r="C19" s="3485"/>
      <c r="D19" s="3037"/>
      <c r="E19" s="3373">
        <v>662873</v>
      </c>
      <c r="F19" s="3371"/>
      <c r="G19" s="3371">
        <v>125028</v>
      </c>
      <c r="H19" s="3373"/>
      <c r="I19" s="3370">
        <f t="shared" si="0"/>
        <v>787901</v>
      </c>
      <c r="J19" s="3366"/>
      <c r="K19" s="1158"/>
      <c r="L19" s="1158"/>
      <c r="M19" s="2553"/>
      <c r="N19" s="2553"/>
      <c r="O19" s="1158"/>
    </row>
    <row r="20" spans="1:15" s="1889" customFormat="1">
      <c r="A20" s="1872" t="s">
        <v>541</v>
      </c>
      <c r="B20" s="3372"/>
      <c r="C20" s="3485"/>
      <c r="D20" s="3037"/>
      <c r="E20" s="3370">
        <v>0</v>
      </c>
      <c r="F20" s="3371"/>
      <c r="G20" s="3371">
        <v>0</v>
      </c>
      <c r="H20" s="3370"/>
      <c r="I20" s="3370">
        <f t="shared" si="0"/>
        <v>0</v>
      </c>
      <c r="J20" s="3366"/>
      <c r="K20" s="1158"/>
      <c r="L20" s="1158"/>
      <c r="M20" s="2553"/>
      <c r="N20" s="2553"/>
      <c r="O20" s="1158"/>
    </row>
    <row r="21" spans="1:15" s="1889" customFormat="1">
      <c r="A21" s="1872" t="s">
        <v>542</v>
      </c>
      <c r="B21" s="3372"/>
      <c r="C21" s="3485"/>
      <c r="D21" s="3037"/>
      <c r="E21" s="3370">
        <v>0</v>
      </c>
      <c r="F21" s="3371"/>
      <c r="G21" s="3371">
        <v>0</v>
      </c>
      <c r="H21" s="3370"/>
      <c r="I21" s="3370">
        <f t="shared" si="0"/>
        <v>0</v>
      </c>
      <c r="J21" s="3366"/>
      <c r="K21" s="1158"/>
      <c r="L21" s="1158"/>
      <c r="M21" s="2553"/>
      <c r="N21" s="2553"/>
      <c r="O21" s="1158"/>
    </row>
    <row r="22" spans="1:15" s="1889" customFormat="1">
      <c r="A22" s="1872" t="s">
        <v>543</v>
      </c>
      <c r="B22" s="3372"/>
      <c r="C22" s="3485"/>
      <c r="D22" s="3037"/>
      <c r="E22" s="3370">
        <v>0</v>
      </c>
      <c r="F22" s="3371"/>
      <c r="G22" s="3371">
        <v>0</v>
      </c>
      <c r="H22" s="3370"/>
      <c r="I22" s="3370">
        <f t="shared" si="0"/>
        <v>0</v>
      </c>
      <c r="J22" s="3366"/>
      <c r="K22" s="1158"/>
      <c r="L22" s="1158"/>
      <c r="M22" s="2553"/>
      <c r="N22" s="2553"/>
      <c r="O22" s="1158"/>
    </row>
    <row r="23" spans="1:15" s="1889" customFormat="1">
      <c r="A23" s="1872" t="s">
        <v>544</v>
      </c>
      <c r="B23" s="3372"/>
      <c r="C23" s="3485"/>
      <c r="D23" s="3037"/>
      <c r="E23" s="3370">
        <v>-6</v>
      </c>
      <c r="F23" s="3371"/>
      <c r="G23" s="3371">
        <v>0</v>
      </c>
      <c r="H23" s="3370"/>
      <c r="I23" s="3370">
        <f t="shared" si="0"/>
        <v>-6</v>
      </c>
      <c r="J23" s="3366"/>
      <c r="K23" s="1158"/>
      <c r="L23" s="1158"/>
      <c r="M23" s="2553"/>
      <c r="N23" s="2553"/>
      <c r="O23" s="1158"/>
    </row>
    <row r="24" spans="1:15" s="1889" customFormat="1">
      <c r="A24" s="1872" t="s">
        <v>545</v>
      </c>
      <c r="B24" s="3372"/>
      <c r="C24" s="3485"/>
      <c r="D24" s="3037"/>
      <c r="E24" s="3370">
        <v>0</v>
      </c>
      <c r="F24" s="3371"/>
      <c r="G24" s="3371">
        <v>0</v>
      </c>
      <c r="H24" s="3370"/>
      <c r="I24" s="3370">
        <f t="shared" si="0"/>
        <v>0</v>
      </c>
      <c r="J24" s="3366"/>
      <c r="K24" s="1158"/>
      <c r="L24" s="1158"/>
      <c r="M24" s="2553"/>
      <c r="N24" s="2553"/>
      <c r="O24" s="1158"/>
    </row>
    <row r="25" spans="1:15" s="1889" customFormat="1">
      <c r="A25" s="1872" t="s">
        <v>1240</v>
      </c>
      <c r="B25" s="3372"/>
      <c r="C25" s="3485"/>
      <c r="D25" s="3037"/>
      <c r="E25" s="3370">
        <v>0</v>
      </c>
      <c r="F25" s="3371"/>
      <c r="G25" s="3371">
        <v>0</v>
      </c>
      <c r="H25" s="3370"/>
      <c r="I25" s="3370">
        <f t="shared" si="0"/>
        <v>0</v>
      </c>
      <c r="J25" s="3366"/>
      <c r="K25" s="1158"/>
      <c r="L25" s="1158"/>
      <c r="M25" s="2553"/>
      <c r="N25" s="2553"/>
      <c r="O25" s="1158"/>
    </row>
    <row r="26" spans="1:15" s="1889" customFormat="1">
      <c r="A26" s="1872" t="s">
        <v>546</v>
      </c>
      <c r="B26" s="3372"/>
      <c r="C26" s="3485"/>
      <c r="D26" s="3037"/>
      <c r="E26" s="3370">
        <v>0</v>
      </c>
      <c r="F26" s="3371"/>
      <c r="G26" s="3371">
        <v>0</v>
      </c>
      <c r="H26" s="3370"/>
      <c r="I26" s="3370">
        <f t="shared" si="0"/>
        <v>0</v>
      </c>
      <c r="J26" s="3366"/>
      <c r="K26" s="1158"/>
      <c r="L26" s="1158"/>
      <c r="M26" s="2553"/>
      <c r="N26" s="2553"/>
      <c r="O26" s="1158"/>
    </row>
    <row r="27" spans="1:15" s="1889" customFormat="1">
      <c r="A27" s="1872" t="s">
        <v>547</v>
      </c>
      <c r="B27" s="3372"/>
      <c r="C27" s="3485"/>
      <c r="D27" s="3037"/>
      <c r="E27" s="3370">
        <v>0</v>
      </c>
      <c r="F27" s="3371"/>
      <c r="G27" s="3371">
        <v>0</v>
      </c>
      <c r="H27" s="3370"/>
      <c r="I27" s="3370">
        <f t="shared" si="0"/>
        <v>0</v>
      </c>
      <c r="J27" s="3366"/>
      <c r="K27" s="1158"/>
      <c r="L27" s="1158"/>
      <c r="M27" s="2553"/>
      <c r="N27" s="2553"/>
      <c r="O27" s="1158"/>
    </row>
    <row r="28" spans="1:15" s="1889" customFormat="1">
      <c r="A28" s="1872" t="s">
        <v>548</v>
      </c>
      <c r="B28" s="3372"/>
      <c r="C28" s="3485"/>
      <c r="D28" s="3037"/>
      <c r="E28" s="3370">
        <v>0</v>
      </c>
      <c r="F28" s="3371"/>
      <c r="G28" s="3371">
        <v>0</v>
      </c>
      <c r="H28" s="3370"/>
      <c r="I28" s="3370">
        <f t="shared" si="0"/>
        <v>0</v>
      </c>
      <c r="J28" s="3366"/>
      <c r="K28" s="1158"/>
      <c r="L28" s="1158"/>
      <c r="M28" s="2553"/>
      <c r="N28" s="2553"/>
      <c r="O28" s="1158"/>
    </row>
    <row r="29" spans="1:15" s="1889" customFormat="1">
      <c r="A29" s="1872" t="s">
        <v>549</v>
      </c>
      <c r="B29" s="3372"/>
      <c r="C29" s="3485"/>
      <c r="D29" s="3037"/>
      <c r="E29" s="3370">
        <v>0</v>
      </c>
      <c r="F29" s="3371"/>
      <c r="G29" s="3371">
        <v>0</v>
      </c>
      <c r="H29" s="3370"/>
      <c r="I29" s="3370">
        <f t="shared" si="0"/>
        <v>0</v>
      </c>
      <c r="J29" s="3366"/>
      <c r="K29" s="1158"/>
      <c r="L29" s="1158"/>
      <c r="M29" s="2553"/>
      <c r="N29" s="2553"/>
      <c r="O29" s="1158"/>
    </row>
    <row r="30" spans="1:15" s="1889" customFormat="1">
      <c r="A30" s="1872" t="s">
        <v>550</v>
      </c>
      <c r="B30" s="3372"/>
      <c r="C30" s="3485"/>
      <c r="D30" s="3037"/>
      <c r="E30" s="3370">
        <v>0</v>
      </c>
      <c r="F30" s="3371"/>
      <c r="G30" s="3371">
        <v>0</v>
      </c>
      <c r="H30" s="3370"/>
      <c r="I30" s="3370">
        <f t="shared" si="0"/>
        <v>0</v>
      </c>
      <c r="J30" s="3366"/>
      <c r="K30" s="1158"/>
      <c r="L30" s="1158"/>
      <c r="M30" s="2553"/>
      <c r="N30" s="2553"/>
      <c r="O30" s="1158"/>
    </row>
    <row r="31" spans="1:15" s="1889" customFormat="1">
      <c r="A31" s="1872" t="s">
        <v>551</v>
      </c>
      <c r="B31" s="3372"/>
      <c r="C31" s="3485"/>
      <c r="D31" s="3037"/>
      <c r="E31" s="3370">
        <v>0</v>
      </c>
      <c r="F31" s="3371"/>
      <c r="G31" s="3371">
        <v>0</v>
      </c>
      <c r="H31" s="3370"/>
      <c r="I31" s="3370">
        <f t="shared" si="0"/>
        <v>0</v>
      </c>
      <c r="J31" s="3366"/>
      <c r="K31" s="1158"/>
      <c r="L31" s="1158"/>
      <c r="M31" s="2553"/>
      <c r="N31" s="2553"/>
      <c r="O31" s="1158"/>
    </row>
    <row r="32" spans="1:15" s="1889" customFormat="1">
      <c r="A32" s="1872" t="s">
        <v>552</v>
      </c>
      <c r="B32" s="3372"/>
      <c r="C32" s="3485"/>
      <c r="D32" s="3037"/>
      <c r="E32" s="3370">
        <v>0</v>
      </c>
      <c r="F32" s="3371"/>
      <c r="G32" s="3371">
        <v>0</v>
      </c>
      <c r="H32" s="3370"/>
      <c r="I32" s="3370">
        <f t="shared" si="0"/>
        <v>0</v>
      </c>
      <c r="J32" s="3366"/>
      <c r="K32" s="1158"/>
      <c r="L32" s="1158"/>
      <c r="M32" s="2553"/>
      <c r="N32" s="2553"/>
      <c r="O32" s="1158"/>
    </row>
    <row r="33" spans="1:15" s="1889" customFormat="1">
      <c r="A33" s="1872" t="s">
        <v>553</v>
      </c>
      <c r="B33" s="3372"/>
      <c r="C33" s="3485"/>
      <c r="D33" s="3037"/>
      <c r="E33" s="3370">
        <v>0</v>
      </c>
      <c r="F33" s="3371"/>
      <c r="G33" s="3371">
        <v>0</v>
      </c>
      <c r="H33" s="3370"/>
      <c r="I33" s="3370">
        <f t="shared" si="0"/>
        <v>0</v>
      </c>
      <c r="J33" s="3366"/>
      <c r="K33" s="1158"/>
      <c r="L33" s="1158"/>
      <c r="M33" s="2553"/>
      <c r="N33" s="2553"/>
      <c r="O33" s="1158"/>
    </row>
    <row r="34" spans="1:15">
      <c r="A34" s="3363" t="s">
        <v>554</v>
      </c>
      <c r="B34" s="3374"/>
      <c r="C34" s="3484">
        <v>986150400</v>
      </c>
      <c r="D34" s="3375"/>
      <c r="E34" s="3370"/>
      <c r="F34" s="3373"/>
      <c r="G34" s="3373"/>
      <c r="H34" s="3370"/>
      <c r="I34" s="3370"/>
      <c r="J34" s="3366"/>
    </row>
    <row r="35" spans="1:15">
      <c r="A35" s="1872" t="s">
        <v>555</v>
      </c>
      <c r="B35" s="1872" t="s">
        <v>16</v>
      </c>
      <c r="C35" s="1875"/>
      <c r="D35" s="3376"/>
      <c r="E35" s="3373">
        <v>22000021</v>
      </c>
      <c r="F35" s="3373"/>
      <c r="G35" s="3373">
        <v>23585979</v>
      </c>
      <c r="H35" s="3373"/>
      <c r="I35" s="3370">
        <f t="shared" si="0"/>
        <v>45586000</v>
      </c>
      <c r="J35" s="3366"/>
    </row>
    <row r="36" spans="1:15">
      <c r="A36" s="3363" t="s">
        <v>556</v>
      </c>
      <c r="B36" s="3377"/>
      <c r="C36" s="3484">
        <v>165000</v>
      </c>
      <c r="D36" s="3378"/>
      <c r="E36" s="3370"/>
      <c r="F36" s="3373"/>
      <c r="G36" s="3373"/>
      <c r="H36" s="3370"/>
      <c r="I36" s="3370"/>
      <c r="J36" s="3366"/>
    </row>
    <row r="37" spans="1:15">
      <c r="A37" s="1872" t="s">
        <v>557</v>
      </c>
      <c r="B37" s="1872" t="s">
        <v>16</v>
      </c>
      <c r="C37" s="1875"/>
      <c r="D37" s="3376"/>
      <c r="E37" s="3370">
        <v>0</v>
      </c>
      <c r="F37" s="3373"/>
      <c r="G37" s="3373">
        <v>15000</v>
      </c>
      <c r="H37" s="3370"/>
      <c r="I37" s="3370">
        <f t="shared" si="0"/>
        <v>15000</v>
      </c>
      <c r="J37" s="3366"/>
    </row>
    <row r="38" spans="1:15">
      <c r="A38" s="3363" t="s">
        <v>1633</v>
      </c>
      <c r="B38" s="3379"/>
      <c r="C38" s="3484">
        <v>273574000</v>
      </c>
      <c r="D38" s="3380"/>
      <c r="E38" s="3370"/>
      <c r="F38" s="3373"/>
      <c r="G38" s="3373"/>
      <c r="H38" s="3370"/>
      <c r="I38" s="3370"/>
      <c r="J38" s="3366"/>
    </row>
    <row r="39" spans="1:15">
      <c r="A39" s="1872" t="s">
        <v>1492</v>
      </c>
      <c r="B39" s="1872" t="s">
        <v>16</v>
      </c>
      <c r="C39" s="1875"/>
      <c r="D39" s="3376"/>
      <c r="E39" s="3381">
        <v>2612247</v>
      </c>
      <c r="F39" s="3373"/>
      <c r="G39" s="3373">
        <f>12921445+468</f>
        <v>12921913</v>
      </c>
      <c r="H39" s="3381"/>
      <c r="I39" s="3370">
        <f t="shared" si="0"/>
        <v>15534160</v>
      </c>
      <c r="J39" s="3366"/>
    </row>
    <row r="40" spans="1:15">
      <c r="A40" s="3363" t="s">
        <v>558</v>
      </c>
      <c r="B40" s="3364"/>
      <c r="C40" s="3484">
        <v>1829386084</v>
      </c>
      <c r="D40" s="3382"/>
      <c r="E40" s="3383"/>
      <c r="F40" s="3384"/>
      <c r="G40" s="3384"/>
      <c r="H40" s="3383"/>
      <c r="I40" s="3370"/>
      <c r="J40" s="1875"/>
    </row>
    <row r="41" spans="1:15">
      <c r="A41" s="1872" t="s">
        <v>559</v>
      </c>
      <c r="C41" s="1875"/>
      <c r="D41" s="3376"/>
      <c r="E41" s="3370">
        <v>0</v>
      </c>
      <c r="F41" s="3373"/>
      <c r="G41" s="3373">
        <v>0</v>
      </c>
      <c r="H41" s="3370"/>
      <c r="I41" s="3370">
        <f t="shared" si="0"/>
        <v>0</v>
      </c>
      <c r="J41" s="3366"/>
    </row>
    <row r="42" spans="1:15">
      <c r="A42" s="1872" t="s">
        <v>560</v>
      </c>
      <c r="C42" s="1875"/>
      <c r="D42" s="3376"/>
      <c r="E42" s="3370">
        <v>69204</v>
      </c>
      <c r="F42" s="3373"/>
      <c r="G42" s="3373">
        <v>73965</v>
      </c>
      <c r="H42" s="3370"/>
      <c r="I42" s="3370">
        <f t="shared" si="0"/>
        <v>143169</v>
      </c>
      <c r="J42" s="3366"/>
    </row>
    <row r="43" spans="1:15">
      <c r="A43" s="1872" t="s">
        <v>561</v>
      </c>
      <c r="C43" s="1875"/>
      <c r="D43" s="3376"/>
      <c r="E43" s="3370">
        <v>0</v>
      </c>
      <c r="F43" s="3373"/>
      <c r="G43" s="3373">
        <v>0</v>
      </c>
      <c r="H43" s="3370"/>
      <c r="I43" s="3370">
        <f t="shared" si="0"/>
        <v>0</v>
      </c>
      <c r="J43" s="3366"/>
    </row>
    <row r="44" spans="1:15">
      <c r="A44" s="1872" t="s">
        <v>562</v>
      </c>
      <c r="C44" s="1875"/>
      <c r="D44" s="3376"/>
      <c r="E44" s="3370">
        <v>0</v>
      </c>
      <c r="F44" s="3373"/>
      <c r="G44" s="3373">
        <v>0</v>
      </c>
      <c r="H44" s="3370"/>
      <c r="I44" s="3370">
        <f t="shared" si="0"/>
        <v>0</v>
      </c>
      <c r="J44" s="3366"/>
    </row>
    <row r="45" spans="1:15">
      <c r="A45" s="1872" t="s">
        <v>1241</v>
      </c>
      <c r="C45" s="1875"/>
      <c r="D45" s="3376"/>
      <c r="E45" s="3370">
        <v>0</v>
      </c>
      <c r="F45" s="3373"/>
      <c r="G45" s="3373">
        <v>0</v>
      </c>
      <c r="H45" s="3370"/>
      <c r="I45" s="3370">
        <f t="shared" si="0"/>
        <v>0</v>
      </c>
      <c r="J45" s="3366"/>
    </row>
    <row r="46" spans="1:15">
      <c r="A46" s="1872" t="s">
        <v>563</v>
      </c>
      <c r="C46" s="1875"/>
      <c r="D46" s="3376"/>
      <c r="E46" s="3370">
        <v>0</v>
      </c>
      <c r="F46" s="3373"/>
      <c r="G46" s="3373">
        <v>0</v>
      </c>
      <c r="H46" s="3370"/>
      <c r="I46" s="3370">
        <f t="shared" si="0"/>
        <v>0</v>
      </c>
      <c r="J46" s="3366"/>
    </row>
    <row r="47" spans="1:15">
      <c r="A47" s="1872" t="s">
        <v>564</v>
      </c>
      <c r="C47" s="1875"/>
      <c r="D47" s="3376"/>
      <c r="E47" s="3370">
        <v>0</v>
      </c>
      <c r="F47" s="3373"/>
      <c r="G47" s="3373">
        <v>0</v>
      </c>
      <c r="H47" s="3370"/>
      <c r="I47" s="3370">
        <f t="shared" si="0"/>
        <v>0</v>
      </c>
      <c r="J47" s="3366"/>
    </row>
    <row r="48" spans="1:15">
      <c r="A48" s="1872" t="s">
        <v>1242</v>
      </c>
      <c r="C48" s="1875"/>
      <c r="D48" s="3376"/>
      <c r="E48" s="3370">
        <v>0</v>
      </c>
      <c r="F48" s="3373"/>
      <c r="G48" s="3373">
        <v>0</v>
      </c>
      <c r="H48" s="3370"/>
      <c r="I48" s="3370">
        <f t="shared" si="0"/>
        <v>0</v>
      </c>
      <c r="J48" s="3366"/>
    </row>
    <row r="49" spans="1:10">
      <c r="A49" s="1872" t="s">
        <v>565</v>
      </c>
      <c r="C49" s="1875"/>
      <c r="D49" s="3376"/>
      <c r="E49" s="3370">
        <v>0</v>
      </c>
      <c r="F49" s="3373"/>
      <c r="G49" s="3373">
        <v>0</v>
      </c>
      <c r="H49" s="3370"/>
      <c r="I49" s="3370">
        <f t="shared" si="0"/>
        <v>0</v>
      </c>
      <c r="J49" s="3366"/>
    </row>
    <row r="50" spans="1:10">
      <c r="A50" s="1872" t="s">
        <v>566</v>
      </c>
      <c r="C50" s="1875"/>
      <c r="D50" s="3376"/>
      <c r="E50" s="3381">
        <v>302210</v>
      </c>
      <c r="F50" s="3373"/>
      <c r="G50" s="3373">
        <v>405756</v>
      </c>
      <c r="H50" s="3381"/>
      <c r="I50" s="3370">
        <f t="shared" si="0"/>
        <v>707966</v>
      </c>
      <c r="J50" s="3366"/>
    </row>
    <row r="51" spans="1:10">
      <c r="A51" s="1872" t="s">
        <v>567</v>
      </c>
      <c r="C51" s="1875"/>
      <c r="D51" s="3376"/>
      <c r="E51" s="3381">
        <v>0</v>
      </c>
      <c r="F51" s="3373"/>
      <c r="G51" s="3373">
        <f>202728+172065</f>
        <v>374793</v>
      </c>
      <c r="H51" s="3381"/>
      <c r="I51" s="3370">
        <f t="shared" si="0"/>
        <v>374793</v>
      </c>
      <c r="J51" s="3366"/>
    </row>
    <row r="52" spans="1:10">
      <c r="A52" s="1872" t="s">
        <v>568</v>
      </c>
      <c r="C52" s="1875"/>
      <c r="D52" s="3376"/>
      <c r="E52" s="3370">
        <v>0</v>
      </c>
      <c r="F52" s="3373"/>
      <c r="G52" s="3373">
        <v>0</v>
      </c>
      <c r="H52" s="3370"/>
      <c r="I52" s="3370">
        <f t="shared" si="0"/>
        <v>0</v>
      </c>
      <c r="J52" s="3366"/>
    </row>
    <row r="53" spans="1:10">
      <c r="A53" s="1872" t="s">
        <v>1246</v>
      </c>
      <c r="C53" s="1875"/>
      <c r="D53" s="3376"/>
      <c r="E53" s="3381">
        <v>0</v>
      </c>
      <c r="F53" s="3373"/>
      <c r="G53" s="3373">
        <v>0</v>
      </c>
      <c r="H53" s="3381"/>
      <c r="I53" s="3370">
        <f t="shared" si="0"/>
        <v>0</v>
      </c>
      <c r="J53" s="3366"/>
    </row>
    <row r="54" spans="1:10">
      <c r="A54" s="1872" t="s">
        <v>1480</v>
      </c>
      <c r="C54" s="1875"/>
      <c r="D54" s="3376"/>
      <c r="E54" s="3381">
        <v>226371</v>
      </c>
      <c r="F54" s="3373"/>
      <c r="G54" s="3373">
        <v>0</v>
      </c>
      <c r="H54" s="3381"/>
      <c r="I54" s="3370">
        <f t="shared" si="0"/>
        <v>226371</v>
      </c>
      <c r="J54" s="3366"/>
    </row>
    <row r="55" spans="1:10">
      <c r="A55" s="1872" t="s">
        <v>569</v>
      </c>
      <c r="C55" s="1875"/>
      <c r="D55" s="3376"/>
      <c r="E55" s="3370">
        <v>0</v>
      </c>
      <c r="F55" s="3373"/>
      <c r="G55" s="3373">
        <v>0</v>
      </c>
      <c r="H55" s="3370"/>
      <c r="I55" s="3370">
        <f t="shared" si="0"/>
        <v>0</v>
      </c>
      <c r="J55" s="3366"/>
    </row>
    <row r="56" spans="1:10">
      <c r="A56" s="1872" t="s">
        <v>570</v>
      </c>
      <c r="C56" s="1875"/>
      <c r="D56" s="3376"/>
      <c r="E56" s="3370">
        <v>0</v>
      </c>
      <c r="F56" s="3373"/>
      <c r="G56" s="3373">
        <v>0</v>
      </c>
      <c r="H56" s="3370"/>
      <c r="I56" s="3370">
        <f t="shared" si="0"/>
        <v>0</v>
      </c>
      <c r="J56" s="3366"/>
    </row>
    <row r="57" spans="1:10">
      <c r="A57" s="1872" t="s">
        <v>571</v>
      </c>
      <c r="C57" s="1875"/>
      <c r="D57" s="3376"/>
      <c r="E57" s="3381">
        <v>0</v>
      </c>
      <c r="F57" s="3373"/>
      <c r="G57" s="3373">
        <v>335104</v>
      </c>
      <c r="H57" s="3381"/>
      <c r="I57" s="3370">
        <f t="shared" si="0"/>
        <v>335104</v>
      </c>
      <c r="J57" s="3366"/>
    </row>
    <row r="58" spans="1:10">
      <c r="A58" s="1872" t="s">
        <v>572</v>
      </c>
      <c r="C58" s="1875"/>
      <c r="D58" s="3376"/>
      <c r="E58" s="3381">
        <v>0</v>
      </c>
      <c r="F58" s="3373"/>
      <c r="G58" s="3373">
        <v>200000</v>
      </c>
      <c r="H58" s="3381"/>
      <c r="I58" s="3370">
        <f t="shared" si="0"/>
        <v>200000</v>
      </c>
      <c r="J58" s="3366"/>
    </row>
    <row r="59" spans="1:10">
      <c r="A59" s="1872" t="s">
        <v>573</v>
      </c>
      <c r="C59" s="1875"/>
      <c r="D59" s="3376"/>
      <c r="E59" s="3370">
        <v>0</v>
      </c>
      <c r="F59" s="3373"/>
      <c r="G59" s="3373">
        <v>0</v>
      </c>
      <c r="H59" s="3370"/>
      <c r="I59" s="3370">
        <f t="shared" si="0"/>
        <v>0</v>
      </c>
      <c r="J59" s="3366"/>
    </row>
    <row r="60" spans="1:10">
      <c r="A60" s="1872" t="s">
        <v>574</v>
      </c>
      <c r="C60" s="1875"/>
      <c r="D60" s="3376"/>
      <c r="E60" s="3370">
        <v>0</v>
      </c>
      <c r="F60" s="3373"/>
      <c r="G60" s="3373">
        <v>0</v>
      </c>
      <c r="H60" s="3370"/>
      <c r="I60" s="3370">
        <f t="shared" si="0"/>
        <v>0</v>
      </c>
      <c r="J60" s="3366"/>
    </row>
    <row r="61" spans="1:10">
      <c r="A61" s="1872" t="s">
        <v>575</v>
      </c>
      <c r="C61" s="1875"/>
      <c r="D61" s="3376"/>
      <c r="E61" s="3370">
        <v>187751</v>
      </c>
      <c r="F61" s="3373"/>
      <c r="G61" s="3373">
        <v>0</v>
      </c>
      <c r="H61" s="3370"/>
      <c r="I61" s="3370">
        <f t="shared" si="0"/>
        <v>187751</v>
      </c>
      <c r="J61" s="3366"/>
    </row>
    <row r="62" spans="1:10">
      <c r="A62" s="1872" t="s">
        <v>576</v>
      </c>
      <c r="C62" s="1875"/>
      <c r="D62" s="3376"/>
      <c r="E62" s="3370">
        <v>0</v>
      </c>
      <c r="F62" s="3373"/>
      <c r="G62" s="3373">
        <v>0</v>
      </c>
      <c r="H62" s="3370"/>
      <c r="I62" s="3370">
        <f t="shared" si="0"/>
        <v>0</v>
      </c>
      <c r="J62" s="3366"/>
    </row>
    <row r="63" spans="1:10">
      <c r="A63" s="1872" t="s">
        <v>577</v>
      </c>
      <c r="C63" s="1875"/>
      <c r="D63" s="3376"/>
      <c r="E63" s="3370">
        <v>0</v>
      </c>
      <c r="F63" s="3373"/>
      <c r="G63" s="3373">
        <v>0</v>
      </c>
      <c r="H63" s="3370"/>
      <c r="I63" s="3370">
        <f t="shared" si="0"/>
        <v>0</v>
      </c>
      <c r="J63" s="3366"/>
    </row>
    <row r="64" spans="1:10">
      <c r="A64" s="1872" t="s">
        <v>578</v>
      </c>
      <c r="C64" s="1875"/>
      <c r="D64" s="3376"/>
      <c r="E64" s="3381">
        <v>0</v>
      </c>
      <c r="F64" s="3373"/>
      <c r="G64" s="3373">
        <v>0</v>
      </c>
      <c r="H64" s="3381"/>
      <c r="I64" s="3370">
        <f t="shared" si="0"/>
        <v>0</v>
      </c>
      <c r="J64" s="3366"/>
    </row>
    <row r="65" spans="1:10">
      <c r="A65" s="1872" t="s">
        <v>579</v>
      </c>
      <c r="C65" s="1875"/>
      <c r="D65" s="3376"/>
      <c r="E65" s="3381">
        <v>145107</v>
      </c>
      <c r="F65" s="3373"/>
      <c r="G65" s="3373">
        <v>803403</v>
      </c>
      <c r="H65" s="3381"/>
      <c r="I65" s="3370">
        <f t="shared" si="0"/>
        <v>948510</v>
      </c>
      <c r="J65" s="3366"/>
    </row>
    <row r="66" spans="1:10">
      <c r="A66" s="1872" t="s">
        <v>580</v>
      </c>
      <c r="C66" s="1875"/>
      <c r="D66" s="3376"/>
      <c r="E66" s="3370">
        <v>0</v>
      </c>
      <c r="F66" s="3373"/>
      <c r="G66" s="3373">
        <v>0</v>
      </c>
      <c r="H66" s="3370"/>
      <c r="I66" s="3370">
        <f t="shared" si="0"/>
        <v>0</v>
      </c>
      <c r="J66" s="3366"/>
    </row>
    <row r="67" spans="1:10">
      <c r="A67" s="1872" t="s">
        <v>581</v>
      </c>
      <c r="C67" s="1875"/>
      <c r="D67" s="3376"/>
      <c r="E67" s="3370">
        <v>0</v>
      </c>
      <c r="F67" s="3373"/>
      <c r="G67" s="3373">
        <v>0</v>
      </c>
      <c r="H67" s="3370"/>
      <c r="I67" s="3370">
        <f t="shared" si="0"/>
        <v>0</v>
      </c>
      <c r="J67" s="3366"/>
    </row>
    <row r="68" spans="1:10">
      <c r="A68" s="1872" t="s">
        <v>582</v>
      </c>
      <c r="C68" s="1875"/>
      <c r="D68" s="3376"/>
      <c r="E68" s="3370">
        <v>0</v>
      </c>
      <c r="F68" s="3373"/>
      <c r="G68" s="3373">
        <v>0</v>
      </c>
      <c r="H68" s="3370"/>
      <c r="I68" s="3370">
        <f t="shared" si="0"/>
        <v>0</v>
      </c>
      <c r="J68" s="3366"/>
    </row>
    <row r="69" spans="1:10">
      <c r="A69" s="1872" t="s">
        <v>1142</v>
      </c>
      <c r="C69" s="1875"/>
      <c r="D69" s="3376"/>
      <c r="E69" s="3370">
        <v>0</v>
      </c>
      <c r="F69" s="3373"/>
      <c r="G69" s="3373">
        <v>0</v>
      </c>
      <c r="H69" s="3370"/>
      <c r="I69" s="3370">
        <f t="shared" si="0"/>
        <v>0</v>
      </c>
      <c r="J69" s="3366"/>
    </row>
    <row r="70" spans="1:10">
      <c r="A70" s="3363" t="s">
        <v>583</v>
      </c>
      <c r="B70" s="3284"/>
      <c r="C70" s="3484">
        <v>26412176000</v>
      </c>
      <c r="D70" s="3385"/>
      <c r="E70" s="3373"/>
      <c r="F70" s="3386"/>
      <c r="G70" s="3373"/>
      <c r="H70" s="3373"/>
      <c r="I70" s="3370"/>
      <c r="J70" s="3387"/>
    </row>
    <row r="71" spans="1:10">
      <c r="A71" s="1872" t="s">
        <v>1243</v>
      </c>
      <c r="B71" s="3283"/>
      <c r="C71" s="3485"/>
      <c r="D71" s="3376"/>
      <c r="E71" s="3370">
        <v>0</v>
      </c>
      <c r="F71" s="3371"/>
      <c r="G71" s="3371">
        <v>0</v>
      </c>
      <c r="H71" s="3370"/>
      <c r="I71" s="3370">
        <f t="shared" si="0"/>
        <v>0</v>
      </c>
      <c r="J71" s="3387"/>
    </row>
    <row r="72" spans="1:10">
      <c r="A72" s="1872" t="s">
        <v>584</v>
      </c>
      <c r="B72" s="3283"/>
      <c r="C72" s="3485"/>
      <c r="D72" s="3388"/>
      <c r="E72" s="3370">
        <v>0</v>
      </c>
      <c r="F72" s="3371"/>
      <c r="G72" s="3371">
        <v>0</v>
      </c>
      <c r="H72" s="3370"/>
      <c r="I72" s="3370">
        <f t="shared" si="0"/>
        <v>0</v>
      </c>
      <c r="J72" s="3366"/>
    </row>
    <row r="73" spans="1:10">
      <c r="A73" s="1872" t="s">
        <v>585</v>
      </c>
      <c r="B73" s="3283"/>
      <c r="C73" s="3485"/>
      <c r="D73" s="3388"/>
      <c r="E73" s="3370">
        <v>0</v>
      </c>
      <c r="F73" s="3371"/>
      <c r="G73" s="3371">
        <v>0</v>
      </c>
      <c r="H73" s="3370"/>
      <c r="I73" s="3370">
        <f t="shared" si="0"/>
        <v>0</v>
      </c>
      <c r="J73" s="3366"/>
    </row>
    <row r="74" spans="1:10">
      <c r="A74" s="1872" t="s">
        <v>586</v>
      </c>
      <c r="B74" s="3389"/>
      <c r="C74" s="3485"/>
      <c r="D74" s="3388"/>
      <c r="E74" s="3370">
        <v>0</v>
      </c>
      <c r="F74" s="3371"/>
      <c r="G74" s="3371">
        <v>0</v>
      </c>
      <c r="H74" s="3370"/>
      <c r="I74" s="3370">
        <f t="shared" si="0"/>
        <v>0</v>
      </c>
      <c r="J74" s="3366"/>
    </row>
    <row r="75" spans="1:10">
      <c r="A75" s="3390" t="s">
        <v>587</v>
      </c>
      <c r="B75" s="3391"/>
      <c r="C75" s="3485"/>
      <c r="D75" s="3388"/>
      <c r="E75" s="3370">
        <v>0</v>
      </c>
      <c r="F75" s="3371"/>
      <c r="G75" s="3371">
        <v>0</v>
      </c>
      <c r="H75" s="3370"/>
      <c r="I75" s="3370">
        <f t="shared" si="0"/>
        <v>0</v>
      </c>
      <c r="J75" s="3366"/>
    </row>
    <row r="76" spans="1:10">
      <c r="A76" s="1872" t="s">
        <v>588</v>
      </c>
      <c r="B76" s="3283"/>
      <c r="C76" s="3485"/>
      <c r="D76" s="3376"/>
      <c r="E76" s="3370">
        <v>0</v>
      </c>
      <c r="F76" s="3373"/>
      <c r="G76" s="3373">
        <v>0</v>
      </c>
      <c r="H76" s="3370"/>
      <c r="I76" s="3370">
        <f t="shared" ref="I76:I93" si="1">ROUND(SUM(E76)+G76,0)</f>
        <v>0</v>
      </c>
      <c r="J76" s="3366"/>
    </row>
    <row r="77" spans="1:10">
      <c r="A77" s="1876" t="s">
        <v>589</v>
      </c>
      <c r="B77" s="3392"/>
      <c r="C77" s="3485"/>
      <c r="D77" s="3393"/>
      <c r="E77" s="3373">
        <v>89790790</v>
      </c>
      <c r="F77" s="3371"/>
      <c r="G77" s="3371">
        <v>66086034</v>
      </c>
      <c r="H77" s="3373"/>
      <c r="I77" s="3370">
        <f t="shared" si="1"/>
        <v>155876824</v>
      </c>
      <c r="J77" s="3366"/>
    </row>
    <row r="78" spans="1:10">
      <c r="A78" s="1872" t="s">
        <v>590</v>
      </c>
      <c r="B78" s="3394"/>
      <c r="C78" s="3485"/>
      <c r="D78" s="3368"/>
      <c r="E78" s="3370">
        <v>240000000</v>
      </c>
      <c r="F78" s="3371"/>
      <c r="G78" s="3371">
        <v>244944000</v>
      </c>
      <c r="H78" s="3370"/>
      <c r="I78" s="3370">
        <f t="shared" si="1"/>
        <v>484944000</v>
      </c>
      <c r="J78" s="3366"/>
    </row>
    <row r="79" spans="1:10">
      <c r="A79" s="1872" t="s">
        <v>591</v>
      </c>
      <c r="B79" s="3395"/>
      <c r="C79" s="3485"/>
      <c r="D79" s="3396"/>
      <c r="E79" s="3370">
        <v>0</v>
      </c>
      <c r="F79" s="3371"/>
      <c r="G79" s="3371">
        <v>0</v>
      </c>
      <c r="H79" s="3370"/>
      <c r="I79" s="3370">
        <f t="shared" si="1"/>
        <v>0</v>
      </c>
      <c r="J79" s="3366"/>
    </row>
    <row r="80" spans="1:10">
      <c r="A80" s="1872" t="s">
        <v>592</v>
      </c>
      <c r="B80" s="3395"/>
      <c r="C80" s="3485"/>
      <c r="D80" s="3396"/>
      <c r="E80" s="3370">
        <v>0</v>
      </c>
      <c r="F80" s="3371"/>
      <c r="G80" s="3371">
        <v>0</v>
      </c>
      <c r="H80" s="3370"/>
      <c r="I80" s="3370">
        <f t="shared" si="1"/>
        <v>0</v>
      </c>
      <c r="J80" s="3366"/>
    </row>
    <row r="81" spans="1:15">
      <c r="A81" s="1872" t="s">
        <v>593</v>
      </c>
      <c r="B81" s="3395"/>
      <c r="C81" s="3485"/>
      <c r="D81" s="3396"/>
      <c r="E81" s="3370">
        <v>0</v>
      </c>
      <c r="F81" s="3371"/>
      <c r="G81" s="3371">
        <v>0</v>
      </c>
      <c r="H81" s="3370"/>
      <c r="I81" s="3370">
        <f t="shared" si="1"/>
        <v>0</v>
      </c>
      <c r="J81" s="3366"/>
    </row>
    <row r="82" spans="1:15">
      <c r="A82" s="1872" t="s">
        <v>1144</v>
      </c>
      <c r="B82" s="3395"/>
      <c r="C82" s="3485"/>
      <c r="D82" s="3396"/>
      <c r="E82" s="3370">
        <v>0</v>
      </c>
      <c r="F82" s="3371"/>
      <c r="G82" s="3371">
        <v>0</v>
      </c>
      <c r="H82" s="3370"/>
      <c r="I82" s="3370">
        <f t="shared" si="1"/>
        <v>0</v>
      </c>
      <c r="J82" s="3366"/>
    </row>
    <row r="83" spans="1:15">
      <c r="A83" s="1872" t="s">
        <v>1143</v>
      </c>
      <c r="B83" s="3395"/>
      <c r="C83" s="3485"/>
      <c r="D83" s="3396"/>
      <c r="E83" s="3370">
        <v>0</v>
      </c>
      <c r="F83" s="3371"/>
      <c r="G83" s="3371">
        <v>0</v>
      </c>
      <c r="H83" s="3370"/>
      <c r="I83" s="3370">
        <f t="shared" si="1"/>
        <v>0</v>
      </c>
      <c r="J83" s="3366"/>
    </row>
    <row r="84" spans="1:15">
      <c r="A84" s="1872" t="s">
        <v>594</v>
      </c>
      <c r="B84" s="3395"/>
      <c r="C84" s="3485"/>
      <c r="D84" s="3396"/>
      <c r="E84" s="3370">
        <v>0</v>
      </c>
      <c r="F84" s="3371"/>
      <c r="G84" s="3371">
        <v>0</v>
      </c>
      <c r="H84" s="3370"/>
      <c r="I84" s="3370">
        <f t="shared" si="1"/>
        <v>0</v>
      </c>
      <c r="J84" s="3366"/>
    </row>
    <row r="85" spans="1:15">
      <c r="A85" s="3363" t="s">
        <v>595</v>
      </c>
      <c r="B85" s="3397"/>
      <c r="C85" s="3484">
        <v>9664200</v>
      </c>
      <c r="D85" s="3398"/>
      <c r="E85" s="3370"/>
      <c r="F85" s="3373"/>
      <c r="G85" s="3373"/>
      <c r="H85" s="3370"/>
      <c r="I85" s="3370"/>
      <c r="J85" s="3366"/>
    </row>
    <row r="86" spans="1:15">
      <c r="A86" s="1872" t="s">
        <v>596</v>
      </c>
      <c r="B86" s="3399"/>
      <c r="C86" s="3485"/>
      <c r="D86" s="3398"/>
      <c r="E86" s="3370">
        <v>247580</v>
      </c>
      <c r="F86" s="3373"/>
      <c r="G86" s="3373">
        <v>199439</v>
      </c>
      <c r="H86" s="3370"/>
      <c r="I86" s="3370">
        <f t="shared" si="1"/>
        <v>447019</v>
      </c>
      <c r="J86" s="3366"/>
    </row>
    <row r="87" spans="1:15">
      <c r="A87" s="3363" t="s">
        <v>597</v>
      </c>
      <c r="B87" s="3400"/>
      <c r="C87" s="3484">
        <v>47052200</v>
      </c>
      <c r="D87" s="3376"/>
      <c r="E87" s="3370"/>
      <c r="F87" s="3401"/>
      <c r="G87" s="3401"/>
      <c r="H87" s="3370"/>
      <c r="I87" s="3370"/>
      <c r="J87" s="3366"/>
    </row>
    <row r="88" spans="1:15">
      <c r="A88" s="1872" t="s">
        <v>598</v>
      </c>
      <c r="B88" s="3402"/>
      <c r="C88" s="3485"/>
      <c r="D88" s="3376"/>
      <c r="E88" s="3373">
        <v>1448271</v>
      </c>
      <c r="F88" s="3401"/>
      <c r="G88" s="3401">
        <v>906576</v>
      </c>
      <c r="H88" s="3373"/>
      <c r="I88" s="3370">
        <f t="shared" si="1"/>
        <v>2354847</v>
      </c>
      <c r="J88" s="3366"/>
    </row>
    <row r="89" spans="1:15">
      <c r="A89" s="3363" t="s">
        <v>599</v>
      </c>
      <c r="B89" s="3403"/>
      <c r="C89" s="3484">
        <v>8582001</v>
      </c>
      <c r="D89" s="3404"/>
      <c r="E89" s="3370"/>
      <c r="F89" s="3371"/>
      <c r="G89" s="3371"/>
      <c r="H89" s="3370"/>
      <c r="I89" s="3370"/>
      <c r="J89" s="3366"/>
    </row>
    <row r="90" spans="1:15">
      <c r="A90" s="1872" t="s">
        <v>600</v>
      </c>
      <c r="B90" s="3405"/>
      <c r="C90" s="1158"/>
      <c r="D90" s="3404"/>
      <c r="E90" s="3370">
        <v>0</v>
      </c>
      <c r="F90" s="3371"/>
      <c r="G90" s="3371">
        <v>0</v>
      </c>
      <c r="H90" s="3370"/>
      <c r="I90" s="3370">
        <f t="shared" si="1"/>
        <v>0</v>
      </c>
      <c r="J90" s="3366"/>
    </row>
    <row r="91" spans="1:15">
      <c r="A91" s="1872" t="s">
        <v>601</v>
      </c>
      <c r="B91" s="3405"/>
      <c r="C91" s="1158"/>
      <c r="D91" s="3404"/>
      <c r="E91" s="3370">
        <v>0</v>
      </c>
      <c r="F91" s="3371"/>
      <c r="G91" s="3371">
        <v>0</v>
      </c>
      <c r="H91" s="3370"/>
      <c r="I91" s="3370">
        <f t="shared" si="1"/>
        <v>0</v>
      </c>
      <c r="J91" s="3366"/>
    </row>
    <row r="92" spans="1:15">
      <c r="A92" s="1872" t="s">
        <v>602</v>
      </c>
      <c r="B92" s="3405"/>
      <c r="C92" s="1889"/>
      <c r="D92" s="3404"/>
      <c r="E92" s="3370">
        <v>0</v>
      </c>
      <c r="F92" s="3371"/>
      <c r="G92" s="3371">
        <v>0</v>
      </c>
      <c r="H92" s="3370"/>
      <c r="I92" s="3370">
        <f t="shared" si="1"/>
        <v>0</v>
      </c>
      <c r="J92" s="3366"/>
    </row>
    <row r="93" spans="1:15">
      <c r="A93" s="1872" t="s">
        <v>603</v>
      </c>
      <c r="B93" s="1876"/>
      <c r="C93" s="1889"/>
      <c r="D93" s="3388"/>
      <c r="E93" s="3370">
        <v>0</v>
      </c>
      <c r="F93" s="3371"/>
      <c r="G93" s="3371">
        <v>0</v>
      </c>
      <c r="H93" s="3370"/>
      <c r="I93" s="3370">
        <f t="shared" si="1"/>
        <v>0</v>
      </c>
      <c r="J93" s="3366"/>
    </row>
    <row r="94" spans="1:15">
      <c r="A94" s="3406" t="s">
        <v>58</v>
      </c>
      <c r="B94" s="3407"/>
      <c r="C94" s="3408">
        <f>ROUND(SUM(C9:C93),0)</f>
        <v>29786173967</v>
      </c>
      <c r="D94" s="3409"/>
      <c r="E94" s="3410">
        <f t="shared" ref="E94" si="2">ROUND(SUM(E9:E93),0)</f>
        <v>357692419</v>
      </c>
      <c r="F94" s="3410"/>
      <c r="G94" s="3410">
        <f t="shared" ref="G94" si="3">ROUND(SUM(G9:G93),0)</f>
        <v>350976990</v>
      </c>
      <c r="H94" s="3410"/>
      <c r="I94" s="3410">
        <f>ROUND(SUM(I9:I93),0)</f>
        <v>708669409</v>
      </c>
      <c r="J94" s="1875"/>
    </row>
    <row r="95" spans="1:15" s="1889" customFormat="1" ht="25.5">
      <c r="A95" s="3411" t="s">
        <v>604</v>
      </c>
      <c r="B95" s="3412"/>
      <c r="C95" s="3413">
        <v>89000</v>
      </c>
      <c r="D95" s="3414"/>
      <c r="E95" s="3401"/>
      <c r="F95" s="3401"/>
      <c r="G95" s="3401"/>
      <c r="H95" s="3401"/>
      <c r="I95" s="3415"/>
      <c r="J95" s="1875"/>
      <c r="K95" s="1158"/>
      <c r="L95" s="1158"/>
      <c r="M95" s="2553"/>
      <c r="N95" s="2553"/>
      <c r="O95" s="1158"/>
    </row>
    <row r="96" spans="1:15" s="1889" customFormat="1">
      <c r="A96" s="3416" t="s">
        <v>605</v>
      </c>
      <c r="B96" s="3412"/>
      <c r="C96" s="3417"/>
      <c r="D96" s="3414"/>
      <c r="E96" s="3370">
        <v>-678910</v>
      </c>
      <c r="F96" s="3413"/>
      <c r="G96" s="3370">
        <v>-741607</v>
      </c>
      <c r="H96" s="3370"/>
      <c r="I96" s="3418">
        <f>ROUND(SUM(E96)+G96,0)</f>
        <v>-1420517</v>
      </c>
      <c r="J96" s="1875"/>
      <c r="K96" s="1158"/>
      <c r="L96" s="1158"/>
      <c r="M96" s="2553"/>
      <c r="N96" s="2553"/>
      <c r="O96" s="1158"/>
    </row>
    <row r="97" spans="1:15" s="1889" customFormat="1">
      <c r="A97" s="3416" t="s">
        <v>1527</v>
      </c>
      <c r="B97" s="3412"/>
      <c r="C97" s="3417"/>
      <c r="D97" s="3414"/>
      <c r="E97" s="3370"/>
      <c r="F97" s="3413"/>
      <c r="G97" s="3370"/>
      <c r="H97" s="3370"/>
      <c r="I97" s="3418"/>
      <c r="J97" s="1875"/>
      <c r="K97" s="1158"/>
      <c r="L97" s="1158"/>
      <c r="M97" s="2553"/>
      <c r="N97" s="2553"/>
      <c r="O97" s="1158"/>
    </row>
    <row r="98" spans="1:15" s="1889" customFormat="1">
      <c r="A98" s="3416" t="s">
        <v>606</v>
      </c>
      <c r="B98" s="3419"/>
      <c r="C98" s="3413"/>
      <c r="D98" s="3420"/>
      <c r="E98" s="3357">
        <v>-245</v>
      </c>
      <c r="F98" s="3413"/>
      <c r="G98" s="3357">
        <v>-17</v>
      </c>
      <c r="H98" s="3357"/>
      <c r="I98" s="3418">
        <f>ROUND(SUM(E98)+G98,0)</f>
        <v>-262</v>
      </c>
      <c r="J98" s="1875"/>
      <c r="K98" s="1158"/>
      <c r="L98" s="1158"/>
      <c r="M98" s="2553"/>
      <c r="N98" s="2553"/>
      <c r="O98" s="1158"/>
    </row>
    <row r="99" spans="1:15" s="1889" customFormat="1" ht="13.5" thickBot="1">
      <c r="A99" s="3406" t="s">
        <v>607</v>
      </c>
      <c r="B99" s="3284"/>
      <c r="C99" s="3421">
        <f>ROUND(SUM(C94:C98),0)</f>
        <v>29786262967</v>
      </c>
      <c r="D99" s="3422"/>
      <c r="E99" s="3423">
        <f t="shared" ref="E99" si="4">ROUND(SUM(E94:E98),0)</f>
        <v>357013264</v>
      </c>
      <c r="F99" s="3424"/>
      <c r="G99" s="3423">
        <f t="shared" ref="G99" si="5">ROUND(SUM(G94:G98),0)</f>
        <v>350235366</v>
      </c>
      <c r="H99" s="3424"/>
      <c r="I99" s="3423">
        <f>ROUND(SUM(I94:I98),0)</f>
        <v>707248630</v>
      </c>
      <c r="J99" s="1875"/>
      <c r="K99" s="1158"/>
      <c r="L99" s="1158"/>
      <c r="M99" s="2553"/>
      <c r="N99" s="2553"/>
      <c r="O99" s="1158"/>
    </row>
    <row r="100" spans="1:15" ht="13.5" thickTop="1">
      <c r="A100" s="3425"/>
      <c r="B100" s="3285"/>
      <c r="C100" s="3426"/>
      <c r="D100" s="1877"/>
      <c r="E100" s="3427"/>
      <c r="F100" s="3427"/>
      <c r="G100" s="3427"/>
      <c r="H100" s="3427"/>
      <c r="I100" s="3428"/>
      <c r="J100" s="1875"/>
    </row>
    <row r="101" spans="1:15">
      <c r="A101" s="3429" t="s">
        <v>1578</v>
      </c>
      <c r="B101" s="3285"/>
      <c r="C101" s="3285"/>
      <c r="D101" s="1877"/>
      <c r="E101" s="3427"/>
      <c r="F101" s="3427"/>
      <c r="G101" s="3427"/>
      <c r="H101" s="3427"/>
      <c r="I101" s="3428"/>
      <c r="J101" s="1875"/>
    </row>
    <row r="102" spans="1:15">
      <c r="A102" s="3429" t="s">
        <v>1230</v>
      </c>
      <c r="B102" s="3285"/>
      <c r="C102" s="3285"/>
      <c r="D102" s="1877"/>
      <c r="E102" s="3427"/>
      <c r="F102" s="3427"/>
      <c r="G102" s="3427"/>
      <c r="H102" s="3427"/>
      <c r="I102" s="3428"/>
      <c r="J102" s="1875"/>
    </row>
    <row r="103" spans="1:15">
      <c r="A103" s="3430" t="s">
        <v>1192</v>
      </c>
      <c r="B103" s="3431"/>
      <c r="C103" s="3432"/>
      <c r="D103" s="1875"/>
      <c r="E103" s="3427"/>
      <c r="F103" s="3427"/>
      <c r="G103" s="3427"/>
      <c r="H103" s="3427"/>
      <c r="I103" s="3433"/>
      <c r="J103" s="1875"/>
    </row>
    <row r="104" spans="1:15">
      <c r="A104" s="3434" t="s">
        <v>1193</v>
      </c>
      <c r="B104" s="1877"/>
      <c r="C104" s="1877"/>
      <c r="D104" s="3405"/>
      <c r="E104" s="3282"/>
      <c r="F104" s="3282"/>
      <c r="G104" s="3282"/>
      <c r="H104" s="3282"/>
      <c r="I104" s="2904"/>
    </row>
    <row r="105" spans="1:15">
      <c r="A105" s="3434" t="s">
        <v>1194</v>
      </c>
      <c r="B105" s="1880"/>
      <c r="C105" s="3435"/>
      <c r="D105" s="1881"/>
      <c r="E105" s="3282"/>
      <c r="F105" s="3282"/>
      <c r="G105" s="3282"/>
      <c r="H105" s="3282"/>
      <c r="I105" s="3418"/>
    </row>
    <row r="106" spans="1:15">
      <c r="B106" s="1880"/>
      <c r="C106" s="1882"/>
      <c r="D106" s="1881"/>
      <c r="E106" s="1878"/>
      <c r="F106" s="1878"/>
      <c r="G106" s="3436"/>
    </row>
    <row r="107" spans="1:15">
      <c r="B107" s="1890"/>
      <c r="C107" s="1891"/>
      <c r="D107" s="1892"/>
      <c r="E107" s="1892"/>
      <c r="F107" s="1892"/>
      <c r="G107" s="1891"/>
    </row>
    <row r="108" spans="1:15">
      <c r="B108" s="1893"/>
      <c r="C108" s="1894"/>
      <c r="D108" s="1883"/>
      <c r="E108" s="1879"/>
      <c r="F108" s="1879"/>
      <c r="G108" s="3437"/>
    </row>
    <row r="109" spans="1:15">
      <c r="B109" s="1893"/>
      <c r="C109" s="1894"/>
      <c r="D109" s="1883"/>
      <c r="E109" s="1879"/>
      <c r="F109" s="1879"/>
      <c r="G109" s="3437"/>
    </row>
    <row r="110" spans="1:15">
      <c r="A110" s="1876"/>
      <c r="B110" s="1877"/>
      <c r="C110" s="1877"/>
      <c r="I110" s="3438"/>
    </row>
    <row r="111" spans="1:15">
      <c r="A111" s="1876"/>
      <c r="B111" s="1877"/>
      <c r="C111" s="1877"/>
    </row>
    <row r="113" spans="1:6">
      <c r="A113" s="1877"/>
      <c r="B113" s="1884"/>
      <c r="C113" s="1884"/>
      <c r="D113" s="1884"/>
      <c r="E113" s="1874"/>
      <c r="F113" s="1874"/>
    </row>
    <row r="114" spans="1:6" ht="12.75" customHeight="1">
      <c r="A114" s="1877"/>
      <c r="B114" s="1884"/>
      <c r="C114" s="1884"/>
      <c r="D114" s="1884"/>
      <c r="E114" s="1874"/>
      <c r="F114" s="1874"/>
    </row>
    <row r="115" spans="1:6" ht="12.75" customHeight="1">
      <c r="A115" s="1877"/>
      <c r="B115" s="1884"/>
      <c r="C115" s="1884"/>
      <c r="D115" s="1884"/>
      <c r="E115" s="1874"/>
      <c r="F115" s="1874"/>
    </row>
    <row r="116" spans="1:6" ht="12.75" customHeight="1">
      <c r="A116" s="1877"/>
      <c r="B116" s="1884"/>
      <c r="C116" s="1884"/>
      <c r="D116" s="1884"/>
      <c r="E116" s="1874"/>
      <c r="F116" s="1874"/>
    </row>
    <row r="117" spans="1:6">
      <c r="A117" s="1877"/>
      <c r="B117" s="1884"/>
      <c r="C117" s="1884"/>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8" fitToHeight="2" orientation="landscape" useFirstPageNumber="1" r:id="rId2"/>
  <headerFooter scaleWithDoc="0" alignWithMargins="0">
    <oddFooter>&amp;C&amp;8&amp;P</oddFooter>
  </headerFooter>
  <rowBreaks count="1" manualBreakCount="1">
    <brk id="56" max="8"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12" customWidth="1"/>
    <col min="2" max="2" width="8.88671875" style="1412"/>
    <col min="3" max="3" width="2.21875" style="1412" customWidth="1"/>
    <col min="4" max="4" width="21.109375" style="1412" bestFit="1" customWidth="1"/>
    <col min="5" max="5" width="2.21875" style="1412" customWidth="1"/>
    <col min="6" max="6" width="58.6640625" style="1412" customWidth="1"/>
    <col min="7" max="7" width="2.21875" style="1412" customWidth="1"/>
    <col min="8" max="8" width="16" style="1412" customWidth="1"/>
    <col min="9" max="9" width="2.21875" style="1412" customWidth="1"/>
    <col min="10" max="10" width="18.21875" style="1412" bestFit="1" customWidth="1"/>
    <col min="11" max="11" width="8.88671875" style="1412" customWidth="1"/>
    <col min="12" max="16384" width="8.88671875" style="1412"/>
  </cols>
  <sheetData>
    <row r="1" spans="1:10">
      <c r="A1" s="1190" t="s">
        <v>1231</v>
      </c>
    </row>
    <row r="2" spans="1:10">
      <c r="A2" s="3291"/>
    </row>
    <row r="3" spans="1:10" ht="15.75">
      <c r="A3" s="3292" t="s">
        <v>0</v>
      </c>
      <c r="B3" s="3002"/>
      <c r="C3" s="3002"/>
      <c r="D3" s="3002"/>
      <c r="E3" s="3002"/>
      <c r="F3" s="3002"/>
      <c r="G3" s="3002"/>
      <c r="H3" s="3293"/>
      <c r="I3" s="3003"/>
      <c r="J3" s="3004" t="s">
        <v>608</v>
      </c>
    </row>
    <row r="4" spans="1:10" ht="15.75">
      <c r="A4" s="3294" t="s">
        <v>1609</v>
      </c>
      <c r="B4" s="3294"/>
      <c r="C4" s="3294"/>
      <c r="D4" s="3294"/>
      <c r="E4" s="3294"/>
      <c r="F4" s="3294"/>
      <c r="G4" s="3295"/>
      <c r="H4" s="3296"/>
      <c r="I4" s="3297"/>
      <c r="J4" s="3297"/>
    </row>
    <row r="5" spans="1:10" ht="15.75">
      <c r="A5" s="3294" t="s">
        <v>609</v>
      </c>
      <c r="B5" s="3294"/>
      <c r="C5" s="3294"/>
      <c r="D5" s="3294"/>
      <c r="E5" s="3294"/>
      <c r="F5" s="3294"/>
      <c r="G5" s="3295"/>
      <c r="H5" s="3298"/>
      <c r="I5" s="3297"/>
      <c r="J5" s="3297"/>
    </row>
    <row r="6" spans="1:10" s="1413" customFormat="1" ht="12">
      <c r="A6" s="3299"/>
      <c r="B6" s="3300"/>
      <c r="C6" s="3300"/>
      <c r="D6" s="3299"/>
      <c r="E6" s="3299"/>
      <c r="F6" s="3299"/>
      <c r="G6" s="3299"/>
      <c r="H6" s="3299"/>
      <c r="I6" s="3299"/>
      <c r="J6" s="3301"/>
    </row>
    <row r="7" spans="1:10" s="1413" customFormat="1" ht="12">
      <c r="A7" s="3300"/>
      <c r="B7" s="3302" t="s">
        <v>610</v>
      </c>
      <c r="C7" s="3302"/>
      <c r="D7" s="3303"/>
      <c r="E7" s="3303"/>
      <c r="F7" s="3303"/>
      <c r="G7" s="3303"/>
      <c r="H7" s="3304"/>
      <c r="I7" s="3305"/>
      <c r="J7" s="3300"/>
    </row>
    <row r="8" spans="1:10" s="1413" customFormat="1" ht="12.75" thickBot="1">
      <c r="A8" s="3300"/>
      <c r="B8" s="3306" t="s">
        <v>612</v>
      </c>
      <c r="C8" s="3307"/>
      <c r="D8" s="3308" t="s">
        <v>613</v>
      </c>
      <c r="E8" s="3309"/>
      <c r="F8" s="3308" t="s">
        <v>530</v>
      </c>
      <c r="G8" s="3309"/>
      <c r="H8" s="3310" t="s">
        <v>1610</v>
      </c>
      <c r="I8" s="3311"/>
      <c r="J8" s="3312" t="s">
        <v>611</v>
      </c>
    </row>
    <row r="9" spans="1:10" s="1413" customFormat="1" ht="12">
      <c r="A9" s="3313" t="s">
        <v>614</v>
      </c>
      <c r="B9" s="3005"/>
      <c r="C9" s="3005"/>
      <c r="D9" s="3005"/>
      <c r="E9" s="3300"/>
      <c r="F9" s="3314"/>
      <c r="G9" s="3314"/>
      <c r="H9" s="3006"/>
      <c r="I9" s="3007"/>
      <c r="J9" s="3007"/>
    </row>
    <row r="10" spans="1:10" s="1413" customFormat="1" ht="12">
      <c r="A10" s="3313"/>
      <c r="B10" s="3315">
        <v>10.579000000000001</v>
      </c>
      <c r="C10" s="3313"/>
      <c r="D10" s="3316" t="s">
        <v>615</v>
      </c>
      <c r="E10" s="3300"/>
      <c r="F10" s="3317" t="s">
        <v>616</v>
      </c>
      <c r="G10" s="3318"/>
      <c r="H10" s="3008">
        <v>0</v>
      </c>
      <c r="I10" s="3319"/>
      <c r="J10" s="3009">
        <v>5824761.2400000002</v>
      </c>
    </row>
    <row r="11" spans="1:10" s="1413" customFormat="1" ht="12">
      <c r="A11" s="3313"/>
      <c r="B11" s="3315">
        <v>11.557</v>
      </c>
      <c r="C11" s="3313"/>
      <c r="D11" s="3316" t="s">
        <v>617</v>
      </c>
      <c r="E11" s="3300"/>
      <c r="F11" s="3317" t="s">
        <v>618</v>
      </c>
      <c r="G11" s="3317"/>
      <c r="H11" s="3010">
        <v>0</v>
      </c>
      <c r="I11" s="3320"/>
      <c r="J11" s="3006">
        <v>10057886.999999998</v>
      </c>
    </row>
    <row r="12" spans="1:10" s="1413" customFormat="1" ht="12">
      <c r="A12" s="3313"/>
      <c r="B12" s="3315">
        <v>45.024999999999999</v>
      </c>
      <c r="C12" s="3313"/>
      <c r="D12" s="3316" t="s">
        <v>619</v>
      </c>
      <c r="E12" s="3300"/>
      <c r="F12" s="3317" t="s">
        <v>620</v>
      </c>
      <c r="G12" s="3317"/>
      <c r="H12" s="3010">
        <v>0</v>
      </c>
      <c r="I12" s="3320"/>
      <c r="J12" s="3006">
        <v>399900</v>
      </c>
    </row>
    <row r="13" spans="1:10" s="1413" customFormat="1" ht="12">
      <c r="A13" s="3313"/>
      <c r="B13" s="3315">
        <v>84.033000000000001</v>
      </c>
      <c r="C13" s="3313"/>
      <c r="D13" s="3316" t="s">
        <v>621</v>
      </c>
      <c r="E13" s="3300"/>
      <c r="F13" s="3317" t="s">
        <v>622</v>
      </c>
      <c r="G13" s="3317"/>
      <c r="H13" s="3010">
        <v>0</v>
      </c>
      <c r="I13" s="3320"/>
      <c r="J13" s="3006">
        <v>2102760</v>
      </c>
    </row>
    <row r="14" spans="1:10" s="1413" customFormat="1" ht="12">
      <c r="A14" s="3313"/>
      <c r="B14" s="3315">
        <v>84.063000000000002</v>
      </c>
      <c r="C14" s="3313"/>
      <c r="D14" s="3316" t="s">
        <v>621</v>
      </c>
      <c r="E14" s="3300"/>
      <c r="F14" s="3317" t="s">
        <v>623</v>
      </c>
      <c r="G14" s="3317"/>
      <c r="H14" s="3010">
        <v>0</v>
      </c>
      <c r="I14" s="3320"/>
      <c r="J14" s="3006">
        <v>147198591</v>
      </c>
    </row>
    <row r="15" spans="1:10" s="1413" customFormat="1" ht="12">
      <c r="A15" s="3313"/>
      <c r="B15" s="3315">
        <v>84.384</v>
      </c>
      <c r="C15" s="3313"/>
      <c r="D15" s="3316" t="s">
        <v>621</v>
      </c>
      <c r="E15" s="3300"/>
      <c r="F15" s="3317" t="s">
        <v>624</v>
      </c>
      <c r="G15" s="3317"/>
      <c r="H15" s="3011">
        <v>746211.82</v>
      </c>
      <c r="I15" s="3320"/>
      <c r="J15" s="3006">
        <v>19084955.82</v>
      </c>
    </row>
    <row r="16" spans="1:10" s="1413" customFormat="1" ht="12">
      <c r="A16" s="3313"/>
      <c r="B16" s="3315">
        <v>84.385000000000005</v>
      </c>
      <c r="C16" s="3313"/>
      <c r="D16" s="3316" t="s">
        <v>621</v>
      </c>
      <c r="E16" s="3300"/>
      <c r="F16" s="3317" t="s">
        <v>625</v>
      </c>
      <c r="G16" s="3317"/>
      <c r="H16" s="3011">
        <v>0</v>
      </c>
      <c r="I16" s="3320"/>
      <c r="J16" s="3006">
        <v>13530907</v>
      </c>
    </row>
    <row r="17" spans="1:10" s="1413" customFormat="1" ht="12">
      <c r="A17" s="3313"/>
      <c r="B17" s="3315">
        <v>84.385999999999996</v>
      </c>
      <c r="C17" s="3313"/>
      <c r="D17" s="3316" t="s">
        <v>621</v>
      </c>
      <c r="E17" s="3300"/>
      <c r="F17" s="3317" t="s">
        <v>626</v>
      </c>
      <c r="G17" s="3317"/>
      <c r="H17" s="3010">
        <v>0</v>
      </c>
      <c r="I17" s="3320"/>
      <c r="J17" s="3006">
        <v>53551200.24000001</v>
      </c>
    </row>
    <row r="18" spans="1:10" s="1413" customFormat="1" ht="12">
      <c r="A18" s="3313"/>
      <c r="B18" s="3315">
        <v>84.387</v>
      </c>
      <c r="C18" s="3313"/>
      <c r="D18" s="3316" t="s">
        <v>621</v>
      </c>
      <c r="E18" s="3300"/>
      <c r="F18" s="3317" t="s">
        <v>627</v>
      </c>
      <c r="G18" s="3317"/>
      <c r="H18" s="3010">
        <v>0</v>
      </c>
      <c r="I18" s="3320"/>
      <c r="J18" s="3006">
        <v>6039255</v>
      </c>
    </row>
    <row r="19" spans="1:10" s="1413" customFormat="1" ht="12">
      <c r="A19" s="3313"/>
      <c r="B19" s="3315">
        <v>84.388000000000005</v>
      </c>
      <c r="C19" s="3313"/>
      <c r="D19" s="3316" t="s">
        <v>621</v>
      </c>
      <c r="E19" s="3300"/>
      <c r="F19" s="3317" t="s">
        <v>628</v>
      </c>
      <c r="G19" s="3317"/>
      <c r="H19" s="3012">
        <v>0</v>
      </c>
      <c r="I19" s="3320"/>
      <c r="J19" s="3006">
        <v>260866068</v>
      </c>
    </row>
    <row r="20" spans="1:10" s="1413" customFormat="1" ht="12">
      <c r="A20" s="3313"/>
      <c r="B20" s="3315">
        <v>84.388999999999996</v>
      </c>
      <c r="C20" s="3313"/>
      <c r="D20" s="3316" t="s">
        <v>621</v>
      </c>
      <c r="E20" s="3300"/>
      <c r="F20" s="3317" t="s">
        <v>629</v>
      </c>
      <c r="G20" s="3317"/>
      <c r="H20" s="3010">
        <v>0</v>
      </c>
      <c r="I20" s="3320"/>
      <c r="J20" s="3006">
        <v>906803696</v>
      </c>
    </row>
    <row r="21" spans="1:10" s="1413" customFormat="1" ht="12">
      <c r="A21" s="3313"/>
      <c r="B21" s="3315">
        <v>84.39</v>
      </c>
      <c r="C21" s="3316"/>
      <c r="D21" s="3316" t="s">
        <v>621</v>
      </c>
      <c r="E21" s="3300"/>
      <c r="F21" s="3317" t="s">
        <v>630</v>
      </c>
      <c r="G21" s="3317"/>
      <c r="H21" s="3013">
        <v>0</v>
      </c>
      <c r="I21" s="3320"/>
      <c r="J21" s="3014">
        <v>25694044</v>
      </c>
    </row>
    <row r="22" spans="1:10" s="1413" customFormat="1" ht="12">
      <c r="A22" s="3313"/>
      <c r="B22" s="3315">
        <v>84.391000000000005</v>
      </c>
      <c r="C22" s="3313"/>
      <c r="D22" s="3316" t="s">
        <v>621</v>
      </c>
      <c r="E22" s="3300"/>
      <c r="F22" s="3317" t="s">
        <v>631</v>
      </c>
      <c r="G22" s="3317"/>
      <c r="H22" s="3010">
        <v>0</v>
      </c>
      <c r="I22" s="3006"/>
      <c r="J22" s="3006">
        <v>755867980.04999995</v>
      </c>
    </row>
    <row r="23" spans="1:10" s="1413" customFormat="1" ht="12">
      <c r="A23" s="3313"/>
      <c r="B23" s="3315">
        <v>84.391999999999996</v>
      </c>
      <c r="C23" s="3313"/>
      <c r="D23" s="3316" t="s">
        <v>621</v>
      </c>
      <c r="E23" s="3300"/>
      <c r="F23" s="3317" t="s">
        <v>632</v>
      </c>
      <c r="G23" s="3317"/>
      <c r="H23" s="3010">
        <v>0</v>
      </c>
      <c r="I23" s="3006"/>
      <c r="J23" s="3006">
        <v>34302395</v>
      </c>
    </row>
    <row r="24" spans="1:10" s="1413" customFormat="1" ht="12">
      <c r="A24" s="3300"/>
      <c r="B24" s="3321">
        <v>84.394000000000005</v>
      </c>
      <c r="C24" s="3322"/>
      <c r="D24" s="3322" t="s">
        <v>621</v>
      </c>
      <c r="E24" s="3322"/>
      <c r="F24" s="3323" t="s">
        <v>633</v>
      </c>
      <c r="G24" s="3323"/>
      <c r="H24" s="3010">
        <v>0</v>
      </c>
      <c r="I24" s="3324"/>
      <c r="J24" s="3015">
        <v>2468557791</v>
      </c>
    </row>
    <row r="25" spans="1:10" s="1413" customFormat="1" ht="12">
      <c r="A25" s="3300"/>
      <c r="B25" s="3315">
        <v>84.394999999999996</v>
      </c>
      <c r="C25" s="3316"/>
      <c r="D25" s="3316" t="s">
        <v>621</v>
      </c>
      <c r="E25" s="3300"/>
      <c r="F25" s="3317" t="s">
        <v>634</v>
      </c>
      <c r="G25" s="3317"/>
      <c r="H25" s="3012">
        <v>19311379.949999999</v>
      </c>
      <c r="I25" s="3325"/>
      <c r="J25" s="3006">
        <v>568343438.85000002</v>
      </c>
    </row>
    <row r="26" spans="1:10" s="1413" customFormat="1" ht="12">
      <c r="A26" s="3300"/>
      <c r="B26" s="3321">
        <v>84.397000000000006</v>
      </c>
      <c r="C26" s="3322"/>
      <c r="D26" s="3322" t="s">
        <v>621</v>
      </c>
      <c r="E26" s="3322"/>
      <c r="F26" s="3323" t="s">
        <v>635</v>
      </c>
      <c r="G26" s="3323"/>
      <c r="H26" s="3010">
        <v>0</v>
      </c>
      <c r="I26" s="3324"/>
      <c r="J26" s="3015">
        <v>527364018.81</v>
      </c>
    </row>
    <row r="27" spans="1:10" s="1413" customFormat="1" ht="12">
      <c r="A27" s="3300"/>
      <c r="B27" s="3315">
        <v>84.397999999999996</v>
      </c>
      <c r="C27" s="3316"/>
      <c r="D27" s="3316" t="s">
        <v>621</v>
      </c>
      <c r="E27" s="3300"/>
      <c r="F27" s="3317" t="s">
        <v>636</v>
      </c>
      <c r="G27" s="3317"/>
      <c r="H27" s="3010">
        <v>0</v>
      </c>
      <c r="I27" s="3325"/>
      <c r="J27" s="3006">
        <v>856884</v>
      </c>
    </row>
    <row r="28" spans="1:10" s="1413" customFormat="1" ht="12">
      <c r="A28" s="3300"/>
      <c r="B28" s="3321">
        <v>84.399000000000001</v>
      </c>
      <c r="C28" s="3322"/>
      <c r="D28" s="3322" t="s">
        <v>621</v>
      </c>
      <c r="E28" s="3322"/>
      <c r="F28" s="3323" t="s">
        <v>637</v>
      </c>
      <c r="G28" s="3323"/>
      <c r="H28" s="3010">
        <v>0</v>
      </c>
      <c r="I28" s="3324"/>
      <c r="J28" s="3015">
        <v>2297731</v>
      </c>
    </row>
    <row r="29" spans="1:10" s="1413" customFormat="1" ht="12">
      <c r="A29" s="3300"/>
      <c r="B29" s="3315">
        <v>84.41</v>
      </c>
      <c r="C29" s="3316"/>
      <c r="D29" s="3316" t="s">
        <v>621</v>
      </c>
      <c r="E29" s="3300"/>
      <c r="F29" s="3317" t="s">
        <v>638</v>
      </c>
      <c r="G29" s="3317"/>
      <c r="H29" s="3010">
        <v>0</v>
      </c>
      <c r="I29" s="3325"/>
      <c r="J29" s="3006">
        <v>616479620</v>
      </c>
    </row>
    <row r="30" spans="1:10" s="1413" customFormat="1" ht="12">
      <c r="A30" s="3300"/>
      <c r="B30" s="3315">
        <v>93.406999999999996</v>
      </c>
      <c r="C30" s="3316"/>
      <c r="D30" s="3316" t="s">
        <v>639</v>
      </c>
      <c r="E30" s="3300"/>
      <c r="F30" s="3317" t="s">
        <v>640</v>
      </c>
      <c r="G30" s="3317"/>
      <c r="H30" s="3010">
        <v>0</v>
      </c>
      <c r="I30" s="3325"/>
      <c r="J30" s="3006">
        <v>411249</v>
      </c>
    </row>
    <row r="31" spans="1:10" s="1413" customFormat="1" ht="12">
      <c r="A31" s="3300"/>
      <c r="B31" s="3321"/>
      <c r="C31" s="3300"/>
      <c r="D31" s="3300"/>
      <c r="E31" s="3300"/>
      <c r="F31" s="3326" t="s">
        <v>641</v>
      </c>
      <c r="G31" s="3326"/>
      <c r="H31" s="3016">
        <f>ROUND(SUM(H10:H30),2)</f>
        <v>20057591.77</v>
      </c>
      <c r="I31" s="3017"/>
      <c r="J31" s="3016">
        <f>ROUND(SUM(J10:J30),2)</f>
        <v>6425635133.0100002</v>
      </c>
    </row>
    <row r="32" spans="1:10" s="1413" customFormat="1" ht="12">
      <c r="A32" s="3327" t="s">
        <v>642</v>
      </c>
      <c r="B32" s="3028"/>
      <c r="C32" s="3018"/>
      <c r="D32" s="3018"/>
      <c r="E32" s="3300"/>
      <c r="F32" s="3314"/>
      <c r="G32" s="3314"/>
      <c r="H32" s="3019"/>
      <c r="I32" s="3006"/>
      <c r="J32" s="3006"/>
    </row>
    <row r="33" spans="1:10" s="1413" customFormat="1" ht="12">
      <c r="A33" s="3327"/>
      <c r="B33" s="3321">
        <v>10.086</v>
      </c>
      <c r="C33" s="3322"/>
      <c r="D33" s="3322" t="s">
        <v>615</v>
      </c>
      <c r="E33" s="3300"/>
      <c r="F33" s="3300" t="s">
        <v>643</v>
      </c>
      <c r="G33" s="3300"/>
      <c r="H33" s="3010">
        <v>0</v>
      </c>
      <c r="I33" s="3006"/>
      <c r="J33" s="3006">
        <v>7611.86</v>
      </c>
    </row>
    <row r="34" spans="1:10" s="1413" customFormat="1" ht="12">
      <c r="A34" s="3327"/>
      <c r="B34" s="3321">
        <v>10.688000000000001</v>
      </c>
      <c r="C34" s="3322"/>
      <c r="D34" s="3322" t="s">
        <v>615</v>
      </c>
      <c r="E34" s="3300"/>
      <c r="F34" s="3300" t="s">
        <v>644</v>
      </c>
      <c r="G34" s="3300"/>
      <c r="H34" s="3010">
        <v>0</v>
      </c>
      <c r="I34" s="3006"/>
      <c r="J34" s="3006">
        <v>763000</v>
      </c>
    </row>
    <row r="35" spans="1:10" s="1413" customFormat="1" ht="12">
      <c r="A35" s="3327"/>
      <c r="B35" s="3321">
        <v>66.039000000000001</v>
      </c>
      <c r="C35" s="3322"/>
      <c r="D35" s="3322" t="s">
        <v>645</v>
      </c>
      <c r="E35" s="3300"/>
      <c r="F35" s="3300" t="s">
        <v>646</v>
      </c>
      <c r="G35" s="3300"/>
      <c r="H35" s="3010">
        <v>0</v>
      </c>
      <c r="I35" s="3006"/>
      <c r="J35" s="3006">
        <v>1000000</v>
      </c>
    </row>
    <row r="36" spans="1:10" s="1413" customFormat="1" ht="12">
      <c r="A36" s="3327"/>
      <c r="B36" s="3321">
        <v>66.040000000000006</v>
      </c>
      <c r="C36" s="3322"/>
      <c r="D36" s="3322" t="s">
        <v>645</v>
      </c>
      <c r="E36" s="3300"/>
      <c r="F36" s="3300" t="s">
        <v>647</v>
      </c>
      <c r="G36" s="3300"/>
      <c r="H36" s="3010">
        <v>0</v>
      </c>
      <c r="I36" s="3006"/>
      <c r="J36" s="3006">
        <v>1635086.95</v>
      </c>
    </row>
    <row r="37" spans="1:10" s="1413" customFormat="1" ht="12">
      <c r="A37" s="3327"/>
      <c r="B37" s="3321">
        <v>66.453999999999994</v>
      </c>
      <c r="C37" s="3322"/>
      <c r="D37" s="3322" t="s">
        <v>645</v>
      </c>
      <c r="E37" s="3300"/>
      <c r="F37" s="3300" t="s">
        <v>648</v>
      </c>
      <c r="G37" s="3300"/>
      <c r="H37" s="3010">
        <v>0</v>
      </c>
      <c r="I37" s="3006"/>
      <c r="J37" s="3006">
        <v>4132731.39</v>
      </c>
    </row>
    <row r="38" spans="1:10" s="1413" customFormat="1" ht="12">
      <c r="A38" s="3300"/>
      <c r="B38" s="3321">
        <v>66.457999999999998</v>
      </c>
      <c r="C38" s="3300"/>
      <c r="D38" s="3300" t="s">
        <v>645</v>
      </c>
      <c r="E38" s="3300"/>
      <c r="F38" s="3300" t="s">
        <v>649</v>
      </c>
      <c r="G38" s="3300"/>
      <c r="H38" s="3010">
        <v>0</v>
      </c>
      <c r="I38" s="3325"/>
      <c r="J38" s="3006">
        <v>432564200</v>
      </c>
    </row>
    <row r="39" spans="1:10" s="1413" customFormat="1" ht="12">
      <c r="A39" s="3300"/>
      <c r="B39" s="3321">
        <v>66.468000000000004</v>
      </c>
      <c r="C39" s="3300"/>
      <c r="D39" s="3300" t="s">
        <v>645</v>
      </c>
      <c r="E39" s="3300"/>
      <c r="F39" s="3300" t="s">
        <v>650</v>
      </c>
      <c r="G39" s="3300"/>
      <c r="H39" s="3010">
        <v>0</v>
      </c>
      <c r="I39" s="3325"/>
      <c r="J39" s="3006">
        <v>86811000</v>
      </c>
    </row>
    <row r="40" spans="1:10" s="1413" customFormat="1" ht="12">
      <c r="A40" s="3300"/>
      <c r="B40" s="3321">
        <v>66.805000000000007</v>
      </c>
      <c r="C40" s="3300"/>
      <c r="D40" s="3300" t="s">
        <v>645</v>
      </c>
      <c r="E40" s="3300"/>
      <c r="F40" s="3300" t="s">
        <v>651</v>
      </c>
      <c r="G40" s="3300"/>
      <c r="H40" s="3011">
        <v>0</v>
      </c>
      <c r="I40" s="3325"/>
      <c r="J40" s="3006">
        <v>9212000</v>
      </c>
    </row>
    <row r="41" spans="1:10" s="1413" customFormat="1" ht="12">
      <c r="A41" s="3300"/>
      <c r="B41" s="3321">
        <v>81.042000000000002</v>
      </c>
      <c r="C41" s="3300"/>
      <c r="D41" s="3300" t="s">
        <v>652</v>
      </c>
      <c r="E41" s="3300"/>
      <c r="F41" s="3300" t="s">
        <v>653</v>
      </c>
      <c r="G41" s="3300"/>
      <c r="H41" s="3011">
        <v>0</v>
      </c>
      <c r="I41" s="3325"/>
      <c r="J41" s="3006">
        <v>395730364.83999997</v>
      </c>
    </row>
    <row r="42" spans="1:10" s="1413" customFormat="1" ht="12">
      <c r="A42" s="3300"/>
      <c r="B42" s="3321">
        <v>81.122</v>
      </c>
      <c r="C42" s="3300"/>
      <c r="D42" s="3300" t="s">
        <v>652</v>
      </c>
      <c r="E42" s="3300"/>
      <c r="F42" s="3300" t="s">
        <v>654</v>
      </c>
      <c r="G42" s="3300"/>
      <c r="H42" s="3011">
        <v>0</v>
      </c>
      <c r="I42" s="3325"/>
      <c r="J42" s="3006">
        <v>1235199.97</v>
      </c>
    </row>
    <row r="43" spans="1:10" s="1413" customFormat="1" ht="12">
      <c r="A43" s="3300"/>
      <c r="B43" s="3321"/>
      <c r="C43" s="3300"/>
      <c r="D43" s="3300"/>
      <c r="E43" s="3300"/>
      <c r="F43" s="3326" t="s">
        <v>655</v>
      </c>
      <c r="G43" s="3326"/>
      <c r="H43" s="3016">
        <f>ROUND(SUM(H33:H42),2)</f>
        <v>0</v>
      </c>
      <c r="I43" s="3006"/>
      <c r="J43" s="3016">
        <f>ROUND(SUM(J33:J42),2)</f>
        <v>933091195.00999999</v>
      </c>
    </row>
    <row r="44" spans="1:10" s="1413" customFormat="1" ht="12">
      <c r="A44" s="3313" t="s">
        <v>656</v>
      </c>
      <c r="B44" s="3029"/>
      <c r="C44" s="3005"/>
      <c r="D44" s="3005"/>
      <c r="E44" s="3300"/>
      <c r="F44" s="3314"/>
      <c r="G44" s="3314"/>
      <c r="H44" s="3010"/>
      <c r="I44" s="3006"/>
      <c r="J44" s="3006"/>
    </row>
    <row r="45" spans="1:10" s="1413" customFormat="1" ht="12">
      <c r="A45" s="3300"/>
      <c r="B45" s="3315">
        <v>10.568</v>
      </c>
      <c r="C45" s="3316"/>
      <c r="D45" s="3316" t="s">
        <v>615</v>
      </c>
      <c r="E45" s="3300"/>
      <c r="F45" s="3317" t="s">
        <v>657</v>
      </c>
      <c r="G45" s="3317"/>
      <c r="H45" s="3011">
        <v>0</v>
      </c>
      <c r="I45" s="3325"/>
      <c r="J45" s="3006">
        <v>4891302</v>
      </c>
    </row>
    <row r="46" spans="1:10" s="1413" customFormat="1" ht="12">
      <c r="A46" s="3300"/>
      <c r="B46" s="3315">
        <v>93.704999999999998</v>
      </c>
      <c r="C46" s="3328"/>
      <c r="D46" s="3316" t="s">
        <v>639</v>
      </c>
      <c r="E46" s="3316"/>
      <c r="F46" s="3317" t="s">
        <v>658</v>
      </c>
      <c r="G46" s="3317"/>
      <c r="H46" s="3011">
        <v>0</v>
      </c>
      <c r="I46" s="3325"/>
      <c r="J46" s="3006">
        <v>2042446</v>
      </c>
    </row>
    <row r="47" spans="1:10" s="1413" customFormat="1" ht="12">
      <c r="A47" s="3300"/>
      <c r="B47" s="3315">
        <v>93.706999999999994</v>
      </c>
      <c r="C47" s="3316"/>
      <c r="D47" s="3316" t="s">
        <v>639</v>
      </c>
      <c r="E47" s="3316"/>
      <c r="F47" s="3317" t="s">
        <v>659</v>
      </c>
      <c r="G47" s="3317"/>
      <c r="H47" s="3011">
        <v>0</v>
      </c>
      <c r="I47" s="3320"/>
      <c r="J47" s="3006">
        <v>4148718</v>
      </c>
    </row>
    <row r="48" spans="1:10" s="1413" customFormat="1" ht="12">
      <c r="A48" s="3300"/>
      <c r="B48" s="3329"/>
      <c r="C48" s="3300"/>
      <c r="D48" s="3300"/>
      <c r="E48" s="3300"/>
      <c r="F48" s="3326" t="s">
        <v>660</v>
      </c>
      <c r="G48" s="3326"/>
      <c r="H48" s="3016">
        <f>ROUND(SUM(H45:H47),2)</f>
        <v>0</v>
      </c>
      <c r="I48" s="3006"/>
      <c r="J48" s="3016">
        <f>ROUND(SUM(J45:J47),2)</f>
        <v>11082466</v>
      </c>
    </row>
    <row r="49" spans="1:10" s="1413" customFormat="1" ht="12">
      <c r="A49" s="3313" t="s">
        <v>661</v>
      </c>
      <c r="B49" s="3029"/>
      <c r="C49" s="3005"/>
      <c r="D49" s="3005"/>
      <c r="E49" s="3300"/>
      <c r="F49" s="3300"/>
      <c r="G49" s="3300"/>
      <c r="H49" s="3330"/>
      <c r="I49" s="3325"/>
      <c r="J49" s="3020"/>
    </row>
    <row r="50" spans="1:10" s="1413" customFormat="1" ht="12">
      <c r="B50" s="3315">
        <v>10.557</v>
      </c>
      <c r="C50" s="3300"/>
      <c r="D50" s="3316" t="s">
        <v>615</v>
      </c>
      <c r="E50" s="3300"/>
      <c r="F50" s="3323" t="s">
        <v>1244</v>
      </c>
      <c r="G50" s="3323"/>
      <c r="H50" s="3011">
        <v>0</v>
      </c>
      <c r="I50" s="3331"/>
      <c r="J50" s="3006">
        <v>5468978</v>
      </c>
    </row>
    <row r="51" spans="1:10" s="1413" customFormat="1" ht="12">
      <c r="B51" s="3315">
        <v>10.561</v>
      </c>
      <c r="C51" s="3316"/>
      <c r="D51" s="3316" t="s">
        <v>615</v>
      </c>
      <c r="E51" s="3300"/>
      <c r="F51" s="3317" t="s">
        <v>662</v>
      </c>
      <c r="G51" s="3317"/>
      <c r="H51" s="3011">
        <v>0</v>
      </c>
      <c r="I51" s="3014"/>
      <c r="J51" s="3006">
        <v>24402283</v>
      </c>
    </row>
    <row r="52" spans="1:10" s="1413" customFormat="1" ht="12">
      <c r="B52" s="3315">
        <v>10.577999999999999</v>
      </c>
      <c r="C52" s="3316"/>
      <c r="D52" s="3316" t="s">
        <v>615</v>
      </c>
      <c r="E52" s="3300"/>
      <c r="F52" s="3317" t="s">
        <v>663</v>
      </c>
      <c r="G52" s="3317"/>
      <c r="H52" s="3011">
        <v>0</v>
      </c>
      <c r="I52" s="3014"/>
      <c r="J52" s="3006">
        <v>4172768.48</v>
      </c>
    </row>
    <row r="53" spans="1:10" s="1413" customFormat="1" ht="24">
      <c r="B53" s="3315">
        <v>14.257</v>
      </c>
      <c r="C53" s="3316"/>
      <c r="D53" s="3317" t="s">
        <v>664</v>
      </c>
      <c r="E53" s="3300"/>
      <c r="F53" s="3317" t="s">
        <v>665</v>
      </c>
      <c r="G53" s="3317"/>
      <c r="H53" s="3021">
        <v>0</v>
      </c>
      <c r="I53" s="3014"/>
      <c r="J53" s="3014">
        <v>26951329</v>
      </c>
    </row>
    <row r="54" spans="1:10" s="1413" customFormat="1" ht="12">
      <c r="B54" s="3315">
        <v>84.393000000000001</v>
      </c>
      <c r="C54" s="3316"/>
      <c r="D54" s="3316" t="s">
        <v>621</v>
      </c>
      <c r="E54" s="3300"/>
      <c r="F54" s="3323" t="s">
        <v>666</v>
      </c>
      <c r="G54" s="3323"/>
      <c r="H54" s="3011">
        <v>0</v>
      </c>
      <c r="I54" s="3014"/>
      <c r="J54" s="3006">
        <v>26406387.039999999</v>
      </c>
    </row>
    <row r="55" spans="1:10" s="1413" customFormat="1" ht="12">
      <c r="B55" s="3315">
        <v>93.563000000000002</v>
      </c>
      <c r="C55" s="3316"/>
      <c r="D55" s="3316" t="s">
        <v>639</v>
      </c>
      <c r="E55" s="3300"/>
      <c r="F55" s="3323" t="s">
        <v>667</v>
      </c>
      <c r="G55" s="3323"/>
      <c r="H55" s="3011">
        <v>0</v>
      </c>
      <c r="I55" s="3014"/>
      <c r="J55" s="3006">
        <v>101131818.69</v>
      </c>
    </row>
    <row r="56" spans="1:10" s="1413" customFormat="1" ht="12">
      <c r="B56" s="3321">
        <v>93.658000000000001</v>
      </c>
      <c r="C56" s="3332"/>
      <c r="D56" s="3300" t="s">
        <v>639</v>
      </c>
      <c r="E56" s="3300"/>
      <c r="F56" s="3300" t="s">
        <v>668</v>
      </c>
      <c r="G56" s="3300"/>
      <c r="H56" s="3011">
        <v>0</v>
      </c>
      <c r="I56" s="3325"/>
      <c r="J56" s="3006">
        <v>54868712.609999999</v>
      </c>
    </row>
    <row r="57" spans="1:10" s="1413" customFormat="1" ht="12">
      <c r="B57" s="3321">
        <v>93.659000000000006</v>
      </c>
      <c r="C57" s="3332"/>
      <c r="D57" s="3316" t="s">
        <v>639</v>
      </c>
      <c r="E57" s="3300"/>
      <c r="F57" s="3323" t="s">
        <v>669</v>
      </c>
      <c r="G57" s="3323"/>
      <c r="H57" s="3011">
        <v>0</v>
      </c>
      <c r="I57" s="3325"/>
      <c r="J57" s="3006">
        <v>60062684</v>
      </c>
    </row>
    <row r="58" spans="1:10" s="1413" customFormat="1" ht="12">
      <c r="B58" s="3321">
        <v>93.707999999999998</v>
      </c>
      <c r="C58" s="3332"/>
      <c r="D58" s="3316" t="s">
        <v>639</v>
      </c>
      <c r="E58" s="3300"/>
      <c r="F58" s="3323" t="s">
        <v>670</v>
      </c>
      <c r="G58" s="3323"/>
      <c r="H58" s="3011">
        <v>0</v>
      </c>
      <c r="I58" s="3325"/>
      <c r="J58" s="3006">
        <v>5577399.8699999992</v>
      </c>
    </row>
    <row r="59" spans="1:10" s="1413" customFormat="1" ht="12">
      <c r="B59" s="3321">
        <v>93.712000000000003</v>
      </c>
      <c r="C59" s="3332"/>
      <c r="D59" s="3316" t="s">
        <v>639</v>
      </c>
      <c r="E59" s="3300"/>
      <c r="F59" s="3323" t="s">
        <v>671</v>
      </c>
      <c r="G59" s="3323"/>
      <c r="H59" s="3011">
        <v>0</v>
      </c>
      <c r="I59" s="3325"/>
      <c r="J59" s="3006">
        <v>4275750.26</v>
      </c>
    </row>
    <row r="60" spans="1:10" s="1413" customFormat="1" ht="12">
      <c r="B60" s="3321">
        <v>93.712999999999994</v>
      </c>
      <c r="C60" s="3332"/>
      <c r="D60" s="3316" t="s">
        <v>639</v>
      </c>
      <c r="E60" s="3300"/>
      <c r="F60" s="3323" t="s">
        <v>672</v>
      </c>
      <c r="G60" s="3323"/>
      <c r="H60" s="3011">
        <v>0</v>
      </c>
      <c r="I60" s="3325"/>
      <c r="J60" s="3006">
        <v>96785640</v>
      </c>
    </row>
    <row r="61" spans="1:10" s="1413" customFormat="1" ht="24">
      <c r="B61" s="3315">
        <v>93.713999999999999</v>
      </c>
      <c r="C61" s="3332"/>
      <c r="D61" s="3316" t="s">
        <v>639</v>
      </c>
      <c r="E61" s="3316"/>
      <c r="F61" s="3317" t="s">
        <v>673</v>
      </c>
      <c r="G61" s="3317"/>
      <c r="H61" s="3021">
        <v>0</v>
      </c>
      <c r="I61" s="3325"/>
      <c r="J61" s="3014">
        <v>723023290</v>
      </c>
    </row>
    <row r="62" spans="1:10" s="1413" customFormat="1" ht="12" customHeight="1">
      <c r="B62" s="3315">
        <v>93.724999999999994</v>
      </c>
      <c r="C62" s="3333"/>
      <c r="D62" s="3316" t="s">
        <v>639</v>
      </c>
      <c r="E62" s="3316"/>
      <c r="F62" s="3317" t="s">
        <v>674</v>
      </c>
      <c r="G62" s="3317"/>
      <c r="H62" s="3021">
        <v>0</v>
      </c>
      <c r="I62" s="3331"/>
      <c r="J62" s="3014">
        <v>1166708.33</v>
      </c>
    </row>
    <row r="63" spans="1:10" s="1413" customFormat="1" ht="12">
      <c r="B63" s="3321">
        <v>93.778000000000006</v>
      </c>
      <c r="C63" s="3332"/>
      <c r="D63" s="3300" t="s">
        <v>639</v>
      </c>
      <c r="E63" s="3300"/>
      <c r="F63" s="3300" t="s">
        <v>1132</v>
      </c>
      <c r="G63" s="3300"/>
      <c r="H63" s="3019">
        <v>16597790.949999999</v>
      </c>
      <c r="I63" s="3325"/>
      <c r="J63" s="3015">
        <v>14044968562.23</v>
      </c>
    </row>
    <row r="64" spans="1:10" s="1413" customFormat="1" ht="24">
      <c r="B64" s="3315">
        <v>94.006</v>
      </c>
      <c r="C64" s="3332"/>
      <c r="D64" s="3317" t="s">
        <v>675</v>
      </c>
      <c r="E64" s="3300"/>
      <c r="F64" s="3316" t="s">
        <v>676</v>
      </c>
      <c r="G64" s="3316"/>
      <c r="H64" s="3021">
        <v>0</v>
      </c>
      <c r="I64" s="3301"/>
      <c r="J64" s="3014">
        <v>7339907.7000000002</v>
      </c>
    </row>
    <row r="65" spans="1:10" s="1413" customFormat="1" ht="12">
      <c r="B65" s="3329"/>
      <c r="C65" s="3300"/>
      <c r="D65" s="3300"/>
      <c r="E65" s="3300"/>
      <c r="F65" s="3326" t="s">
        <v>677</v>
      </c>
      <c r="G65" s="3326"/>
      <c r="H65" s="3016">
        <f>ROUND(SUM(H50:H64),2)</f>
        <v>16597790.949999999</v>
      </c>
      <c r="I65" s="3007"/>
      <c r="J65" s="3016">
        <f>ROUND(SUM(J50:J64),2)</f>
        <v>15186602219.209999</v>
      </c>
    </row>
    <row r="66" spans="1:10" s="1413" customFormat="1" ht="12">
      <c r="A66" s="3313" t="s">
        <v>678</v>
      </c>
      <c r="B66" s="3329"/>
      <c r="C66" s="3328"/>
      <c r="D66" s="3300"/>
      <c r="E66" s="3300"/>
      <c r="F66" s="3314"/>
      <c r="G66" s="3314"/>
      <c r="H66" s="3019"/>
      <c r="I66" s="3007"/>
      <c r="J66" s="3007"/>
    </row>
    <row r="67" spans="1:10" s="1413" customFormat="1" ht="12">
      <c r="A67" s="3313"/>
      <c r="B67" s="3321">
        <v>84.397000000000006</v>
      </c>
      <c r="C67" s="3313"/>
      <c r="D67" s="3316" t="s">
        <v>621</v>
      </c>
      <c r="E67" s="3300"/>
      <c r="F67" s="3317" t="s">
        <v>635</v>
      </c>
      <c r="G67" s="3334"/>
      <c r="H67" s="3011">
        <v>0</v>
      </c>
      <c r="I67" s="3320"/>
      <c r="J67" s="3006">
        <v>21875000</v>
      </c>
    </row>
    <row r="68" spans="1:10" s="1413" customFormat="1" ht="12">
      <c r="A68" s="3300"/>
      <c r="B68" s="3321">
        <v>93.71</v>
      </c>
      <c r="C68" s="3300"/>
      <c r="D68" s="3300" t="s">
        <v>639</v>
      </c>
      <c r="E68" s="3300"/>
      <c r="F68" s="3322" t="s">
        <v>679</v>
      </c>
      <c r="G68" s="3322"/>
      <c r="H68" s="3011">
        <v>0</v>
      </c>
      <c r="I68" s="3320"/>
      <c r="J68" s="3006">
        <v>85384063.909999996</v>
      </c>
    </row>
    <row r="69" spans="1:10" s="1413" customFormat="1" ht="12">
      <c r="A69" s="3300"/>
      <c r="B69" s="3321"/>
      <c r="C69" s="3300"/>
      <c r="D69" s="3300"/>
      <c r="E69" s="3300"/>
      <c r="F69" s="3326" t="s">
        <v>680</v>
      </c>
      <c r="G69" s="3326"/>
      <c r="H69" s="3016">
        <f>ROUND(SUM(H67:H68),2)</f>
        <v>0</v>
      </c>
      <c r="I69" s="3007"/>
      <c r="J69" s="3016">
        <f>ROUND(SUM(J67:J68),2)</f>
        <v>107259063.91</v>
      </c>
    </row>
    <row r="70" spans="1:10" s="1413" customFormat="1">
      <c r="A70" s="3313" t="s">
        <v>681</v>
      </c>
      <c r="B70" s="3030"/>
      <c r="C70" s="3022"/>
      <c r="D70" s="3022"/>
      <c r="E70" s="3300"/>
      <c r="F70" s="3314"/>
      <c r="G70" s="3314"/>
      <c r="H70" s="3019"/>
      <c r="I70" s="3007"/>
      <c r="J70" s="3007"/>
    </row>
    <row r="71" spans="1:10" s="1413" customFormat="1" ht="12">
      <c r="A71" s="3313"/>
      <c r="B71" s="3321">
        <v>17.207000000000001</v>
      </c>
      <c r="C71" s="3313"/>
      <c r="D71" s="3300" t="s">
        <v>682</v>
      </c>
      <c r="E71" s="3300"/>
      <c r="F71" s="3322" t="s">
        <v>683</v>
      </c>
      <c r="G71" s="3322"/>
      <c r="H71" s="3011">
        <v>0</v>
      </c>
      <c r="I71" s="3301"/>
      <c r="J71" s="3006">
        <v>22855217</v>
      </c>
    </row>
    <row r="72" spans="1:10" s="1413" customFormat="1" ht="12">
      <c r="A72" s="3300"/>
      <c r="B72" s="3321">
        <v>17.225000000000001</v>
      </c>
      <c r="C72" s="3332"/>
      <c r="D72" s="3300" t="s">
        <v>682</v>
      </c>
      <c r="E72" s="3300"/>
      <c r="F72" s="3322" t="s">
        <v>684</v>
      </c>
      <c r="G72" s="3322"/>
      <c r="H72" s="3019">
        <v>725337.96</v>
      </c>
      <c r="I72" s="3007"/>
      <c r="J72" s="3006">
        <v>16667755571.719999</v>
      </c>
    </row>
    <row r="73" spans="1:10" s="1413" customFormat="1" ht="12">
      <c r="A73" s="3300"/>
      <c r="B73" s="3321">
        <v>17.234999999999999</v>
      </c>
      <c r="C73" s="3332"/>
      <c r="D73" s="3300" t="s">
        <v>682</v>
      </c>
      <c r="E73" s="3300"/>
      <c r="F73" s="3322" t="s">
        <v>685</v>
      </c>
      <c r="G73" s="3322"/>
      <c r="H73" s="3011">
        <v>0</v>
      </c>
      <c r="I73" s="3007"/>
      <c r="J73" s="3006">
        <v>1539762.38</v>
      </c>
    </row>
    <row r="74" spans="1:10" s="1413" customFormat="1" ht="12">
      <c r="A74" s="3300"/>
      <c r="B74" s="3321">
        <v>17.257999999999999</v>
      </c>
      <c r="C74" s="3332"/>
      <c r="D74" s="3300" t="s">
        <v>682</v>
      </c>
      <c r="E74" s="3300"/>
      <c r="F74" s="3322" t="s">
        <v>686</v>
      </c>
      <c r="G74" s="3322"/>
      <c r="H74" s="3011">
        <v>0</v>
      </c>
      <c r="I74" s="3007"/>
      <c r="J74" s="3006">
        <v>31516111</v>
      </c>
    </row>
    <row r="75" spans="1:10" s="1413" customFormat="1" ht="12">
      <c r="A75" s="3300"/>
      <c r="B75" s="3321">
        <v>17.259</v>
      </c>
      <c r="C75" s="3332"/>
      <c r="D75" s="3300" t="s">
        <v>682</v>
      </c>
      <c r="E75" s="3300"/>
      <c r="F75" s="3322" t="s">
        <v>687</v>
      </c>
      <c r="G75" s="3322"/>
      <c r="H75" s="3011">
        <v>0</v>
      </c>
      <c r="I75" s="3007"/>
      <c r="J75" s="3006">
        <v>71526360</v>
      </c>
    </row>
    <row r="76" spans="1:10" s="1413" customFormat="1" ht="12">
      <c r="A76" s="3300"/>
      <c r="B76" s="3321">
        <v>17.260000000000002</v>
      </c>
      <c r="C76" s="3332"/>
      <c r="D76" s="3300" t="s">
        <v>682</v>
      </c>
      <c r="E76" s="3300"/>
      <c r="F76" s="3322" t="s">
        <v>688</v>
      </c>
      <c r="G76" s="3322"/>
      <c r="H76" s="3011">
        <v>0</v>
      </c>
      <c r="I76" s="3006"/>
      <c r="J76" s="3006">
        <v>70633412.469999999</v>
      </c>
    </row>
    <row r="77" spans="1:10" s="1413" customFormat="1" ht="24">
      <c r="A77" s="3300"/>
      <c r="B77" s="3315">
        <v>17.274999999999999</v>
      </c>
      <c r="C77" s="3333"/>
      <c r="D77" s="3316" t="s">
        <v>682</v>
      </c>
      <c r="E77" s="3300"/>
      <c r="F77" s="3317" t="s">
        <v>689</v>
      </c>
      <c r="G77" s="3317"/>
      <c r="H77" s="3021">
        <v>0</v>
      </c>
      <c r="I77" s="3014"/>
      <c r="J77" s="3014">
        <v>1112175.1399999999</v>
      </c>
    </row>
    <row r="78" spans="1:10" s="1413" customFormat="1" ht="12">
      <c r="A78" s="3300"/>
      <c r="B78" s="3329"/>
      <c r="C78" s="3300"/>
      <c r="D78" s="3300"/>
      <c r="E78" s="3300"/>
      <c r="F78" s="3326" t="s">
        <v>690</v>
      </c>
      <c r="G78" s="3326"/>
      <c r="H78" s="3016">
        <f>ROUND(SUM(H71:H77),2)</f>
        <v>725337.96</v>
      </c>
      <c r="I78" s="3006"/>
      <c r="J78" s="3016">
        <f>ROUND(SUM(J71:J77),2)</f>
        <v>16866938609.709999</v>
      </c>
    </row>
    <row r="79" spans="1:10" s="1413" customFormat="1" ht="12">
      <c r="A79" s="3327" t="s">
        <v>691</v>
      </c>
      <c r="B79" s="3321"/>
      <c r="C79" s="3300"/>
      <c r="D79" s="3300"/>
      <c r="E79" s="3300"/>
      <c r="F79" s="3314"/>
      <c r="G79" s="3314"/>
      <c r="H79" s="3019"/>
      <c r="I79" s="3006"/>
      <c r="J79" s="3006"/>
    </row>
    <row r="80" spans="1:10" s="1413" customFormat="1" ht="12">
      <c r="A80" s="3327"/>
      <c r="B80" s="3315">
        <v>11.558</v>
      </c>
      <c r="C80" s="3327"/>
      <c r="D80" s="3316" t="s">
        <v>617</v>
      </c>
      <c r="E80" s="3300"/>
      <c r="F80" s="3317" t="s">
        <v>692</v>
      </c>
      <c r="G80" s="3317"/>
      <c r="H80" s="3011">
        <v>0</v>
      </c>
      <c r="I80" s="3006"/>
      <c r="J80" s="3023">
        <v>8047576.54</v>
      </c>
    </row>
    <row r="81" spans="1:10" s="1413" customFormat="1" ht="12">
      <c r="A81" s="3327"/>
      <c r="B81" s="3315">
        <v>12.401</v>
      </c>
      <c r="C81" s="3327"/>
      <c r="D81" s="3316" t="s">
        <v>693</v>
      </c>
      <c r="E81" s="3300"/>
      <c r="F81" s="3317" t="s">
        <v>694</v>
      </c>
      <c r="G81" s="3317"/>
      <c r="H81" s="3011">
        <v>0</v>
      </c>
      <c r="I81" s="3325"/>
      <c r="J81" s="3006">
        <v>7416726.4000000004</v>
      </c>
    </row>
    <row r="82" spans="1:10" s="1413" customFormat="1" ht="12">
      <c r="A82" s="3327"/>
      <c r="B82" s="3315">
        <v>16.588000000000001</v>
      </c>
      <c r="C82" s="3327"/>
      <c r="D82" s="3316" t="s">
        <v>695</v>
      </c>
      <c r="E82" s="3300"/>
      <c r="F82" s="3317" t="s">
        <v>696</v>
      </c>
      <c r="G82" s="3317"/>
      <c r="H82" s="3011">
        <v>0</v>
      </c>
      <c r="I82" s="3006"/>
      <c r="J82" s="3006">
        <v>7274394.3500000015</v>
      </c>
    </row>
    <row r="83" spans="1:10" s="1413" customFormat="1" ht="12">
      <c r="A83" s="3327"/>
      <c r="B83" s="3315">
        <v>16.8</v>
      </c>
      <c r="C83" s="3327"/>
      <c r="D83" s="3316" t="s">
        <v>695</v>
      </c>
      <c r="E83" s="3300"/>
      <c r="F83" s="3317" t="s">
        <v>697</v>
      </c>
      <c r="G83" s="3317"/>
      <c r="H83" s="3010">
        <v>0</v>
      </c>
      <c r="I83" s="3006"/>
      <c r="J83" s="3006">
        <v>1618399.0999999999</v>
      </c>
    </row>
    <row r="84" spans="1:10" s="1413" customFormat="1" ht="12">
      <c r="A84" s="3327"/>
      <c r="B84" s="3315">
        <v>16.800999999999998</v>
      </c>
      <c r="C84" s="3327"/>
      <c r="D84" s="3316" t="s">
        <v>695</v>
      </c>
      <c r="E84" s="3300"/>
      <c r="F84" s="3317" t="s">
        <v>698</v>
      </c>
      <c r="G84" s="3317"/>
      <c r="H84" s="3011">
        <v>0</v>
      </c>
      <c r="I84" s="3006"/>
      <c r="J84" s="3006">
        <v>1788999.08</v>
      </c>
    </row>
    <row r="85" spans="1:10" s="1413" customFormat="1" ht="12">
      <c r="A85" s="3327"/>
      <c r="B85" s="3315">
        <v>16.802</v>
      </c>
      <c r="C85" s="3335"/>
      <c r="D85" s="3316" t="s">
        <v>695</v>
      </c>
      <c r="E85" s="3300"/>
      <c r="F85" s="3317" t="s">
        <v>699</v>
      </c>
      <c r="G85" s="3317"/>
      <c r="H85" s="3011">
        <v>0</v>
      </c>
      <c r="I85" s="3014"/>
      <c r="J85" s="3006">
        <v>2828986.58</v>
      </c>
    </row>
    <row r="86" spans="1:10" s="1413" customFormat="1" ht="24">
      <c r="A86" s="3327"/>
      <c r="B86" s="3315">
        <v>16.803000000000001</v>
      </c>
      <c r="C86" s="3335"/>
      <c r="D86" s="3316" t="s">
        <v>695</v>
      </c>
      <c r="E86" s="3300"/>
      <c r="F86" s="3317" t="s">
        <v>700</v>
      </c>
      <c r="G86" s="3317"/>
      <c r="H86" s="3021">
        <v>0</v>
      </c>
      <c r="I86" s="3014"/>
      <c r="J86" s="3014">
        <v>66946360.409999996</v>
      </c>
    </row>
    <row r="87" spans="1:10" s="1413" customFormat="1" ht="12">
      <c r="A87" s="3327"/>
      <c r="B87" s="3336"/>
      <c r="C87" s="3327"/>
      <c r="D87" s="3327"/>
      <c r="E87" s="3300"/>
      <c r="F87" s="3326" t="s">
        <v>701</v>
      </c>
      <c r="G87" s="3326"/>
      <c r="H87" s="3016">
        <f>ROUND(SUM(H80:H86),2)</f>
        <v>0</v>
      </c>
      <c r="I87" s="3006"/>
      <c r="J87" s="3016">
        <f>ROUND(SUM(J80:J86),2)</f>
        <v>95921442.459999993</v>
      </c>
    </row>
    <row r="88" spans="1:10" s="1413" customFormat="1" ht="12">
      <c r="A88" s="3313" t="s">
        <v>702</v>
      </c>
      <c r="B88" s="3329"/>
      <c r="C88" s="3300"/>
      <c r="D88" s="3300"/>
      <c r="E88" s="3300"/>
      <c r="F88" s="3314"/>
      <c r="G88" s="3314"/>
      <c r="H88" s="3337"/>
      <c r="I88" s="3338"/>
      <c r="J88" s="3006"/>
    </row>
    <row r="89" spans="1:10" s="1413" customFormat="1" ht="12">
      <c r="A89" s="3300"/>
      <c r="B89" s="3321">
        <v>20.204999999999998</v>
      </c>
      <c r="C89" s="3332"/>
      <c r="D89" s="3300" t="s">
        <v>703</v>
      </c>
      <c r="E89" s="3300"/>
      <c r="F89" s="3300" t="s">
        <v>704</v>
      </c>
      <c r="G89" s="3300"/>
      <c r="H89" s="3011">
        <v>0</v>
      </c>
      <c r="I89" s="3006"/>
      <c r="J89" s="3006">
        <v>932335171.12</v>
      </c>
    </row>
    <row r="90" spans="1:10" s="1413" customFormat="1" ht="12">
      <c r="A90" s="3300"/>
      <c r="B90" s="3321">
        <v>20.318999999999999</v>
      </c>
      <c r="C90" s="3332"/>
      <c r="D90" s="3300" t="s">
        <v>703</v>
      </c>
      <c r="E90" s="3300"/>
      <c r="F90" s="3300" t="s">
        <v>1245</v>
      </c>
      <c r="G90" s="3300"/>
      <c r="H90" s="3012">
        <v>2416487.6</v>
      </c>
      <c r="I90" s="3007"/>
      <c r="J90" s="3006">
        <v>69365351.159999996</v>
      </c>
    </row>
    <row r="91" spans="1:10" s="1413" customFormat="1" ht="12">
      <c r="A91" s="3300"/>
      <c r="B91" s="3321">
        <v>20.509</v>
      </c>
      <c r="C91" s="3332"/>
      <c r="D91" s="3300" t="s">
        <v>703</v>
      </c>
      <c r="E91" s="3300"/>
      <c r="F91" s="3300" t="s">
        <v>705</v>
      </c>
      <c r="G91" s="3300"/>
      <c r="H91" s="3011">
        <v>0</v>
      </c>
      <c r="I91" s="3007"/>
      <c r="J91" s="3006">
        <v>23215239.280000001</v>
      </c>
    </row>
    <row r="92" spans="1:10" s="1413" customFormat="1" ht="12">
      <c r="A92" s="3300"/>
      <c r="B92" s="3300"/>
      <c r="C92" s="3300"/>
      <c r="D92" s="3300"/>
      <c r="E92" s="3300"/>
      <c r="F92" s="3326" t="s">
        <v>706</v>
      </c>
      <c r="G92" s="3326"/>
      <c r="H92" s="3016">
        <f>ROUND(SUM(H89:H91),2)</f>
        <v>2416487.6</v>
      </c>
      <c r="I92" s="3007"/>
      <c r="J92" s="3016">
        <f>ROUND(SUM(J89:J91),2)</f>
        <v>1024915761.5599999</v>
      </c>
    </row>
    <row r="93" spans="1:10" s="1413" customFormat="1" ht="12">
      <c r="A93" s="3300"/>
      <c r="B93" s="3332"/>
      <c r="C93" s="3300"/>
      <c r="D93" s="3300"/>
      <c r="E93" s="3300"/>
      <c r="F93" s="3300"/>
      <c r="G93" s="3300"/>
      <c r="H93" s="3330"/>
      <c r="I93" s="3301"/>
      <c r="J93" s="3024"/>
    </row>
    <row r="94" spans="1:10" s="1413" customFormat="1" ht="12.75" thickBot="1">
      <c r="A94" s="3300"/>
      <c r="B94" s="3300"/>
      <c r="C94" s="3300"/>
      <c r="D94" s="3300"/>
      <c r="E94" s="3300"/>
      <c r="F94" s="3326" t="s">
        <v>707</v>
      </c>
      <c r="G94" s="3339"/>
      <c r="H94" s="3025">
        <f>ROUND(SUM(H31+H43+H48+H65+H69+H78+H87+H92),2)</f>
        <v>39797208.280000001</v>
      </c>
      <c r="I94" s="3340"/>
      <c r="J94" s="3025">
        <f>ROUND(SUM(J31+J43+J48+J65+J69+J78+J87+J92),2)</f>
        <v>40651445890.870003</v>
      </c>
    </row>
    <row r="95" spans="1:10" s="1413" customFormat="1" ht="12.75" thickTop="1">
      <c r="A95" s="3300"/>
      <c r="B95" s="3300"/>
      <c r="C95" s="3300"/>
      <c r="D95" s="3300"/>
      <c r="E95" s="3300"/>
      <c r="F95" s="3326"/>
      <c r="G95" s="3326"/>
      <c r="H95" s="3026"/>
      <c r="I95" s="3341"/>
      <c r="J95" s="3027"/>
    </row>
    <row r="96" spans="1:10" s="1413" customFormat="1" ht="12">
      <c r="A96" s="3342" t="s">
        <v>708</v>
      </c>
      <c r="B96" s="3300"/>
      <c r="C96" s="3300"/>
      <c r="D96" s="3300"/>
      <c r="E96" s="3300"/>
      <c r="F96" s="3326"/>
      <c r="G96" s="3326"/>
      <c r="H96" s="3026"/>
      <c r="I96" s="3341"/>
      <c r="J96" s="3027"/>
    </row>
    <row r="97" spans="1:10" s="1413" customFormat="1" ht="12">
      <c r="A97" s="3342" t="s">
        <v>709</v>
      </c>
      <c r="B97" s="3343"/>
      <c r="C97" s="3343"/>
      <c r="D97" s="3343"/>
      <c r="E97" s="3343"/>
      <c r="F97" s="3343"/>
      <c r="G97" s="3343"/>
      <c r="H97" s="3344"/>
      <c r="I97" s="3345"/>
      <c r="J97" s="3345"/>
    </row>
    <row r="98" spans="1:10" s="1413" customFormat="1" ht="12">
      <c r="A98" s="3342" t="s">
        <v>710</v>
      </c>
      <c r="B98" s="3346"/>
      <c r="C98" s="3347"/>
      <c r="D98" s="3346"/>
      <c r="E98" s="3347"/>
      <c r="F98" s="3347"/>
      <c r="G98" s="3347"/>
      <c r="H98" s="3348"/>
      <c r="I98" s="3349"/>
      <c r="J98" s="3349"/>
    </row>
    <row r="99" spans="1:10" s="1413" customFormat="1" ht="12">
      <c r="A99" s="3342" t="s">
        <v>711</v>
      </c>
      <c r="B99" s="3347"/>
      <c r="C99" s="3347"/>
      <c r="D99" s="3349"/>
      <c r="E99" s="3347"/>
      <c r="F99" s="3347"/>
      <c r="G99" s="3347"/>
      <c r="H99" s="3348"/>
      <c r="I99" s="3349"/>
      <c r="J99" s="3349"/>
    </row>
    <row r="100" spans="1:10" s="1413" customFormat="1" ht="12">
      <c r="A100" s="3342" t="s">
        <v>712</v>
      </c>
      <c r="B100" s="1414"/>
      <c r="C100" s="1415"/>
      <c r="D100" s="3349"/>
      <c r="E100" s="1415"/>
      <c r="F100" s="1415"/>
      <c r="G100" s="1415"/>
      <c r="H100" s="1416"/>
      <c r="I100" s="1417"/>
      <c r="J100" s="1417"/>
    </row>
    <row r="101" spans="1:10">
      <c r="A101" s="1418"/>
      <c r="B101" s="1414"/>
      <c r="C101" s="1415"/>
      <c r="D101" s="1417"/>
      <c r="E101" s="1415"/>
      <c r="F101" s="1415"/>
      <c r="G101" s="1415"/>
      <c r="H101" s="1416"/>
      <c r="I101" s="1417"/>
      <c r="J101" s="1417"/>
    </row>
    <row r="102" spans="1:10">
      <c r="A102" s="1419"/>
      <c r="B102" s="1420"/>
      <c r="C102" s="1420"/>
      <c r="D102" s="1417"/>
      <c r="E102" s="1419"/>
      <c r="F102" s="1419"/>
      <c r="G102" s="1419"/>
      <c r="H102" s="1421"/>
      <c r="I102" s="1422"/>
      <c r="J102" s="1863"/>
    </row>
    <row r="103" spans="1:10">
      <c r="A103" s="1419"/>
      <c r="B103" s="1420"/>
      <c r="C103" s="1420"/>
      <c r="D103" s="1417"/>
      <c r="E103" s="1419"/>
      <c r="F103" s="1419"/>
      <c r="G103" s="1419"/>
      <c r="H103" s="1421"/>
      <c r="I103" s="1422"/>
      <c r="J103" s="1863"/>
    </row>
    <row r="104" spans="1:10">
      <c r="B104" s="1420"/>
      <c r="C104" s="1420"/>
      <c r="D104" s="1423"/>
      <c r="E104" s="1419"/>
      <c r="F104" s="1419"/>
      <c r="G104" s="1419"/>
      <c r="H104" s="1421"/>
      <c r="I104" s="1422"/>
      <c r="J104" s="1863"/>
    </row>
    <row r="105" spans="1:10">
      <c r="B105" s="1424"/>
      <c r="C105" s="1424"/>
      <c r="D105" s="1417"/>
      <c r="E105" s="1425"/>
      <c r="F105" s="1425"/>
      <c r="G105" s="1425"/>
      <c r="H105" s="1426"/>
      <c r="I105" s="1427"/>
      <c r="J105" s="1864"/>
    </row>
    <row r="106" spans="1:10">
      <c r="B106" s="1424"/>
      <c r="C106" s="1424"/>
      <c r="D106" s="1425"/>
      <c r="E106" s="1425"/>
      <c r="F106" s="1425"/>
      <c r="G106" s="1425"/>
      <c r="H106" s="1426"/>
      <c r="I106" s="1427"/>
      <c r="J106" s="1864"/>
    </row>
    <row r="107" spans="1:10">
      <c r="B107" s="1424"/>
      <c r="C107" s="1424"/>
      <c r="D107" s="1425"/>
      <c r="E107" s="1425"/>
      <c r="F107" s="1425"/>
      <c r="G107" s="1425"/>
      <c r="H107" s="1426"/>
      <c r="I107" s="1427"/>
      <c r="J107" s="1864"/>
    </row>
    <row r="108" spans="1:10">
      <c r="B108" s="1424"/>
      <c r="C108" s="1424"/>
      <c r="D108" s="1425"/>
      <c r="E108" s="1425"/>
      <c r="F108" s="1425"/>
      <c r="G108" s="1425"/>
      <c r="H108" s="1426"/>
      <c r="I108" s="1427"/>
      <c r="J108" s="1864"/>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0"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94"/>
  <sheetViews>
    <sheetView showGridLines="0" zoomScaleNormal="100" zoomScaleSheetLayoutView="100" workbookViewId="0"/>
  </sheetViews>
  <sheetFormatPr defaultRowHeight="15.75"/>
  <cols>
    <col min="1" max="1" width="3.5546875" style="1176" customWidth="1"/>
    <col min="2" max="2" width="8.44140625" style="1263" customWidth="1"/>
    <col min="3" max="3" width="12.21875" style="1263" customWidth="1"/>
    <col min="4" max="4" width="15" style="1050" customWidth="1"/>
    <col min="5" max="5" width="8.33203125" style="1047" customWidth="1"/>
    <col min="6" max="6" width="19.109375" style="1176" customWidth="1"/>
    <col min="7" max="7" width="10.33203125" style="1176" customWidth="1"/>
    <col min="8" max="8" width="9.109375" style="1039" customWidth="1"/>
    <col min="9" max="9" width="5.5546875" style="1046" customWidth="1"/>
    <col min="10" max="10" width="9.33203125" style="1046" customWidth="1"/>
    <col min="11" max="11" width="8.33203125" style="1047" customWidth="1"/>
    <col min="12" max="12" width="3.88671875" style="1047" customWidth="1"/>
    <col min="13" max="13" width="11.21875" style="1047" customWidth="1"/>
    <col min="14" max="14" width="10.77734375" style="1047" customWidth="1"/>
    <col min="15" max="15" width="8.33203125" style="1262" customWidth="1"/>
    <col min="16" max="16" width="9.109375" style="1262" customWidth="1"/>
    <col min="17" max="17" width="8" style="1262" customWidth="1"/>
    <col min="18" max="18" width="3.6640625" style="1262" customWidth="1"/>
    <col min="19" max="19" width="13.21875" style="1262" customWidth="1"/>
    <col min="20" max="20" width="12.109375" style="1262" customWidth="1"/>
    <col min="21" max="21" width="12.21875" style="1262" customWidth="1"/>
    <col min="22" max="16384" width="8.88671875" style="1262"/>
  </cols>
  <sheetData>
    <row r="1" spans="1:20">
      <c r="A1" s="1190" t="s">
        <v>1231</v>
      </c>
    </row>
    <row r="2" spans="1:20">
      <c r="A2" s="1035" t="s">
        <v>1008</v>
      </c>
      <c r="B2" s="1036"/>
      <c r="C2" s="1037"/>
      <c r="D2" s="1038"/>
      <c r="E2" s="1039"/>
      <c r="F2" s="1039"/>
      <c r="G2" s="1039"/>
      <c r="I2" s="1040"/>
      <c r="J2" s="1040"/>
      <c r="K2" s="1039"/>
      <c r="L2" s="1039"/>
      <c r="M2" s="1039"/>
      <c r="N2" s="1041"/>
      <c r="O2" s="1042"/>
      <c r="P2" s="1829" t="s">
        <v>1224</v>
      </c>
      <c r="Q2" s="1043"/>
      <c r="R2" s="1043"/>
      <c r="S2" s="1044"/>
      <c r="T2" s="1045"/>
    </row>
    <row r="3" spans="1:20" ht="12.75" customHeight="1">
      <c r="A3" s="1036"/>
      <c r="B3" s="1036"/>
      <c r="C3" s="1037"/>
      <c r="D3" s="1038"/>
      <c r="E3" s="1039"/>
      <c r="F3" s="1039"/>
      <c r="G3" s="1039"/>
      <c r="I3" s="1263"/>
      <c r="J3" s="1263"/>
      <c r="K3" s="1050"/>
      <c r="M3" s="1176"/>
      <c r="N3" s="1176"/>
      <c r="P3" s="1830" t="s">
        <v>1604</v>
      </c>
      <c r="T3" s="1045"/>
    </row>
    <row r="4" spans="1:20" ht="12.75" customHeight="1">
      <c r="H4" s="2988"/>
      <c r="I4" s="2994"/>
      <c r="J4" s="2994"/>
      <c r="K4" s="2995"/>
      <c r="L4" s="2992"/>
      <c r="M4" s="2993"/>
      <c r="N4" s="2993"/>
      <c r="O4" s="2990"/>
      <c r="P4" s="1830"/>
      <c r="Q4" s="2990"/>
      <c r="T4" s="1045"/>
    </row>
    <row r="5" spans="1:20" ht="13.5" customHeight="1">
      <c r="A5" s="1048" t="s">
        <v>1009</v>
      </c>
      <c r="B5" s="1038" t="s">
        <v>1010</v>
      </c>
      <c r="C5" s="1038"/>
      <c r="D5" s="1038"/>
      <c r="E5" s="1039"/>
      <c r="F5" s="1039"/>
      <c r="G5" s="1039"/>
      <c r="H5" s="1176"/>
      <c r="I5" s="1036" t="s">
        <v>1485</v>
      </c>
      <c r="J5" s="1036"/>
      <c r="K5" s="1039"/>
      <c r="L5" s="1039"/>
      <c r="M5" s="1039"/>
      <c r="N5" s="1039"/>
      <c r="P5" s="2802"/>
      <c r="Q5" s="2990"/>
      <c r="T5" s="1045"/>
    </row>
    <row r="6" spans="1:20" ht="13.5" customHeight="1">
      <c r="A6" s="1048"/>
      <c r="B6" s="1038" t="s">
        <v>1011</v>
      </c>
      <c r="C6" s="1038"/>
      <c r="D6" s="1038"/>
      <c r="E6" s="1039"/>
      <c r="F6" s="1039"/>
      <c r="G6" s="1039"/>
      <c r="H6" s="1176"/>
      <c r="Q6" s="2990"/>
    </row>
    <row r="7" spans="1:20" ht="13.5" customHeight="1">
      <c r="A7" s="1048"/>
      <c r="B7" s="1038" t="s">
        <v>1012</v>
      </c>
      <c r="C7" s="1038"/>
      <c r="D7" s="1038"/>
      <c r="E7" s="1039"/>
      <c r="F7" s="1039"/>
      <c r="G7" s="1039"/>
      <c r="H7" s="1176"/>
      <c r="I7" s="1040"/>
      <c r="J7" s="1040" t="s">
        <v>1023</v>
      </c>
      <c r="K7" s="1051"/>
      <c r="L7" s="1039"/>
      <c r="M7" s="1262"/>
      <c r="P7" s="1058">
        <v>2217.9</v>
      </c>
      <c r="Q7" s="1039" t="s">
        <v>1014</v>
      </c>
    </row>
    <row r="8" spans="1:20" ht="12.95" customHeight="1">
      <c r="A8" s="1048"/>
      <c r="B8" s="1038" t="s">
        <v>1013</v>
      </c>
      <c r="C8" s="1038"/>
      <c r="D8" s="1038"/>
      <c r="E8" s="1039"/>
      <c r="F8" s="1039"/>
      <c r="G8" s="1039"/>
      <c r="H8" s="2993"/>
      <c r="I8" s="1040"/>
      <c r="J8" s="1040" t="s">
        <v>1024</v>
      </c>
      <c r="K8" s="1051"/>
      <c r="L8" s="1039"/>
      <c r="M8" s="1262"/>
      <c r="P8" s="1049">
        <v>270.60000000000002</v>
      </c>
      <c r="Q8" s="2990"/>
    </row>
    <row r="9" spans="1:20" ht="12.75" customHeight="1">
      <c r="F9" s="2801"/>
      <c r="H9" s="1176"/>
      <c r="I9" s="1040"/>
      <c r="J9" s="1040" t="s">
        <v>1025</v>
      </c>
      <c r="K9" s="1051"/>
      <c r="L9" s="1039"/>
      <c r="M9" s="1262"/>
      <c r="P9" s="1049">
        <v>439.8</v>
      </c>
      <c r="Q9" s="2990"/>
    </row>
    <row r="10" spans="1:20" ht="12.75" customHeight="1">
      <c r="A10" s="1039"/>
      <c r="B10" s="1038"/>
      <c r="C10" s="1040" t="s">
        <v>1071</v>
      </c>
      <c r="D10" s="1051"/>
      <c r="E10" s="1039"/>
      <c r="F10" s="1051">
        <v>78</v>
      </c>
      <c r="G10" s="1039" t="s">
        <v>1014</v>
      </c>
      <c r="H10" s="2988"/>
      <c r="J10" s="1040" t="s">
        <v>1026</v>
      </c>
      <c r="K10" s="1051"/>
      <c r="L10" s="1039"/>
      <c r="M10" s="1262"/>
      <c r="P10" s="1049">
        <v>171.3</v>
      </c>
      <c r="Q10" s="2990"/>
    </row>
    <row r="11" spans="1:20" ht="12.75" customHeight="1">
      <c r="A11" s="1039"/>
      <c r="B11" s="1040"/>
      <c r="C11" s="1040" t="s">
        <v>1277</v>
      </c>
      <c r="D11" s="1053"/>
      <c r="E11" s="1039"/>
      <c r="F11" s="2907">
        <v>10.7</v>
      </c>
      <c r="G11" s="1039"/>
      <c r="H11" s="2988"/>
      <c r="J11" s="1040"/>
      <c r="P11" s="1049"/>
      <c r="Q11" s="2990"/>
    </row>
    <row r="12" spans="1:20" ht="12.75" customHeight="1">
      <c r="A12" s="1039"/>
      <c r="B12" s="1040"/>
      <c r="C12" s="1040" t="s">
        <v>1015</v>
      </c>
      <c r="D12" s="1053"/>
      <c r="E12" s="1039"/>
      <c r="F12" s="1054">
        <v>129.9</v>
      </c>
      <c r="G12" s="1039"/>
      <c r="H12" s="2988"/>
      <c r="I12" s="1039" t="s">
        <v>1271</v>
      </c>
      <c r="J12" s="1040"/>
      <c r="K12" s="1039"/>
      <c r="L12" s="1039"/>
      <c r="M12" s="1039"/>
      <c r="N12" s="1039"/>
      <c r="O12" s="1049"/>
      <c r="Q12" s="2990"/>
    </row>
    <row r="13" spans="1:20" ht="12.75" customHeight="1">
      <c r="A13" s="1039"/>
      <c r="B13" s="1040"/>
      <c r="C13" s="1040" t="s">
        <v>1016</v>
      </c>
      <c r="D13" s="1053"/>
      <c r="E13" s="1039"/>
      <c r="F13" s="1054">
        <v>14</v>
      </c>
      <c r="H13" s="2988"/>
      <c r="I13" s="1039" t="s">
        <v>1272</v>
      </c>
      <c r="J13" s="1040"/>
      <c r="K13" s="1039"/>
      <c r="L13" s="1039"/>
      <c r="M13" s="1039"/>
      <c r="N13" s="1039"/>
      <c r="O13" s="1049"/>
      <c r="Q13" s="2990"/>
      <c r="T13" s="1039"/>
    </row>
    <row r="14" spans="1:20" ht="12.75" customHeight="1">
      <c r="A14" s="1039"/>
      <c r="B14" s="1040"/>
      <c r="C14" s="1040" t="s">
        <v>1278</v>
      </c>
      <c r="D14" s="1053"/>
      <c r="E14" s="1039"/>
      <c r="F14" s="2908">
        <v>417.2</v>
      </c>
      <c r="G14" s="1039"/>
      <c r="I14" s="2988" t="s">
        <v>1621</v>
      </c>
      <c r="J14" s="1040"/>
      <c r="K14" s="1039"/>
      <c r="L14" s="1039"/>
      <c r="M14" s="1039"/>
      <c r="N14" s="1039"/>
      <c r="O14" s="1049"/>
      <c r="T14" s="1055"/>
    </row>
    <row r="15" spans="1:20" ht="12.75" customHeight="1">
      <c r="A15" s="1039"/>
      <c r="B15" s="1040"/>
      <c r="C15" s="1040" t="s">
        <v>1072</v>
      </c>
      <c r="D15" s="1053"/>
      <c r="E15" s="1039"/>
      <c r="F15" s="2907">
        <v>221.8</v>
      </c>
      <c r="G15" s="1039"/>
      <c r="H15" s="1176"/>
      <c r="R15" s="1039"/>
      <c r="T15" s="1055"/>
    </row>
    <row r="16" spans="1:20" ht="12.75" customHeight="1">
      <c r="A16" s="1039"/>
      <c r="B16" s="1040"/>
      <c r="C16" s="1040" t="s">
        <v>1017</v>
      </c>
      <c r="D16" s="1056"/>
      <c r="E16" s="1039"/>
      <c r="F16" s="2909">
        <v>431.7</v>
      </c>
      <c r="G16" s="1039"/>
    </row>
    <row r="17" spans="1:18" ht="12.75" customHeight="1">
      <c r="A17" s="1039"/>
      <c r="B17" s="1040"/>
      <c r="C17" s="1040" t="s">
        <v>1252</v>
      </c>
      <c r="D17" s="1056"/>
      <c r="E17" s="1039"/>
      <c r="F17" s="2908">
        <v>8.8000000000000007</v>
      </c>
      <c r="G17" s="1039"/>
      <c r="I17" s="3476" t="s">
        <v>1622</v>
      </c>
      <c r="J17" s="1040"/>
      <c r="K17" s="1039"/>
      <c r="L17" s="1039"/>
      <c r="M17" s="1039"/>
      <c r="N17" s="1039"/>
      <c r="O17" s="1059"/>
      <c r="P17" s="1059"/>
    </row>
    <row r="18" spans="1:18" ht="12.75" customHeight="1">
      <c r="H18" s="1059"/>
      <c r="I18" s="3477" t="s">
        <v>1623</v>
      </c>
      <c r="J18" s="1040"/>
      <c r="K18" s="1039"/>
      <c r="L18" s="1039"/>
      <c r="M18" s="1039"/>
      <c r="N18" s="1039"/>
      <c r="O18" s="1059"/>
      <c r="P18" s="1059"/>
    </row>
    <row r="19" spans="1:18" ht="12.75" customHeight="1">
      <c r="A19" s="1048" t="s">
        <v>1018</v>
      </c>
      <c r="B19" s="1038" t="s">
        <v>1251</v>
      </c>
      <c r="C19" s="1038"/>
      <c r="D19" s="1038"/>
      <c r="E19" s="1039"/>
      <c r="F19" s="1039"/>
      <c r="G19" s="1039"/>
      <c r="H19" s="1176"/>
      <c r="I19" s="1263"/>
      <c r="J19" s="1040"/>
      <c r="K19" s="1051"/>
      <c r="L19" s="1039"/>
      <c r="P19" s="3213"/>
    </row>
    <row r="20" spans="1:18" ht="12.95" customHeight="1">
      <c r="A20" s="1048"/>
      <c r="B20" s="1038" t="s">
        <v>1019</v>
      </c>
      <c r="C20" s="1038"/>
      <c r="D20" s="1038"/>
      <c r="E20" s="1039"/>
      <c r="F20" s="1039"/>
      <c r="G20" s="1039"/>
      <c r="H20" s="2925" t="s">
        <v>1030</v>
      </c>
      <c r="I20" s="1039" t="s">
        <v>1073</v>
      </c>
      <c r="J20" s="2989"/>
      <c r="K20" s="2996"/>
      <c r="L20" s="2988"/>
      <c r="M20" s="2992"/>
      <c r="N20" s="2992"/>
      <c r="O20" s="2990"/>
      <c r="P20" s="3213"/>
      <c r="Q20" s="2990"/>
    </row>
    <row r="21" spans="1:18" ht="12.75" customHeight="1">
      <c r="A21" s="1048"/>
      <c r="B21" s="1038"/>
      <c r="C21" s="1038"/>
      <c r="D21" s="1038"/>
      <c r="E21" s="1039"/>
      <c r="F21" s="1039"/>
      <c r="G21" s="1039"/>
      <c r="I21" s="1039" t="s">
        <v>1279</v>
      </c>
      <c r="J21" s="2989"/>
      <c r="K21" s="2996"/>
      <c r="L21" s="2988"/>
      <c r="M21" s="2992"/>
      <c r="N21" s="2992"/>
      <c r="O21" s="2990"/>
      <c r="P21" s="3213"/>
      <c r="Q21" s="2990"/>
    </row>
    <row r="22" spans="1:18" ht="13.7" customHeight="1">
      <c r="A22" s="1039"/>
      <c r="B22" s="1057" t="s">
        <v>1020</v>
      </c>
      <c r="C22" s="1057"/>
      <c r="D22" s="1038"/>
      <c r="E22" s="1039"/>
      <c r="F22" s="1039"/>
      <c r="G22" s="1039"/>
      <c r="I22" s="1039" t="s">
        <v>1285</v>
      </c>
      <c r="J22" s="1040"/>
      <c r="P22" s="3214"/>
    </row>
    <row r="23" spans="1:18" ht="12.75" customHeight="1">
      <c r="G23" s="1039"/>
      <c r="I23" s="1039" t="s">
        <v>1274</v>
      </c>
      <c r="J23" s="1040"/>
      <c r="K23" s="2900"/>
      <c r="P23" s="3215"/>
    </row>
    <row r="24" spans="1:18" ht="13.35" customHeight="1">
      <c r="C24" s="1040" t="s">
        <v>1021</v>
      </c>
      <c r="D24" s="1051"/>
      <c r="E24" s="1039"/>
      <c r="F24" s="1058">
        <v>216.1</v>
      </c>
      <c r="G24" s="1039" t="s">
        <v>1014</v>
      </c>
      <c r="I24" s="1039" t="s">
        <v>16</v>
      </c>
      <c r="J24" s="1040"/>
      <c r="K24" s="1038"/>
      <c r="P24" s="3215"/>
    </row>
    <row r="25" spans="1:18" ht="12.75" customHeight="1">
      <c r="A25" s="1039"/>
      <c r="B25" s="1040"/>
      <c r="C25" s="1040" t="s">
        <v>1022</v>
      </c>
      <c r="D25" s="1051"/>
      <c r="E25" s="1039"/>
      <c r="F25" s="1049">
        <v>293.3</v>
      </c>
      <c r="I25" s="2988" t="s">
        <v>1555</v>
      </c>
      <c r="J25" s="2989"/>
      <c r="K25" s="2987"/>
      <c r="L25" s="2992"/>
      <c r="M25" s="2992"/>
      <c r="N25" s="2992"/>
      <c r="O25" s="2990"/>
      <c r="P25" s="3215"/>
      <c r="Q25" s="2990"/>
    </row>
    <row r="26" spans="1:18" ht="12.75" customHeight="1">
      <c r="A26" s="2988"/>
      <c r="B26" s="2989"/>
      <c r="C26" s="2989" t="s">
        <v>1562</v>
      </c>
      <c r="D26" s="2996"/>
      <c r="E26" s="2988"/>
      <c r="F26" s="1049">
        <v>6</v>
      </c>
      <c r="G26" s="2993"/>
      <c r="I26" s="2988" t="s">
        <v>1556</v>
      </c>
      <c r="J26" s="2989"/>
      <c r="K26" s="2987"/>
      <c r="L26" s="2992"/>
      <c r="M26" s="2992"/>
      <c r="N26" s="2992"/>
      <c r="O26" s="2990"/>
      <c r="P26" s="3215"/>
      <c r="Q26" s="2990"/>
    </row>
    <row r="27" spans="1:18" ht="12.75" customHeight="1">
      <c r="A27" s="1039"/>
      <c r="B27" s="1040"/>
      <c r="C27" s="1040" t="s">
        <v>1027</v>
      </c>
      <c r="D27" s="1051"/>
      <c r="E27" s="1039"/>
      <c r="F27" s="1049">
        <v>66.7</v>
      </c>
      <c r="G27" s="1039"/>
      <c r="I27" s="1039" t="s">
        <v>1273</v>
      </c>
      <c r="J27" s="2989"/>
      <c r="K27" s="2987"/>
      <c r="L27" s="2992"/>
      <c r="M27" s="2992"/>
      <c r="N27" s="2992"/>
      <c r="O27" s="2990"/>
      <c r="P27" s="3215"/>
      <c r="Q27" s="2990"/>
    </row>
    <row r="28" spans="1:18" ht="12.95" customHeight="1">
      <c r="C28" s="2987" t="s">
        <v>1616</v>
      </c>
      <c r="D28" s="2987"/>
      <c r="E28" s="2988"/>
      <c r="F28" s="1049">
        <v>5</v>
      </c>
      <c r="J28" s="1040"/>
      <c r="K28" s="2626"/>
      <c r="L28" s="1039"/>
      <c r="P28" s="3215"/>
    </row>
    <row r="29" spans="1:18" ht="12.75" customHeight="1">
      <c r="A29" s="1039"/>
      <c r="B29" s="1040"/>
      <c r="C29" s="1040" t="s">
        <v>1479</v>
      </c>
      <c r="D29" s="2897"/>
      <c r="E29" s="2898"/>
      <c r="F29" s="1049">
        <v>1.4</v>
      </c>
      <c r="G29" s="1039"/>
      <c r="H29" s="2988"/>
      <c r="I29" s="2991"/>
      <c r="J29" s="3216"/>
      <c r="K29" s="3217"/>
      <c r="L29" s="3218"/>
      <c r="M29" s="2992"/>
      <c r="N29" s="3219"/>
      <c r="O29" s="3220" t="s">
        <v>1552</v>
      </c>
      <c r="P29" s="3221"/>
      <c r="Q29" s="3222"/>
      <c r="R29" s="1039"/>
    </row>
    <row r="30" spans="1:18" ht="12.75" customHeight="1">
      <c r="A30" s="1039"/>
      <c r="B30" s="1040"/>
      <c r="C30" s="1040" t="s">
        <v>1551</v>
      </c>
      <c r="D30" s="1051"/>
      <c r="E30" s="1039"/>
      <c r="F30" s="1049">
        <v>6.7</v>
      </c>
      <c r="H30" s="2988"/>
      <c r="I30" s="3223"/>
      <c r="J30" s="3216"/>
      <c r="K30" s="3217"/>
      <c r="L30" s="3218"/>
      <c r="M30" s="2992"/>
      <c r="N30" s="3220" t="s">
        <v>1007</v>
      </c>
      <c r="O30" s="3224"/>
      <c r="P30" s="3221" t="s">
        <v>1553</v>
      </c>
      <c r="Q30" s="3222"/>
      <c r="R30" s="1055"/>
    </row>
    <row r="31" spans="1:18" ht="12.75" customHeight="1">
      <c r="A31" s="1039"/>
      <c r="B31" s="1040"/>
      <c r="C31" s="2989" t="s">
        <v>1615</v>
      </c>
      <c r="D31" s="2996"/>
      <c r="E31" s="2988"/>
      <c r="F31" s="1049">
        <v>415</v>
      </c>
      <c r="G31" s="1039"/>
      <c r="I31" s="3223"/>
      <c r="J31" s="3216"/>
      <c r="K31" s="3225"/>
      <c r="L31" s="3218"/>
      <c r="N31" s="3226"/>
      <c r="O31" s="3227"/>
      <c r="P31" s="3228"/>
      <c r="Q31" s="3229"/>
    </row>
    <row r="32" spans="1:18" ht="12.95" customHeight="1">
      <c r="B32" s="2989"/>
      <c r="C32" s="1040" t="s">
        <v>1275</v>
      </c>
      <c r="D32" s="1051"/>
      <c r="E32" s="1039"/>
      <c r="F32" s="1049">
        <v>400</v>
      </c>
      <c r="G32" s="2988"/>
      <c r="I32" s="3230" t="s">
        <v>1032</v>
      </c>
      <c r="J32" s="3216"/>
      <c r="K32" s="3225"/>
      <c r="L32" s="3218"/>
      <c r="N32" s="3231">
        <v>0</v>
      </c>
      <c r="O32" s="3224"/>
      <c r="P32" s="3232">
        <v>3951670</v>
      </c>
      <c r="Q32" s="3229"/>
    </row>
    <row r="33" spans="1:20" ht="12.75" customHeight="1">
      <c r="A33" s="2993"/>
      <c r="B33" s="2989"/>
      <c r="C33" s="2989" t="s">
        <v>1614</v>
      </c>
      <c r="D33" s="2996"/>
      <c r="E33" s="2988"/>
      <c r="F33" s="1049">
        <v>14.9</v>
      </c>
      <c r="G33" s="2988"/>
      <c r="I33" s="3230" t="s">
        <v>1554</v>
      </c>
      <c r="J33" s="3216"/>
      <c r="K33" s="3217"/>
      <c r="L33" s="3218"/>
      <c r="N33" s="3233">
        <v>0</v>
      </c>
      <c r="O33" s="3224"/>
      <c r="P33" s="3234">
        <v>999317</v>
      </c>
      <c r="Q33" s="3235"/>
    </row>
    <row r="34" spans="1:20" ht="12.75" customHeight="1">
      <c r="A34" s="2993"/>
      <c r="B34" s="2989"/>
      <c r="C34" s="1040" t="s">
        <v>1028</v>
      </c>
      <c r="D34" s="1051"/>
      <c r="E34" s="1039"/>
      <c r="F34" s="1049">
        <v>64</v>
      </c>
      <c r="G34" s="2988"/>
      <c r="I34" s="3230" t="s">
        <v>1033</v>
      </c>
      <c r="J34" s="2987"/>
      <c r="K34" s="3236"/>
      <c r="L34" s="3218"/>
      <c r="N34" s="3237">
        <v>0</v>
      </c>
      <c r="O34" s="3238"/>
      <c r="P34" s="3239">
        <v>14853572</v>
      </c>
    </row>
    <row r="35" spans="1:20" ht="12.75" customHeight="1">
      <c r="A35" s="1039"/>
      <c r="C35" s="1040" t="s">
        <v>1029</v>
      </c>
      <c r="D35" s="1051"/>
      <c r="E35" s="1039"/>
      <c r="F35" s="1049">
        <v>4.5999999999999996</v>
      </c>
      <c r="H35" s="2988"/>
      <c r="I35" s="3230" t="s">
        <v>1034</v>
      </c>
      <c r="J35" s="2987"/>
      <c r="K35" s="3236"/>
      <c r="L35" s="3218"/>
      <c r="M35" s="2992"/>
      <c r="N35" s="3237">
        <v>236067</v>
      </c>
      <c r="O35" s="3224"/>
      <c r="P35" s="3240">
        <v>1286616</v>
      </c>
      <c r="Q35" s="2990"/>
    </row>
    <row r="36" spans="1:20" ht="12.75" customHeight="1">
      <c r="A36" s="1039"/>
      <c r="C36" s="1040" t="s">
        <v>1525</v>
      </c>
      <c r="D36" s="1051"/>
      <c r="E36" s="1039"/>
      <c r="F36" s="1049">
        <v>4.3</v>
      </c>
      <c r="I36" s="3230" t="s">
        <v>1035</v>
      </c>
      <c r="J36" s="2987"/>
      <c r="K36" s="3241"/>
      <c r="L36" s="3218"/>
      <c r="N36" s="3233">
        <v>0</v>
      </c>
      <c r="O36" s="3224"/>
      <c r="P36" s="3233">
        <v>0</v>
      </c>
      <c r="T36" s="1264"/>
    </row>
    <row r="37" spans="1:20" ht="12.75" customHeight="1">
      <c r="A37" s="1039"/>
      <c r="C37" s="1040" t="s">
        <v>1191</v>
      </c>
      <c r="D37" s="1051"/>
      <c r="E37" s="1039"/>
      <c r="F37" s="1049">
        <v>419.1</v>
      </c>
      <c r="I37" s="3230" t="s">
        <v>1212</v>
      </c>
      <c r="J37" s="2987"/>
      <c r="K37" s="3241"/>
      <c r="L37" s="3218"/>
      <c r="N37" s="3233">
        <v>0</v>
      </c>
      <c r="O37" s="3224"/>
      <c r="P37" s="3233">
        <v>0</v>
      </c>
      <c r="T37" s="1264"/>
    </row>
    <row r="38" spans="1:20" ht="12.95" customHeight="1" thickBot="1">
      <c r="A38" s="2988"/>
      <c r="C38" s="1040"/>
      <c r="D38" s="2899"/>
      <c r="E38" s="1039"/>
      <c r="F38" s="2802"/>
      <c r="I38" s="3230" t="s">
        <v>1036</v>
      </c>
      <c r="J38" s="3230"/>
      <c r="K38" s="3229"/>
      <c r="L38" s="3242"/>
      <c r="N38" s="3243">
        <f>SUM(N32:N37)</f>
        <v>236067</v>
      </c>
      <c r="O38" s="3244"/>
      <c r="P38" s="3245">
        <f>SUM(P32:P37)</f>
        <v>21091175</v>
      </c>
      <c r="T38" s="1264"/>
    </row>
    <row r="39" spans="1:20" ht="12.75" customHeight="1" thickTop="1">
      <c r="B39" s="1040" t="s">
        <v>1031</v>
      </c>
      <c r="C39" s="2989"/>
      <c r="D39" s="2899"/>
      <c r="E39" s="2988"/>
      <c r="F39" s="2802"/>
      <c r="G39" s="2993"/>
      <c r="I39" s="1040"/>
      <c r="J39" s="1040"/>
      <c r="K39" s="2626"/>
      <c r="L39" s="1039"/>
      <c r="P39" s="3214"/>
      <c r="T39" s="1264"/>
    </row>
    <row r="40" spans="1:20" ht="12.75" customHeight="1">
      <c r="A40" s="1039"/>
      <c r="B40" s="2988" t="s">
        <v>1617</v>
      </c>
      <c r="C40" s="1040"/>
      <c r="D40" s="2899"/>
      <c r="E40" s="1039"/>
      <c r="F40" s="2802"/>
      <c r="H40" s="1048" t="s">
        <v>1225</v>
      </c>
      <c r="I40" s="1063" t="s">
        <v>1561</v>
      </c>
      <c r="K40" s="2626"/>
      <c r="L40" s="1039"/>
      <c r="P40" s="3214"/>
      <c r="T40" s="1264"/>
    </row>
    <row r="41" spans="1:20" ht="12.75" customHeight="1">
      <c r="A41" s="2988"/>
      <c r="B41" s="2988" t="s">
        <v>1618</v>
      </c>
      <c r="C41" s="2989"/>
      <c r="D41" s="2899"/>
      <c r="E41" s="2988"/>
      <c r="F41" s="2802"/>
      <c r="G41" s="2993"/>
      <c r="H41" s="1035"/>
      <c r="I41" s="1063" t="s">
        <v>1560</v>
      </c>
      <c r="J41" s="2989"/>
      <c r="K41" s="2626"/>
      <c r="L41" s="2988"/>
      <c r="M41" s="2992"/>
      <c r="N41" s="2992"/>
      <c r="O41" s="2990"/>
      <c r="P41" s="3214"/>
      <c r="Q41" s="2990"/>
      <c r="T41" s="1264"/>
    </row>
    <row r="42" spans="1:20" ht="12.75" customHeight="1">
      <c r="B42" s="2988" t="s">
        <v>1630</v>
      </c>
      <c r="I42" s="1063" t="s">
        <v>16</v>
      </c>
      <c r="J42" s="1040"/>
      <c r="K42" s="2626"/>
      <c r="L42" s="1039"/>
      <c r="P42" s="3214"/>
      <c r="T42" s="1264"/>
    </row>
    <row r="43" spans="1:20" ht="12.75" customHeight="1">
      <c r="A43" s="1039"/>
      <c r="H43" s="3260" t="s">
        <v>1559</v>
      </c>
      <c r="I43" s="3261" t="s">
        <v>1564</v>
      </c>
      <c r="J43" s="2991"/>
      <c r="K43" s="2626"/>
      <c r="L43" s="1039"/>
      <c r="P43" s="3214"/>
    </row>
    <row r="44" spans="1:20" ht="13.5" customHeight="1">
      <c r="B44" s="1063" t="s">
        <v>1253</v>
      </c>
      <c r="H44" s="3259"/>
      <c r="I44" s="2989" t="s">
        <v>1587</v>
      </c>
      <c r="J44" s="1040"/>
      <c r="K44" s="2626"/>
      <c r="L44" s="1039"/>
      <c r="P44" s="3214"/>
    </row>
    <row r="45" spans="1:20" ht="13.5" customHeight="1">
      <c r="A45" s="1039"/>
      <c r="B45" s="1039" t="s">
        <v>1254</v>
      </c>
      <c r="C45" s="1040"/>
      <c r="D45" s="1051"/>
      <c r="E45" s="1039"/>
      <c r="F45" s="1049"/>
      <c r="H45" s="1048"/>
      <c r="I45" s="3261" t="s">
        <v>1580</v>
      </c>
      <c r="J45" s="2989"/>
      <c r="K45" s="2626"/>
      <c r="L45" s="2988"/>
      <c r="M45" s="2992"/>
      <c r="N45" s="2992"/>
      <c r="O45" s="2990"/>
      <c r="P45" s="3214"/>
      <c r="Q45" s="2990"/>
    </row>
    <row r="46" spans="1:20" ht="12.75" customHeight="1">
      <c r="A46" s="1039"/>
      <c r="B46" s="2988" t="s">
        <v>1602</v>
      </c>
      <c r="I46" s="3261" t="s">
        <v>1584</v>
      </c>
    </row>
    <row r="47" spans="1:20" ht="12.75" customHeight="1">
      <c r="A47" s="1039"/>
      <c r="B47" s="2988" t="s">
        <v>1603</v>
      </c>
      <c r="C47" s="1040"/>
      <c r="D47" s="1051"/>
      <c r="E47" s="1039"/>
      <c r="F47" s="1049"/>
      <c r="I47" s="3261" t="s">
        <v>1581</v>
      </c>
    </row>
    <row r="48" spans="1:20" ht="12.95" customHeight="1">
      <c r="A48" s="1039"/>
      <c r="B48" s="2988" t="s">
        <v>16</v>
      </c>
      <c r="H48" s="1262"/>
      <c r="I48" s="2989" t="s">
        <v>1582</v>
      </c>
    </row>
    <row r="49" spans="1:21" ht="12.75" customHeight="1">
      <c r="C49" s="1040"/>
      <c r="D49" s="1051"/>
      <c r="E49" s="1039"/>
      <c r="F49" s="1049"/>
      <c r="I49" s="2989" t="s">
        <v>1583</v>
      </c>
      <c r="S49" s="1037"/>
    </row>
    <row r="50" spans="1:21" ht="12.75" customHeight="1">
      <c r="A50" s="2993"/>
      <c r="B50" s="1067" t="s">
        <v>1457</v>
      </c>
      <c r="C50" s="2994"/>
      <c r="D50" s="2995"/>
      <c r="E50" s="2992"/>
      <c r="F50" s="2993"/>
      <c r="G50" s="2993"/>
      <c r="I50" s="2989" t="s">
        <v>1585</v>
      </c>
      <c r="R50" s="1060"/>
      <c r="S50" s="1061"/>
      <c r="T50" s="1264"/>
      <c r="U50" s="1264"/>
    </row>
    <row r="51" spans="1:21" ht="12.75" customHeight="1">
      <c r="A51" s="1039"/>
      <c r="B51" s="2988" t="s">
        <v>1619</v>
      </c>
      <c r="C51" s="2994"/>
      <c r="D51" s="2995"/>
      <c r="E51" s="2992"/>
      <c r="F51" s="2993"/>
      <c r="G51" s="2993"/>
      <c r="I51" s="2989" t="s">
        <v>1586</v>
      </c>
      <c r="R51" s="1042"/>
      <c r="S51" s="1062"/>
      <c r="T51" s="1264"/>
      <c r="U51" s="1264"/>
    </row>
    <row r="52" spans="1:21" ht="12.75" customHeight="1">
      <c r="A52" s="2988"/>
      <c r="B52" s="2988" t="s">
        <v>1563</v>
      </c>
      <c r="C52" s="2994"/>
      <c r="D52" s="2995"/>
      <c r="E52" s="2992"/>
      <c r="F52" s="2993"/>
      <c r="G52" s="2993"/>
      <c r="I52" s="3262" t="s">
        <v>16</v>
      </c>
      <c r="Q52" s="1052"/>
      <c r="R52" s="1039"/>
      <c r="T52" s="1264"/>
      <c r="U52" s="1264"/>
    </row>
    <row r="53" spans="1:21" ht="12.75" customHeight="1">
      <c r="A53" s="1039"/>
      <c r="B53" s="1046"/>
      <c r="C53" s="1046"/>
      <c r="D53" s="1047"/>
      <c r="F53" s="1047"/>
      <c r="G53" s="1047"/>
      <c r="H53" s="3479" t="s">
        <v>1626</v>
      </c>
      <c r="I53" s="3480" t="s">
        <v>1624</v>
      </c>
      <c r="Q53" s="1176"/>
      <c r="R53" s="1064"/>
      <c r="T53" s="1264"/>
      <c r="U53" s="1264"/>
    </row>
    <row r="54" spans="1:21" ht="12.75" customHeight="1">
      <c r="A54" s="1039"/>
      <c r="B54" s="1039" t="s">
        <v>1250</v>
      </c>
      <c r="C54" s="1039"/>
      <c r="D54" s="1039"/>
      <c r="E54" s="1039"/>
      <c r="F54" s="1039"/>
      <c r="H54" s="3478"/>
      <c r="I54" s="3480" t="s">
        <v>1625</v>
      </c>
      <c r="Q54" s="1176"/>
      <c r="R54" s="1065"/>
    </row>
    <row r="55" spans="1:21" s="2990" customFormat="1" ht="12.75" customHeight="1">
      <c r="A55" s="2988"/>
      <c r="B55" s="2988"/>
      <c r="C55" s="2988"/>
      <c r="D55" s="2988"/>
      <c r="E55" s="2988"/>
      <c r="F55" s="2988"/>
      <c r="G55" s="2993"/>
      <c r="H55" s="3478"/>
      <c r="I55" s="3480" t="s">
        <v>1631</v>
      </c>
      <c r="J55" s="2991"/>
      <c r="K55" s="2992"/>
      <c r="L55" s="2992"/>
      <c r="M55" s="2992"/>
      <c r="N55" s="2992"/>
      <c r="Q55" s="2993"/>
      <c r="R55" s="2999"/>
    </row>
    <row r="56" spans="1:21" s="1059" customFormat="1" ht="12.75" customHeight="1">
      <c r="A56" s="2988"/>
      <c r="B56" s="2987"/>
      <c r="C56" s="2987" t="s">
        <v>1620</v>
      </c>
      <c r="D56" s="2987"/>
      <c r="E56" s="2988"/>
      <c r="F56" s="1058">
        <v>292.89999999999998</v>
      </c>
      <c r="G56" s="2988" t="s">
        <v>1014</v>
      </c>
      <c r="H56" s="3481"/>
      <c r="I56" s="3477" t="s">
        <v>1627</v>
      </c>
      <c r="J56" s="2989"/>
      <c r="K56" s="2988"/>
      <c r="L56" s="2988"/>
      <c r="M56" s="2988"/>
      <c r="N56" s="2988"/>
      <c r="R56" s="2999"/>
    </row>
    <row r="57" spans="1:21" ht="12.75" customHeight="1">
      <c r="A57" s="1039"/>
      <c r="C57" s="1040" t="s">
        <v>1298</v>
      </c>
      <c r="D57" s="1051"/>
      <c r="E57" s="1039"/>
      <c r="F57" s="1049">
        <v>6</v>
      </c>
      <c r="G57" s="1039"/>
      <c r="R57" s="1065"/>
    </row>
    <row r="58" spans="1:21" ht="12.75" customHeight="1">
      <c r="B58" s="1059"/>
      <c r="C58" s="1040" t="s">
        <v>1456</v>
      </c>
      <c r="D58" s="1051"/>
      <c r="E58" s="1039"/>
      <c r="F58" s="3215">
        <v>12.4</v>
      </c>
      <c r="G58" s="1262"/>
      <c r="R58" s="1065"/>
    </row>
    <row r="59" spans="1:21" s="2990" customFormat="1" ht="12.75" customHeight="1">
      <c r="A59" s="1176"/>
      <c r="B59" s="1263"/>
      <c r="C59" s="1263"/>
      <c r="D59" s="1050"/>
      <c r="E59" s="1047"/>
      <c r="F59" s="1176"/>
      <c r="G59" s="1176"/>
      <c r="H59" s="1039"/>
      <c r="Q59" s="1262"/>
      <c r="R59" s="2999"/>
    </row>
    <row r="60" spans="1:21" ht="12.75" customHeight="1">
      <c r="B60" s="2990"/>
      <c r="C60" s="1040"/>
      <c r="R60" s="1065"/>
    </row>
    <row r="61" spans="1:21" ht="12.75" customHeight="1">
      <c r="R61" s="1065"/>
    </row>
    <row r="62" spans="1:21" ht="12.75" customHeight="1">
      <c r="R62" s="1065"/>
    </row>
    <row r="63" spans="1:21" ht="12.75" customHeight="1">
      <c r="R63" s="1065"/>
    </row>
    <row r="64" spans="1:21" ht="12.75" customHeight="1">
      <c r="H64" s="2925"/>
      <c r="I64" s="1039"/>
      <c r="J64" s="1040"/>
      <c r="K64" s="1039"/>
      <c r="L64" s="1039"/>
      <c r="M64" s="1039"/>
      <c r="N64" s="1039"/>
      <c r="O64" s="1059"/>
      <c r="P64" s="1059"/>
      <c r="R64" s="1065"/>
    </row>
    <row r="65" spans="1:18" ht="12.75" customHeight="1">
      <c r="G65" s="1047"/>
      <c r="I65" s="1039"/>
      <c r="J65" s="1040"/>
      <c r="K65" s="1039"/>
      <c r="L65" s="1039"/>
      <c r="M65" s="1039"/>
      <c r="N65" s="1039"/>
      <c r="O65" s="1059"/>
      <c r="P65" s="1059"/>
      <c r="R65" s="1068"/>
    </row>
    <row r="66" spans="1:18" ht="12.75" customHeight="1">
      <c r="G66" s="2992"/>
      <c r="I66" s="1039"/>
      <c r="J66" s="1040"/>
      <c r="K66" s="1039"/>
      <c r="L66" s="1039"/>
      <c r="M66" s="1039"/>
      <c r="N66" s="1039"/>
      <c r="O66" s="1059"/>
      <c r="P66" s="1059"/>
      <c r="R66" s="1068"/>
    </row>
    <row r="67" spans="1:18" s="1059" customFormat="1" ht="12.75" customHeight="1">
      <c r="A67" s="1176"/>
      <c r="B67" s="1263"/>
      <c r="C67" s="1263"/>
      <c r="D67" s="1050"/>
      <c r="E67" s="1047"/>
      <c r="F67" s="1176"/>
      <c r="G67" s="1176"/>
      <c r="H67" s="1039"/>
      <c r="I67" s="1039"/>
      <c r="J67" s="1040"/>
      <c r="K67" s="1039"/>
      <c r="L67" s="1039"/>
      <c r="M67" s="1039"/>
      <c r="N67" s="1039"/>
      <c r="Q67" s="1262"/>
      <c r="R67" s="1068"/>
    </row>
    <row r="68" spans="1:18" s="1059" customFormat="1" ht="12.75" customHeight="1">
      <c r="A68" s="1176"/>
      <c r="B68" s="1039" t="s">
        <v>16</v>
      </c>
      <c r="C68" s="1263"/>
      <c r="D68" s="1050"/>
      <c r="E68" s="1047"/>
      <c r="F68" s="1176"/>
      <c r="G68" s="1176"/>
      <c r="H68" s="1039"/>
      <c r="I68" s="1039"/>
      <c r="J68" s="1040"/>
      <c r="K68" s="1039"/>
      <c r="L68" s="1039"/>
      <c r="M68" s="1039"/>
      <c r="N68" s="1039"/>
      <c r="Q68" s="1262"/>
    </row>
    <row r="69" spans="1:18" ht="12.75" customHeight="1">
      <c r="I69" s="1039"/>
      <c r="J69" s="1040"/>
      <c r="K69" s="1039"/>
      <c r="L69" s="1039"/>
      <c r="M69" s="1039"/>
      <c r="N69" s="1039"/>
      <c r="O69" s="1059"/>
      <c r="P69" s="1059"/>
    </row>
    <row r="70" spans="1:18" ht="12.75" customHeight="1">
      <c r="G70" s="2993"/>
      <c r="Q70" s="1059"/>
    </row>
    <row r="71" spans="1:18" ht="12.75" customHeight="1">
      <c r="C71" s="1040"/>
      <c r="D71" s="1039"/>
      <c r="E71" s="1039"/>
      <c r="F71" s="1039"/>
      <c r="N71" s="1618"/>
      <c r="O71" s="1060"/>
      <c r="P71" s="1060"/>
      <c r="Q71" s="1059"/>
    </row>
    <row r="72" spans="1:18" ht="12.75" customHeight="1">
      <c r="C72" s="1040"/>
      <c r="D72" s="1039"/>
      <c r="E72" s="1039"/>
      <c r="F72" s="1039"/>
      <c r="G72" s="1039"/>
      <c r="H72" s="1262"/>
      <c r="I72" s="1262"/>
      <c r="N72" s="1066"/>
      <c r="O72" s="1176"/>
      <c r="P72" s="1060"/>
      <c r="Q72" s="1059"/>
    </row>
    <row r="73" spans="1:18" ht="12.75" customHeight="1">
      <c r="C73" s="1040"/>
      <c r="D73" s="1039"/>
      <c r="E73" s="1039"/>
      <c r="F73" s="1039"/>
      <c r="G73" s="1039"/>
      <c r="H73" s="1262"/>
      <c r="I73" s="1262"/>
      <c r="N73" s="2800"/>
      <c r="O73" s="2801"/>
      <c r="P73" s="2800"/>
      <c r="Q73" s="1059"/>
    </row>
    <row r="74" spans="1:18" ht="12.75" customHeight="1">
      <c r="C74" s="1040"/>
      <c r="D74" s="1039"/>
      <c r="E74" s="1039"/>
      <c r="F74" s="1039"/>
      <c r="G74" s="1039"/>
      <c r="H74" s="1262"/>
      <c r="I74" s="1039"/>
      <c r="N74" s="2803"/>
      <c r="O74" s="1176"/>
      <c r="P74" s="2803"/>
      <c r="Q74" s="1059"/>
    </row>
    <row r="75" spans="1:18" ht="12.75" customHeight="1">
      <c r="C75" s="1040"/>
      <c r="D75" s="1039"/>
      <c r="E75" s="1039"/>
      <c r="F75" s="1039"/>
      <c r="G75" s="1039"/>
      <c r="H75" s="1058"/>
      <c r="I75" s="1039"/>
      <c r="N75" s="2804"/>
      <c r="O75" s="1176"/>
      <c r="P75" s="2910"/>
      <c r="Q75" s="1059"/>
    </row>
    <row r="76" spans="1:18" ht="12.75" customHeight="1">
      <c r="C76" s="1040"/>
      <c r="D76" s="1039"/>
      <c r="E76" s="1039"/>
      <c r="F76" s="1039"/>
      <c r="G76" s="1039"/>
      <c r="H76" s="1054"/>
      <c r="I76" s="1039"/>
      <c r="J76" s="1039"/>
      <c r="K76" s="1039"/>
      <c r="N76" s="2805"/>
      <c r="O76" s="2806"/>
      <c r="P76" s="2805"/>
    </row>
    <row r="77" spans="1:18" ht="12.75" customHeight="1">
      <c r="C77" s="1040"/>
      <c r="D77" s="1039"/>
      <c r="E77" s="1039"/>
      <c r="F77" s="1039"/>
      <c r="G77" s="1039"/>
      <c r="H77" s="2997"/>
      <c r="I77" s="2988"/>
      <c r="J77" s="2988"/>
      <c r="K77" s="2988"/>
      <c r="L77" s="2992"/>
      <c r="M77" s="2992"/>
      <c r="N77" s="3000"/>
      <c r="O77" s="3001"/>
      <c r="P77" s="3000"/>
      <c r="Q77" s="2990"/>
    </row>
    <row r="78" spans="1:18" ht="12.75" customHeight="1">
      <c r="C78" s="1040"/>
      <c r="D78" s="1039"/>
      <c r="E78" s="1039"/>
      <c r="F78" s="1039"/>
      <c r="G78" s="1039"/>
      <c r="H78" s="1054"/>
      <c r="I78" s="1039"/>
      <c r="J78" s="1039"/>
      <c r="K78" s="1039"/>
      <c r="N78" s="2805"/>
      <c r="O78" s="1176"/>
      <c r="P78" s="2804"/>
    </row>
    <row r="79" spans="1:18" ht="12.75" customHeight="1">
      <c r="A79" s="1039"/>
      <c r="B79" s="1046"/>
      <c r="C79" s="1046"/>
      <c r="D79" s="1047"/>
      <c r="F79" s="1047"/>
      <c r="G79" s="1047"/>
      <c r="H79" s="1059"/>
      <c r="I79" s="1059"/>
      <c r="J79" s="1262"/>
    </row>
    <row r="80" spans="1:18" ht="12.75" customHeight="1">
      <c r="A80" s="1262"/>
      <c r="B80" s="1262"/>
      <c r="C80" s="1039"/>
      <c r="D80" s="1063"/>
      <c r="E80" s="1063"/>
      <c r="F80" s="1069"/>
      <c r="H80" s="1262"/>
      <c r="I80" s="1262"/>
      <c r="J80" s="1059"/>
    </row>
    <row r="81" spans="1:18" ht="12.75" customHeight="1">
      <c r="A81" s="1262"/>
      <c r="B81" s="1262"/>
      <c r="C81" s="1039"/>
      <c r="D81" s="1063"/>
      <c r="E81" s="1063"/>
      <c r="F81" s="1069"/>
      <c r="H81" s="2998"/>
      <c r="I81" s="1060"/>
      <c r="J81" s="1059"/>
    </row>
    <row r="82" spans="1:18" ht="12.75" customHeight="1">
      <c r="A82" s="1262"/>
      <c r="B82" s="1262"/>
      <c r="C82" s="1039"/>
      <c r="D82" s="1063"/>
      <c r="E82" s="1063"/>
      <c r="F82" s="1069"/>
      <c r="H82" s="2801"/>
      <c r="I82" s="2985"/>
      <c r="J82" s="1059"/>
    </row>
    <row r="83" spans="1:18" ht="12.75" customHeight="1">
      <c r="A83" s="1262"/>
      <c r="B83" s="1262"/>
      <c r="C83" s="1039"/>
      <c r="D83" s="1063"/>
      <c r="E83" s="1063"/>
      <c r="F83" s="1069"/>
      <c r="H83" s="1176"/>
      <c r="I83" s="2984" t="s">
        <v>16</v>
      </c>
      <c r="J83" s="1059"/>
    </row>
    <row r="84" spans="1:18" ht="12.75" customHeight="1">
      <c r="A84" s="1262"/>
      <c r="B84" s="1262"/>
      <c r="C84" s="1046"/>
      <c r="D84" s="1047"/>
      <c r="F84" s="1047"/>
      <c r="G84" s="1047"/>
      <c r="H84" s="1176"/>
      <c r="I84" s="2983" t="s">
        <v>16</v>
      </c>
      <c r="J84" s="1059"/>
    </row>
    <row r="85" spans="1:18" ht="12.75" customHeight="1">
      <c r="A85" s="1262"/>
      <c r="B85" s="1262"/>
      <c r="C85" s="1046"/>
      <c r="D85" s="1047"/>
      <c r="F85" s="1047"/>
      <c r="G85" s="1047"/>
      <c r="H85" s="2806"/>
      <c r="I85" s="2982" t="s">
        <v>16</v>
      </c>
      <c r="J85" s="1262"/>
    </row>
    <row r="86" spans="1:18" ht="12.75" customHeight="1">
      <c r="A86" s="1262"/>
      <c r="B86" s="1262"/>
      <c r="C86" s="1046"/>
      <c r="D86" s="1047"/>
      <c r="F86" s="1047"/>
      <c r="G86" s="1047"/>
      <c r="H86" s="1176"/>
      <c r="I86" s="2981" t="s">
        <v>16</v>
      </c>
      <c r="J86" s="1262"/>
    </row>
    <row r="87" spans="1:18" ht="12.75" customHeight="1">
      <c r="A87" s="1262"/>
      <c r="B87" s="1262"/>
      <c r="C87" s="1046"/>
      <c r="D87" s="1047"/>
      <c r="F87" s="1047"/>
      <c r="G87" s="1047"/>
      <c r="H87" s="1176"/>
      <c r="I87" s="2981" t="s">
        <v>16</v>
      </c>
      <c r="J87" s="1262"/>
    </row>
    <row r="88" spans="1:18" ht="12.75" customHeight="1">
      <c r="A88" s="1262"/>
      <c r="B88" s="1262"/>
      <c r="C88" s="1046"/>
      <c r="D88" s="1047"/>
      <c r="F88" s="1047"/>
      <c r="G88" s="1047"/>
      <c r="H88" s="1176"/>
      <c r="I88" s="2981" t="s">
        <v>16</v>
      </c>
      <c r="J88" s="1262"/>
    </row>
    <row r="89" spans="1:18" ht="20.100000000000001" customHeight="1">
      <c r="A89" s="1039"/>
      <c r="B89" s="1040" t="s">
        <v>16</v>
      </c>
      <c r="C89" s="1040"/>
      <c r="D89" s="1039"/>
      <c r="E89" s="1039"/>
      <c r="F89" s="1039"/>
      <c r="G89" s="1039"/>
      <c r="H89" s="2807"/>
      <c r="I89" s="2986" t="s">
        <v>16</v>
      </c>
      <c r="J89" s="1262"/>
    </row>
    <row r="90" spans="1:18" ht="20.100000000000001" customHeight="1">
      <c r="A90" s="1350"/>
      <c r="B90" s="1081"/>
      <c r="C90" s="1080"/>
      <c r="D90" s="1081"/>
      <c r="E90" s="1081"/>
      <c r="F90" s="1082"/>
      <c r="G90" s="1268"/>
    </row>
    <row r="91" spans="1:18" ht="20.100000000000001" customHeight="1">
      <c r="A91" s="1080"/>
      <c r="B91" s="1081"/>
      <c r="C91" s="1080"/>
      <c r="D91" s="1081"/>
      <c r="E91" s="1081"/>
      <c r="F91" s="1082"/>
      <c r="G91" s="1268"/>
      <c r="I91" s="1059"/>
      <c r="K91" s="1039"/>
      <c r="L91" s="1039"/>
      <c r="M91" s="1039"/>
      <c r="N91" s="1039"/>
      <c r="O91" s="1059"/>
      <c r="P91" s="1043"/>
    </row>
    <row r="92" spans="1:18" ht="18" customHeight="1">
      <c r="A92" s="1080"/>
      <c r="B92" s="1081"/>
      <c r="C92" s="1080"/>
      <c r="D92" s="1352"/>
      <c r="E92" s="1080"/>
      <c r="F92" s="1080"/>
      <c r="G92" s="1268"/>
      <c r="H92" s="1262"/>
      <c r="I92" s="1262"/>
      <c r="J92" s="1059"/>
      <c r="K92" s="1039"/>
      <c r="L92" s="1039"/>
      <c r="M92" s="1039"/>
      <c r="N92" s="1039"/>
      <c r="O92" s="1059"/>
      <c r="P92" s="1043"/>
    </row>
    <row r="93" spans="1:18" ht="12" customHeight="1">
      <c r="A93" s="1268"/>
      <c r="B93" s="1081"/>
      <c r="C93" s="1353"/>
      <c r="D93" s="1354"/>
      <c r="E93" s="1355"/>
      <c r="F93" s="1354"/>
      <c r="G93" s="1268"/>
      <c r="H93" s="1262"/>
      <c r="I93" s="1262"/>
      <c r="J93" s="1059"/>
      <c r="K93" s="1039"/>
      <c r="L93" s="1039"/>
      <c r="M93" s="1039"/>
      <c r="N93" s="1039"/>
      <c r="O93" s="1059"/>
      <c r="P93" s="1043"/>
      <c r="R93" s="1043"/>
    </row>
    <row r="94" spans="1:18" ht="12.75" customHeight="1">
      <c r="A94" s="1268"/>
      <c r="B94" s="1081"/>
      <c r="C94" s="1353"/>
      <c r="D94" s="1081"/>
      <c r="E94" s="1081"/>
      <c r="F94" s="1081"/>
      <c r="G94" s="1268"/>
      <c r="H94" s="1262"/>
      <c r="I94" s="1262"/>
      <c r="J94" s="1059"/>
      <c r="K94" s="1039"/>
      <c r="L94" s="1039"/>
      <c r="M94" s="1039"/>
      <c r="N94" s="1039"/>
      <c r="O94" s="1059"/>
      <c r="P94" s="1043"/>
      <c r="R94" s="1043"/>
    </row>
    <row r="95" spans="1:18" ht="12.75" customHeight="1">
      <c r="A95" s="1268"/>
      <c r="B95" s="1081"/>
      <c r="C95" s="1353"/>
      <c r="D95" s="1081"/>
      <c r="E95" s="1081"/>
      <c r="F95" s="1081"/>
      <c r="G95" s="1268"/>
      <c r="H95" s="1262"/>
      <c r="I95" s="1262"/>
      <c r="J95" s="1059"/>
      <c r="K95" s="1039"/>
      <c r="L95" s="1039"/>
      <c r="M95" s="1039"/>
      <c r="N95" s="1039"/>
      <c r="O95" s="1059"/>
      <c r="P95" s="1043"/>
      <c r="Q95" s="1059"/>
      <c r="R95" s="1043"/>
    </row>
    <row r="96" spans="1:18" ht="12.75" customHeight="1">
      <c r="A96" s="1268"/>
      <c r="B96" s="1081"/>
      <c r="C96" s="1353"/>
      <c r="D96" s="1356"/>
      <c r="E96" s="1081"/>
      <c r="F96" s="1356"/>
      <c r="G96" s="1268"/>
      <c r="H96" s="1262"/>
      <c r="I96" s="1262"/>
      <c r="J96" s="1059"/>
      <c r="K96" s="1039"/>
      <c r="L96" s="1039"/>
      <c r="M96" s="1039"/>
      <c r="N96" s="1039"/>
      <c r="O96" s="1059"/>
      <c r="P96" s="1043"/>
      <c r="Q96" s="1059"/>
      <c r="R96" s="1043"/>
    </row>
    <row r="97" spans="1:19" ht="12.75" customHeight="1">
      <c r="A97" s="1268"/>
      <c r="B97" s="1081"/>
      <c r="C97" s="1267"/>
      <c r="D97" s="1357"/>
      <c r="E97" s="1081"/>
      <c r="F97" s="1357"/>
      <c r="G97" s="1268"/>
      <c r="H97" s="1262"/>
      <c r="I97" s="1262"/>
      <c r="J97" s="1059"/>
      <c r="K97" s="1039"/>
      <c r="L97" s="1039"/>
      <c r="M97" s="1039"/>
      <c r="N97" s="1039"/>
      <c r="O97" s="1059"/>
      <c r="P97" s="1043"/>
      <c r="Q97" s="1059"/>
      <c r="R97" s="1043"/>
    </row>
    <row r="98" spans="1:19" ht="12.75" customHeight="1">
      <c r="A98" s="1268"/>
      <c r="B98" s="1081"/>
      <c r="C98" s="1267"/>
      <c r="D98" s="1357"/>
      <c r="E98" s="1081"/>
      <c r="F98" s="1357"/>
      <c r="G98" s="1268"/>
      <c r="H98" s="1262"/>
      <c r="I98" s="1262"/>
      <c r="J98" s="1262"/>
      <c r="K98" s="1039"/>
      <c r="L98" s="1039"/>
      <c r="M98" s="1039"/>
      <c r="N98" s="1039"/>
      <c r="O98" s="1059"/>
      <c r="P98" s="1043"/>
      <c r="Q98" s="1059"/>
      <c r="R98" s="1043"/>
    </row>
    <row r="99" spans="1:19" ht="12.75" customHeight="1">
      <c r="A99" s="1268"/>
      <c r="B99" s="1081"/>
      <c r="C99" s="1267"/>
      <c r="D99" s="1356"/>
      <c r="E99" s="1081"/>
      <c r="F99" s="1356"/>
      <c r="G99" s="1268"/>
      <c r="H99" s="1262"/>
      <c r="I99" s="1262"/>
      <c r="J99" s="1262"/>
      <c r="K99" s="1039"/>
      <c r="L99" s="1039"/>
      <c r="M99" s="1039"/>
      <c r="N99" s="1039"/>
      <c r="O99" s="1059"/>
      <c r="P99" s="1043"/>
      <c r="Q99" s="1059"/>
      <c r="R99" s="1043"/>
    </row>
    <row r="100" spans="1:19" ht="12.75" customHeight="1">
      <c r="A100" s="1349"/>
      <c r="B100" s="1081"/>
      <c r="C100" s="1081"/>
      <c r="D100" s="1081"/>
      <c r="E100" s="1357"/>
      <c r="F100" s="1357"/>
      <c r="G100" s="1356"/>
      <c r="H100" s="1262"/>
      <c r="I100" s="1262"/>
      <c r="J100" s="1262"/>
      <c r="K100" s="1039"/>
      <c r="L100" s="1039"/>
      <c r="M100" s="1039"/>
      <c r="N100" s="1039"/>
      <c r="O100" s="1059"/>
      <c r="Q100" s="1059"/>
      <c r="R100" s="1043"/>
    </row>
    <row r="101" spans="1:19" ht="12.75" customHeight="1">
      <c r="A101" s="1080"/>
      <c r="B101" s="1081"/>
      <c r="C101" s="1081"/>
      <c r="D101" s="1081"/>
      <c r="E101" s="1357"/>
      <c r="F101" s="1357"/>
      <c r="G101" s="1356"/>
      <c r="H101" s="1059"/>
      <c r="I101" s="1059"/>
      <c r="J101" s="1059"/>
      <c r="K101" s="1039"/>
      <c r="L101" s="1039"/>
      <c r="M101" s="1039"/>
      <c r="N101" s="1039"/>
      <c r="O101" s="1059"/>
      <c r="Q101" s="1059"/>
      <c r="R101" s="1043"/>
    </row>
    <row r="102" spans="1:19" ht="12.75" customHeight="1">
      <c r="B102" s="1063"/>
      <c r="C102" s="1063"/>
      <c r="D102" s="1063"/>
      <c r="E102" s="1071"/>
      <c r="F102" s="1071"/>
      <c r="G102" s="1070"/>
      <c r="H102" s="1351"/>
      <c r="L102" s="1037"/>
      <c r="M102" s="1037"/>
      <c r="N102" s="1037"/>
      <c r="O102" s="1037"/>
      <c r="R102" s="1043"/>
    </row>
    <row r="103" spans="1:19" ht="12.75" customHeight="1">
      <c r="B103" s="1063"/>
      <c r="C103" s="1063"/>
      <c r="D103" s="1063"/>
      <c r="E103" s="1071"/>
      <c r="F103" s="1071"/>
      <c r="G103" s="1070"/>
      <c r="H103" s="1351"/>
      <c r="L103" s="1037"/>
      <c r="M103" s="1037"/>
      <c r="N103" s="1037"/>
      <c r="O103" s="1037"/>
      <c r="R103" s="1043"/>
    </row>
    <row r="104" spans="1:19" ht="12.75" customHeight="1">
      <c r="E104" s="1074"/>
      <c r="F104" s="1265"/>
      <c r="G104" s="1266"/>
      <c r="H104" s="1351"/>
      <c r="L104" s="1037"/>
      <c r="M104" s="1037"/>
      <c r="N104" s="1037"/>
      <c r="O104" s="1037"/>
      <c r="R104" s="1043"/>
    </row>
    <row r="105" spans="1:19" ht="12.75" customHeight="1">
      <c r="H105" s="1351"/>
      <c r="L105" s="1037"/>
      <c r="M105" s="1037"/>
      <c r="N105" s="1037"/>
      <c r="O105" s="1037"/>
      <c r="R105" s="1043"/>
    </row>
    <row r="106" spans="1:19" ht="12.75" customHeight="1">
      <c r="H106" s="1351"/>
      <c r="L106" s="1037"/>
      <c r="M106" s="1037"/>
      <c r="N106" s="1037"/>
      <c r="O106" s="1037"/>
      <c r="R106" s="1043"/>
    </row>
    <row r="107" spans="1:19" ht="12.75" customHeight="1">
      <c r="A107" s="1039"/>
      <c r="B107" s="1039"/>
      <c r="C107" s="1040"/>
      <c r="D107" s="1039"/>
      <c r="E107" s="1039"/>
      <c r="F107" s="1039"/>
      <c r="G107" s="1039"/>
      <c r="H107" s="1351"/>
      <c r="L107" s="1037"/>
      <c r="M107" s="1037"/>
      <c r="N107" s="1037"/>
      <c r="O107" s="1037"/>
      <c r="R107" s="1043"/>
    </row>
    <row r="108" spans="1:19" ht="12.75" customHeight="1">
      <c r="A108" s="1035"/>
      <c r="B108" s="1038"/>
      <c r="C108" s="1039"/>
      <c r="D108" s="1039"/>
      <c r="E108" s="1039"/>
      <c r="F108" s="1039"/>
      <c r="G108" s="1039"/>
      <c r="H108" s="1351"/>
      <c r="M108" s="1262"/>
      <c r="N108" s="1262"/>
      <c r="R108" s="1043"/>
    </row>
    <row r="109" spans="1:19" ht="12.75" customHeight="1">
      <c r="C109" s="1063"/>
      <c r="D109" s="1063"/>
      <c r="E109" s="1063"/>
      <c r="F109" s="1069"/>
      <c r="G109" s="1069"/>
      <c r="H109" s="1351"/>
      <c r="I109" s="1040"/>
      <c r="M109" s="1072"/>
      <c r="N109" s="1073"/>
    </row>
    <row r="110" spans="1:19" ht="11.25" customHeight="1">
      <c r="A110" s="1048"/>
      <c r="B110" s="1063"/>
      <c r="C110" s="1063"/>
      <c r="D110" s="1063"/>
      <c r="E110" s="1063"/>
      <c r="F110" s="1069"/>
      <c r="G110" s="1069"/>
      <c r="H110" s="1351"/>
      <c r="I110" s="1040"/>
      <c r="M110" s="1072"/>
      <c r="N110" s="1073"/>
    </row>
    <row r="111" spans="1:19" ht="11.25" customHeight="1">
      <c r="A111" s="1035"/>
      <c r="B111" s="1063"/>
      <c r="C111" s="1063"/>
      <c r="D111" s="1063"/>
      <c r="E111" s="1063"/>
      <c r="F111" s="1069"/>
      <c r="G111" s="1069"/>
      <c r="H111" s="1080"/>
      <c r="I111" s="1262"/>
      <c r="M111" s="1072"/>
      <c r="N111" s="1073"/>
    </row>
    <row r="112" spans="1:19" ht="11.25" customHeight="1">
      <c r="A112" s="1035"/>
      <c r="B112" s="1063"/>
      <c r="C112" s="1063"/>
      <c r="D112" s="1063"/>
      <c r="E112" s="1063"/>
      <c r="F112" s="1069"/>
      <c r="G112" s="1069"/>
      <c r="H112" s="1080"/>
      <c r="I112" s="1262"/>
      <c r="M112" s="1072"/>
      <c r="N112" s="1073"/>
      <c r="R112" s="1039"/>
      <c r="S112" s="1039"/>
    </row>
    <row r="113" spans="1:19" ht="12.75" customHeight="1">
      <c r="A113" s="1035"/>
      <c r="B113" s="1063"/>
      <c r="C113" s="1063"/>
      <c r="D113" s="1063"/>
      <c r="E113" s="1063"/>
      <c r="F113" s="1069"/>
      <c r="G113" s="1069"/>
      <c r="H113" s="1351"/>
      <c r="I113" s="1262"/>
      <c r="M113" s="1072"/>
      <c r="N113" s="1073"/>
      <c r="R113" s="1039"/>
      <c r="S113" s="1039"/>
    </row>
    <row r="114" spans="1:19" ht="12" customHeight="1">
      <c r="A114" s="1035"/>
      <c r="B114" s="1063"/>
      <c r="C114" s="1063"/>
      <c r="D114" s="1063"/>
      <c r="E114" s="1063"/>
      <c r="F114" s="1069"/>
      <c r="G114" s="1069"/>
      <c r="H114" s="1059"/>
      <c r="I114" s="1262"/>
      <c r="M114" s="1072"/>
      <c r="N114" s="1073"/>
      <c r="R114" s="1039"/>
      <c r="S114" s="1039"/>
    </row>
    <row r="115" spans="1:19" ht="12.75" customHeight="1">
      <c r="A115" s="1035"/>
      <c r="B115" s="1063"/>
      <c r="C115" s="1063"/>
      <c r="D115" s="1063"/>
      <c r="E115" s="1063"/>
      <c r="F115" s="1069"/>
      <c r="G115" s="1069"/>
      <c r="H115" s="1059"/>
      <c r="I115" s="1262"/>
      <c r="M115" s="1072"/>
      <c r="N115" s="1073"/>
      <c r="R115" s="1039"/>
      <c r="S115" s="1039"/>
    </row>
    <row r="116" spans="1:19" ht="12.75" customHeight="1">
      <c r="D116" s="1038"/>
      <c r="E116" s="1039"/>
      <c r="F116" s="1039"/>
      <c r="G116" s="1039"/>
      <c r="H116" s="1059"/>
      <c r="I116" s="1262"/>
      <c r="M116" s="1072"/>
      <c r="N116" s="1073"/>
      <c r="P116" s="1073"/>
      <c r="R116" s="1039"/>
      <c r="S116" s="1039"/>
    </row>
    <row r="117" spans="1:19" ht="12.75" customHeight="1">
      <c r="D117" s="1038"/>
      <c r="E117" s="1039"/>
      <c r="F117" s="1039"/>
      <c r="G117" s="1039"/>
      <c r="I117" s="1262"/>
      <c r="M117" s="1072"/>
      <c r="N117" s="1073"/>
      <c r="P117" s="1043"/>
      <c r="R117" s="1039"/>
      <c r="S117" s="1039"/>
    </row>
    <row r="118" spans="1:19" ht="12.75" customHeight="1">
      <c r="D118" s="1038"/>
      <c r="E118" s="1039"/>
      <c r="F118" s="1039"/>
      <c r="G118" s="1039"/>
      <c r="I118" s="1262"/>
      <c r="M118" s="1072"/>
      <c r="N118" s="1073"/>
      <c r="P118" s="1043"/>
      <c r="R118" s="1039"/>
      <c r="S118" s="1039"/>
    </row>
    <row r="119" spans="1:19" ht="12.75" customHeight="1">
      <c r="I119" s="1040"/>
      <c r="M119" s="1072"/>
      <c r="N119" s="1073"/>
      <c r="P119" s="1043"/>
      <c r="R119" s="1078"/>
      <c r="S119" s="1039"/>
    </row>
    <row r="120" spans="1:19" ht="12.75" customHeight="1">
      <c r="D120" s="1038"/>
      <c r="E120" s="1039"/>
      <c r="F120" s="1039"/>
      <c r="G120" s="1039"/>
      <c r="I120" s="1040"/>
      <c r="M120" s="1072"/>
      <c r="N120" s="1073"/>
      <c r="P120" s="1043"/>
      <c r="R120" s="1039"/>
      <c r="S120" s="1039"/>
    </row>
    <row r="121" spans="1:19" ht="12.75" customHeight="1">
      <c r="D121" s="1038"/>
      <c r="E121" s="1039"/>
      <c r="F121" s="1039"/>
      <c r="G121" s="1039"/>
      <c r="I121" s="1040"/>
      <c r="M121" s="1072"/>
      <c r="N121" s="1073"/>
      <c r="P121" s="1043"/>
      <c r="R121" s="1039"/>
    </row>
    <row r="122" spans="1:19" ht="12.75" customHeight="1">
      <c r="A122" s="1048"/>
      <c r="B122" s="1076"/>
      <c r="C122" s="1038"/>
      <c r="D122" s="1038"/>
      <c r="E122" s="1039"/>
      <c r="F122" s="1039"/>
      <c r="G122" s="1039"/>
      <c r="I122" s="1040"/>
      <c r="M122" s="1068"/>
      <c r="N122" s="1073"/>
      <c r="P122" s="1043"/>
      <c r="R122" s="1039"/>
      <c r="S122" s="1039"/>
    </row>
    <row r="123" spans="1:19" ht="12.75" customHeight="1">
      <c r="A123" s="1262"/>
      <c r="B123" s="1039"/>
      <c r="I123" s="1040"/>
      <c r="J123" s="1040"/>
      <c r="K123" s="1039"/>
      <c r="L123" s="1060"/>
      <c r="M123" s="1075"/>
      <c r="N123" s="1075"/>
      <c r="P123" s="1043"/>
      <c r="R123" s="1039"/>
      <c r="S123" s="1039"/>
    </row>
    <row r="124" spans="1:19" ht="12.75" customHeight="1">
      <c r="A124" s="1035"/>
      <c r="B124" s="1040"/>
      <c r="C124" s="1040"/>
      <c r="E124" s="1077"/>
      <c r="F124" s="1267"/>
      <c r="G124" s="1077"/>
      <c r="I124" s="1040"/>
      <c r="J124" s="1040"/>
      <c r="K124" s="1039"/>
      <c r="L124" s="1060"/>
      <c r="M124" s="1075"/>
      <c r="N124" s="1075"/>
      <c r="P124" s="1043"/>
      <c r="R124" s="1039"/>
      <c r="S124" s="1039"/>
    </row>
    <row r="125" spans="1:19" ht="12.75" customHeight="1">
      <c r="A125" s="1035"/>
      <c r="B125" s="2627"/>
      <c r="C125" s="2627"/>
      <c r="D125" s="2646"/>
      <c r="E125" s="1077"/>
      <c r="F125" s="1267"/>
      <c r="G125" s="1077"/>
      <c r="I125" s="1040"/>
      <c r="J125" s="1040"/>
      <c r="K125" s="1039"/>
      <c r="L125" s="1060"/>
      <c r="M125" s="1075"/>
      <c r="N125" s="1075"/>
      <c r="P125" s="1043"/>
      <c r="R125" s="1039"/>
      <c r="S125" s="1039"/>
    </row>
    <row r="126" spans="1:19" ht="12.75" customHeight="1">
      <c r="A126" s="1035"/>
      <c r="B126" s="2627"/>
      <c r="C126" s="2627"/>
      <c r="D126" s="2646"/>
      <c r="E126" s="2647"/>
      <c r="F126" s="2647"/>
      <c r="G126" s="2646"/>
      <c r="I126" s="1040"/>
      <c r="J126" s="1040"/>
      <c r="K126" s="1039"/>
      <c r="L126" s="1060"/>
      <c r="M126" s="1075"/>
      <c r="N126" s="1075"/>
      <c r="P126" s="1043"/>
      <c r="R126" s="1039"/>
      <c r="S126" s="1039"/>
    </row>
    <row r="127" spans="1:19" ht="12.75" customHeight="1">
      <c r="A127" s="1035"/>
      <c r="B127" s="2628"/>
      <c r="C127" s="2628"/>
      <c r="D127" s="2629"/>
      <c r="E127" s="2629"/>
      <c r="F127" s="2629"/>
      <c r="G127" s="2629"/>
      <c r="I127" s="1040"/>
      <c r="J127" s="1040"/>
      <c r="K127" s="1039"/>
      <c r="L127" s="1060"/>
      <c r="M127" s="1075"/>
      <c r="N127" s="1075"/>
      <c r="P127" s="1043"/>
      <c r="R127" s="1039"/>
      <c r="S127" s="1039"/>
    </row>
    <row r="128" spans="1:19" ht="12.75" customHeight="1">
      <c r="A128" s="1035"/>
      <c r="B128" s="2627"/>
      <c r="C128" s="2627"/>
      <c r="D128" s="2628"/>
      <c r="E128" s="2630"/>
      <c r="F128" s="2628"/>
      <c r="G128" s="2631"/>
      <c r="I128" s="1040"/>
      <c r="J128" s="1040"/>
      <c r="K128" s="1039"/>
      <c r="L128" s="1060"/>
      <c r="M128" s="1075"/>
      <c r="N128" s="1075"/>
      <c r="P128" s="1043"/>
      <c r="R128" s="1084"/>
      <c r="S128" s="1039"/>
    </row>
    <row r="129" spans="1:19" ht="12.75" customHeight="1">
      <c r="A129" s="1035"/>
      <c r="B129" s="2627"/>
      <c r="C129" s="2627"/>
      <c r="D129" s="2628"/>
      <c r="E129" s="2632"/>
      <c r="F129" s="2628"/>
      <c r="G129" s="2633"/>
      <c r="I129" s="1040"/>
      <c r="J129" s="1040"/>
      <c r="K129" s="1039"/>
      <c r="L129" s="1060"/>
      <c r="M129" s="1075"/>
      <c r="N129" s="1075"/>
      <c r="P129" s="1043"/>
      <c r="R129" s="1084"/>
      <c r="S129" s="1039"/>
    </row>
    <row r="130" spans="1:19" ht="12.75" customHeight="1">
      <c r="A130" s="1079"/>
      <c r="B130" s="2627"/>
      <c r="C130" s="2627"/>
      <c r="D130" s="2628"/>
      <c r="E130" s="2632"/>
      <c r="F130" s="2628"/>
      <c r="G130" s="2633"/>
      <c r="I130" s="1040"/>
      <c r="J130" s="1040"/>
      <c r="K130" s="1039"/>
      <c r="L130" s="1060"/>
      <c r="M130" s="1075"/>
      <c r="N130" s="1075"/>
      <c r="P130" s="1043"/>
      <c r="R130" s="1084"/>
      <c r="S130" s="1039"/>
    </row>
    <row r="131" spans="1:19" ht="12.75" customHeight="1">
      <c r="A131" s="1262"/>
      <c r="B131" s="2627"/>
      <c r="C131" s="2627"/>
      <c r="D131" s="2628"/>
      <c r="E131" s="2634"/>
      <c r="F131" s="2628"/>
      <c r="G131" s="2633"/>
      <c r="I131" s="1040"/>
      <c r="J131" s="1040"/>
      <c r="K131" s="1039"/>
      <c r="L131" s="1060"/>
      <c r="M131" s="1075"/>
      <c r="N131" s="1075"/>
      <c r="P131" s="1043"/>
      <c r="R131" s="1084"/>
      <c r="S131" s="1084"/>
    </row>
    <row r="132" spans="1:19" ht="12.75" customHeight="1">
      <c r="A132" s="1262"/>
      <c r="B132" s="2627"/>
      <c r="C132" s="2627"/>
      <c r="D132" s="2628"/>
      <c r="E132" s="2635"/>
      <c r="F132" s="2636"/>
      <c r="G132" s="2637"/>
      <c r="I132" s="1040"/>
      <c r="J132" s="1040"/>
      <c r="K132" s="1039"/>
      <c r="L132" s="1060"/>
      <c r="M132" s="1075"/>
      <c r="N132" s="1075"/>
      <c r="P132" s="1043"/>
      <c r="R132" s="1084"/>
      <c r="S132" s="1084"/>
    </row>
    <row r="133" spans="1:19" ht="12.75" customHeight="1">
      <c r="A133" s="1262"/>
      <c r="B133" s="2627"/>
      <c r="C133" s="2627"/>
      <c r="D133" s="2628"/>
      <c r="E133" s="2637"/>
      <c r="F133" s="2636"/>
      <c r="G133" s="2637"/>
      <c r="I133" s="1040"/>
      <c r="J133" s="1040"/>
      <c r="K133" s="1039"/>
      <c r="L133" s="1060"/>
      <c r="M133" s="1075"/>
      <c r="N133" s="1075"/>
      <c r="P133" s="1043"/>
      <c r="R133" s="1039"/>
      <c r="S133" s="1039"/>
    </row>
    <row r="134" spans="1:19" ht="12.75" customHeight="1">
      <c r="A134" s="1263"/>
      <c r="B134" s="2627"/>
      <c r="C134" s="2627"/>
      <c r="D134" s="2628"/>
      <c r="E134" s="2630"/>
      <c r="F134" s="2636"/>
      <c r="G134" s="2638"/>
      <c r="I134" s="1040"/>
      <c r="J134" s="1040"/>
      <c r="K134" s="1039"/>
      <c r="L134" s="1060"/>
      <c r="M134" s="1075"/>
      <c r="N134" s="1075"/>
      <c r="P134" s="1043"/>
      <c r="R134" s="1039"/>
    </row>
    <row r="135" spans="1:19" ht="12.75" customHeight="1">
      <c r="B135" s="1063"/>
      <c r="C135" s="1063"/>
      <c r="D135" s="1063"/>
      <c r="E135" s="1081"/>
      <c r="F135" s="1082"/>
      <c r="G135" s="1082"/>
      <c r="I135" s="1040"/>
      <c r="J135" s="1040"/>
      <c r="K135" s="1039"/>
      <c r="L135" s="1060"/>
      <c r="M135" s="1075"/>
      <c r="N135" s="1075"/>
      <c r="R135" s="1039"/>
    </row>
    <row r="136" spans="1:19" ht="12.75" customHeight="1">
      <c r="E136" s="1083"/>
      <c r="F136" s="1268"/>
      <c r="G136" s="1082"/>
      <c r="I136" s="1040"/>
      <c r="J136" s="1040"/>
      <c r="K136" s="1039"/>
      <c r="L136" s="1060"/>
      <c r="M136" s="1075"/>
      <c r="N136" s="1075"/>
    </row>
    <row r="137" spans="1:19" ht="12.75" customHeight="1">
      <c r="E137" s="1083"/>
      <c r="F137" s="1268"/>
      <c r="G137" s="1082"/>
      <c r="I137" s="1040"/>
      <c r="J137" s="1040"/>
      <c r="K137" s="1039"/>
      <c r="L137" s="1060"/>
      <c r="M137" s="1075"/>
      <c r="N137" s="1075"/>
    </row>
    <row r="138" spans="1:19" ht="12.75" customHeight="1">
      <c r="G138" s="1069"/>
      <c r="I138" s="1040"/>
      <c r="J138" s="1040"/>
      <c r="K138" s="1039"/>
      <c r="L138" s="1060"/>
      <c r="M138" s="1075"/>
      <c r="N138" s="1075"/>
    </row>
    <row r="139" spans="1:19" ht="12.75" customHeight="1">
      <c r="G139" s="1069"/>
      <c r="I139" s="1040"/>
      <c r="J139" s="1040"/>
      <c r="K139" s="1039"/>
      <c r="L139" s="1060"/>
      <c r="M139" s="1075"/>
      <c r="N139" s="1075"/>
    </row>
    <row r="140" spans="1:19" ht="12.75" customHeight="1">
      <c r="I140" s="1040"/>
      <c r="J140" s="1040"/>
      <c r="K140" s="1039"/>
      <c r="L140" s="1060"/>
      <c r="M140" s="1075"/>
      <c r="N140" s="1075"/>
    </row>
    <row r="141" spans="1:19" ht="12.75" customHeight="1">
      <c r="I141" s="1040"/>
      <c r="J141" s="1040"/>
      <c r="K141" s="1039"/>
      <c r="L141" s="1060"/>
      <c r="M141" s="1075"/>
      <c r="N141" s="1075"/>
    </row>
    <row r="142" spans="1:19" ht="12.75" customHeight="1">
      <c r="C142" s="1046"/>
      <c r="D142" s="1038"/>
      <c r="E142" s="1039"/>
      <c r="F142" s="1039"/>
      <c r="G142" s="1039"/>
      <c r="J142" s="1263"/>
      <c r="K142" s="1039"/>
      <c r="L142" s="1060"/>
      <c r="M142" s="1075"/>
      <c r="N142" s="1075"/>
    </row>
    <row r="143" spans="1:19" ht="12.75" customHeight="1">
      <c r="C143" s="1272"/>
      <c r="D143" s="1038"/>
      <c r="E143" s="1039"/>
      <c r="F143" s="1039"/>
      <c r="G143" s="1039"/>
      <c r="J143" s="1263"/>
      <c r="K143" s="1039"/>
      <c r="L143" s="1060"/>
      <c r="M143" s="1075"/>
      <c r="N143" s="1075"/>
    </row>
    <row r="144" spans="1:19" ht="12.75" customHeight="1">
      <c r="B144" s="1085"/>
      <c r="C144" s="1038"/>
      <c r="D144" s="1038"/>
      <c r="E144" s="1039"/>
      <c r="F144" s="1039"/>
      <c r="G144" s="1039"/>
      <c r="H144" s="1080"/>
    </row>
    <row r="145" spans="1:17" ht="12.75" customHeight="1">
      <c r="A145" s="1048"/>
      <c r="B145" s="1085"/>
      <c r="C145" s="1038"/>
      <c r="D145" s="1038"/>
      <c r="E145" s="1039"/>
      <c r="F145" s="1039"/>
      <c r="G145" s="1039"/>
      <c r="H145" s="1080"/>
      <c r="P145" s="1043"/>
    </row>
    <row r="146" spans="1:17">
      <c r="A146" s="1039"/>
      <c r="B146" s="1085"/>
      <c r="C146" s="1038"/>
      <c r="D146" s="1038"/>
      <c r="E146" s="1039"/>
      <c r="F146" s="1039"/>
      <c r="G146" s="1039"/>
      <c r="H146" s="1080"/>
      <c r="P146" s="1043"/>
    </row>
    <row r="147" spans="1:17">
      <c r="A147" s="1039"/>
      <c r="H147" s="1080"/>
      <c r="P147" s="1043"/>
    </row>
    <row r="148" spans="1:17">
      <c r="A148" s="1039"/>
      <c r="H148" s="1080"/>
      <c r="P148" s="1043"/>
    </row>
    <row r="149" spans="1:17">
      <c r="A149" s="1039"/>
      <c r="H149" s="1080"/>
      <c r="O149" s="1039"/>
      <c r="P149" s="1039"/>
      <c r="Q149" s="1039"/>
    </row>
    <row r="150" spans="1:17">
      <c r="B150" s="1262"/>
      <c r="C150" s="1262"/>
      <c r="D150" s="1262"/>
      <c r="E150" s="1262"/>
      <c r="F150" s="1262"/>
      <c r="G150" s="1262"/>
      <c r="O150" s="1039"/>
      <c r="P150" s="1039"/>
      <c r="Q150" s="1039"/>
    </row>
    <row r="151" spans="1:17">
      <c r="B151" s="1262"/>
      <c r="C151" s="1262"/>
      <c r="D151" s="1262"/>
      <c r="E151" s="1262"/>
      <c r="F151" s="1262"/>
      <c r="G151" s="1262"/>
      <c r="K151" s="1039"/>
      <c r="L151" s="1039"/>
      <c r="M151" s="1039"/>
      <c r="N151" s="1039"/>
      <c r="O151" s="1039"/>
      <c r="P151" s="1039"/>
      <c r="Q151" s="1039"/>
    </row>
    <row r="152" spans="1:17">
      <c r="B152" s="1262"/>
      <c r="C152" s="1262"/>
      <c r="D152" s="1262"/>
      <c r="E152" s="1262"/>
      <c r="F152" s="1262"/>
      <c r="G152" s="1262"/>
      <c r="I152" s="1040"/>
      <c r="J152" s="1040"/>
      <c r="K152" s="1039"/>
      <c r="M152" s="1039"/>
      <c r="N152" s="1039"/>
      <c r="O152" s="1039"/>
      <c r="P152" s="1039"/>
      <c r="Q152" s="1039"/>
    </row>
    <row r="153" spans="1:17">
      <c r="B153" s="1262"/>
      <c r="C153" s="1262"/>
      <c r="D153" s="1262"/>
      <c r="E153" s="1262"/>
      <c r="F153" s="1262"/>
      <c r="G153" s="1262"/>
      <c r="I153" s="1262"/>
      <c r="J153" s="1040"/>
      <c r="K153" s="1039"/>
      <c r="L153" s="1039"/>
      <c r="M153" s="1039"/>
      <c r="N153" s="1039"/>
      <c r="O153" s="1039"/>
      <c r="P153" s="1039"/>
      <c r="Q153" s="1039"/>
    </row>
    <row r="154" spans="1:17">
      <c r="B154" s="1262"/>
      <c r="C154" s="1262"/>
      <c r="D154" s="1262"/>
      <c r="E154" s="1262"/>
      <c r="F154" s="1262"/>
      <c r="G154" s="1262"/>
      <c r="I154" s="1262"/>
      <c r="J154" s="1040"/>
      <c r="K154" s="1039"/>
      <c r="L154" s="1039"/>
      <c r="M154" s="1039"/>
      <c r="N154" s="1039"/>
      <c r="O154" s="1039"/>
      <c r="P154" s="1039"/>
      <c r="Q154" s="1039"/>
    </row>
    <row r="155" spans="1:17">
      <c r="B155" s="1262"/>
      <c r="C155" s="1262"/>
      <c r="D155" s="1262"/>
      <c r="E155" s="1262"/>
      <c r="F155" s="1262"/>
      <c r="G155" s="1262"/>
      <c r="I155" s="1043"/>
      <c r="J155" s="1040"/>
      <c r="K155" s="1039"/>
      <c r="L155" s="1039"/>
      <c r="M155" s="1039"/>
      <c r="N155" s="1039"/>
      <c r="O155" s="1039"/>
      <c r="P155" s="1039"/>
      <c r="Q155" s="1039"/>
    </row>
    <row r="156" spans="1:17">
      <c r="A156" s="1262"/>
      <c r="B156" s="1262"/>
      <c r="C156" s="1262"/>
      <c r="D156" s="1262"/>
      <c r="E156" s="1262"/>
      <c r="F156" s="1262"/>
      <c r="G156" s="1262"/>
      <c r="I156" s="1043"/>
      <c r="J156" s="1040"/>
      <c r="K156" s="1039"/>
      <c r="L156" s="1039"/>
      <c r="M156" s="1039"/>
      <c r="N156" s="1039"/>
      <c r="O156" s="1039"/>
      <c r="P156" s="1039"/>
      <c r="Q156" s="1039"/>
    </row>
    <row r="157" spans="1:17">
      <c r="A157" s="1262"/>
      <c r="B157" s="1262"/>
      <c r="C157" s="1262"/>
      <c r="D157" s="1262"/>
      <c r="E157" s="1262"/>
      <c r="F157" s="1262"/>
      <c r="G157" s="1262"/>
      <c r="I157" s="1043"/>
      <c r="J157" s="1040"/>
      <c r="K157" s="1039"/>
      <c r="L157" s="1039"/>
      <c r="M157" s="1039"/>
      <c r="N157" s="1039"/>
      <c r="O157" s="1039"/>
      <c r="P157" s="1039"/>
      <c r="Q157" s="1039"/>
    </row>
    <row r="158" spans="1:17">
      <c r="A158" s="1262"/>
      <c r="B158" s="1262"/>
      <c r="C158" s="1262"/>
      <c r="D158" s="1262"/>
      <c r="E158" s="1262"/>
      <c r="F158" s="1262"/>
      <c r="G158" s="1262"/>
      <c r="I158" s="1043"/>
      <c r="J158" s="1040"/>
      <c r="K158" s="1039"/>
      <c r="L158" s="1039"/>
      <c r="M158" s="1039"/>
      <c r="N158" s="1039"/>
      <c r="O158" s="1039"/>
      <c r="P158" s="1039"/>
      <c r="Q158" s="1039"/>
    </row>
    <row r="159" spans="1:17">
      <c r="A159" s="1262"/>
      <c r="B159" s="1262"/>
      <c r="C159" s="1262"/>
      <c r="D159" s="1262"/>
      <c r="E159" s="1262"/>
      <c r="F159" s="1262"/>
      <c r="G159" s="1262"/>
      <c r="I159" s="1043"/>
      <c r="J159" s="1040"/>
      <c r="K159" s="1039"/>
      <c r="L159" s="1039"/>
      <c r="M159" s="1039"/>
      <c r="N159" s="1039"/>
      <c r="O159" s="1039"/>
      <c r="P159" s="1039"/>
      <c r="Q159" s="1039"/>
    </row>
    <row r="160" spans="1:17">
      <c r="A160" s="1262"/>
      <c r="B160" s="1262"/>
      <c r="C160" s="1262"/>
      <c r="D160" s="1262"/>
      <c r="E160" s="1262"/>
      <c r="F160" s="1262"/>
      <c r="G160" s="1262"/>
      <c r="I160" s="1043"/>
      <c r="J160" s="1040"/>
      <c r="K160" s="1039"/>
      <c r="L160" s="1039"/>
      <c r="M160" s="1039"/>
      <c r="N160" s="1039"/>
      <c r="O160" s="1039"/>
      <c r="P160" s="1039"/>
      <c r="Q160" s="1039"/>
    </row>
    <row r="161" spans="1:17">
      <c r="A161" s="1262"/>
      <c r="B161" s="1262"/>
      <c r="C161" s="1262"/>
      <c r="D161" s="1262"/>
      <c r="E161" s="1262"/>
      <c r="F161" s="1262"/>
      <c r="G161" s="1262"/>
      <c r="I161" s="1043"/>
      <c r="J161" s="1040"/>
      <c r="K161" s="1039"/>
      <c r="L161" s="1039"/>
      <c r="M161" s="1039"/>
      <c r="N161" s="1039"/>
      <c r="O161" s="1039"/>
      <c r="P161" s="1039"/>
      <c r="Q161" s="1039"/>
    </row>
    <row r="162" spans="1:17">
      <c r="A162" s="1262"/>
      <c r="B162" s="1262"/>
      <c r="C162" s="1262"/>
      <c r="D162" s="1262"/>
      <c r="E162" s="1262"/>
      <c r="F162" s="1262"/>
      <c r="G162" s="1262"/>
      <c r="I162" s="1043"/>
      <c r="J162" s="1040"/>
      <c r="K162" s="1039"/>
      <c r="L162" s="1039"/>
      <c r="M162" s="1039"/>
      <c r="N162" s="1039"/>
      <c r="O162" s="1039"/>
      <c r="P162" s="1039"/>
      <c r="Q162" s="1039"/>
    </row>
    <row r="163" spans="1:17">
      <c r="A163" s="1262"/>
      <c r="B163" s="1262"/>
      <c r="C163" s="1262"/>
      <c r="D163" s="1262"/>
      <c r="E163" s="1262"/>
      <c r="F163" s="1262"/>
      <c r="G163" s="1262"/>
      <c r="I163" s="1043"/>
      <c r="J163" s="1040"/>
      <c r="K163" s="1039"/>
      <c r="L163" s="1039"/>
      <c r="M163" s="1039"/>
      <c r="N163" s="1039"/>
      <c r="O163" s="1039"/>
      <c r="P163" s="1039"/>
      <c r="Q163" s="1039"/>
    </row>
    <row r="164" spans="1:17">
      <c r="A164" s="1262"/>
      <c r="B164" s="1262"/>
      <c r="C164" s="1262"/>
      <c r="D164" s="1262"/>
      <c r="E164" s="1262"/>
      <c r="F164" s="1262"/>
      <c r="G164" s="1262"/>
      <c r="I164" s="1043"/>
      <c r="J164" s="1040"/>
      <c r="K164" s="1039"/>
      <c r="L164" s="1039"/>
      <c r="M164" s="1039"/>
      <c r="N164" s="1039"/>
      <c r="O164" s="1039"/>
      <c r="P164" s="1039"/>
      <c r="Q164" s="1039"/>
    </row>
    <row r="165" spans="1:17">
      <c r="A165" s="1262"/>
      <c r="B165" s="1262"/>
      <c r="C165" s="1262"/>
      <c r="D165" s="1262"/>
      <c r="E165" s="1262"/>
      <c r="F165" s="1262"/>
      <c r="G165" s="1262"/>
      <c r="I165" s="1043"/>
      <c r="J165" s="1040"/>
      <c r="K165" s="1039"/>
      <c r="L165" s="1039"/>
      <c r="M165" s="1039"/>
      <c r="N165" s="1039"/>
      <c r="O165" s="1039"/>
      <c r="P165" s="1039"/>
      <c r="Q165" s="1039"/>
    </row>
    <row r="166" spans="1:17">
      <c r="A166" s="1262"/>
      <c r="I166" s="1043"/>
      <c r="J166" s="1040"/>
      <c r="K166" s="1039"/>
      <c r="L166" s="1039"/>
      <c r="M166" s="1039"/>
      <c r="N166" s="1039"/>
      <c r="O166" s="1039"/>
      <c r="P166" s="1039"/>
      <c r="Q166" s="1039"/>
    </row>
    <row r="167" spans="1:17">
      <c r="A167" s="1262"/>
      <c r="I167" s="1043"/>
      <c r="J167" s="1040"/>
      <c r="K167" s="1039"/>
      <c r="L167" s="1039"/>
      <c r="M167" s="1039"/>
      <c r="N167" s="1039"/>
      <c r="O167" s="1039"/>
      <c r="P167" s="1039"/>
      <c r="Q167" s="1039"/>
    </row>
    <row r="168" spans="1:17">
      <c r="A168" s="1262"/>
      <c r="I168" s="1262"/>
      <c r="J168" s="1040"/>
      <c r="K168" s="1039"/>
      <c r="L168" s="1039"/>
      <c r="M168" s="1039"/>
      <c r="N168" s="1039"/>
      <c r="O168" s="1039"/>
      <c r="P168" s="1039"/>
      <c r="Q168" s="1039"/>
    </row>
    <row r="169" spans="1:17">
      <c r="B169" s="1262"/>
      <c r="C169" s="1262"/>
      <c r="D169" s="1262"/>
      <c r="E169" s="1262"/>
      <c r="F169" s="1262"/>
      <c r="G169" s="1262"/>
      <c r="I169" s="1039"/>
      <c r="J169" s="1040"/>
      <c r="K169" s="1039"/>
      <c r="L169" s="1039"/>
      <c r="M169" s="1039"/>
      <c r="N169" s="1039"/>
      <c r="O169" s="1039"/>
      <c r="Q169" s="1039"/>
    </row>
    <row r="170" spans="1:17">
      <c r="B170" s="1262"/>
      <c r="C170" s="1262"/>
      <c r="D170" s="1262"/>
      <c r="E170" s="1262"/>
      <c r="F170" s="1262"/>
      <c r="G170" s="1262"/>
      <c r="I170" s="1040"/>
      <c r="J170" s="1040"/>
      <c r="K170" s="1039"/>
      <c r="L170" s="1039"/>
      <c r="M170" s="1039"/>
      <c r="N170" s="1039"/>
      <c r="O170" s="1039"/>
      <c r="P170" s="1039"/>
      <c r="Q170" s="1039"/>
    </row>
    <row r="171" spans="1:17">
      <c r="A171" s="1262"/>
      <c r="B171" s="1262"/>
      <c r="C171" s="1262"/>
      <c r="D171" s="1262"/>
      <c r="E171" s="1262"/>
      <c r="F171" s="1262"/>
      <c r="G171" s="1262"/>
      <c r="I171" s="1040"/>
      <c r="J171" s="1040"/>
      <c r="K171" s="1039"/>
      <c r="L171" s="1039"/>
      <c r="M171" s="1039"/>
      <c r="N171" s="1039"/>
      <c r="O171" s="1039"/>
      <c r="P171" s="1078"/>
      <c r="Q171" s="1039"/>
    </row>
    <row r="172" spans="1:17">
      <c r="A172" s="1262"/>
      <c r="B172" s="1262"/>
      <c r="C172" s="1262"/>
      <c r="D172" s="1262"/>
      <c r="E172" s="1262"/>
      <c r="F172" s="1262"/>
      <c r="G172" s="1262"/>
      <c r="I172" s="1040"/>
      <c r="J172" s="1040"/>
      <c r="K172" s="1039"/>
      <c r="L172" s="1039"/>
      <c r="M172" s="1039"/>
      <c r="N172" s="1039"/>
      <c r="O172" s="1039"/>
      <c r="P172" s="1039"/>
      <c r="Q172" s="1039"/>
    </row>
    <row r="173" spans="1:17">
      <c r="A173" s="1262"/>
      <c r="B173" s="1262"/>
      <c r="C173" s="1262"/>
      <c r="D173" s="1262"/>
      <c r="E173" s="1262"/>
      <c r="F173" s="1262"/>
      <c r="G173" s="1262"/>
      <c r="I173" s="1040"/>
      <c r="J173" s="1040"/>
      <c r="K173" s="1039"/>
      <c r="L173" s="1039"/>
      <c r="M173" s="1039"/>
      <c r="N173" s="1039"/>
      <c r="O173" s="1039"/>
      <c r="P173" s="1086"/>
      <c r="Q173" s="1039"/>
    </row>
    <row r="174" spans="1:17">
      <c r="A174" s="1262"/>
      <c r="B174" s="1262"/>
      <c r="C174" s="1262"/>
      <c r="D174" s="1262"/>
      <c r="E174" s="1262"/>
      <c r="F174" s="1262"/>
      <c r="G174" s="1262"/>
      <c r="I174" s="1040"/>
      <c r="J174" s="1040"/>
      <c r="K174" s="1039"/>
      <c r="L174" s="1039"/>
      <c r="M174" s="1039"/>
      <c r="N174" s="1039"/>
      <c r="O174" s="1039"/>
      <c r="P174" s="1039"/>
      <c r="Q174" s="1039"/>
    </row>
    <row r="175" spans="1:17">
      <c r="A175" s="1262"/>
      <c r="B175" s="1262"/>
      <c r="C175" s="1262"/>
      <c r="D175" s="1262"/>
      <c r="E175" s="1262"/>
      <c r="F175" s="1262"/>
      <c r="G175" s="1262"/>
      <c r="I175" s="1040"/>
      <c r="J175" s="1040"/>
      <c r="K175" s="1039"/>
      <c r="L175" s="1039"/>
      <c r="M175" s="1039"/>
      <c r="N175" s="1039"/>
      <c r="P175" s="1039"/>
    </row>
    <row r="176" spans="1:17">
      <c r="A176" s="1262"/>
      <c r="B176" s="1262"/>
      <c r="C176" s="1262"/>
      <c r="D176" s="1262"/>
      <c r="E176" s="1262"/>
      <c r="F176" s="1262"/>
      <c r="G176" s="1262"/>
      <c r="I176" s="1040"/>
      <c r="J176" s="1040"/>
      <c r="K176" s="1039"/>
      <c r="L176" s="1039"/>
      <c r="M176" s="1039"/>
      <c r="N176" s="1039"/>
      <c r="O176" s="1039"/>
      <c r="P176" s="1039"/>
      <c r="Q176" s="1039"/>
    </row>
    <row r="177" spans="1:17">
      <c r="A177" s="1262"/>
      <c r="B177" s="1262"/>
      <c r="C177" s="1262"/>
      <c r="D177" s="1262"/>
      <c r="E177" s="1262"/>
      <c r="F177" s="1262"/>
      <c r="G177" s="1262"/>
      <c r="I177" s="1040"/>
      <c r="J177" s="1040"/>
      <c r="K177" s="1039"/>
      <c r="L177" s="1039"/>
      <c r="M177" s="1039"/>
      <c r="N177" s="1039"/>
      <c r="O177" s="1039"/>
      <c r="P177" s="1039"/>
      <c r="Q177" s="1078"/>
    </row>
    <row r="178" spans="1:17">
      <c r="A178" s="1262"/>
      <c r="B178" s="1262"/>
      <c r="C178" s="1262"/>
      <c r="D178" s="1262"/>
      <c r="E178" s="1262"/>
      <c r="F178" s="1262"/>
      <c r="G178" s="1262"/>
      <c r="I178" s="1040"/>
      <c r="J178" s="1040"/>
      <c r="K178" s="1039"/>
      <c r="L178" s="1039"/>
      <c r="M178" s="1039"/>
      <c r="N178" s="1039"/>
      <c r="O178" s="1039"/>
      <c r="P178" s="1039"/>
      <c r="Q178" s="1039"/>
    </row>
    <row r="179" spans="1:17">
      <c r="A179" s="1262"/>
      <c r="B179" s="1262"/>
      <c r="C179" s="1262"/>
      <c r="D179" s="1262"/>
      <c r="E179" s="1262"/>
      <c r="F179" s="1262"/>
      <c r="G179" s="1262"/>
      <c r="I179" s="1040"/>
      <c r="J179" s="1040"/>
      <c r="K179" s="1039"/>
      <c r="L179" s="1087"/>
      <c r="O179" s="1039"/>
      <c r="P179" s="1039"/>
      <c r="Q179" s="1039"/>
    </row>
    <row r="180" spans="1:17">
      <c r="A180" s="1262"/>
      <c r="B180" s="1262"/>
      <c r="C180" s="1262"/>
      <c r="D180" s="1262"/>
      <c r="E180" s="1262"/>
      <c r="F180" s="1262"/>
      <c r="G180" s="1262"/>
      <c r="I180" s="1040"/>
      <c r="J180" s="1040"/>
      <c r="K180" s="1039"/>
      <c r="L180" s="1087"/>
      <c r="M180" s="1039"/>
      <c r="N180" s="1060"/>
      <c r="O180" s="1039"/>
      <c r="P180" s="1084"/>
      <c r="Q180" s="1039"/>
    </row>
    <row r="181" spans="1:17">
      <c r="A181" s="1262"/>
      <c r="B181" s="1262"/>
      <c r="C181" s="1262"/>
      <c r="D181" s="1262"/>
      <c r="E181" s="1262"/>
      <c r="F181" s="1262"/>
      <c r="G181" s="1262"/>
      <c r="I181" s="1039"/>
      <c r="J181" s="1039"/>
      <c r="K181" s="1087"/>
      <c r="L181" s="1262"/>
      <c r="M181" s="1262"/>
      <c r="N181" s="1262"/>
    </row>
    <row r="182" spans="1:17">
      <c r="A182" s="1262"/>
      <c r="I182" s="1039"/>
      <c r="J182" s="1039"/>
      <c r="K182" s="1087"/>
      <c r="L182" s="1262"/>
      <c r="M182" s="1262"/>
      <c r="N182" s="1262"/>
    </row>
    <row r="183" spans="1:17">
      <c r="A183" s="1262"/>
      <c r="I183" s="1039"/>
      <c r="J183" s="1039"/>
      <c r="K183" s="1088"/>
      <c r="L183" s="1262"/>
      <c r="M183" s="1262"/>
      <c r="N183" s="1262"/>
    </row>
    <row r="184" spans="1:17">
      <c r="A184" s="1262"/>
      <c r="I184" s="1039"/>
      <c r="J184" s="1039"/>
      <c r="K184" s="1039"/>
      <c r="L184" s="1262"/>
      <c r="M184" s="1262"/>
      <c r="N184" s="1262"/>
    </row>
    <row r="185" spans="1:17">
      <c r="B185" s="1262"/>
      <c r="C185" s="1262"/>
      <c r="D185" s="1262"/>
      <c r="E185" s="1262"/>
      <c r="F185" s="1262"/>
      <c r="G185" s="1262"/>
      <c r="I185" s="1039"/>
      <c r="J185" s="1039"/>
      <c r="K185" s="1039"/>
      <c r="L185" s="1262"/>
      <c r="M185" s="1262"/>
      <c r="N185" s="1262"/>
    </row>
    <row r="186" spans="1:17">
      <c r="B186" s="1262"/>
      <c r="C186" s="1262"/>
      <c r="D186" s="1262"/>
      <c r="E186" s="1262"/>
      <c r="F186" s="1262"/>
      <c r="G186" s="1262"/>
      <c r="I186" s="1039"/>
      <c r="J186" s="1039"/>
      <c r="K186" s="1039"/>
      <c r="L186" s="1262"/>
      <c r="M186" s="1262"/>
      <c r="N186" s="1262"/>
    </row>
    <row r="187" spans="1:17">
      <c r="B187" s="1262"/>
      <c r="C187" s="1262"/>
      <c r="D187" s="1262"/>
      <c r="E187" s="1262"/>
      <c r="F187" s="1262"/>
      <c r="G187" s="1262"/>
      <c r="I187" s="1039"/>
      <c r="J187" s="1039"/>
      <c r="L187" s="1262"/>
      <c r="M187" s="1262"/>
      <c r="N187" s="1262"/>
    </row>
    <row r="188" spans="1:17">
      <c r="A188" s="1262"/>
      <c r="B188" s="1262"/>
      <c r="C188" s="1262"/>
      <c r="D188" s="1262"/>
      <c r="E188" s="1262"/>
      <c r="F188" s="1262"/>
      <c r="G188" s="1262"/>
    </row>
    <row r="189" spans="1:17">
      <c r="A189" s="1262"/>
    </row>
    <row r="190" spans="1:17">
      <c r="A190" s="1262"/>
    </row>
    <row r="191" spans="1:17">
      <c r="A191" s="1262"/>
      <c r="J191" s="1262"/>
      <c r="K191" s="1262"/>
      <c r="L191" s="1262"/>
      <c r="M191" s="1262"/>
      <c r="N191" s="1262"/>
    </row>
    <row r="192" spans="1:17">
      <c r="J192" s="1262"/>
      <c r="K192" s="1262"/>
      <c r="L192" s="1262"/>
      <c r="M192" s="1262"/>
      <c r="N192" s="1262"/>
    </row>
    <row r="193" spans="9:14">
      <c r="I193" s="1262"/>
      <c r="J193" s="1262"/>
      <c r="K193" s="1262"/>
      <c r="L193" s="1262"/>
      <c r="M193" s="1262"/>
      <c r="N193" s="1262"/>
    </row>
    <row r="194" spans="9:14">
      <c r="I194" s="1262"/>
      <c r="J194" s="1262"/>
      <c r="K194" s="1262"/>
      <c r="L194" s="1262"/>
      <c r="M194" s="1262"/>
      <c r="N194" s="1262"/>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8" max="16" man="1"/>
  </rowBreaks>
  <ignoredErrors>
    <ignoredError sqref="A5 A19 H20 H40 H43 H53"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Q55"/>
  <sheetViews>
    <sheetView showGridLines="0" zoomScale="78" zoomScaleNormal="100" zoomScaleSheetLayoutView="100" workbookViewId="0"/>
  </sheetViews>
  <sheetFormatPr defaultRowHeight="15" customHeight="1"/>
  <cols>
    <col min="1" max="1" width="55.109375" style="2505" customWidth="1"/>
    <col min="2" max="2" width="4.6640625" style="2505" customWidth="1"/>
    <col min="3" max="3" width="19" style="2506" customWidth="1"/>
    <col min="4" max="4" width="2.44140625" style="2506" customWidth="1"/>
    <col min="5" max="5" width="19" style="2506" customWidth="1"/>
    <col min="6" max="6" width="2.44140625" style="2506" customWidth="1"/>
    <col min="7" max="7" width="1.6640625" style="2507" customWidth="1"/>
    <col min="8" max="8" width="18.88671875" style="2507" customWidth="1"/>
    <col min="9" max="12" width="8.88671875" style="2506"/>
    <col min="13" max="16384" width="8.88671875" style="2505"/>
  </cols>
  <sheetData>
    <row r="1" spans="1:12" ht="15" customHeight="1">
      <c r="A1" s="1190" t="s">
        <v>1231</v>
      </c>
    </row>
    <row r="2" spans="1:12" ht="15" customHeight="1">
      <c r="A2" s="2508"/>
    </row>
    <row r="3" spans="1:12" ht="15" customHeight="1">
      <c r="H3" s="2659" t="s">
        <v>713</v>
      </c>
    </row>
    <row r="4" spans="1:12" ht="18" customHeight="1">
      <c r="A4" s="2509" t="s">
        <v>526</v>
      </c>
      <c r="B4" s="2510"/>
      <c r="C4" s="2510"/>
      <c r="D4" s="2510"/>
      <c r="E4" s="2510"/>
      <c r="F4" s="2510"/>
      <c r="G4" s="2661"/>
      <c r="H4" s="2661"/>
    </row>
    <row r="5" spans="1:12" ht="18" customHeight="1">
      <c r="A5" s="2509" t="s">
        <v>1126</v>
      </c>
      <c r="B5" s="2509"/>
      <c r="C5" s="2509"/>
      <c r="D5" s="3472"/>
      <c r="E5" s="3472"/>
      <c r="F5" s="2903"/>
      <c r="G5" s="2660"/>
      <c r="H5" s="2642"/>
    </row>
    <row r="6" spans="1:12" ht="18" customHeight="1">
      <c r="A6" s="3546" t="s">
        <v>1547</v>
      </c>
      <c r="B6" s="3547"/>
      <c r="C6" s="3547"/>
      <c r="D6" s="3547"/>
      <c r="E6" s="3547"/>
      <c r="F6" s="3547"/>
      <c r="G6" s="2660"/>
      <c r="H6" s="2642"/>
    </row>
    <row r="7" spans="1:12" ht="15" customHeight="1">
      <c r="A7" s="3548"/>
      <c r="B7" s="3548"/>
      <c r="C7" s="3548"/>
      <c r="D7" s="3548"/>
      <c r="E7" s="3548"/>
      <c r="F7" s="3548"/>
      <c r="G7" s="2662"/>
      <c r="H7" s="2662"/>
    </row>
    <row r="8" spans="1:12" ht="15" customHeight="1">
      <c r="A8" s="2513"/>
      <c r="B8" s="2514"/>
      <c r="C8" s="2515"/>
      <c r="D8" s="2515"/>
      <c r="E8" s="2515"/>
      <c r="F8" s="2511"/>
      <c r="G8" s="2663"/>
      <c r="H8" s="2516"/>
    </row>
    <row r="9" spans="1:12" s="2520" customFormat="1" ht="15" customHeight="1">
      <c r="A9" s="2517"/>
      <c r="B9" s="2517"/>
      <c r="C9" s="3441">
        <v>2015</v>
      </c>
      <c r="D9" s="3441"/>
      <c r="E9" s="3441">
        <v>2015</v>
      </c>
      <c r="F9" s="2518"/>
      <c r="G9" s="2519"/>
      <c r="H9" s="2519"/>
      <c r="I9" s="2504"/>
      <c r="J9" s="2504"/>
      <c r="K9" s="2504"/>
      <c r="L9" s="2504"/>
    </row>
    <row r="10" spans="1:12" ht="15" customHeight="1">
      <c r="A10" s="2521"/>
      <c r="B10" s="2521"/>
      <c r="C10" s="2522" t="s">
        <v>129</v>
      </c>
      <c r="D10" s="2522"/>
      <c r="E10" s="2522" t="s">
        <v>130</v>
      </c>
      <c r="F10" s="2523"/>
      <c r="G10" s="2512"/>
      <c r="H10" s="2522" t="s">
        <v>1550</v>
      </c>
    </row>
    <row r="11" spans="1:12" ht="15" customHeight="1">
      <c r="A11" s="2521"/>
      <c r="B11" s="2521"/>
      <c r="C11" s="2524"/>
      <c r="D11" s="2512"/>
      <c r="E11" s="2524"/>
      <c r="F11" s="2523"/>
      <c r="G11" s="2512"/>
      <c r="H11" s="2524"/>
    </row>
    <row r="12" spans="1:12" s="2520" customFormat="1" ht="15" customHeight="1">
      <c r="A12" s="2525" t="s">
        <v>501</v>
      </c>
      <c r="B12" s="2525"/>
      <c r="C12" s="2526">
        <v>270482263.5</v>
      </c>
      <c r="D12" s="2526"/>
      <c r="E12" s="2526">
        <f>C52</f>
        <v>322844361.68000001</v>
      </c>
      <c r="F12" s="2526"/>
      <c r="G12" s="2527"/>
      <c r="H12" s="2664">
        <f>+C12</f>
        <v>270482263.5</v>
      </c>
      <c r="I12" s="2504"/>
      <c r="J12" s="2504"/>
      <c r="K12" s="2504"/>
      <c r="L12" s="2504"/>
    </row>
    <row r="13" spans="1:12" ht="15" customHeight="1">
      <c r="A13" s="2525"/>
      <c r="B13" s="2521"/>
      <c r="C13" s="2523"/>
      <c r="D13" s="2523"/>
      <c r="E13" s="2523"/>
      <c r="F13" s="2523"/>
      <c r="G13" s="2528"/>
      <c r="H13" s="2531"/>
    </row>
    <row r="14" spans="1:12" ht="15" customHeight="1">
      <c r="A14" s="2525" t="s">
        <v>15</v>
      </c>
      <c r="B14" s="2521"/>
      <c r="C14" s="2529"/>
      <c r="D14" s="2529"/>
      <c r="E14" s="2529"/>
      <c r="F14" s="2529"/>
      <c r="G14" s="2530"/>
      <c r="H14" s="2531"/>
    </row>
    <row r="15" spans="1:12" ht="15" customHeight="1">
      <c r="A15" s="2521" t="s">
        <v>714</v>
      </c>
      <c r="B15" s="2521"/>
      <c r="C15" s="2487">
        <v>236684474.53</v>
      </c>
      <c r="D15" s="2487"/>
      <c r="E15" s="2487">
        <v>151963696.75</v>
      </c>
      <c r="F15" s="2529"/>
      <c r="G15" s="2530"/>
      <c r="H15" s="2531">
        <f>SUM(C15:G15)</f>
        <v>388648171.27999997</v>
      </c>
    </row>
    <row r="16" spans="1:12" ht="15" customHeight="1">
      <c r="A16" s="2521" t="s">
        <v>715</v>
      </c>
      <c r="B16" s="2521"/>
      <c r="C16" s="2487">
        <v>88493548.900000006</v>
      </c>
      <c r="D16" s="2487"/>
      <c r="E16" s="2487">
        <v>52303032.399999999</v>
      </c>
      <c r="F16" s="2529"/>
      <c r="G16" s="2530"/>
      <c r="H16" s="2531">
        <f>SUM(C16:G16)</f>
        <v>140796581.30000001</v>
      </c>
    </row>
    <row r="17" spans="1:17" ht="15" customHeight="1">
      <c r="A17" s="2521" t="s">
        <v>716</v>
      </c>
      <c r="B17" s="2521"/>
      <c r="C17" s="2487">
        <v>7215813.0700000003</v>
      </c>
      <c r="D17" s="2487"/>
      <c r="E17" s="2487">
        <v>5777666.3600000003</v>
      </c>
      <c r="F17" s="2529"/>
      <c r="G17" s="2530"/>
      <c r="H17" s="2531">
        <f>SUM(C17:G17)</f>
        <v>12993479.43</v>
      </c>
    </row>
    <row r="18" spans="1:17" ht="15" customHeight="1">
      <c r="A18" s="2521" t="s">
        <v>717</v>
      </c>
      <c r="B18" s="2521"/>
      <c r="C18" s="2487">
        <v>26002734</v>
      </c>
      <c r="D18" s="2487"/>
      <c r="E18" s="2487">
        <v>29839297</v>
      </c>
      <c r="F18" s="2529"/>
      <c r="G18" s="2530"/>
      <c r="H18" s="2531">
        <f>SUM(C18:G18)</f>
        <v>55842031</v>
      </c>
    </row>
    <row r="19" spans="1:17" s="2921" customFormat="1" ht="18" customHeight="1">
      <c r="A19" s="2922" t="s">
        <v>718</v>
      </c>
      <c r="B19" s="2521"/>
      <c r="C19" s="1617">
        <v>0</v>
      </c>
      <c r="D19" s="1617"/>
      <c r="E19" s="1617">
        <v>0</v>
      </c>
      <c r="F19" s="2529"/>
      <c r="G19" s="2530"/>
      <c r="H19" s="2531">
        <f t="shared" ref="H19" si="0">SUM(C19:G19)</f>
        <v>0</v>
      </c>
      <c r="I19" s="2523"/>
      <c r="J19" s="2523"/>
      <c r="K19" s="2523"/>
      <c r="L19" s="2523"/>
    </row>
    <row r="20" spans="1:17" ht="15" customHeight="1">
      <c r="A20" s="2521" t="s">
        <v>719</v>
      </c>
      <c r="B20" s="2521"/>
      <c r="C20" s="2487">
        <v>11700.05</v>
      </c>
      <c r="D20" s="2487"/>
      <c r="E20" s="2487">
        <v>14730.03</v>
      </c>
      <c r="F20" s="2529"/>
      <c r="G20" s="2530"/>
      <c r="H20" s="2531">
        <f>SUM(C20:G20)</f>
        <v>26430.080000000002</v>
      </c>
    </row>
    <row r="21" spans="1:17" ht="15" customHeight="1">
      <c r="A21" s="2521" t="s">
        <v>720</v>
      </c>
      <c r="B21" s="2521"/>
      <c r="C21" s="2532">
        <v>-105577.64</v>
      </c>
      <c r="D21" s="2492"/>
      <c r="E21" s="2532">
        <v>-5401</v>
      </c>
      <c r="F21" s="2529"/>
      <c r="G21" s="2533"/>
      <c r="H21" s="2531">
        <f>SUM(C21:G21)</f>
        <v>-110978.64</v>
      </c>
      <c r="I21" s="2507"/>
    </row>
    <row r="22" spans="1:17" s="2520" customFormat="1" ht="15.75">
      <c r="A22" s="2525" t="s">
        <v>156</v>
      </c>
      <c r="B22" s="2525"/>
      <c r="C22" s="2534">
        <f>ROUND(SUM(C15:C21),2)</f>
        <v>358302692.91000003</v>
      </c>
      <c r="D22" s="2538"/>
      <c r="E22" s="2534">
        <f>ROUND(SUM(E15:E21),2)</f>
        <v>239893021.53999999</v>
      </c>
      <c r="F22" s="2535"/>
      <c r="G22" s="2536"/>
      <c r="H22" s="2537">
        <f>ROUND(SUM(H15:H21),2)</f>
        <v>598195714.45000005</v>
      </c>
      <c r="I22" s="2539"/>
      <c r="J22" s="2504"/>
      <c r="K22" s="2504"/>
      <c r="L22" s="2504"/>
    </row>
    <row r="23" spans="1:17" ht="15" customHeight="1">
      <c r="A23" s="2521"/>
      <c r="B23" s="2521"/>
      <c r="C23" s="2529"/>
      <c r="D23" s="2529"/>
      <c r="E23" s="2529"/>
      <c r="F23" s="2529"/>
      <c r="G23" s="2530"/>
      <c r="H23" s="2531"/>
    </row>
    <row r="24" spans="1:17" ht="15" customHeight="1">
      <c r="A24" s="2525" t="s">
        <v>1187</v>
      </c>
      <c r="B24" s="2521"/>
      <c r="C24" s="2540"/>
      <c r="D24" s="2540"/>
      <c r="E24" s="2540"/>
      <c r="F24" s="2529"/>
      <c r="G24" s="2530"/>
      <c r="H24" s="2531"/>
    </row>
    <row r="25" spans="1:17" ht="15" customHeight="1">
      <c r="A25" s="2541" t="s">
        <v>721</v>
      </c>
      <c r="B25" s="2521"/>
      <c r="C25" s="2529">
        <v>0</v>
      </c>
      <c r="D25" s="2529"/>
      <c r="E25" s="2529">
        <v>0</v>
      </c>
      <c r="F25" s="2529"/>
      <c r="G25" s="2530"/>
      <c r="H25" s="2531">
        <f>SUM(C25:G25)</f>
        <v>0</v>
      </c>
    </row>
    <row r="26" spans="1:17" ht="15" customHeight="1">
      <c r="A26" s="2541" t="s">
        <v>722</v>
      </c>
      <c r="B26" s="2521"/>
      <c r="C26" s="2529">
        <v>0</v>
      </c>
      <c r="D26" s="2529"/>
      <c r="E26" s="2529">
        <v>0</v>
      </c>
      <c r="F26" s="2529"/>
      <c r="G26" s="2530"/>
      <c r="H26" s="2531">
        <f>SUM(C26:G26)</f>
        <v>0</v>
      </c>
    </row>
    <row r="27" spans="1:17" ht="15" customHeight="1">
      <c r="A27" s="2541" t="s">
        <v>723</v>
      </c>
      <c r="B27" s="2521"/>
      <c r="C27" s="2529">
        <v>0</v>
      </c>
      <c r="D27" s="2529"/>
      <c r="E27" s="2529">
        <v>0</v>
      </c>
      <c r="F27" s="2529"/>
      <c r="G27" s="2533"/>
      <c r="H27" s="2531">
        <f>SUM(C27:G27)</f>
        <v>0</v>
      </c>
    </row>
    <row r="28" spans="1:17" ht="15.75">
      <c r="A28" s="2510" t="s">
        <v>1247</v>
      </c>
      <c r="B28" s="2525"/>
      <c r="C28" s="2537">
        <f>ROUND(SUM(C25:C27),2)</f>
        <v>0</v>
      </c>
      <c r="D28" s="2538"/>
      <c r="E28" s="2537">
        <f>ROUND(SUM(E25:E27),2)</f>
        <v>0</v>
      </c>
      <c r="F28" s="2535"/>
      <c r="G28" s="2536"/>
      <c r="H28" s="2537">
        <f>ROUND(SUM(H25:H27),2)</f>
        <v>0</v>
      </c>
    </row>
    <row r="29" spans="1:17" ht="15" customHeight="1">
      <c r="A29" s="2521"/>
      <c r="B29" s="2521"/>
      <c r="C29" s="2529"/>
      <c r="D29" s="2529"/>
      <c r="E29" s="2529"/>
      <c r="F29" s="2529"/>
      <c r="G29" s="2530"/>
      <c r="H29" s="2531"/>
    </row>
    <row r="30" spans="1:17" ht="15" customHeight="1">
      <c r="A30" s="2525" t="s">
        <v>724</v>
      </c>
      <c r="B30" s="2525"/>
      <c r="C30" s="2535">
        <f>ROUND(+C22+C28,2)</f>
        <v>358302692.91000003</v>
      </c>
      <c r="D30" s="2535"/>
      <c r="E30" s="2535">
        <f>ROUND(+E22+E28,2)</f>
        <v>239893021.53999999</v>
      </c>
      <c r="F30" s="2535"/>
      <c r="G30" s="2542"/>
      <c r="H30" s="2538">
        <f>ROUND(+H22+H28,2)</f>
        <v>598195714.45000005</v>
      </c>
    </row>
    <row r="31" spans="1:17" ht="15" customHeight="1">
      <c r="A31" s="2521"/>
      <c r="B31" s="2521"/>
      <c r="C31" s="2543"/>
      <c r="D31" s="2531"/>
      <c r="E31" s="2543"/>
      <c r="F31" s="2529"/>
      <c r="G31" s="2530"/>
      <c r="H31" s="2543"/>
      <c r="I31" s="2507"/>
      <c r="J31" s="2507"/>
      <c r="K31" s="2507"/>
      <c r="L31" s="2507"/>
      <c r="M31" s="2544"/>
      <c r="N31" s="2544"/>
      <c r="O31" s="2544"/>
      <c r="P31" s="2544"/>
      <c r="Q31" s="2544"/>
    </row>
    <row r="32" spans="1:17" ht="15" customHeight="1">
      <c r="A32" s="2525" t="s">
        <v>47</v>
      </c>
      <c r="B32" s="2521"/>
      <c r="C32" s="2531"/>
      <c r="D32" s="2531"/>
      <c r="E32" s="2531"/>
      <c r="F32" s="2531"/>
      <c r="G32" s="2530"/>
      <c r="H32" s="2531"/>
      <c r="I32" s="2507"/>
      <c r="J32" s="2507"/>
      <c r="K32" s="2507"/>
      <c r="L32" s="2507"/>
      <c r="M32" s="2544"/>
      <c r="N32" s="2544"/>
      <c r="O32" s="2544"/>
      <c r="P32" s="2544"/>
      <c r="Q32" s="2544"/>
    </row>
    <row r="33" spans="1:17" ht="15" customHeight="1">
      <c r="A33" s="2525" t="s">
        <v>1127</v>
      </c>
      <c r="B33" s="2521"/>
      <c r="C33" s="2531"/>
      <c r="D33" s="2531"/>
      <c r="E33" s="2531"/>
      <c r="F33" s="2531"/>
      <c r="G33" s="2530"/>
      <c r="H33" s="2531"/>
      <c r="I33" s="2507"/>
      <c r="J33" s="2507"/>
      <c r="K33" s="2507"/>
      <c r="L33" s="2507"/>
      <c r="M33" s="2544"/>
      <c r="N33" s="2544"/>
      <c r="O33" s="2544"/>
      <c r="P33" s="2544"/>
      <c r="Q33" s="2544"/>
    </row>
    <row r="34" spans="1:17" ht="15" customHeight="1">
      <c r="A34" s="2521" t="s">
        <v>725</v>
      </c>
      <c r="B34" s="2521"/>
      <c r="C34" s="2487">
        <v>0</v>
      </c>
      <c r="D34" s="2487"/>
      <c r="E34" s="2487">
        <v>0</v>
      </c>
      <c r="F34" s="2531"/>
      <c r="G34" s="2530"/>
      <c r="H34" s="2531">
        <f>SUM(C34:G34)</f>
        <v>0</v>
      </c>
      <c r="I34" s="2507"/>
      <c r="J34" s="2507"/>
      <c r="K34" s="2507"/>
      <c r="L34" s="2507"/>
      <c r="M34" s="2544"/>
      <c r="N34" s="2544"/>
      <c r="O34" s="2544"/>
      <c r="P34" s="2544"/>
      <c r="Q34" s="2544"/>
    </row>
    <row r="35" spans="1:17" ht="15" customHeight="1">
      <c r="A35" s="2541" t="s">
        <v>726</v>
      </c>
      <c r="B35" s="2521"/>
      <c r="C35" s="2487">
        <v>3597886</v>
      </c>
      <c r="D35" s="2487"/>
      <c r="E35" s="2487">
        <v>3573440</v>
      </c>
      <c r="F35" s="2531"/>
      <c r="G35" s="2530"/>
      <c r="H35" s="2531">
        <f>SUM(C35:G35)</f>
        <v>7171326</v>
      </c>
      <c r="I35" s="2507"/>
      <c r="J35" s="2507"/>
      <c r="K35" s="2507"/>
      <c r="L35" s="2507"/>
      <c r="M35" s="2544"/>
      <c r="N35" s="2544"/>
      <c r="O35" s="2544"/>
      <c r="P35" s="2544"/>
      <c r="Q35" s="2544"/>
    </row>
    <row r="36" spans="1:17" ht="15" customHeight="1">
      <c r="A36" s="2525" t="s">
        <v>727</v>
      </c>
      <c r="B36" s="2521"/>
      <c r="C36" s="2531"/>
      <c r="D36" s="2531"/>
      <c r="E36" s="2531"/>
      <c r="F36" s="2531"/>
      <c r="G36" s="2530"/>
      <c r="H36" s="2665"/>
      <c r="I36" s="2507"/>
      <c r="J36" s="2507"/>
      <c r="K36" s="2507"/>
      <c r="L36" s="2507"/>
      <c r="M36" s="2544"/>
      <c r="N36" s="2544"/>
      <c r="O36" s="2544"/>
      <c r="P36" s="2544"/>
      <c r="Q36" s="2544"/>
    </row>
    <row r="37" spans="1:17" ht="15" customHeight="1">
      <c r="A37" s="2476" t="s">
        <v>728</v>
      </c>
      <c r="B37" s="2521"/>
      <c r="C37" s="2545">
        <v>0</v>
      </c>
      <c r="D37" s="2545"/>
      <c r="E37" s="2545">
        <v>0</v>
      </c>
      <c r="F37" s="2531"/>
      <c r="G37" s="2530"/>
      <c r="H37" s="2531">
        <f>SUM(C37:G37)</f>
        <v>0</v>
      </c>
      <c r="I37" s="2507"/>
      <c r="J37" s="2507"/>
      <c r="K37" s="2507"/>
      <c r="L37" s="2507"/>
      <c r="M37" s="2544"/>
      <c r="N37" s="2544"/>
      <c r="O37" s="2544"/>
      <c r="P37" s="2544"/>
      <c r="Q37" s="2544"/>
    </row>
    <row r="38" spans="1:17" s="2520" customFormat="1" ht="15.75">
      <c r="A38" s="2525" t="s">
        <v>729</v>
      </c>
      <c r="B38" s="2525"/>
      <c r="C38" s="2537">
        <f>ROUND(SUM(C34:C37),2)</f>
        <v>3597886</v>
      </c>
      <c r="D38" s="2538"/>
      <c r="E38" s="2537">
        <f>ROUND(SUM(E34:E37),2)</f>
        <v>3573440</v>
      </c>
      <c r="F38" s="2535"/>
      <c r="G38" s="2536"/>
      <c r="H38" s="2537">
        <f>ROUND(SUM(H34:H37),2)</f>
        <v>7171326</v>
      </c>
      <c r="I38" s="2539"/>
      <c r="J38" s="2539"/>
      <c r="K38" s="2539"/>
      <c r="L38" s="2539"/>
      <c r="M38" s="2546"/>
      <c r="N38" s="2546"/>
      <c r="O38" s="2546"/>
      <c r="P38" s="2546"/>
      <c r="Q38" s="2546"/>
    </row>
    <row r="39" spans="1:17" ht="15" customHeight="1">
      <c r="A39" s="2521"/>
      <c r="B39" s="2521"/>
      <c r="C39" s="2529"/>
      <c r="D39" s="2529"/>
      <c r="E39" s="2529"/>
      <c r="F39" s="2529"/>
      <c r="G39" s="2530"/>
      <c r="H39" s="2531"/>
      <c r="I39" s="2507"/>
      <c r="J39" s="2507"/>
      <c r="K39" s="2507"/>
      <c r="L39" s="2507"/>
      <c r="M39" s="2544"/>
      <c r="N39" s="2544"/>
      <c r="O39" s="2544"/>
      <c r="P39" s="2544"/>
      <c r="Q39" s="2544"/>
    </row>
    <row r="40" spans="1:17" ht="15" customHeight="1">
      <c r="A40" s="2525" t="s">
        <v>1188</v>
      </c>
      <c r="B40" s="2521"/>
      <c r="C40" s="2529"/>
      <c r="D40" s="2529"/>
      <c r="E40" s="2529"/>
      <c r="F40" s="2529"/>
      <c r="G40" s="2530"/>
      <c r="H40" s="2531"/>
      <c r="I40" s="2507"/>
      <c r="J40" s="2507"/>
      <c r="K40" s="2507"/>
      <c r="L40" s="2507"/>
      <c r="M40" s="2544"/>
      <c r="N40" s="2544"/>
      <c r="O40" s="2544"/>
      <c r="P40" s="2544"/>
      <c r="Q40" s="2544"/>
    </row>
    <row r="41" spans="1:17" ht="15" customHeight="1">
      <c r="A41" s="2521" t="s">
        <v>725</v>
      </c>
      <c r="B41" s="2521"/>
      <c r="C41" s="2477">
        <v>0</v>
      </c>
      <c r="D41" s="2477"/>
      <c r="E41" s="2477">
        <v>0</v>
      </c>
      <c r="F41" s="2529"/>
      <c r="G41" s="2530"/>
      <c r="H41" s="2531">
        <f>SUM(C41:G41)</f>
        <v>0</v>
      </c>
      <c r="I41" s="2507"/>
      <c r="J41" s="2507"/>
      <c r="K41" s="2507"/>
      <c r="L41" s="2507"/>
      <c r="M41" s="2544"/>
      <c r="N41" s="2544"/>
      <c r="O41" s="2544"/>
      <c r="P41" s="2544"/>
      <c r="Q41" s="2544"/>
    </row>
    <row r="42" spans="1:17" ht="15" customHeight="1">
      <c r="A42" s="2521" t="s">
        <v>730</v>
      </c>
      <c r="B42" s="2521"/>
      <c r="C42" s="2529">
        <v>0</v>
      </c>
      <c r="D42" s="2529"/>
      <c r="E42" s="2529">
        <v>0</v>
      </c>
      <c r="F42" s="2529"/>
      <c r="G42" s="2530"/>
      <c r="H42" s="2531">
        <f>SUM(C42:G42)</f>
        <v>0</v>
      </c>
      <c r="I42" s="2507"/>
      <c r="J42" s="2507"/>
      <c r="K42" s="2507"/>
      <c r="L42" s="2507"/>
      <c r="M42" s="2544"/>
      <c r="N42" s="2544"/>
      <c r="O42" s="2544"/>
      <c r="P42" s="2544"/>
      <c r="Q42" s="2544"/>
    </row>
    <row r="43" spans="1:17" ht="15" customHeight="1">
      <c r="A43" s="2525" t="s">
        <v>1189</v>
      </c>
      <c r="B43" s="2521"/>
      <c r="C43" s="2529"/>
      <c r="D43" s="2529"/>
      <c r="E43" s="2529"/>
      <c r="F43" s="2529"/>
      <c r="G43" s="2530"/>
      <c r="H43" s="2666"/>
      <c r="I43" s="2507"/>
      <c r="J43" s="2507"/>
      <c r="K43" s="2507"/>
      <c r="L43" s="2507"/>
      <c r="M43" s="2544"/>
      <c r="N43" s="2544"/>
      <c r="O43" s="2544"/>
      <c r="P43" s="2544"/>
      <c r="Q43" s="2544"/>
    </row>
    <row r="44" spans="1:17" ht="15" customHeight="1">
      <c r="A44" s="2541" t="s">
        <v>728</v>
      </c>
      <c r="B44" s="2521"/>
      <c r="C44" s="2487">
        <v>-217747606.40000001</v>
      </c>
      <c r="D44" s="2487"/>
      <c r="E44" s="2487">
        <v>-309607954.38</v>
      </c>
      <c r="F44" s="2529"/>
      <c r="G44" s="2530"/>
      <c r="H44" s="2531">
        <f>SUM(C44:G44)</f>
        <v>-527355560.77999997</v>
      </c>
      <c r="I44" s="2507"/>
      <c r="J44" s="2507"/>
      <c r="K44" s="2507"/>
      <c r="L44" s="2507"/>
      <c r="M44" s="2544"/>
      <c r="N44" s="2544"/>
      <c r="O44" s="2544"/>
      <c r="P44" s="2544"/>
      <c r="Q44" s="2544"/>
    </row>
    <row r="45" spans="1:17" ht="15" customHeight="1">
      <c r="A45" s="2521" t="s">
        <v>731</v>
      </c>
      <c r="B45" s="2521"/>
      <c r="C45" s="2487">
        <v>-88301339.200000003</v>
      </c>
      <c r="D45" s="2487"/>
      <c r="E45" s="2487">
        <v>-64439718.700000003</v>
      </c>
      <c r="F45" s="2529"/>
      <c r="G45" s="2530"/>
      <c r="H45" s="2531">
        <f>SUM(C45:G45)</f>
        <v>-152741057.90000001</v>
      </c>
      <c r="I45" s="2507"/>
      <c r="J45" s="2507"/>
      <c r="K45" s="2507"/>
      <c r="L45" s="2507"/>
      <c r="M45" s="2544"/>
      <c r="N45" s="2544"/>
      <c r="O45" s="2544"/>
      <c r="P45" s="2544"/>
      <c r="Q45" s="2544"/>
    </row>
    <row r="46" spans="1:17" ht="15" customHeight="1">
      <c r="A46" s="2521" t="s">
        <v>732</v>
      </c>
      <c r="B46" s="2521"/>
      <c r="C46" s="2547">
        <v>-3489535.13</v>
      </c>
      <c r="D46" s="2531"/>
      <c r="E46" s="2547">
        <v>-732349.68</v>
      </c>
      <c r="F46" s="2529"/>
      <c r="G46" s="2530"/>
      <c r="H46" s="2531">
        <f>SUM(C46:G46)</f>
        <v>-4221884.8099999996</v>
      </c>
      <c r="I46" s="2507"/>
      <c r="J46" s="2507"/>
      <c r="K46" s="2507"/>
      <c r="L46" s="2507"/>
      <c r="M46" s="2544"/>
      <c r="N46" s="2544"/>
      <c r="O46" s="2544"/>
      <c r="P46" s="2544"/>
      <c r="Q46" s="2544"/>
    </row>
    <row r="47" spans="1:17" ht="15.75">
      <c r="A47" s="2525" t="s">
        <v>733</v>
      </c>
      <c r="B47" s="2525"/>
      <c r="C47" s="2537">
        <f>ROUND(SUM(C41:C46),2)</f>
        <v>-309538480.73000002</v>
      </c>
      <c r="D47" s="2538"/>
      <c r="E47" s="2537">
        <f>ROUND(SUM(E41:E46),2)</f>
        <v>-374780022.75999999</v>
      </c>
      <c r="F47" s="2535"/>
      <c r="G47" s="2536"/>
      <c r="H47" s="2537">
        <f>ROUND(SUM(H41:H46),2)</f>
        <v>-684318503.49000001</v>
      </c>
      <c r="I47" s="2507"/>
      <c r="J47" s="2507"/>
      <c r="K47" s="2507"/>
      <c r="L47" s="2507"/>
      <c r="M47" s="2544"/>
      <c r="N47" s="2544"/>
      <c r="O47" s="2544"/>
      <c r="P47" s="2544"/>
      <c r="Q47" s="2544"/>
    </row>
    <row r="48" spans="1:17" ht="15" customHeight="1">
      <c r="A48" s="2521"/>
      <c r="B48" s="2521"/>
      <c r="C48" s="2529"/>
      <c r="D48" s="2529"/>
      <c r="E48" s="2529"/>
      <c r="F48" s="2529"/>
      <c r="G48" s="2530"/>
      <c r="H48" s="2531"/>
      <c r="I48" s="2507"/>
      <c r="J48" s="2507"/>
      <c r="K48" s="2507"/>
      <c r="L48" s="2507"/>
      <c r="M48" s="2544"/>
      <c r="N48" s="2544"/>
      <c r="O48" s="2544"/>
      <c r="P48" s="2544"/>
      <c r="Q48" s="2544"/>
    </row>
    <row r="49" spans="1:17" ht="15" customHeight="1">
      <c r="A49" s="2525" t="s">
        <v>734</v>
      </c>
      <c r="B49" s="2521"/>
      <c r="C49" s="2529"/>
      <c r="D49" s="2529"/>
      <c r="E49" s="2529"/>
      <c r="F49" s="2529"/>
      <c r="G49" s="2530"/>
      <c r="H49" s="2531"/>
      <c r="I49" s="2507"/>
      <c r="J49" s="2507"/>
      <c r="K49" s="2507"/>
      <c r="L49" s="2507"/>
      <c r="M49" s="2544"/>
      <c r="N49" s="2544"/>
      <c r="O49" s="2544"/>
      <c r="P49" s="2544"/>
      <c r="Q49" s="2544"/>
    </row>
    <row r="50" spans="1:17" ht="15" customHeight="1">
      <c r="A50" s="2525" t="s">
        <v>735</v>
      </c>
      <c r="B50" s="2521"/>
      <c r="C50" s="2534">
        <f>ROUND(+C30+C38+C47,2)</f>
        <v>52362098.18</v>
      </c>
      <c r="D50" s="2538"/>
      <c r="E50" s="2534">
        <f>ROUND(+E30+E38+E47,2)</f>
        <v>-131313561.22</v>
      </c>
      <c r="F50" s="2538"/>
      <c r="G50" s="2542"/>
      <c r="H50" s="2534">
        <f>ROUND(+H30+H38+H47,2)</f>
        <v>-78951463.040000007</v>
      </c>
      <c r="I50" s="2507"/>
      <c r="J50" s="2507"/>
      <c r="K50" s="2507"/>
      <c r="L50" s="2507"/>
      <c r="M50" s="2544"/>
      <c r="N50" s="2544"/>
      <c r="O50" s="2544"/>
      <c r="P50" s="2544"/>
      <c r="Q50" s="2544"/>
    </row>
    <row r="51" spans="1:17" ht="15" customHeight="1">
      <c r="A51" s="2521"/>
      <c r="B51" s="2521"/>
      <c r="C51" s="2523"/>
      <c r="D51" s="2523"/>
      <c r="E51" s="2523"/>
      <c r="F51" s="2512"/>
      <c r="G51" s="2548"/>
      <c r="H51" s="2531"/>
      <c r="I51" s="2507"/>
      <c r="J51" s="2507"/>
      <c r="K51" s="2507"/>
      <c r="L51" s="2507"/>
      <c r="M51" s="2544"/>
      <c r="N51" s="2544"/>
      <c r="O51" s="2544"/>
      <c r="P51" s="2544"/>
      <c r="Q51" s="2544"/>
    </row>
    <row r="52" spans="1:17" s="2520" customFormat="1" ht="21" customHeight="1" thickBot="1">
      <c r="A52" s="2525" t="s">
        <v>736</v>
      </c>
      <c r="B52" s="2525"/>
      <c r="C52" s="2526">
        <f>ROUND(C12+C50,2)</f>
        <v>322844361.68000001</v>
      </c>
      <c r="D52" s="2526"/>
      <c r="E52" s="2526">
        <f>ROUND(E12+E50,2)</f>
        <v>191530800.46000001</v>
      </c>
      <c r="F52" s="2526"/>
      <c r="G52" s="2549"/>
      <c r="H52" s="2664">
        <f>ROUND(H12+H50,2)</f>
        <v>191530800.46000001</v>
      </c>
      <c r="I52" s="2504"/>
      <c r="J52" s="2504"/>
      <c r="K52" s="2504"/>
      <c r="L52" s="2504"/>
    </row>
    <row r="53" spans="1:17" ht="15" customHeight="1" thickTop="1">
      <c r="A53" s="2521" t="s">
        <v>16</v>
      </c>
      <c r="B53" s="2521"/>
      <c r="C53" s="2550"/>
      <c r="D53" s="2512"/>
      <c r="E53" s="2550"/>
      <c r="F53" s="2523"/>
      <c r="G53" s="2512"/>
      <c r="H53" s="2550"/>
    </row>
    <row r="54" spans="1:17" ht="15" customHeight="1">
      <c r="A54" s="2501" t="s">
        <v>737</v>
      </c>
    </row>
    <row r="55" spans="1:17" ht="15" customHeight="1">
      <c r="A55" s="2551"/>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F6"/>
    <mergeCell ref="A7:F7"/>
  </mergeCells>
  <printOptions horizontalCentered="1" verticalCentered="1"/>
  <pageMargins left="0.24" right="0.24" top="0.5" bottom="0.5" header="0.18" footer="0.25"/>
  <pageSetup scale="60"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sheetPr codeName="Sheet39">
    <pageSetUpPr fitToPage="1"/>
  </sheetPr>
  <dimension ref="A1:AR62"/>
  <sheetViews>
    <sheetView showGridLines="0" zoomScale="90" zoomScaleNormal="80" workbookViewId="0"/>
  </sheetViews>
  <sheetFormatPr defaultRowHeight="15"/>
  <cols>
    <col min="1" max="1" width="1.6640625" style="2448" customWidth="1"/>
    <col min="2" max="2" width="45.109375" style="2448" customWidth="1"/>
    <col min="3" max="3" width="4.5546875" style="2449" customWidth="1"/>
    <col min="4" max="4" width="21" style="2450" customWidth="1"/>
    <col min="5" max="5" width="2.109375" style="2450" customWidth="1"/>
    <col min="6" max="6" width="21" style="2450" customWidth="1"/>
    <col min="7" max="7" width="1.6640625" style="2449" customWidth="1"/>
    <col min="8" max="8" width="1.6640625" style="2450" customWidth="1"/>
    <col min="9" max="9" width="19" style="2450" customWidth="1"/>
    <col min="10" max="11" width="8.88671875" style="2449"/>
    <col min="12" max="12" width="24.21875" style="2449" customWidth="1"/>
    <col min="13" max="14" width="8.88671875" style="2449"/>
    <col min="15" max="16384" width="8.88671875" style="2448"/>
  </cols>
  <sheetData>
    <row r="1" spans="1:39">
      <c r="B1" s="1190" t="s">
        <v>1231</v>
      </c>
    </row>
    <row r="3" spans="1:39" ht="18">
      <c r="I3" s="2667" t="s">
        <v>738</v>
      </c>
    </row>
    <row r="4" spans="1:39" ht="15.75">
      <c r="I4" s="2668"/>
    </row>
    <row r="5" spans="1:39" s="2453" customFormat="1" ht="18" customHeight="1">
      <c r="A5" s="2451"/>
      <c r="B5" s="2454" t="s">
        <v>526</v>
      </c>
      <c r="C5" s="2669"/>
      <c r="D5" s="2669"/>
      <c r="E5" s="2669"/>
      <c r="F5" s="2669"/>
      <c r="G5" s="2669"/>
      <c r="H5" s="2670"/>
      <c r="I5" s="2669"/>
      <c r="J5" s="2452"/>
      <c r="K5" s="2452"/>
      <c r="L5" s="2452"/>
      <c r="M5" s="2452"/>
      <c r="N5" s="2452"/>
    </row>
    <row r="6" spans="1:39" s="2453" customFormat="1" ht="18" customHeight="1">
      <c r="A6" s="2451"/>
      <c r="B6" s="2454" t="s">
        <v>1267</v>
      </c>
      <c r="C6" s="2455"/>
      <c r="D6" s="2455"/>
      <c r="E6" s="2455"/>
      <c r="F6" s="2455"/>
      <c r="G6" s="2455"/>
      <c r="H6" s="2501"/>
      <c r="I6" s="2476"/>
      <c r="J6" s="2452"/>
      <c r="K6" s="2452"/>
      <c r="L6" s="2452"/>
      <c r="M6" s="2452"/>
      <c r="N6" s="2452"/>
    </row>
    <row r="7" spans="1:39" s="2453" customFormat="1" ht="18" customHeight="1">
      <c r="A7" s="2451"/>
      <c r="B7" s="3549" t="s">
        <v>1547</v>
      </c>
      <c r="C7" s="3550"/>
      <c r="D7" s="3550"/>
      <c r="E7" s="3550"/>
      <c r="F7" s="3550"/>
      <c r="G7" s="3550"/>
      <c r="H7" s="2670"/>
      <c r="I7" s="2669"/>
      <c r="J7" s="2452"/>
      <c r="K7" s="2452"/>
      <c r="L7" s="2452"/>
      <c r="M7" s="2452"/>
      <c r="N7" s="2452"/>
    </row>
    <row r="8" spans="1:39" s="2453" customFormat="1" ht="18" customHeight="1">
      <c r="A8" s="2451"/>
      <c r="B8" s="3551"/>
      <c r="C8" s="3552"/>
      <c r="D8" s="3552"/>
      <c r="E8" s="3552"/>
      <c r="F8" s="3552"/>
      <c r="G8" s="3552"/>
      <c r="H8" s="2671"/>
      <c r="I8" s="2671"/>
      <c r="J8" s="2456"/>
      <c r="K8" s="2452"/>
      <c r="L8" s="2452"/>
      <c r="M8" s="2452"/>
      <c r="N8" s="2452"/>
    </row>
    <row r="9" spans="1:39" s="2453" customFormat="1" ht="18" customHeight="1">
      <c r="A9" s="2451"/>
      <c r="B9" s="2457"/>
      <c r="C9" s="2458"/>
      <c r="D9" s="2458"/>
      <c r="E9" s="2458"/>
      <c r="F9" s="2458"/>
      <c r="G9" s="2458"/>
      <c r="H9" s="2458"/>
      <c r="I9" s="2458"/>
      <c r="J9" s="2456"/>
      <c r="K9" s="2452"/>
      <c r="L9" s="2452"/>
      <c r="M9" s="2452"/>
      <c r="N9" s="2452"/>
    </row>
    <row r="10" spans="1:39" s="2464" customFormat="1" ht="15.75">
      <c r="A10" s="2459"/>
      <c r="B10" s="2459"/>
      <c r="C10" s="2460"/>
      <c r="D10" s="2461">
        <v>2015</v>
      </c>
      <c r="E10" s="2461"/>
      <c r="F10" s="2461">
        <v>2015</v>
      </c>
      <c r="G10" s="2460"/>
      <c r="H10" s="2462"/>
      <c r="I10" s="2462"/>
      <c r="J10" s="2463"/>
      <c r="K10" s="2463"/>
      <c r="L10" s="2463"/>
      <c r="M10" s="2463"/>
      <c r="N10" s="2463"/>
    </row>
    <row r="11" spans="1:39" ht="15.75">
      <c r="A11" s="2465"/>
      <c r="B11" s="2465"/>
      <c r="C11" s="2466"/>
      <c r="D11" s="2467" t="s">
        <v>129</v>
      </c>
      <c r="E11" s="3473"/>
      <c r="F11" s="2467" t="s">
        <v>130</v>
      </c>
      <c r="G11" s="2466"/>
      <c r="H11" s="2469"/>
      <c r="I11" s="2468" t="s">
        <v>1550</v>
      </c>
    </row>
    <row r="12" spans="1:39">
      <c r="A12" s="2465"/>
      <c r="B12" s="2465"/>
      <c r="C12" s="2466"/>
      <c r="D12" s="2466"/>
      <c r="E12" s="2466"/>
      <c r="F12" s="2466"/>
      <c r="G12" s="2469"/>
      <c r="H12" s="2469"/>
      <c r="I12" s="2470"/>
    </row>
    <row r="13" spans="1:39" s="2464" customFormat="1" ht="15.75">
      <c r="A13" s="2471"/>
      <c r="B13" s="2471" t="s">
        <v>501</v>
      </c>
      <c r="C13" s="2460"/>
      <c r="D13" s="2472">
        <v>575.1</v>
      </c>
      <c r="E13" s="2472"/>
      <c r="F13" s="2472">
        <f>D49</f>
        <v>25904929.34</v>
      </c>
      <c r="G13" s="2473"/>
      <c r="H13" s="2672"/>
      <c r="I13" s="2473">
        <f>+D13</f>
        <v>575.1</v>
      </c>
      <c r="J13" s="2463"/>
      <c r="K13" s="2463"/>
      <c r="L13" s="2463"/>
      <c r="M13" s="2463"/>
      <c r="N13" s="2463"/>
      <c r="O13" s="2474"/>
      <c r="P13" s="2474"/>
      <c r="Q13" s="2474"/>
      <c r="R13" s="2474"/>
      <c r="S13" s="2474"/>
      <c r="T13" s="2474"/>
      <c r="U13" s="2474"/>
      <c r="V13" s="2474"/>
      <c r="W13" s="2474"/>
      <c r="X13" s="2474"/>
      <c r="Y13" s="2474"/>
      <c r="Z13" s="2475"/>
      <c r="AA13" s="2475"/>
      <c r="AB13" s="2475"/>
      <c r="AC13" s="2475"/>
      <c r="AD13" s="2475"/>
      <c r="AE13" s="2475"/>
      <c r="AF13" s="2475"/>
      <c r="AG13" s="2475"/>
      <c r="AH13" s="2475"/>
      <c r="AI13" s="2475"/>
      <c r="AJ13" s="2475"/>
      <c r="AK13" s="2475"/>
      <c r="AL13" s="2475"/>
      <c r="AM13" s="2475"/>
    </row>
    <row r="14" spans="1:39" s="2464" customFormat="1" ht="15.75">
      <c r="A14" s="2471"/>
      <c r="B14" s="2471"/>
      <c r="C14" s="2460"/>
      <c r="D14" s="2472"/>
      <c r="E14" s="2472"/>
      <c r="F14" s="2472"/>
      <c r="G14" s="2473"/>
      <c r="H14" s="2672"/>
      <c r="I14" s="2473"/>
      <c r="J14" s="2463"/>
      <c r="K14" s="2463"/>
      <c r="L14" s="2463"/>
      <c r="M14" s="2463"/>
      <c r="N14" s="2463"/>
      <c r="O14" s="2474"/>
      <c r="P14" s="2474"/>
      <c r="Q14" s="2474"/>
      <c r="R14" s="2474"/>
      <c r="S14" s="2474"/>
      <c r="T14" s="2474"/>
      <c r="U14" s="2474"/>
      <c r="V14" s="2474"/>
      <c r="W14" s="2474"/>
      <c r="X14" s="2474"/>
      <c r="Y14" s="2474"/>
      <c r="Z14" s="2475"/>
      <c r="AA14" s="2475"/>
      <c r="AB14" s="2475"/>
      <c r="AC14" s="2475"/>
      <c r="AD14" s="2475"/>
      <c r="AE14" s="2475"/>
      <c r="AF14" s="2475"/>
      <c r="AG14" s="2475"/>
      <c r="AH14" s="2475"/>
      <c r="AI14" s="2475"/>
      <c r="AJ14" s="2475"/>
      <c r="AK14" s="2475"/>
      <c r="AL14" s="2475"/>
      <c r="AM14" s="2475"/>
    </row>
    <row r="15" spans="1:39" ht="15.75">
      <c r="A15" s="2465"/>
      <c r="B15" s="2471" t="s">
        <v>15</v>
      </c>
      <c r="C15" s="2466"/>
      <c r="D15" s="2466"/>
      <c r="E15" s="2466"/>
      <c r="F15" s="2466"/>
      <c r="G15" s="2469"/>
      <c r="H15" s="2673"/>
      <c r="I15" s="2469"/>
    </row>
    <row r="16" spans="1:39">
      <c r="A16" s="2465"/>
      <c r="B16" s="2476" t="s">
        <v>719</v>
      </c>
      <c r="C16" s="2466"/>
      <c r="D16" s="2477">
        <v>431.24</v>
      </c>
      <c r="E16" s="2477"/>
      <c r="F16" s="2477">
        <v>137.43</v>
      </c>
      <c r="G16" s="2478"/>
      <c r="H16" s="2674"/>
      <c r="I16" s="2478">
        <f>ROUND(SUM(D16:G16),2)</f>
        <v>568.66999999999996</v>
      </c>
    </row>
    <row r="17" spans="1:19" s="2464" customFormat="1" ht="15.75">
      <c r="A17" s="2471"/>
      <c r="B17" s="2471" t="s">
        <v>156</v>
      </c>
      <c r="C17" s="2460"/>
      <c r="D17" s="2479">
        <f>ROUND(SUM(D16:D16),2)</f>
        <v>431.24</v>
      </c>
      <c r="E17" s="2480"/>
      <c r="F17" s="2479">
        <f>ROUND(SUM(F16:F16),2)</f>
        <v>137.43</v>
      </c>
      <c r="G17" s="2480"/>
      <c r="H17" s="2675"/>
      <c r="I17" s="2479">
        <f>ROUND(SUM(I16:I16),2)</f>
        <v>568.66999999999996</v>
      </c>
      <c r="J17" s="2463"/>
      <c r="K17" s="2463"/>
      <c r="L17" s="2463"/>
      <c r="M17" s="2463"/>
      <c r="N17" s="2463"/>
    </row>
    <row r="18" spans="1:19">
      <c r="A18" s="2465"/>
      <c r="B18" s="2465"/>
      <c r="C18" s="2466"/>
      <c r="D18" s="2477"/>
      <c r="E18" s="2477"/>
      <c r="F18" s="2477"/>
      <c r="G18" s="2478"/>
      <c r="H18" s="2674"/>
      <c r="I18" s="2481"/>
    </row>
    <row r="19" spans="1:19" ht="15.75">
      <c r="A19" s="2465"/>
      <c r="B19" s="2471" t="s">
        <v>1190</v>
      </c>
      <c r="C19" s="2466"/>
      <c r="D19" s="2477"/>
      <c r="E19" s="2477"/>
      <c r="F19" s="2477"/>
      <c r="G19" s="2478"/>
      <c r="H19" s="2674"/>
      <c r="I19" s="2478"/>
    </row>
    <row r="20" spans="1:19">
      <c r="A20" s="2465"/>
      <c r="B20" s="2476" t="s">
        <v>739</v>
      </c>
      <c r="C20" s="2466"/>
      <c r="D20" s="2477">
        <v>-62866255.939999998</v>
      </c>
      <c r="E20" s="2477"/>
      <c r="F20" s="2477">
        <v>-28904498.100000001</v>
      </c>
      <c r="G20" s="2478"/>
      <c r="H20" s="2674"/>
      <c r="I20" s="2478">
        <f>ROUND(SUM(D20:G20),2)</f>
        <v>-91770754.040000007</v>
      </c>
    </row>
    <row r="21" spans="1:19">
      <c r="A21" s="2465"/>
      <c r="B21" s="2476" t="s">
        <v>740</v>
      </c>
      <c r="C21" s="2466"/>
      <c r="D21" s="2477">
        <v>0</v>
      </c>
      <c r="E21" s="2477"/>
      <c r="F21" s="2477">
        <v>0</v>
      </c>
      <c r="G21" s="2478"/>
      <c r="H21" s="2674"/>
      <c r="I21" s="2478">
        <f>ROUND(SUM(D21:G21),2)</f>
        <v>0</v>
      </c>
    </row>
    <row r="22" spans="1:19">
      <c r="A22" s="2465"/>
      <c r="B22" s="2476" t="s">
        <v>741</v>
      </c>
      <c r="C22" s="2466"/>
      <c r="D22" s="2477">
        <v>-2550705.4500000002</v>
      </c>
      <c r="E22" s="2477"/>
      <c r="F22" s="2477">
        <v>0</v>
      </c>
      <c r="G22" s="2478"/>
      <c r="H22" s="2674"/>
      <c r="I22" s="2478">
        <f>ROUND(SUM(D22:G22),2)</f>
        <v>-2550705.4500000002</v>
      </c>
    </row>
    <row r="23" spans="1:19" s="2464" customFormat="1" ht="15.75">
      <c r="A23" s="2471"/>
      <c r="B23" s="2482" t="s">
        <v>1213</v>
      </c>
      <c r="C23" s="2460"/>
      <c r="D23" s="2483">
        <f>ROUND(SUM(D19:D22),2)</f>
        <v>-65416961.390000001</v>
      </c>
      <c r="E23" s="2480"/>
      <c r="F23" s="2483">
        <f>ROUND(SUM(F19:F22),2)</f>
        <v>-28904498.100000001</v>
      </c>
      <c r="G23" s="2480"/>
      <c r="H23" s="2675"/>
      <c r="I23" s="2483">
        <f>ROUND(SUM(I19:I22),2)</f>
        <v>-94321459.489999995</v>
      </c>
      <c r="J23" s="2463"/>
      <c r="K23" s="2463"/>
      <c r="L23" s="2463"/>
      <c r="M23" s="2463"/>
      <c r="N23" s="2463"/>
    </row>
    <row r="24" spans="1:19">
      <c r="A24" s="2465"/>
      <c r="B24" s="2484"/>
      <c r="C24" s="2466"/>
      <c r="D24" s="2481"/>
      <c r="E24" s="2478"/>
      <c r="F24" s="2481"/>
      <c r="G24" s="2478"/>
      <c r="H24" s="2674"/>
      <c r="I24" s="2481"/>
    </row>
    <row r="25" spans="1:19" s="2464" customFormat="1" ht="15.75">
      <c r="A25" s="2471"/>
      <c r="B25" s="2471" t="s">
        <v>1634</v>
      </c>
      <c r="C25" s="2460"/>
      <c r="D25" s="2485">
        <f>ROUND(+D17+D23,2)</f>
        <v>-65416530.149999999</v>
      </c>
      <c r="E25" s="2485"/>
      <c r="F25" s="2485">
        <f>ROUND(+F17+F23,2)</f>
        <v>-28904360.670000002</v>
      </c>
      <c r="G25" s="2485"/>
      <c r="H25" s="2676"/>
      <c r="I25" s="2485">
        <f>ROUND(+I17+I23,2)</f>
        <v>-94320890.819999993</v>
      </c>
      <c r="J25" s="2463"/>
      <c r="K25" s="2463"/>
      <c r="L25" s="2463"/>
      <c r="M25" s="2463"/>
      <c r="N25" s="2463"/>
    </row>
    <row r="26" spans="1:19">
      <c r="A26" s="2465"/>
      <c r="B26" s="2465"/>
      <c r="C26" s="2466"/>
      <c r="D26" s="2481"/>
      <c r="E26" s="2478"/>
      <c r="F26" s="2481"/>
      <c r="G26" s="2478"/>
      <c r="H26" s="2674"/>
      <c r="I26" s="2481"/>
      <c r="J26" s="2450"/>
      <c r="K26" s="2450"/>
      <c r="L26" s="2450"/>
      <c r="M26" s="2450"/>
      <c r="N26" s="2450"/>
      <c r="O26" s="2486"/>
      <c r="P26" s="2486"/>
      <c r="Q26" s="2486"/>
      <c r="R26" s="2486"/>
      <c r="S26" s="2486"/>
    </row>
    <row r="27" spans="1:19" ht="15.75">
      <c r="A27" s="2465"/>
      <c r="B27" s="2471" t="s">
        <v>47</v>
      </c>
      <c r="C27" s="2466"/>
      <c r="D27" s="2477"/>
      <c r="E27" s="2477"/>
      <c r="F27" s="2477"/>
      <c r="G27" s="2478"/>
      <c r="H27" s="2674"/>
      <c r="I27" s="2478"/>
      <c r="J27" s="2450"/>
      <c r="K27" s="2450"/>
      <c r="L27" s="2450"/>
      <c r="M27" s="2450"/>
      <c r="N27" s="2450"/>
      <c r="O27" s="2486"/>
      <c r="P27" s="2486"/>
      <c r="Q27" s="2486"/>
      <c r="R27" s="2486"/>
      <c r="S27" s="2486"/>
    </row>
    <row r="28" spans="1:19" ht="15.75">
      <c r="A28" s="2465"/>
      <c r="B28" s="2471" t="s">
        <v>1127</v>
      </c>
      <c r="C28" s="2466"/>
      <c r="D28" s="2477"/>
      <c r="E28" s="2477"/>
      <c r="F28" s="2477"/>
      <c r="G28" s="2478"/>
      <c r="H28" s="2674"/>
      <c r="I28" s="2478"/>
      <c r="J28" s="2450"/>
      <c r="K28" s="2450"/>
      <c r="L28" s="2450"/>
      <c r="M28" s="2450"/>
      <c r="N28" s="2450"/>
      <c r="O28" s="2486"/>
      <c r="P28" s="2486"/>
      <c r="Q28" s="2486"/>
      <c r="R28" s="2486"/>
      <c r="S28" s="2486"/>
    </row>
    <row r="29" spans="1:19">
      <c r="A29" s="2465"/>
      <c r="B29" s="2476" t="s">
        <v>742</v>
      </c>
      <c r="C29" s="2466"/>
      <c r="D29" s="2477">
        <v>0</v>
      </c>
      <c r="E29" s="2477"/>
      <c r="F29" s="2477">
        <v>0</v>
      </c>
      <c r="G29" s="2478"/>
      <c r="H29" s="2674"/>
      <c r="I29" s="2478">
        <f>ROUND(SUM(D29:G29),2)</f>
        <v>0</v>
      </c>
      <c r="J29" s="2450"/>
      <c r="K29" s="2450"/>
      <c r="L29" s="2450"/>
      <c r="M29" s="2450"/>
      <c r="N29" s="2450"/>
      <c r="O29" s="2486"/>
      <c r="P29" s="2486"/>
      <c r="Q29" s="2486"/>
      <c r="R29" s="2486"/>
      <c r="S29" s="2486"/>
    </row>
    <row r="30" spans="1:19">
      <c r="A30" s="2465"/>
      <c r="B30" s="2476" t="s">
        <v>730</v>
      </c>
      <c r="C30" s="2466"/>
      <c r="D30" s="2477">
        <v>0</v>
      </c>
      <c r="E30" s="2477"/>
      <c r="F30" s="2477">
        <v>0</v>
      </c>
      <c r="G30" s="2478"/>
      <c r="H30" s="2674"/>
      <c r="I30" s="2478">
        <f>ROUND(SUM(D30:G30),2)</f>
        <v>0</v>
      </c>
      <c r="J30" s="2450"/>
      <c r="K30" s="2450"/>
      <c r="L30" s="2450"/>
      <c r="M30" s="2450"/>
      <c r="N30" s="2450"/>
      <c r="O30" s="2486"/>
      <c r="P30" s="2486"/>
      <c r="Q30" s="2486"/>
      <c r="R30" s="2486"/>
      <c r="S30" s="2486"/>
    </row>
    <row r="31" spans="1:19" ht="15.75">
      <c r="A31" s="2465"/>
      <c r="B31" s="2471" t="s">
        <v>727</v>
      </c>
      <c r="C31" s="2466"/>
      <c r="D31" s="2477"/>
      <c r="E31" s="2477"/>
      <c r="F31" s="2477"/>
      <c r="G31" s="2478"/>
      <c r="H31" s="2674"/>
      <c r="I31" s="2478"/>
      <c r="J31" s="2450"/>
      <c r="K31" s="2450"/>
      <c r="L31" s="2450"/>
      <c r="M31" s="2450"/>
      <c r="N31" s="2450"/>
      <c r="O31" s="2486"/>
      <c r="P31" s="2486"/>
      <c r="Q31" s="2486"/>
      <c r="R31" s="2486"/>
      <c r="S31" s="2486"/>
    </row>
    <row r="32" spans="1:19">
      <c r="A32" s="2465"/>
      <c r="B32" s="2476" t="s">
        <v>743</v>
      </c>
      <c r="C32" s="2466"/>
      <c r="D32" s="2487">
        <v>44150669.600000001</v>
      </c>
      <c r="E32" s="2487"/>
      <c r="F32" s="2487">
        <v>32219859.350000001</v>
      </c>
      <c r="G32" s="2478"/>
      <c r="H32" s="2674"/>
      <c r="I32" s="2478">
        <f>ROUND(SUM(D32:G32),2)</f>
        <v>76370528.950000003</v>
      </c>
      <c r="J32" s="2450"/>
      <c r="K32" s="2450"/>
      <c r="L32" s="2450"/>
      <c r="M32" s="2450"/>
      <c r="N32" s="2450"/>
      <c r="O32" s="2486"/>
      <c r="P32" s="2486"/>
      <c r="Q32" s="2486"/>
      <c r="R32" s="2486"/>
      <c r="S32" s="2486"/>
    </row>
    <row r="33" spans="1:19">
      <c r="A33" s="2465"/>
      <c r="B33" s="2476" t="s">
        <v>744</v>
      </c>
      <c r="C33" s="2466"/>
      <c r="D33" s="2487">
        <v>3020120.29</v>
      </c>
      <c r="E33" s="2487"/>
      <c r="F33" s="2487">
        <v>366174.84</v>
      </c>
      <c r="G33" s="2478"/>
      <c r="H33" s="2674"/>
      <c r="I33" s="2478">
        <f>ROUND(SUM(D33:G33),2)</f>
        <v>3386295.13</v>
      </c>
      <c r="J33" s="2450"/>
      <c r="K33" s="2450"/>
      <c r="L33" s="2450"/>
      <c r="M33" s="2450"/>
      <c r="N33" s="2450"/>
      <c r="O33" s="2486"/>
      <c r="P33" s="2486"/>
      <c r="Q33" s="2486"/>
      <c r="R33" s="2486"/>
      <c r="S33" s="2486"/>
    </row>
    <row r="34" spans="1:19">
      <c r="A34" s="2465"/>
      <c r="B34" s="2476" t="s">
        <v>745</v>
      </c>
      <c r="C34" s="2466"/>
      <c r="D34" s="2487">
        <v>0</v>
      </c>
      <c r="E34" s="2487"/>
      <c r="F34" s="2487">
        <v>0</v>
      </c>
      <c r="G34" s="2478"/>
      <c r="H34" s="2674"/>
      <c r="I34" s="2478">
        <f>ROUND(SUM(D34:G34),2)</f>
        <v>0</v>
      </c>
      <c r="J34" s="2450"/>
      <c r="K34" s="2450"/>
      <c r="L34" s="2450"/>
      <c r="M34" s="2450"/>
      <c r="N34" s="2450"/>
      <c r="O34" s="2486"/>
      <c r="P34" s="2486"/>
      <c r="Q34" s="2486"/>
      <c r="R34" s="2486"/>
      <c r="S34" s="2486"/>
    </row>
    <row r="35" spans="1:19">
      <c r="A35" s="2465"/>
      <c r="B35" s="2476" t="s">
        <v>746</v>
      </c>
      <c r="C35" s="2466"/>
      <c r="D35" s="2487">
        <v>44150669.600000001</v>
      </c>
      <c r="E35" s="2487"/>
      <c r="F35" s="2487">
        <v>32219859.350000001</v>
      </c>
      <c r="G35" s="2478"/>
      <c r="H35" s="2674"/>
      <c r="I35" s="2478">
        <f>ROUND(SUM(D35:G35),2)</f>
        <v>76370528.950000003</v>
      </c>
      <c r="J35" s="2450"/>
      <c r="K35" s="2450"/>
      <c r="L35" s="2450"/>
      <c r="M35" s="2450"/>
      <c r="N35" s="2450"/>
      <c r="O35" s="2486"/>
      <c r="P35" s="2486"/>
      <c r="Q35" s="2486"/>
      <c r="R35" s="2486"/>
      <c r="S35" s="2486"/>
    </row>
    <row r="36" spans="1:19">
      <c r="A36" s="2465"/>
      <c r="B36" s="2476" t="s">
        <v>741</v>
      </c>
      <c r="C36" s="2466"/>
      <c r="D36" s="2488">
        <v>0</v>
      </c>
      <c r="E36" s="2487"/>
      <c r="F36" s="2488">
        <v>0</v>
      </c>
      <c r="G36" s="2478"/>
      <c r="H36" s="2674"/>
      <c r="I36" s="2478">
        <f>ROUND(SUM(D36:G36),2)</f>
        <v>0</v>
      </c>
      <c r="J36" s="2450"/>
      <c r="K36" s="2450"/>
      <c r="L36" s="2450"/>
      <c r="M36" s="2450"/>
      <c r="N36" s="2450"/>
      <c r="O36" s="2486"/>
      <c r="P36" s="2486"/>
      <c r="Q36" s="2486"/>
      <c r="R36" s="2486"/>
      <c r="S36" s="2486"/>
    </row>
    <row r="37" spans="1:19" s="2464" customFormat="1" ht="15.75">
      <c r="A37" s="2471"/>
      <c r="B37" s="2471" t="s">
        <v>729</v>
      </c>
      <c r="C37" s="2460"/>
      <c r="D37" s="2489">
        <f>ROUND(SUM(D29:D36),2)</f>
        <v>91321459.489999995</v>
      </c>
      <c r="E37" s="2480"/>
      <c r="F37" s="2489">
        <f>ROUND(SUM(F29:F36),2)</f>
        <v>64805893.539999999</v>
      </c>
      <c r="G37" s="2480"/>
      <c r="H37" s="2675"/>
      <c r="I37" s="2489">
        <f>ROUND(SUM(I29:I36),2)</f>
        <v>156127353.03</v>
      </c>
      <c r="J37" s="2490"/>
      <c r="K37" s="2490"/>
      <c r="L37" s="2490"/>
      <c r="M37" s="2490"/>
      <c r="N37" s="2490"/>
      <c r="O37" s="2491"/>
      <c r="P37" s="2491"/>
      <c r="Q37" s="2491"/>
      <c r="R37" s="2491"/>
      <c r="S37" s="2491"/>
    </row>
    <row r="38" spans="1:19">
      <c r="A38" s="2465"/>
      <c r="B38" s="2465"/>
      <c r="C38" s="2466"/>
      <c r="D38" s="2477"/>
      <c r="E38" s="2477"/>
      <c r="F38" s="2477"/>
      <c r="G38" s="2478"/>
      <c r="H38" s="2674"/>
      <c r="I38" s="2478"/>
      <c r="J38" s="2450"/>
      <c r="K38" s="2450"/>
      <c r="L38" s="2450"/>
      <c r="M38" s="2450"/>
      <c r="N38" s="2450"/>
      <c r="O38" s="2486"/>
      <c r="P38" s="2486"/>
      <c r="Q38" s="2486"/>
      <c r="R38" s="2486"/>
      <c r="S38" s="2486"/>
    </row>
    <row r="39" spans="1:19" ht="15.75">
      <c r="A39" s="2465"/>
      <c r="B39" s="2471" t="s">
        <v>1188</v>
      </c>
      <c r="C39" s="2466"/>
      <c r="D39" s="2477"/>
      <c r="E39" s="2477"/>
      <c r="F39" s="2477"/>
      <c r="G39" s="2478"/>
      <c r="H39" s="2674"/>
      <c r="I39" s="2478"/>
      <c r="J39" s="2450"/>
      <c r="K39" s="2450"/>
      <c r="L39" s="2450"/>
      <c r="M39" s="2450"/>
      <c r="N39" s="2450"/>
      <c r="O39" s="2486"/>
      <c r="P39" s="2486"/>
      <c r="Q39" s="2486"/>
      <c r="R39" s="2486"/>
      <c r="S39" s="2486"/>
    </row>
    <row r="40" spans="1:19">
      <c r="A40" s="2465"/>
      <c r="B40" s="2465" t="s">
        <v>742</v>
      </c>
      <c r="C40" s="2466"/>
      <c r="D40" s="2492">
        <v>0</v>
      </c>
      <c r="E40" s="2492"/>
      <c r="F40" s="2492">
        <v>0</v>
      </c>
      <c r="G40" s="2478"/>
      <c r="H40" s="2674"/>
      <c r="I40" s="2478">
        <f>ROUND(SUM(D40:G40),2)</f>
        <v>0</v>
      </c>
      <c r="J40" s="2450"/>
      <c r="K40" s="2450"/>
      <c r="L40" s="2450"/>
      <c r="M40" s="2450"/>
      <c r="N40" s="2450"/>
      <c r="O40" s="2486"/>
      <c r="P40" s="2486"/>
      <c r="Q40" s="2486"/>
      <c r="R40" s="2486"/>
      <c r="S40" s="2486"/>
    </row>
    <row r="41" spans="1:19">
      <c r="A41" s="2465"/>
      <c r="B41" s="2465" t="s">
        <v>730</v>
      </c>
      <c r="C41" s="2466"/>
      <c r="D41" s="2478">
        <v>0</v>
      </c>
      <c r="E41" s="2478"/>
      <c r="F41" s="2478">
        <v>0</v>
      </c>
      <c r="G41" s="2478"/>
      <c r="H41" s="2674"/>
      <c r="I41" s="2478">
        <f>ROUND(SUM(D41:G41),2)</f>
        <v>0</v>
      </c>
      <c r="J41" s="2450"/>
      <c r="K41" s="2450"/>
      <c r="L41" s="2450"/>
      <c r="M41" s="2450"/>
      <c r="N41" s="2450"/>
      <c r="O41" s="2486"/>
      <c r="P41" s="2486"/>
      <c r="Q41" s="2486"/>
      <c r="R41" s="2486"/>
      <c r="S41" s="2486"/>
    </row>
    <row r="42" spans="1:19" ht="15.75">
      <c r="A42" s="2465"/>
      <c r="B42" s="2471" t="s">
        <v>1189</v>
      </c>
      <c r="C42" s="2466"/>
      <c r="D42" s="2477"/>
      <c r="E42" s="2477"/>
      <c r="F42" s="2477"/>
      <c r="G42" s="2478"/>
      <c r="H42" s="2674"/>
      <c r="I42" s="2493"/>
      <c r="J42" s="2450"/>
      <c r="K42" s="2450"/>
      <c r="L42" s="2450"/>
      <c r="M42" s="2450"/>
      <c r="N42" s="2450"/>
      <c r="O42" s="2486"/>
      <c r="P42" s="2486"/>
      <c r="Q42" s="2486"/>
      <c r="R42" s="2486"/>
      <c r="S42" s="2486"/>
    </row>
    <row r="43" spans="1:19">
      <c r="A43" s="2465"/>
      <c r="B43" s="2476" t="s">
        <v>747</v>
      </c>
      <c r="C43" s="2466"/>
      <c r="D43" s="2494">
        <v>-575.1</v>
      </c>
      <c r="E43" s="2478"/>
      <c r="F43" s="2494">
        <v>-431.24</v>
      </c>
      <c r="G43" s="2478"/>
      <c r="H43" s="2674"/>
      <c r="I43" s="2478">
        <f>ROUND(SUM(D43:G43),2)</f>
        <v>-1006.34</v>
      </c>
      <c r="J43" s="2450"/>
      <c r="K43" s="2450"/>
      <c r="L43" s="2450"/>
      <c r="M43" s="2450"/>
      <c r="N43" s="2450"/>
      <c r="O43" s="2486"/>
      <c r="P43" s="2486"/>
      <c r="Q43" s="2486"/>
      <c r="R43" s="2486"/>
      <c r="S43" s="2486"/>
    </row>
    <row r="44" spans="1:19" s="2464" customFormat="1" ht="15.75">
      <c r="A44" s="2471"/>
      <c r="B44" s="2471" t="s">
        <v>733</v>
      </c>
      <c r="C44" s="2460"/>
      <c r="D44" s="2489">
        <f>ROUND(SUM(D40:D43),2)</f>
        <v>-575.1</v>
      </c>
      <c r="E44" s="2480"/>
      <c r="F44" s="2489">
        <f>ROUND(SUM(F40:F43),2)</f>
        <v>-431.24</v>
      </c>
      <c r="G44" s="2480"/>
      <c r="H44" s="2675"/>
      <c r="I44" s="2489">
        <f>ROUND(SUM(I40:I43),2)</f>
        <v>-1006.34</v>
      </c>
      <c r="J44" s="2490"/>
      <c r="K44" s="2490"/>
      <c r="L44" s="2490"/>
      <c r="M44" s="2490"/>
      <c r="N44" s="2490"/>
      <c r="O44" s="2491"/>
      <c r="P44" s="2491"/>
      <c r="Q44" s="2491"/>
      <c r="R44" s="2491"/>
      <c r="S44" s="2491"/>
    </row>
    <row r="45" spans="1:19">
      <c r="A45" s="2465"/>
      <c r="B45" s="2465"/>
      <c r="C45" s="2466"/>
      <c r="D45" s="2477"/>
      <c r="E45" s="2477"/>
      <c r="F45" s="2477"/>
      <c r="G45" s="2478"/>
      <c r="H45" s="2674"/>
      <c r="I45" s="2478"/>
      <c r="J45" s="2450"/>
      <c r="K45" s="2450"/>
      <c r="L45" s="2450"/>
      <c r="M45" s="2450"/>
      <c r="N45" s="2450"/>
      <c r="O45" s="2486"/>
      <c r="P45" s="2486"/>
      <c r="Q45" s="2486"/>
      <c r="R45" s="2486"/>
      <c r="S45" s="2486"/>
    </row>
    <row r="46" spans="1:19" ht="15.75">
      <c r="A46" s="2465"/>
      <c r="B46" s="2471" t="s">
        <v>748</v>
      </c>
      <c r="C46" s="2466"/>
      <c r="D46" s="2477"/>
      <c r="E46" s="2477"/>
      <c r="F46" s="2477"/>
      <c r="G46" s="2478"/>
      <c r="H46" s="2674"/>
      <c r="I46" s="2478"/>
      <c r="J46" s="2450"/>
      <c r="K46" s="2450"/>
      <c r="L46" s="2450"/>
      <c r="M46" s="2450"/>
      <c r="N46" s="2450"/>
      <c r="O46" s="2486"/>
      <c r="P46" s="2486"/>
      <c r="Q46" s="2486"/>
      <c r="R46" s="2486"/>
      <c r="S46" s="2486"/>
    </row>
    <row r="47" spans="1:19" ht="15.75">
      <c r="A47" s="2465"/>
      <c r="B47" s="2471" t="s">
        <v>749</v>
      </c>
      <c r="C47" s="2466"/>
      <c r="D47" s="2495">
        <f>ROUND(+D25+D37+D44,2)</f>
        <v>25904354.239999998</v>
      </c>
      <c r="E47" s="2485"/>
      <c r="F47" s="2495">
        <f>ROUND(+F25+F37+F44,2)</f>
        <v>35901101.630000003</v>
      </c>
      <c r="G47" s="2485"/>
      <c r="H47" s="2676"/>
      <c r="I47" s="2495">
        <f>ROUND(+I25+I37+I44,2)</f>
        <v>61805455.869999997</v>
      </c>
      <c r="J47" s="2450"/>
      <c r="K47" s="2450"/>
      <c r="L47" s="2450"/>
      <c r="M47" s="2450"/>
      <c r="N47" s="2450"/>
      <c r="O47" s="2486"/>
      <c r="P47" s="2486"/>
      <c r="Q47" s="2486"/>
      <c r="R47" s="2486"/>
      <c r="S47" s="2486"/>
    </row>
    <row r="48" spans="1:19">
      <c r="A48" s="2465"/>
      <c r="B48" s="2465"/>
      <c r="C48" s="2466"/>
      <c r="D48" s="2466"/>
      <c r="E48" s="2466"/>
      <c r="F48" s="2466"/>
      <c r="G48" s="2469"/>
      <c r="H48" s="2673"/>
      <c r="I48" s="2496"/>
      <c r="J48" s="2450"/>
      <c r="K48" s="2450"/>
      <c r="L48" s="2450"/>
      <c r="M48" s="2450"/>
      <c r="N48" s="2450"/>
      <c r="O48" s="2486"/>
      <c r="P48" s="2486"/>
      <c r="Q48" s="2486"/>
      <c r="R48" s="2486"/>
      <c r="S48" s="2486"/>
    </row>
    <row r="49" spans="1:44" s="2464" customFormat="1" ht="16.5" thickBot="1">
      <c r="A49" s="2471"/>
      <c r="B49" s="2471" t="s">
        <v>736</v>
      </c>
      <c r="C49" s="2497"/>
      <c r="D49" s="2498">
        <f>ROUND(D13+D47,2)</f>
        <v>25904929.34</v>
      </c>
      <c r="E49" s="2499"/>
      <c r="F49" s="2498">
        <f>ROUND(F13+F47,2)</f>
        <v>61806030.969999999</v>
      </c>
      <c r="G49" s="2499"/>
      <c r="H49" s="2677"/>
      <c r="I49" s="2498">
        <f>ROUND(I13+I47,2)</f>
        <v>61806030.969999999</v>
      </c>
      <c r="J49" s="2463"/>
      <c r="K49" s="2463"/>
      <c r="L49" s="2463"/>
      <c r="M49" s="2463"/>
      <c r="N49" s="2463"/>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spans="1:44" ht="15.75" thickTop="1">
      <c r="A50" s="2465"/>
      <c r="B50" s="2465" t="s">
        <v>16</v>
      </c>
      <c r="C50" s="2466"/>
      <c r="D50" s="2466"/>
      <c r="E50" s="2466"/>
      <c r="F50" s="2466"/>
      <c r="G50" s="2466"/>
      <c r="H50" s="2469"/>
      <c r="I50" s="2466"/>
    </row>
    <row r="51" spans="1:44">
      <c r="B51" s="2501" t="s">
        <v>737</v>
      </c>
    </row>
    <row r="52" spans="1:44">
      <c r="B52" s="2502"/>
    </row>
    <row r="60" spans="1:44" ht="15.75">
      <c r="B60" s="2503"/>
      <c r="C60" s="2504"/>
      <c r="D60" s="2504"/>
      <c r="E60" s="2504"/>
      <c r="F60" s="2504"/>
    </row>
    <row r="62" spans="1:44" ht="15.75">
      <c r="B62" s="2505"/>
      <c r="C62" s="2463"/>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G7"/>
    <mergeCell ref="B8:G8"/>
  </mergeCells>
  <printOptions horizontalCentered="1" verticalCentered="1"/>
  <pageMargins left="0.24" right="0.24" top="0.5" bottom="0.5" header="0.18" footer="0.25"/>
  <pageSetup scale="67" firstPageNumber="53" orientation="landscape" useFirstPageNumber="1" r:id="rId2"/>
  <headerFooter scaleWithDoc="0" alignWithMargins="0">
    <oddFooter>&amp;C&amp;8&amp;P</oddFooter>
  </headerFooter>
  <ignoredErrors>
    <ignoredError sqref="I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7" customWidth="1"/>
    <col min="2" max="2" width="1.6640625" style="777" customWidth="1"/>
    <col min="3" max="3" width="10.88671875" style="777" customWidth="1"/>
    <col min="4" max="4" width="1.6640625" style="777" customWidth="1"/>
    <col min="5" max="5" width="10.88671875" style="777" customWidth="1"/>
    <col min="6" max="6" width="1.6640625" style="777" customWidth="1"/>
    <col min="7" max="7" width="10.88671875" style="777" customWidth="1"/>
    <col min="8" max="8" width="1.6640625" style="777" customWidth="1"/>
    <col min="9" max="9" width="10.88671875" style="777" customWidth="1"/>
    <col min="10" max="10" width="1.6640625" style="777" customWidth="1"/>
    <col min="11" max="11" width="10.88671875" style="777" customWidth="1"/>
    <col min="12" max="12" width="1.6640625" style="777" customWidth="1"/>
    <col min="13" max="13" width="14.88671875" style="777" bestFit="1" customWidth="1"/>
    <col min="14" max="14" width="1.6640625" style="777" customWidth="1"/>
    <col min="15" max="15" width="10.88671875" style="777" customWidth="1"/>
    <col min="16" max="16" width="1.6640625" style="777" customWidth="1"/>
    <col min="17" max="17" width="13.5546875" style="777" bestFit="1" customWidth="1"/>
    <col min="18" max="18" width="1.6640625" style="777" customWidth="1"/>
    <col min="19" max="19" width="13.5546875" style="777" bestFit="1" customWidth="1"/>
    <col min="20" max="20" width="1.6640625" style="777" customWidth="1"/>
    <col min="21" max="21" width="11" style="777" customWidth="1"/>
    <col min="22" max="22" width="1.6640625" style="777" customWidth="1"/>
    <col min="23" max="23" width="10.88671875" style="777" customWidth="1"/>
    <col min="24" max="24" width="1.6640625" style="777" customWidth="1"/>
    <col min="25" max="25" width="10.88671875" style="777" customWidth="1"/>
    <col min="26" max="26" width="1.6640625" style="777" customWidth="1"/>
    <col min="27" max="27" width="14.21875" style="784" customWidth="1"/>
    <col min="28" max="28" width="3.6640625" style="777" customWidth="1"/>
    <col min="29" max="29" width="5.6640625" style="777" customWidth="1"/>
    <col min="30" max="30" width="10.33203125" style="777" customWidth="1"/>
    <col min="31" max="31" width="2.6640625" style="777" customWidth="1"/>
    <col min="32" max="16384" width="8.88671875" style="777"/>
  </cols>
  <sheetData>
    <row r="1" spans="1:29" ht="15">
      <c r="A1" s="1190" t="s">
        <v>1231</v>
      </c>
    </row>
    <row r="2" spans="1:29" ht="20.25">
      <c r="A2" s="774"/>
      <c r="B2" s="2439"/>
      <c r="C2" s="2439"/>
      <c r="D2" s="2439"/>
      <c r="E2" s="2439"/>
      <c r="F2" s="2439"/>
      <c r="G2" s="2439"/>
      <c r="H2" s="2439"/>
      <c r="I2" s="2439"/>
      <c r="J2" s="2439"/>
      <c r="K2" s="2439"/>
      <c r="L2" s="775"/>
      <c r="M2" s="775"/>
      <c r="N2" s="2439"/>
      <c r="O2" s="2439"/>
      <c r="P2" s="2439"/>
      <c r="Q2" s="2439"/>
      <c r="R2" s="2439"/>
      <c r="S2" s="2439"/>
      <c r="T2" s="2439"/>
      <c r="U2" s="2439"/>
      <c r="V2" s="2439"/>
      <c r="W2" s="2439"/>
      <c r="X2" s="2439"/>
      <c r="Y2" s="2439"/>
      <c r="Z2" s="2439"/>
      <c r="AA2" s="2440"/>
      <c r="AB2" s="2439"/>
      <c r="AC2" s="776"/>
    </row>
    <row r="3" spans="1:29" ht="15">
      <c r="A3"/>
      <c r="B3" s="1201"/>
      <c r="C3" s="1201"/>
      <c r="D3" s="1201"/>
      <c r="E3" s="1201"/>
      <c r="F3" s="1201"/>
      <c r="G3" s="1201"/>
      <c r="H3" s="1201"/>
      <c r="I3" s="1201"/>
      <c r="J3" s="1201"/>
      <c r="K3" s="1201"/>
      <c r="L3"/>
      <c r="M3" s="1201"/>
      <c r="N3" s="1201"/>
      <c r="O3" s="1201"/>
      <c r="P3" s="1201"/>
      <c r="Q3" s="1201"/>
      <c r="R3" s="1201"/>
      <c r="S3" s="1201"/>
      <c r="T3" s="1201"/>
      <c r="U3" s="1201"/>
      <c r="V3" s="1201"/>
      <c r="W3" s="1201"/>
      <c r="X3" s="1201"/>
      <c r="Y3" s="1201"/>
      <c r="Z3" s="1201"/>
      <c r="AA3" s="777"/>
      <c r="AB3" s="2439"/>
      <c r="AC3" s="776"/>
    </row>
    <row r="4" spans="1:29" ht="20.25">
      <c r="A4" s="1209" t="s">
        <v>0</v>
      </c>
      <c r="B4" s="1201"/>
      <c r="C4" s="1201"/>
      <c r="D4" s="1201"/>
      <c r="E4" s="1201"/>
      <c r="F4" s="1201"/>
      <c r="G4" s="1201"/>
      <c r="H4" s="1201"/>
      <c r="I4" s="1201"/>
      <c r="J4" s="1201"/>
      <c r="K4" s="1201"/>
      <c r="L4"/>
      <c r="M4" s="1201"/>
      <c r="N4" s="1201"/>
      <c r="O4" s="1201"/>
      <c r="P4" s="1201"/>
      <c r="Q4" s="1201"/>
      <c r="R4" s="1201"/>
      <c r="S4" s="1201"/>
      <c r="T4" s="1201"/>
      <c r="U4" s="1201"/>
      <c r="V4" s="1201"/>
      <c r="W4" s="1201"/>
      <c r="X4" s="1201"/>
      <c r="Y4" s="1201"/>
      <c r="Z4" s="1201"/>
      <c r="AA4" s="2441" t="s">
        <v>750</v>
      </c>
      <c r="AB4" s="2439"/>
      <c r="AC4" s="776"/>
    </row>
    <row r="5" spans="1:29" s="776" customFormat="1" ht="18">
      <c r="A5" s="1209" t="s">
        <v>751</v>
      </c>
      <c r="B5" s="1202"/>
      <c r="C5" s="1202"/>
      <c r="D5" s="1202"/>
      <c r="E5" s="1202"/>
      <c r="F5" s="1202"/>
      <c r="G5" s="1202"/>
      <c r="H5" s="1202"/>
      <c r="I5" s="1202"/>
      <c r="J5" s="1201"/>
      <c r="K5" s="1201"/>
      <c r="L5" s="1201"/>
      <c r="M5" s="1201"/>
      <c r="N5" s="1201"/>
      <c r="O5" s="1201"/>
      <c r="P5" s="1201"/>
      <c r="Q5" s="1201"/>
      <c r="R5" s="1201"/>
      <c r="S5" s="1201"/>
      <c r="T5" s="1201"/>
      <c r="U5" s="1201"/>
      <c r="V5" s="1201"/>
      <c r="W5" s="1201"/>
      <c r="X5" s="1201"/>
      <c r="Y5" s="1201"/>
      <c r="Z5" s="1201"/>
      <c r="AA5" s="1201"/>
      <c r="AB5" s="2439"/>
    </row>
    <row r="6" spans="1:29" s="776" customFormat="1" ht="18">
      <c r="A6" s="433" t="s">
        <v>1541</v>
      </c>
      <c r="B6" s="1202"/>
      <c r="C6" s="1202"/>
      <c r="D6" s="1202"/>
      <c r="E6" s="1202"/>
      <c r="F6" s="1202"/>
      <c r="G6" s="1202"/>
      <c r="H6" s="1202"/>
      <c r="I6" s="1202"/>
      <c r="J6" s="1201"/>
      <c r="K6" s="1201"/>
      <c r="L6" s="1201"/>
      <c r="M6" s="1201"/>
      <c r="N6" s="1201"/>
      <c r="O6" s="1201"/>
      <c r="P6" s="1201"/>
      <c r="Q6" s="1201"/>
      <c r="R6" s="1201"/>
      <c r="S6" s="1201"/>
      <c r="T6" s="1201"/>
      <c r="U6" s="1201"/>
      <c r="V6" s="1201"/>
      <c r="W6" s="1201"/>
      <c r="X6" s="1201"/>
      <c r="Y6" s="1201"/>
      <c r="Z6" s="1201"/>
      <c r="AA6" s="1201"/>
      <c r="AB6" s="2439"/>
    </row>
    <row r="7" spans="1:29" s="776" customFormat="1" ht="18">
      <c r="A7" s="1209" t="s">
        <v>1120</v>
      </c>
      <c r="B7" s="1203"/>
      <c r="C7" s="1203"/>
      <c r="D7" s="1203"/>
      <c r="E7" s="1203"/>
      <c r="F7" s="1203"/>
      <c r="G7" s="1203"/>
      <c r="H7" s="1203"/>
      <c r="I7" s="1203"/>
      <c r="J7"/>
      <c r="K7"/>
      <c r="L7"/>
      <c r="M7"/>
      <c r="N7"/>
      <c r="O7"/>
      <c r="P7"/>
      <c r="Q7"/>
      <c r="R7" s="1201"/>
      <c r="S7" s="1201"/>
      <c r="T7" s="1201"/>
      <c r="U7" s="1201"/>
      <c r="V7" s="1201"/>
      <c r="W7" s="1201"/>
      <c r="X7" s="1201"/>
      <c r="Y7" s="1201"/>
      <c r="Z7" s="1201"/>
      <c r="AA7"/>
      <c r="AB7" s="2439"/>
    </row>
    <row r="8" spans="1:29" s="776" customFormat="1" ht="15.75">
      <c r="A8" s="1204"/>
      <c r="B8" s="1203"/>
      <c r="C8" s="1559"/>
      <c r="D8" s="1559"/>
      <c r="E8" s="1559"/>
      <c r="F8" s="1559"/>
      <c r="G8" s="1559"/>
      <c r="H8" s="1559"/>
      <c r="I8" s="1559"/>
      <c r="J8" s="1271"/>
      <c r="K8" s="1271"/>
      <c r="L8" s="1271"/>
      <c r="M8" s="1271"/>
      <c r="N8" s="1271"/>
      <c r="O8" s="1271"/>
      <c r="P8" s="1271"/>
      <c r="Q8" s="1271"/>
      <c r="R8" s="1271"/>
      <c r="S8" s="1271"/>
      <c r="T8" s="1271"/>
      <c r="U8" s="1271"/>
      <c r="V8" s="1271"/>
      <c r="W8" s="1271"/>
      <c r="X8" s="1271"/>
      <c r="Y8" s="1271"/>
      <c r="Z8" s="1271"/>
      <c r="AA8" s="1271"/>
      <c r="AB8" s="2439"/>
    </row>
    <row r="9" spans="1:29" s="776" customFormat="1" ht="15.75">
      <c r="A9" s="1201"/>
      <c r="B9" s="1201"/>
      <c r="C9" s="1271"/>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2439"/>
    </row>
    <row r="10" spans="1:29" s="776" customFormat="1" ht="18">
      <c r="A10" s="1201"/>
      <c r="B10" s="1270"/>
      <c r="C10" s="1560">
        <v>2015</v>
      </c>
      <c r="D10" s="1560">
        <v>2015</v>
      </c>
      <c r="E10" s="1560">
        <v>2015</v>
      </c>
      <c r="F10" s="1560">
        <v>2015</v>
      </c>
      <c r="G10" s="1560">
        <v>2015</v>
      </c>
      <c r="H10" s="1560">
        <v>2015</v>
      </c>
      <c r="I10" s="1560">
        <v>2015</v>
      </c>
      <c r="J10" s="1560">
        <v>2015</v>
      </c>
      <c r="K10" s="1560">
        <v>2015</v>
      </c>
      <c r="L10" s="1560">
        <v>2015</v>
      </c>
      <c r="M10" s="1560">
        <v>2015</v>
      </c>
      <c r="N10" s="1560">
        <v>2015</v>
      </c>
      <c r="O10" s="1560">
        <v>2015</v>
      </c>
      <c r="P10" s="1560">
        <v>2015</v>
      </c>
      <c r="Q10" s="1560">
        <v>2015</v>
      </c>
      <c r="R10" s="1560">
        <v>2015</v>
      </c>
      <c r="S10" s="1560">
        <v>2015</v>
      </c>
      <c r="T10" s="1560"/>
      <c r="U10" s="1560">
        <v>2016</v>
      </c>
      <c r="V10" s="1560"/>
      <c r="W10" s="1560">
        <v>2016</v>
      </c>
      <c r="X10" s="1560"/>
      <c r="Y10" s="1560">
        <v>2016</v>
      </c>
      <c r="Z10" s="1209"/>
      <c r="AA10" s="1561" t="s">
        <v>1558</v>
      </c>
      <c r="AB10" s="2442"/>
    </row>
    <row r="11" spans="1:29" s="776" customFormat="1" ht="18">
      <c r="A11" s="1201"/>
      <c r="B11" s="1270"/>
      <c r="C11" s="1562" t="s">
        <v>129</v>
      </c>
      <c r="D11" s="1561"/>
      <c r="E11" s="1562" t="s">
        <v>130</v>
      </c>
      <c r="F11" s="1561"/>
      <c r="G11" s="1562" t="s">
        <v>131</v>
      </c>
      <c r="H11" s="1561"/>
      <c r="I11" s="1562" t="s">
        <v>132</v>
      </c>
      <c r="J11" s="1561"/>
      <c r="K11" s="1562" t="s">
        <v>133</v>
      </c>
      <c r="L11" s="1561"/>
      <c r="M11" s="1562" t="s">
        <v>148</v>
      </c>
      <c r="N11" s="1561"/>
      <c r="O11" s="1562" t="s">
        <v>149</v>
      </c>
      <c r="P11" s="1561"/>
      <c r="Q11" s="1562" t="s">
        <v>136</v>
      </c>
      <c r="R11" s="1561"/>
      <c r="S11" s="1562" t="s">
        <v>137</v>
      </c>
      <c r="T11" s="1561"/>
      <c r="U11" s="1562" t="s">
        <v>138</v>
      </c>
      <c r="V11" s="1561"/>
      <c r="W11" s="1562" t="s">
        <v>139</v>
      </c>
      <c r="X11" s="1561"/>
      <c r="Y11" s="1562" t="s">
        <v>192</v>
      </c>
      <c r="Z11" s="1209"/>
      <c r="AA11" s="1562" t="s">
        <v>752</v>
      </c>
      <c r="AB11" s="2439"/>
    </row>
    <row r="12" spans="1:29" s="776" customFormat="1" ht="18">
      <c r="A12"/>
      <c r="B12" s="1270"/>
      <c r="C12" s="1270"/>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2443"/>
      <c r="AC12" s="2444"/>
    </row>
    <row r="13" spans="1:29" s="779" customFormat="1" ht="18">
      <c r="A13" s="1271" t="s">
        <v>753</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2443"/>
      <c r="AC13" s="778"/>
    </row>
    <row r="14" spans="1:29" s="779" customFormat="1" ht="18">
      <c r="A14" s="1201" t="s">
        <v>754</v>
      </c>
      <c r="B14" s="1270"/>
      <c r="C14" s="1621">
        <v>0</v>
      </c>
      <c r="D14" s="1621"/>
      <c r="E14" s="1621"/>
      <c r="F14" s="1621"/>
      <c r="G14" s="1622"/>
      <c r="H14" s="1621"/>
      <c r="I14" s="1622"/>
      <c r="J14" s="1623"/>
      <c r="K14" s="1622"/>
      <c r="L14" s="1621"/>
      <c r="M14" s="1622"/>
      <c r="N14" s="1623"/>
      <c r="O14" s="1622"/>
      <c r="P14" s="1623"/>
      <c r="Q14" s="1622"/>
      <c r="R14" s="1623"/>
      <c r="S14" s="1622"/>
      <c r="T14" s="1623"/>
      <c r="U14" s="1622"/>
      <c r="V14" s="1623"/>
      <c r="W14" s="1622"/>
      <c r="X14" s="1623"/>
      <c r="Y14" s="1622"/>
      <c r="Z14" s="1270"/>
      <c r="AA14" s="1635">
        <f>ROUND(SUM(C14:Z14),0)</f>
        <v>0</v>
      </c>
      <c r="AB14" s="2443"/>
      <c r="AC14" s="778"/>
    </row>
    <row r="15" spans="1:29" s="779" customFormat="1" ht="18">
      <c r="A15" s="1201" t="s">
        <v>755</v>
      </c>
      <c r="B15" s="1270"/>
      <c r="C15" s="1624">
        <v>8242</v>
      </c>
      <c r="D15" s="1625"/>
      <c r="E15" s="1625"/>
      <c r="F15" s="1625"/>
      <c r="G15" s="1624"/>
      <c r="H15" s="1625"/>
      <c r="I15" s="1624"/>
      <c r="J15" s="1626"/>
      <c r="K15" s="1624"/>
      <c r="L15" s="1625"/>
      <c r="M15" s="1624"/>
      <c r="N15" s="1626"/>
      <c r="O15" s="1624"/>
      <c r="P15" s="1626"/>
      <c r="Q15" s="1627"/>
      <c r="R15" s="1626"/>
      <c r="S15" s="1627"/>
      <c r="T15" s="1626"/>
      <c r="U15" s="1627"/>
      <c r="V15" s="1626"/>
      <c r="W15" s="1627"/>
      <c r="X15" s="1626"/>
      <c r="Y15" s="1627"/>
      <c r="Z15" s="1270"/>
      <c r="AA15" s="1634">
        <f t="shared" ref="AA15:AA29" si="0">ROUND(SUM(C15:Z15),0)</f>
        <v>8242</v>
      </c>
      <c r="AB15" s="2443"/>
      <c r="AC15" s="778"/>
    </row>
    <row r="16" spans="1:29" s="779" customFormat="1" ht="18">
      <c r="A16" s="1201" t="s">
        <v>756</v>
      </c>
      <c r="B16" s="1270"/>
      <c r="C16" s="1624">
        <v>0</v>
      </c>
      <c r="D16" s="1625"/>
      <c r="E16" s="1625"/>
      <c r="F16" s="1625"/>
      <c r="G16" s="1624"/>
      <c r="H16" s="1625"/>
      <c r="I16" s="1624"/>
      <c r="J16" s="1626"/>
      <c r="K16" s="1624"/>
      <c r="L16" s="1625"/>
      <c r="M16" s="1624"/>
      <c r="N16" s="1626"/>
      <c r="O16" s="1624"/>
      <c r="P16" s="1626"/>
      <c r="Q16" s="1627"/>
      <c r="R16" s="1626"/>
      <c r="S16" s="1627"/>
      <c r="T16" s="1626"/>
      <c r="U16" s="1627"/>
      <c r="V16" s="1626"/>
      <c r="W16" s="1627"/>
      <c r="X16" s="1626"/>
      <c r="Y16" s="1627"/>
      <c r="Z16" s="1270"/>
      <c r="AA16" s="1634">
        <f t="shared" si="0"/>
        <v>0</v>
      </c>
      <c r="AB16" s="2445"/>
      <c r="AC16" s="778"/>
    </row>
    <row r="17" spans="1:29" s="779" customFormat="1" ht="18">
      <c r="A17" s="1201" t="s">
        <v>1276</v>
      </c>
      <c r="B17" s="1270"/>
      <c r="C17" s="1628">
        <v>175</v>
      </c>
      <c r="D17" s="1625"/>
      <c r="E17" s="1627"/>
      <c r="F17" s="1625"/>
      <c r="G17" s="1624"/>
      <c r="H17" s="1625"/>
      <c r="I17" s="1624"/>
      <c r="J17" s="1626"/>
      <c r="K17" s="1624"/>
      <c r="L17" s="1625"/>
      <c r="M17" s="1624"/>
      <c r="N17" s="1626"/>
      <c r="O17" s="1627"/>
      <c r="P17" s="1626"/>
      <c r="Q17" s="1627"/>
      <c r="R17" s="1626"/>
      <c r="S17" s="1627"/>
      <c r="T17" s="1626"/>
      <c r="U17" s="1627"/>
      <c r="V17" s="1626"/>
      <c r="W17" s="1627"/>
      <c r="X17" s="1626"/>
      <c r="Y17" s="1627"/>
      <c r="Z17" s="1270"/>
      <c r="AA17" s="1634">
        <f t="shared" si="0"/>
        <v>175</v>
      </c>
      <c r="AB17" s="2445"/>
      <c r="AC17" s="778"/>
    </row>
    <row r="18" spans="1:29" s="779" customFormat="1" ht="18">
      <c r="A18" s="1201" t="s">
        <v>757</v>
      </c>
      <c r="B18" s="1270"/>
      <c r="C18" s="1625"/>
      <c r="D18" s="1625"/>
      <c r="E18" s="1629"/>
      <c r="F18" s="1625"/>
      <c r="G18" s="1630"/>
      <c r="H18" s="1625"/>
      <c r="I18" s="1630"/>
      <c r="J18" s="1626"/>
      <c r="K18" s="1630"/>
      <c r="L18" s="1625"/>
      <c r="M18" s="1630"/>
      <c r="N18" s="1626"/>
      <c r="O18" s="1630"/>
      <c r="P18" s="1626"/>
      <c r="Q18" s="1629"/>
      <c r="R18" s="1626"/>
      <c r="S18" s="1629"/>
      <c r="T18" s="1626"/>
      <c r="U18" s="1629"/>
      <c r="V18" s="1626"/>
      <c r="W18" s="1629"/>
      <c r="X18" s="1626"/>
      <c r="Y18" s="1629"/>
      <c r="Z18" s="1270"/>
      <c r="AA18" s="1634"/>
      <c r="AB18" s="2445"/>
      <c r="AC18" s="778"/>
    </row>
    <row r="19" spans="1:29" s="779" customFormat="1" ht="18">
      <c r="A19" s="1201" t="s">
        <v>1286</v>
      </c>
      <c r="B19" s="1270"/>
      <c r="C19" s="1624">
        <v>414</v>
      </c>
      <c r="D19" s="1625"/>
      <c r="E19" s="1625"/>
      <c r="F19" s="1625"/>
      <c r="G19" s="1624"/>
      <c r="H19" s="1625"/>
      <c r="I19" s="1624"/>
      <c r="J19" s="1626"/>
      <c r="K19" s="1624"/>
      <c r="L19" s="1625"/>
      <c r="M19" s="1624"/>
      <c r="N19" s="1626"/>
      <c r="O19" s="1624"/>
      <c r="P19" s="1626"/>
      <c r="Q19" s="1627"/>
      <c r="R19" s="1626"/>
      <c r="S19" s="1627"/>
      <c r="T19" s="1626"/>
      <c r="U19" s="1627"/>
      <c r="V19" s="1626"/>
      <c r="W19" s="1627"/>
      <c r="X19" s="1626"/>
      <c r="Y19" s="1627"/>
      <c r="Z19" s="1270"/>
      <c r="AA19" s="1634">
        <f t="shared" si="0"/>
        <v>414</v>
      </c>
      <c r="AB19" s="2445"/>
      <c r="AC19" s="778"/>
    </row>
    <row r="20" spans="1:29" s="779" customFormat="1" ht="18">
      <c r="A20" s="1201" t="s">
        <v>758</v>
      </c>
      <c r="B20" s="1270"/>
      <c r="C20" s="1624">
        <v>0</v>
      </c>
      <c r="D20" s="1625"/>
      <c r="E20" s="1625"/>
      <c r="F20" s="1625"/>
      <c r="G20" s="1627"/>
      <c r="H20" s="1625"/>
      <c r="I20" s="1627"/>
      <c r="J20" s="1626"/>
      <c r="K20" s="1627"/>
      <c r="L20" s="1625"/>
      <c r="M20" s="1627"/>
      <c r="N20" s="1626"/>
      <c r="O20" s="1627"/>
      <c r="P20" s="1626"/>
      <c r="Q20" s="1627"/>
      <c r="R20" s="1626"/>
      <c r="S20" s="1627"/>
      <c r="T20" s="1626"/>
      <c r="U20" s="1627"/>
      <c r="V20" s="1626"/>
      <c r="W20" s="1627"/>
      <c r="X20" s="1626"/>
      <c r="Y20" s="1627"/>
      <c r="Z20" s="1270"/>
      <c r="AA20" s="1634">
        <f t="shared" si="0"/>
        <v>0</v>
      </c>
      <c r="AB20" s="2445"/>
      <c r="AC20" s="778"/>
    </row>
    <row r="21" spans="1:29" s="779" customFormat="1" ht="18">
      <c r="A21" s="1201" t="s">
        <v>759</v>
      </c>
      <c r="B21" s="1270"/>
      <c r="C21" s="1624">
        <v>0</v>
      </c>
      <c r="D21" s="1625"/>
      <c r="E21" s="1625"/>
      <c r="F21" s="1625"/>
      <c r="G21" s="1627"/>
      <c r="H21" s="1625"/>
      <c r="I21" s="1624"/>
      <c r="J21" s="1626"/>
      <c r="K21" s="1627"/>
      <c r="L21" s="1625"/>
      <c r="M21" s="1627"/>
      <c r="N21" s="1626"/>
      <c r="O21" s="1627"/>
      <c r="P21" s="1626"/>
      <c r="Q21" s="1627"/>
      <c r="R21" s="1626"/>
      <c r="S21" s="1627"/>
      <c r="T21" s="1626"/>
      <c r="U21" s="1627"/>
      <c r="V21" s="1626"/>
      <c r="W21" s="1627"/>
      <c r="X21" s="1626"/>
      <c r="Y21" s="1627"/>
      <c r="Z21" s="1270"/>
      <c r="AA21" s="1634">
        <f t="shared" si="0"/>
        <v>0</v>
      </c>
      <c r="AB21" s="2445"/>
      <c r="AC21" s="778"/>
    </row>
    <row r="22" spans="1:29" s="779" customFormat="1" ht="18">
      <c r="A22" s="1201" t="s">
        <v>760</v>
      </c>
      <c r="B22" s="1270"/>
      <c r="C22" s="1624">
        <v>26448</v>
      </c>
      <c r="D22" s="1625"/>
      <c r="E22" s="1625"/>
      <c r="F22" s="1625"/>
      <c r="G22" s="1624"/>
      <c r="H22" s="1625"/>
      <c r="I22" s="1624"/>
      <c r="J22" s="1626"/>
      <c r="K22" s="1624"/>
      <c r="L22" s="1625"/>
      <c r="M22" s="1624"/>
      <c r="N22" s="1626"/>
      <c r="O22" s="1624"/>
      <c r="P22" s="1626"/>
      <c r="Q22" s="1627"/>
      <c r="R22" s="1626"/>
      <c r="S22" s="1627"/>
      <c r="T22" s="1626"/>
      <c r="U22" s="1627"/>
      <c r="V22" s="1626"/>
      <c r="W22" s="1627"/>
      <c r="X22" s="1626"/>
      <c r="Y22" s="1627"/>
      <c r="Z22" s="1270"/>
      <c r="AA22" s="1634">
        <f t="shared" si="0"/>
        <v>26448</v>
      </c>
      <c r="AB22" s="2445"/>
      <c r="AC22" s="778"/>
    </row>
    <row r="23" spans="1:29" s="779" customFormat="1" ht="18">
      <c r="A23" s="1201" t="s">
        <v>761</v>
      </c>
      <c r="B23" s="1270"/>
      <c r="C23" s="1624">
        <v>2403</v>
      </c>
      <c r="D23" s="1625"/>
      <c r="E23" s="1625"/>
      <c r="F23" s="1625"/>
      <c r="G23" s="1624"/>
      <c r="H23" s="1625"/>
      <c r="I23" s="1624"/>
      <c r="J23" s="1626"/>
      <c r="K23" s="1624"/>
      <c r="L23" s="1625"/>
      <c r="M23" s="1624"/>
      <c r="N23" s="1626"/>
      <c r="O23" s="1624"/>
      <c r="P23" s="1626"/>
      <c r="Q23" s="1627"/>
      <c r="R23" s="1626"/>
      <c r="S23" s="1627"/>
      <c r="T23" s="1626"/>
      <c r="U23" s="1627"/>
      <c r="V23" s="1626"/>
      <c r="W23" s="1627"/>
      <c r="X23" s="1626"/>
      <c r="Y23" s="1627"/>
      <c r="Z23" s="1270"/>
      <c r="AA23" s="1634">
        <f t="shared" si="0"/>
        <v>2403</v>
      </c>
      <c r="AB23" s="2445"/>
      <c r="AC23" s="778"/>
    </row>
    <row r="24" spans="1:29" s="779" customFormat="1" ht="18">
      <c r="A24" s="1201" t="s">
        <v>762</v>
      </c>
      <c r="B24" s="1270"/>
      <c r="C24" s="1630">
        <v>3892</v>
      </c>
      <c r="D24" s="1625"/>
      <c r="E24" s="1625"/>
      <c r="F24" s="1625"/>
      <c r="G24" s="1624"/>
      <c r="H24" s="1625"/>
      <c r="I24" s="1624"/>
      <c r="J24" s="1626"/>
      <c r="K24" s="1624"/>
      <c r="L24" s="1625"/>
      <c r="M24" s="1624"/>
      <c r="N24" s="1626"/>
      <c r="O24" s="1624"/>
      <c r="P24" s="1626"/>
      <c r="Q24" s="1627"/>
      <c r="R24" s="1626"/>
      <c r="S24" s="1627"/>
      <c r="T24" s="1626"/>
      <c r="U24" s="1627"/>
      <c r="V24" s="1626"/>
      <c r="W24" s="1627"/>
      <c r="X24" s="1626"/>
      <c r="Y24" s="1627"/>
      <c r="Z24" s="1270"/>
      <c r="AA24" s="1634">
        <f t="shared" si="0"/>
        <v>3892</v>
      </c>
      <c r="AB24" s="2445"/>
      <c r="AC24" s="778"/>
    </row>
    <row r="25" spans="1:29" s="779" customFormat="1" ht="18">
      <c r="A25" s="1201" t="s">
        <v>763</v>
      </c>
      <c r="B25" s="1270"/>
      <c r="C25" s="1625">
        <v>4831</v>
      </c>
      <c r="D25" s="1625"/>
      <c r="E25" s="1625"/>
      <c r="F25" s="1625"/>
      <c r="G25" s="1624"/>
      <c r="H25" s="1625"/>
      <c r="I25" s="1624"/>
      <c r="J25" s="1626"/>
      <c r="K25" s="1624"/>
      <c r="L25" s="1625"/>
      <c r="M25" s="1624"/>
      <c r="N25" s="1626"/>
      <c r="O25" s="1624"/>
      <c r="P25" s="1626"/>
      <c r="Q25" s="1627"/>
      <c r="R25" s="1626"/>
      <c r="S25" s="1627"/>
      <c r="T25" s="1626"/>
      <c r="U25" s="1627"/>
      <c r="V25" s="1626"/>
      <c r="W25" s="1627"/>
      <c r="X25" s="1626"/>
      <c r="Y25" s="1627"/>
      <c r="Z25" s="1270"/>
      <c r="AA25" s="1634">
        <f t="shared" si="0"/>
        <v>4831</v>
      </c>
      <c r="AB25" s="2445"/>
      <c r="AC25" s="778"/>
    </row>
    <row r="26" spans="1:29" s="779" customFormat="1" ht="18">
      <c r="A26" s="1201" t="s">
        <v>764</v>
      </c>
      <c r="B26" s="1270"/>
      <c r="C26" s="1624">
        <v>7792</v>
      </c>
      <c r="D26" s="1625"/>
      <c r="E26" s="1625"/>
      <c r="F26" s="1625"/>
      <c r="G26" s="1624"/>
      <c r="H26" s="1625"/>
      <c r="I26" s="1624"/>
      <c r="J26" s="1626"/>
      <c r="K26" s="1624"/>
      <c r="L26" s="1625"/>
      <c r="M26" s="1624"/>
      <c r="N26" s="1626"/>
      <c r="O26" s="1624"/>
      <c r="P26" s="1626"/>
      <c r="Q26" s="1627"/>
      <c r="R26" s="1626"/>
      <c r="S26" s="1627"/>
      <c r="T26" s="1626"/>
      <c r="U26" s="1627"/>
      <c r="V26" s="1626"/>
      <c r="W26" s="1627"/>
      <c r="X26" s="1626"/>
      <c r="Y26" s="1627"/>
      <c r="Z26" s="1270"/>
      <c r="AA26" s="1634">
        <f t="shared" si="0"/>
        <v>7792</v>
      </c>
      <c r="AB26" s="2445"/>
      <c r="AC26" s="778"/>
    </row>
    <row r="27" spans="1:29" s="779" customFormat="1" ht="18">
      <c r="A27" s="1201" t="s">
        <v>765</v>
      </c>
      <c r="B27" s="1270"/>
      <c r="C27" s="1630">
        <v>1634</v>
      </c>
      <c r="D27" s="1625"/>
      <c r="E27" s="1625"/>
      <c r="F27" s="1625"/>
      <c r="G27" s="1624"/>
      <c r="H27" s="1625"/>
      <c r="I27" s="1624"/>
      <c r="J27" s="1626"/>
      <c r="K27" s="1624"/>
      <c r="L27" s="1625"/>
      <c r="M27" s="1624"/>
      <c r="N27" s="1626"/>
      <c r="O27" s="1624"/>
      <c r="P27" s="1626"/>
      <c r="Q27" s="1627"/>
      <c r="R27" s="1626"/>
      <c r="S27" s="1627"/>
      <c r="T27" s="1626"/>
      <c r="U27" s="1627"/>
      <c r="V27" s="1626"/>
      <c r="W27" s="1627"/>
      <c r="X27" s="1626"/>
      <c r="Y27" s="1627"/>
      <c r="Z27" s="1270"/>
      <c r="AA27" s="1634">
        <f t="shared" si="0"/>
        <v>1634</v>
      </c>
      <c r="AB27" s="2445"/>
      <c r="AC27" s="778"/>
    </row>
    <row r="28" spans="1:29" s="779" customFormat="1" ht="18">
      <c r="A28" s="1201" t="s">
        <v>1131</v>
      </c>
      <c r="B28" s="1270"/>
      <c r="C28" s="1628">
        <v>297</v>
      </c>
      <c r="D28" s="1625"/>
      <c r="E28" s="1628"/>
      <c r="F28" s="1625"/>
      <c r="G28" s="1624"/>
      <c r="H28" s="1625"/>
      <c r="I28" s="1624"/>
      <c r="J28" s="1626"/>
      <c r="K28" s="1624"/>
      <c r="L28" s="1625"/>
      <c r="M28" s="1624"/>
      <c r="N28" s="1626"/>
      <c r="O28" s="1624"/>
      <c r="P28" s="1626"/>
      <c r="Q28" s="1627"/>
      <c r="R28" s="1626"/>
      <c r="S28" s="1627"/>
      <c r="T28" s="1626"/>
      <c r="U28" s="1627"/>
      <c r="V28" s="1626"/>
      <c r="W28" s="1627"/>
      <c r="X28" s="1626"/>
      <c r="Y28" s="1627"/>
      <c r="Z28" s="1270"/>
      <c r="AA28" s="2895">
        <f>ROUND(SUM(C28:Z28),0)</f>
        <v>297</v>
      </c>
      <c r="AB28" s="2445"/>
      <c r="AC28" s="778"/>
    </row>
    <row r="29" spans="1:29" s="779" customFormat="1" ht="18">
      <c r="A29" s="1201" t="s">
        <v>766</v>
      </c>
      <c r="B29" s="1270"/>
      <c r="C29" s="1625">
        <v>21</v>
      </c>
      <c r="D29" s="1625"/>
      <c r="E29" s="1625"/>
      <c r="F29" s="1625"/>
      <c r="G29" s="1631"/>
      <c r="H29" s="1625"/>
      <c r="I29" s="1631"/>
      <c r="J29" s="1626"/>
      <c r="K29" s="1631"/>
      <c r="L29" s="1625"/>
      <c r="M29" s="1631"/>
      <c r="N29" s="1626"/>
      <c r="O29" s="1631"/>
      <c r="P29" s="1626"/>
      <c r="Q29" s="1632"/>
      <c r="R29" s="1626"/>
      <c r="S29" s="1632"/>
      <c r="T29" s="1626"/>
      <c r="U29" s="1632"/>
      <c r="V29" s="1626"/>
      <c r="W29" s="1632"/>
      <c r="X29" s="1626"/>
      <c r="Y29" s="1632"/>
      <c r="Z29" s="1270"/>
      <c r="AA29" s="1634">
        <f t="shared" si="0"/>
        <v>21</v>
      </c>
      <c r="AB29" s="2445"/>
      <c r="AC29" s="778"/>
    </row>
    <row r="30" spans="1:29" s="779" customFormat="1" ht="18">
      <c r="A30" s="1271" t="s">
        <v>1130</v>
      </c>
      <c r="B30" s="1270"/>
      <c r="C30" s="1636">
        <f>ROUND(SUM(C14:C29),0)</f>
        <v>56149</v>
      </c>
      <c r="D30" s="1201"/>
      <c r="E30" s="1636">
        <f>ROUND(SUM(E14:E29),0)</f>
        <v>0</v>
      </c>
      <c r="F30" s="1201"/>
      <c r="G30" s="1636">
        <f>ROUND(SUM(G14:G29),0)</f>
        <v>0</v>
      </c>
      <c r="H30" s="1201"/>
      <c r="I30" s="1636">
        <f>ROUND(SUM(I14:I29),0)</f>
        <v>0</v>
      </c>
      <c r="J30" s="1201"/>
      <c r="K30" s="1636">
        <f>ROUND(SUM(K14:K29),0)</f>
        <v>0</v>
      </c>
      <c r="L30" s="1201"/>
      <c r="M30" s="1636">
        <f>ROUND(SUM(M14:M29),0)</f>
        <v>0</v>
      </c>
      <c r="N30" s="1201"/>
      <c r="O30" s="1636">
        <f>ROUND(SUM(O14:O29),0)</f>
        <v>0</v>
      </c>
      <c r="P30" s="1201"/>
      <c r="Q30" s="1636">
        <f>ROUND(SUM(Q14:Q29),0)</f>
        <v>0</v>
      </c>
      <c r="R30" s="1201"/>
      <c r="S30" s="1636">
        <f>ROUND(SUM(S14:S29),0)</f>
        <v>0</v>
      </c>
      <c r="T30" s="1201"/>
      <c r="U30" s="1636">
        <f>ROUND(SUM(U14:U29),0)</f>
        <v>0</v>
      </c>
      <c r="V30" s="1201"/>
      <c r="W30" s="1636">
        <f>ROUND(SUM(W14:W29),0)</f>
        <v>0</v>
      </c>
      <c r="X30" s="1201"/>
      <c r="Y30" s="1636">
        <f>ROUND(SUM(Y14:Y29),0)</f>
        <v>0</v>
      </c>
      <c r="Z30" s="1201"/>
      <c r="AA30" s="1636">
        <f>ROUND(SUM(AA14:AA29),0)</f>
        <v>56149</v>
      </c>
      <c r="AB30" s="2445"/>
      <c r="AC30" s="778"/>
    </row>
    <row r="31" spans="1:29" s="779" customFormat="1" ht="18">
      <c r="A31"/>
      <c r="B31" s="1270"/>
      <c r="C31" s="1270"/>
      <c r="D31" s="1270"/>
      <c r="E31" s="1270"/>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01"/>
      <c r="AB31" s="2445"/>
      <c r="AC31" s="778"/>
    </row>
    <row r="32" spans="1:29" s="779" customFormat="1" ht="18">
      <c r="A32" s="1201"/>
      <c r="B32" s="1270"/>
      <c r="C32" s="1270"/>
      <c r="D32" s="1270"/>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01"/>
      <c r="AB32" s="2445"/>
      <c r="AC32" s="778"/>
    </row>
    <row r="33" spans="1:29" s="779" customFormat="1" ht="18">
      <c r="A33" s="1271" t="s">
        <v>767</v>
      </c>
      <c r="B33" s="1270"/>
      <c r="C33" s="1270"/>
      <c r="D33" s="1270"/>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01"/>
      <c r="AB33" s="2445"/>
      <c r="AC33" s="778"/>
    </row>
    <row r="34" spans="1:29" s="779" customFormat="1" ht="18">
      <c r="A34" s="1201" t="s">
        <v>757</v>
      </c>
      <c r="B34" s="1270"/>
      <c r="C34" s="1270"/>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01"/>
      <c r="AB34" s="2445"/>
      <c r="AC34" s="778"/>
    </row>
    <row r="35" spans="1:29" s="779" customFormat="1" ht="18">
      <c r="A35" s="1201" t="s">
        <v>768</v>
      </c>
      <c r="B35" s="1270"/>
      <c r="C35" s="1627">
        <v>0</v>
      </c>
      <c r="D35" s="1625"/>
      <c r="E35" s="1627"/>
      <c r="F35" s="1625"/>
      <c r="G35" s="1627"/>
      <c r="H35" s="1625"/>
      <c r="I35" s="1627"/>
      <c r="J35" s="1626"/>
      <c r="K35" s="1627"/>
      <c r="L35" s="1625"/>
      <c r="M35" s="1627"/>
      <c r="N35" s="1626"/>
      <c r="O35" s="1627"/>
      <c r="P35" s="1626"/>
      <c r="Q35" s="1627"/>
      <c r="R35" s="1626"/>
      <c r="S35" s="1627"/>
      <c r="T35" s="1626"/>
      <c r="U35" s="1627"/>
      <c r="V35" s="1626"/>
      <c r="W35" s="1627"/>
      <c r="X35" s="1626"/>
      <c r="Y35" s="1627"/>
      <c r="Z35" s="1270"/>
      <c r="AA35" s="1634">
        <f>ROUND(SUM(C35:Z35),0)</f>
        <v>0</v>
      </c>
      <c r="AB35" s="2445"/>
      <c r="AC35" s="778"/>
    </row>
    <row r="36" spans="1:29" s="779" customFormat="1" ht="18">
      <c r="A36" s="1201" t="s">
        <v>1522</v>
      </c>
      <c r="B36" s="1270"/>
      <c r="C36" s="1625">
        <v>0</v>
      </c>
      <c r="D36" s="1625"/>
      <c r="E36" s="1627"/>
      <c r="F36" s="1625"/>
      <c r="G36" s="1627"/>
      <c r="H36" s="1625"/>
      <c r="I36" s="1624"/>
      <c r="J36" s="1626"/>
      <c r="K36" s="1627"/>
      <c r="L36" s="1625"/>
      <c r="M36" s="1624"/>
      <c r="N36" s="1626"/>
      <c r="O36" s="1624"/>
      <c r="P36" s="1626"/>
      <c r="Q36" s="1627"/>
      <c r="R36" s="1626"/>
      <c r="S36" s="1627"/>
      <c r="T36" s="1626"/>
      <c r="U36" s="1627"/>
      <c r="V36" s="1626"/>
      <c r="W36" s="1627"/>
      <c r="X36" s="1626"/>
      <c r="Y36" s="1627"/>
      <c r="Z36" s="1270"/>
      <c r="AA36" s="1634">
        <f>ROUND(SUM(C36:Z36),0)</f>
        <v>0</v>
      </c>
      <c r="AB36" s="2445"/>
      <c r="AC36" s="778"/>
    </row>
    <row r="37" spans="1:29" s="779" customFormat="1" ht="18">
      <c r="A37" s="1201" t="s">
        <v>769</v>
      </c>
      <c r="B37" s="1270"/>
      <c r="C37" s="1627">
        <v>0</v>
      </c>
      <c r="D37" s="1625"/>
      <c r="E37" s="1627"/>
      <c r="F37" s="1625"/>
      <c r="G37" s="1627"/>
      <c r="H37" s="1625"/>
      <c r="I37" s="1627"/>
      <c r="J37" s="1626"/>
      <c r="K37" s="1627"/>
      <c r="L37" s="1625"/>
      <c r="M37" s="1627"/>
      <c r="N37" s="1626"/>
      <c r="O37" s="1627"/>
      <c r="P37" s="1626"/>
      <c r="Q37" s="1627"/>
      <c r="R37" s="1626"/>
      <c r="S37" s="1627"/>
      <c r="T37" s="1626"/>
      <c r="U37" s="1627"/>
      <c r="V37" s="1626"/>
      <c r="W37" s="1627"/>
      <c r="X37" s="1626"/>
      <c r="Y37" s="1627"/>
      <c r="Z37" s="1270"/>
      <c r="AA37" s="1634">
        <f>ROUND(SUM(C37:Z37),0)</f>
        <v>0</v>
      </c>
      <c r="AB37" s="2445"/>
      <c r="AC37" s="778"/>
    </row>
    <row r="38" spans="1:29" s="779" customFormat="1" ht="18">
      <c r="A38" s="1201" t="s">
        <v>1276</v>
      </c>
      <c r="B38" s="1270"/>
      <c r="C38" s="1627">
        <v>0</v>
      </c>
      <c r="D38" s="1625"/>
      <c r="E38" s="1627"/>
      <c r="F38" s="1630"/>
      <c r="G38" s="1627"/>
      <c r="H38" s="1630"/>
      <c r="I38" s="1627"/>
      <c r="J38" s="1633"/>
      <c r="K38" s="1627"/>
      <c r="L38" s="1630"/>
      <c r="M38" s="1624"/>
      <c r="N38" s="1633"/>
      <c r="O38" s="1627"/>
      <c r="P38" s="1633"/>
      <c r="Q38" s="1627"/>
      <c r="R38" s="1633"/>
      <c r="S38" s="1627"/>
      <c r="T38" s="1633"/>
      <c r="U38" s="1627"/>
      <c r="V38" s="1633"/>
      <c r="W38" s="1627"/>
      <c r="X38" s="1633"/>
      <c r="Y38" s="1627"/>
      <c r="Z38" s="1270"/>
      <c r="AA38" s="1634">
        <f>ROUND(SUM(C38:Z38),0)</f>
        <v>0</v>
      </c>
      <c r="AB38" s="2445"/>
      <c r="AC38" s="778"/>
    </row>
    <row r="39" spans="1:29" s="776" customFormat="1" ht="18">
      <c r="A39" s="1201" t="s">
        <v>770</v>
      </c>
      <c r="B39" s="1270"/>
      <c r="C39" s="1632">
        <v>0</v>
      </c>
      <c r="D39" s="1625"/>
      <c r="E39" s="1632"/>
      <c r="F39" s="1625"/>
      <c r="G39" s="1632"/>
      <c r="H39" s="1625"/>
      <c r="I39" s="1627"/>
      <c r="J39" s="1626"/>
      <c r="K39" s="1627"/>
      <c r="L39" s="1625"/>
      <c r="M39" s="1627"/>
      <c r="N39" s="1626"/>
      <c r="O39" s="1627"/>
      <c r="P39" s="1626"/>
      <c r="Q39" s="1632"/>
      <c r="R39" s="1626"/>
      <c r="S39" s="1632"/>
      <c r="T39" s="1626"/>
      <c r="U39" s="1632"/>
      <c r="V39" s="1626"/>
      <c r="W39" s="1632"/>
      <c r="X39" s="1626"/>
      <c r="Y39" s="1632"/>
      <c r="Z39" s="1270"/>
      <c r="AA39" s="1634">
        <f>ROUND(SUM(C39:Z39),0)</f>
        <v>0</v>
      </c>
      <c r="AB39" s="2446"/>
      <c r="AC39" s="780"/>
    </row>
    <row r="40" spans="1:29" s="776" customFormat="1" ht="18">
      <c r="A40" s="1271" t="s">
        <v>1129</v>
      </c>
      <c r="B40" s="1270"/>
      <c r="C40" s="1636">
        <f>ROUND(SUM(C35:C39),0)</f>
        <v>0</v>
      </c>
      <c r="D40" s="1201"/>
      <c r="E40" s="1636">
        <f>ROUND(SUM(E35:E39),0)</f>
        <v>0</v>
      </c>
      <c r="F40" s="1201"/>
      <c r="G40" s="1636">
        <f>ROUND(SUM(G35:G39),0)</f>
        <v>0</v>
      </c>
      <c r="H40" s="1201"/>
      <c r="I40" s="1636">
        <f>ROUND(SUM(I35:I39),0)</f>
        <v>0</v>
      </c>
      <c r="J40" s="1201"/>
      <c r="K40" s="1636">
        <f>ROUND(SUM(K35:K39),0)</f>
        <v>0</v>
      </c>
      <c r="L40" s="1201"/>
      <c r="M40" s="1636">
        <f>ROUND(SUM(M35:M39),0)</f>
        <v>0</v>
      </c>
      <c r="N40" s="1201"/>
      <c r="O40" s="1636">
        <f>ROUND(SUM(O35:O39),0)</f>
        <v>0</v>
      </c>
      <c r="P40" s="1201"/>
      <c r="Q40" s="1636">
        <f>ROUND(SUM(Q35:Q39),0)</f>
        <v>0</v>
      </c>
      <c r="R40" s="1201"/>
      <c r="S40" s="1636">
        <f>ROUND(SUM(S35:S39),0)</f>
        <v>0</v>
      </c>
      <c r="T40" s="1201"/>
      <c r="U40" s="1636">
        <f>ROUND(SUM(U35:U39),0)</f>
        <v>0</v>
      </c>
      <c r="V40" s="1201"/>
      <c r="W40" s="1636">
        <f>ROUND(SUM(W35:W39),0)</f>
        <v>0</v>
      </c>
      <c r="X40" s="1201"/>
      <c r="Y40" s="1636">
        <f>ROUND(SUM(Y35:Y39),0)</f>
        <v>0</v>
      </c>
      <c r="Z40" s="1201"/>
      <c r="AA40" s="1636">
        <f>ROUND(SUM(AA35:AA39),0)</f>
        <v>0</v>
      </c>
      <c r="AB40" s="2446"/>
      <c r="AC40" s="780"/>
    </row>
    <row r="41" spans="1:29" ht="18">
      <c r="A41" s="1201"/>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01"/>
      <c r="AB41" s="2446"/>
      <c r="AC41" s="781"/>
    </row>
    <row r="42" spans="1:29" ht="18">
      <c r="A42" s="1201"/>
      <c r="B42" s="1270"/>
      <c r="C42" s="1270"/>
      <c r="D42" s="1270"/>
      <c r="E42" s="1270"/>
      <c r="F42" s="1270"/>
      <c r="G42" s="1270"/>
      <c r="H42" s="1270"/>
      <c r="I42" s="1270"/>
      <c r="J42" s="1270"/>
      <c r="K42" s="1270"/>
      <c r="L42" s="1270"/>
      <c r="M42" s="1270"/>
      <c r="N42" s="1270"/>
      <c r="O42" s="1270"/>
      <c r="P42" s="1270"/>
      <c r="Q42" s="1270"/>
      <c r="R42" s="1270"/>
      <c r="S42" s="1847"/>
      <c r="T42" s="1270"/>
      <c r="U42" s="1270"/>
      <c r="V42" s="1270"/>
      <c r="W42" s="1270"/>
      <c r="X42" s="1270"/>
      <c r="Y42" s="1270"/>
      <c r="Z42" s="1270"/>
      <c r="AA42" s="1201"/>
    </row>
    <row r="43" spans="1:29" s="783" customFormat="1" ht="18.75" thickBot="1">
      <c r="A43" s="1271" t="s">
        <v>1128</v>
      </c>
      <c r="B43" s="1270"/>
      <c r="C43" s="1846">
        <f>ROUND(C30+C40,0)</f>
        <v>56149</v>
      </c>
      <c r="D43" s="1201"/>
      <c r="E43" s="1846">
        <f>ROUND(E30+E40,0)</f>
        <v>0</v>
      </c>
      <c r="F43" s="1201"/>
      <c r="G43" s="1846">
        <f>ROUND(G30+G40,0)</f>
        <v>0</v>
      </c>
      <c r="H43" s="1201"/>
      <c r="I43" s="1846">
        <f>ROUND(I30+I40,0)</f>
        <v>0</v>
      </c>
      <c r="J43" s="1201"/>
      <c r="K43" s="1846">
        <f>ROUND(K30+K40,0)</f>
        <v>0</v>
      </c>
      <c r="L43" s="1201"/>
      <c r="M43" s="1846">
        <f>ROUND(M30+M40,0)</f>
        <v>0</v>
      </c>
      <c r="N43" s="1201"/>
      <c r="O43" s="1846">
        <f>ROUND(O30+O40,0)</f>
        <v>0</v>
      </c>
      <c r="P43" s="1201"/>
      <c r="Q43" s="1846">
        <f>ROUND(Q30+Q40,0)</f>
        <v>0</v>
      </c>
      <c r="R43" s="1201"/>
      <c r="S43" s="1846">
        <f>ROUND(S30+S40,0)</f>
        <v>0</v>
      </c>
      <c r="T43" s="1201"/>
      <c r="U43" s="1846">
        <f>ROUND(U30+U40,0)</f>
        <v>0</v>
      </c>
      <c r="V43" s="1201"/>
      <c r="W43" s="1846">
        <f>ROUND(W30+W40,0)</f>
        <v>0</v>
      </c>
      <c r="X43" s="1201"/>
      <c r="Y43" s="1846">
        <f>ROUND(Y30+Y40,0)</f>
        <v>0</v>
      </c>
      <c r="Z43" s="1201"/>
      <c r="AA43" s="1846">
        <f>ROUND(AA30+AA40,0)</f>
        <v>56149</v>
      </c>
    </row>
    <row r="44" spans="1:29" ht="15.75" thickTop="1">
      <c r="A44" s="2447"/>
      <c r="C44" s="784"/>
      <c r="D44" s="784"/>
      <c r="E44" s="784"/>
      <c r="F44" s="784"/>
      <c r="G44" s="784"/>
      <c r="H44" s="784"/>
      <c r="I44" s="784"/>
      <c r="J44" s="784"/>
      <c r="K44" s="784"/>
      <c r="L44" s="784"/>
      <c r="M44" s="784"/>
      <c r="N44" s="784"/>
      <c r="O44" s="784"/>
      <c r="P44" s="784"/>
      <c r="Q44" s="784"/>
      <c r="R44" s="784"/>
      <c r="S44" s="784"/>
      <c r="T44" s="784"/>
      <c r="U44" s="784"/>
      <c r="V44" s="784"/>
      <c r="W44" s="784"/>
      <c r="X44" s="784"/>
      <c r="Y44" s="785"/>
      <c r="AA44" s="782"/>
    </row>
    <row r="45" spans="1:29" ht="13.5" thickBot="1"/>
    <row r="46" spans="1:29" ht="20.100000000000001" customHeight="1">
      <c r="A46" s="3553" t="s">
        <v>771</v>
      </c>
      <c r="B46" s="3554"/>
      <c r="C46" s="3554"/>
      <c r="D46" s="3554"/>
      <c r="E46" s="3554"/>
      <c r="F46" s="3554"/>
      <c r="G46" s="3554"/>
      <c r="H46" s="3554"/>
      <c r="I46" s="3554"/>
      <c r="J46" s="3554"/>
      <c r="K46" s="3554"/>
      <c r="L46" s="3554"/>
      <c r="M46" s="3554"/>
      <c r="N46" s="3554"/>
      <c r="O46" s="3554"/>
      <c r="P46" s="3554"/>
      <c r="Q46" s="3554"/>
      <c r="R46" s="3554"/>
      <c r="S46" s="3554"/>
      <c r="T46" s="3554"/>
      <c r="U46" s="3554"/>
      <c r="V46" s="3554"/>
      <c r="W46" s="3554"/>
      <c r="X46" s="3554"/>
      <c r="Y46" s="3554"/>
      <c r="Z46" s="3554"/>
      <c r="AA46" s="3555"/>
    </row>
    <row r="47" spans="1:29" ht="20.100000000000001" customHeight="1">
      <c r="A47" s="3556"/>
      <c r="B47" s="3557"/>
      <c r="C47" s="3557"/>
      <c r="D47" s="3557"/>
      <c r="E47" s="3557"/>
      <c r="F47" s="3557"/>
      <c r="G47" s="3557"/>
      <c r="H47" s="3557"/>
      <c r="I47" s="3557"/>
      <c r="J47" s="3557"/>
      <c r="K47" s="3557"/>
      <c r="L47" s="3557"/>
      <c r="M47" s="3557"/>
      <c r="N47" s="3557"/>
      <c r="O47" s="3557"/>
      <c r="P47" s="3557"/>
      <c r="Q47" s="3557"/>
      <c r="R47" s="3557"/>
      <c r="S47" s="3557"/>
      <c r="T47" s="3557"/>
      <c r="U47" s="3557"/>
      <c r="V47" s="3557"/>
      <c r="W47" s="3557"/>
      <c r="X47" s="3557"/>
      <c r="Y47" s="3557"/>
      <c r="Z47" s="3557"/>
      <c r="AA47" s="3558"/>
    </row>
    <row r="48" spans="1:29" ht="20.100000000000001" customHeight="1">
      <c r="A48" s="3556"/>
      <c r="B48" s="3557"/>
      <c r="C48" s="3557"/>
      <c r="D48" s="3557"/>
      <c r="E48" s="3557"/>
      <c r="F48" s="3557"/>
      <c r="G48" s="3557"/>
      <c r="H48" s="3557"/>
      <c r="I48" s="3557"/>
      <c r="J48" s="3557"/>
      <c r="K48" s="3557"/>
      <c r="L48" s="3557"/>
      <c r="M48" s="3557"/>
      <c r="N48" s="3557"/>
      <c r="O48" s="3557"/>
      <c r="P48" s="3557"/>
      <c r="Q48" s="3557"/>
      <c r="R48" s="3557"/>
      <c r="S48" s="3557"/>
      <c r="T48" s="3557"/>
      <c r="U48" s="3557"/>
      <c r="V48" s="3557"/>
      <c r="W48" s="3557"/>
      <c r="X48" s="3557"/>
      <c r="Y48" s="3557"/>
      <c r="Z48" s="3557"/>
      <c r="AA48" s="3558"/>
    </row>
    <row r="49" spans="1:27" ht="20.100000000000001" customHeight="1" thickBot="1">
      <c r="A49" s="3559"/>
      <c r="B49" s="3560"/>
      <c r="C49" s="3560"/>
      <c r="D49" s="3560"/>
      <c r="E49" s="3560"/>
      <c r="F49" s="3560"/>
      <c r="G49" s="3560"/>
      <c r="H49" s="3560"/>
      <c r="I49" s="3560"/>
      <c r="J49" s="3560"/>
      <c r="K49" s="3560"/>
      <c r="L49" s="3560"/>
      <c r="M49" s="3560"/>
      <c r="N49" s="3560"/>
      <c r="O49" s="3560"/>
      <c r="P49" s="3560"/>
      <c r="Q49" s="3560"/>
      <c r="R49" s="3560"/>
      <c r="S49" s="3560"/>
      <c r="T49" s="3560"/>
      <c r="U49" s="3560"/>
      <c r="V49" s="3560"/>
      <c r="W49" s="3560"/>
      <c r="X49" s="3560"/>
      <c r="Y49" s="3560"/>
      <c r="Z49" s="3560"/>
      <c r="AA49" s="3561"/>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4"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92"/>
  <sheetViews>
    <sheetView showGridLines="0" zoomScale="70" zoomScaleNormal="70" zoomScaleSheetLayoutView="70" workbookViewId="0"/>
  </sheetViews>
  <sheetFormatPr defaultRowHeight="15"/>
  <cols>
    <col min="1" max="1" width="8.88671875" style="2423" customWidth="1"/>
    <col min="2" max="2" width="10.21875" style="2423" customWidth="1"/>
    <col min="3" max="3" width="2.21875" style="2436" customWidth="1"/>
    <col min="4" max="4" width="50.44140625" style="2423" customWidth="1"/>
    <col min="5" max="5" width="8.88671875" style="2436" customWidth="1"/>
    <col min="6" max="6" width="2.109375" style="1332" customWidth="1"/>
    <col min="7" max="7" width="23.88671875" style="2423" customWidth="1"/>
    <col min="8" max="8" width="2.109375" style="2436" customWidth="1"/>
    <col min="9" max="9" width="23.88671875" style="2423" customWidth="1"/>
    <col min="10" max="10" width="2.109375" style="2436" customWidth="1"/>
    <col min="11" max="11" width="23.88671875" style="2423" customWidth="1"/>
    <col min="12" max="12" width="2.109375" style="2436" customWidth="1"/>
    <col min="13" max="13" width="20.21875" style="2423" customWidth="1"/>
    <col min="14" max="14" width="2.109375" style="2436" customWidth="1"/>
    <col min="15" max="15" width="23.88671875" style="2423" customWidth="1"/>
    <col min="16" max="16" width="6" style="2423" customWidth="1"/>
    <col min="17" max="255" width="8.88671875" style="2423"/>
    <col min="256" max="257" width="8.88671875" style="2423" customWidth="1"/>
    <col min="258" max="258" width="10.21875" style="2423" customWidth="1"/>
    <col min="259" max="259" width="2.21875" style="2423" customWidth="1"/>
    <col min="260" max="260" width="50.44140625" style="2423" customWidth="1"/>
    <col min="261" max="261" width="8.88671875" style="2423"/>
    <col min="262" max="262" width="2.109375" style="2423" customWidth="1"/>
    <col min="263" max="263" width="23.88671875" style="2423" customWidth="1"/>
    <col min="264" max="264" width="2.109375" style="2423" customWidth="1"/>
    <col min="265" max="265" width="23.88671875" style="2423" customWidth="1"/>
    <col min="266" max="266" width="2.109375" style="2423" customWidth="1"/>
    <col min="267" max="267" width="23.88671875" style="2423" customWidth="1"/>
    <col min="268" max="268" width="2.109375" style="2423" customWidth="1"/>
    <col min="269" max="269" width="23.88671875" style="2423" customWidth="1"/>
    <col min="270" max="270" width="2.109375" style="2423" customWidth="1"/>
    <col min="271" max="271" width="23.88671875" style="2423" customWidth="1"/>
    <col min="272" max="272" width="2.77734375" style="2423" bestFit="1" customWidth="1"/>
    <col min="273" max="511" width="8.88671875" style="2423"/>
    <col min="512" max="513" width="8.88671875" style="2423" customWidth="1"/>
    <col min="514" max="514" width="10.21875" style="2423" customWidth="1"/>
    <col min="515" max="515" width="2.21875" style="2423" customWidth="1"/>
    <col min="516" max="516" width="50.44140625" style="2423" customWidth="1"/>
    <col min="517" max="517" width="8.88671875" style="2423"/>
    <col min="518" max="518" width="2.109375" style="2423" customWidth="1"/>
    <col min="519" max="519" width="23.88671875" style="2423" customWidth="1"/>
    <col min="520" max="520" width="2.109375" style="2423" customWidth="1"/>
    <col min="521" max="521" width="23.88671875" style="2423" customWidth="1"/>
    <col min="522" max="522" width="2.109375" style="2423" customWidth="1"/>
    <col min="523" max="523" width="23.88671875" style="2423" customWidth="1"/>
    <col min="524" max="524" width="2.109375" style="2423" customWidth="1"/>
    <col min="525" max="525" width="23.88671875" style="2423" customWidth="1"/>
    <col min="526" max="526" width="2.109375" style="2423" customWidth="1"/>
    <col min="527" max="527" width="23.88671875" style="2423" customWidth="1"/>
    <col min="528" max="528" width="2.77734375" style="2423" bestFit="1" customWidth="1"/>
    <col min="529" max="767" width="8.88671875" style="2423"/>
    <col min="768" max="769" width="8.88671875" style="2423" customWidth="1"/>
    <col min="770" max="770" width="10.21875" style="2423" customWidth="1"/>
    <col min="771" max="771" width="2.21875" style="2423" customWidth="1"/>
    <col min="772" max="772" width="50.44140625" style="2423" customWidth="1"/>
    <col min="773" max="773" width="8.88671875" style="2423"/>
    <col min="774" max="774" width="2.109375" style="2423" customWidth="1"/>
    <col min="775" max="775" width="23.88671875" style="2423" customWidth="1"/>
    <col min="776" max="776" width="2.109375" style="2423" customWidth="1"/>
    <col min="777" max="777" width="23.88671875" style="2423" customWidth="1"/>
    <col min="778" max="778" width="2.109375" style="2423" customWidth="1"/>
    <col min="779" max="779" width="23.88671875" style="2423" customWidth="1"/>
    <col min="780" max="780" width="2.109375" style="2423" customWidth="1"/>
    <col min="781" max="781" width="23.88671875" style="2423" customWidth="1"/>
    <col min="782" max="782" width="2.109375" style="2423" customWidth="1"/>
    <col min="783" max="783" width="23.88671875" style="2423" customWidth="1"/>
    <col min="784" max="784" width="2.77734375" style="2423" bestFit="1" customWidth="1"/>
    <col min="785" max="1023" width="8.88671875" style="2423"/>
    <col min="1024" max="1025" width="8.88671875" style="2423" customWidth="1"/>
    <col min="1026" max="1026" width="10.21875" style="2423" customWidth="1"/>
    <col min="1027" max="1027" width="2.21875" style="2423" customWidth="1"/>
    <col min="1028" max="1028" width="50.44140625" style="2423" customWidth="1"/>
    <col min="1029" max="1029" width="8.88671875" style="2423"/>
    <col min="1030" max="1030" width="2.109375" style="2423" customWidth="1"/>
    <col min="1031" max="1031" width="23.88671875" style="2423" customWidth="1"/>
    <col min="1032" max="1032" width="2.109375" style="2423" customWidth="1"/>
    <col min="1033" max="1033" width="23.88671875" style="2423" customWidth="1"/>
    <col min="1034" max="1034" width="2.109375" style="2423" customWidth="1"/>
    <col min="1035" max="1035" width="23.88671875" style="2423" customWidth="1"/>
    <col min="1036" max="1036" width="2.109375" style="2423" customWidth="1"/>
    <col min="1037" max="1037" width="23.88671875" style="2423" customWidth="1"/>
    <col min="1038" max="1038" width="2.109375" style="2423" customWidth="1"/>
    <col min="1039" max="1039" width="23.88671875" style="2423" customWidth="1"/>
    <col min="1040" max="1040" width="2.77734375" style="2423" bestFit="1" customWidth="1"/>
    <col min="1041" max="1279" width="8.88671875" style="2423"/>
    <col min="1280" max="1281" width="8.88671875" style="2423" customWidth="1"/>
    <col min="1282" max="1282" width="10.21875" style="2423" customWidth="1"/>
    <col min="1283" max="1283" width="2.21875" style="2423" customWidth="1"/>
    <col min="1284" max="1284" width="50.44140625" style="2423" customWidth="1"/>
    <col min="1285" max="1285" width="8.88671875" style="2423"/>
    <col min="1286" max="1286" width="2.109375" style="2423" customWidth="1"/>
    <col min="1287" max="1287" width="23.88671875" style="2423" customWidth="1"/>
    <col min="1288" max="1288" width="2.109375" style="2423" customWidth="1"/>
    <col min="1289" max="1289" width="23.88671875" style="2423" customWidth="1"/>
    <col min="1290" max="1290" width="2.109375" style="2423" customWidth="1"/>
    <col min="1291" max="1291" width="23.88671875" style="2423" customWidth="1"/>
    <col min="1292" max="1292" width="2.109375" style="2423" customWidth="1"/>
    <col min="1293" max="1293" width="23.88671875" style="2423" customWidth="1"/>
    <col min="1294" max="1294" width="2.109375" style="2423" customWidth="1"/>
    <col min="1295" max="1295" width="23.88671875" style="2423" customWidth="1"/>
    <col min="1296" max="1296" width="2.77734375" style="2423" bestFit="1" customWidth="1"/>
    <col min="1297" max="1535" width="8.88671875" style="2423"/>
    <col min="1536" max="1537" width="8.88671875" style="2423" customWidth="1"/>
    <col min="1538" max="1538" width="10.21875" style="2423" customWidth="1"/>
    <col min="1539" max="1539" width="2.21875" style="2423" customWidth="1"/>
    <col min="1540" max="1540" width="50.44140625" style="2423" customWidth="1"/>
    <col min="1541" max="1541" width="8.88671875" style="2423"/>
    <col min="1542" max="1542" width="2.109375" style="2423" customWidth="1"/>
    <col min="1543" max="1543" width="23.88671875" style="2423" customWidth="1"/>
    <col min="1544" max="1544" width="2.109375" style="2423" customWidth="1"/>
    <col min="1545" max="1545" width="23.88671875" style="2423" customWidth="1"/>
    <col min="1546" max="1546" width="2.109375" style="2423" customWidth="1"/>
    <col min="1547" max="1547" width="23.88671875" style="2423" customWidth="1"/>
    <col min="1548" max="1548" width="2.109375" style="2423" customWidth="1"/>
    <col min="1549" max="1549" width="23.88671875" style="2423" customWidth="1"/>
    <col min="1550" max="1550" width="2.109375" style="2423" customWidth="1"/>
    <col min="1551" max="1551" width="23.88671875" style="2423" customWidth="1"/>
    <col min="1552" max="1552" width="2.77734375" style="2423" bestFit="1" customWidth="1"/>
    <col min="1553" max="1791" width="8.88671875" style="2423"/>
    <col min="1792" max="1793" width="8.88671875" style="2423" customWidth="1"/>
    <col min="1794" max="1794" width="10.21875" style="2423" customWidth="1"/>
    <col min="1795" max="1795" width="2.21875" style="2423" customWidth="1"/>
    <col min="1796" max="1796" width="50.44140625" style="2423" customWidth="1"/>
    <col min="1797" max="1797" width="8.88671875" style="2423"/>
    <col min="1798" max="1798" width="2.109375" style="2423" customWidth="1"/>
    <col min="1799" max="1799" width="23.88671875" style="2423" customWidth="1"/>
    <col min="1800" max="1800" width="2.109375" style="2423" customWidth="1"/>
    <col min="1801" max="1801" width="23.88671875" style="2423" customWidth="1"/>
    <col min="1802" max="1802" width="2.109375" style="2423" customWidth="1"/>
    <col min="1803" max="1803" width="23.88671875" style="2423" customWidth="1"/>
    <col min="1804" max="1804" width="2.109375" style="2423" customWidth="1"/>
    <col min="1805" max="1805" width="23.88671875" style="2423" customWidth="1"/>
    <col min="1806" max="1806" width="2.109375" style="2423" customWidth="1"/>
    <col min="1807" max="1807" width="23.88671875" style="2423" customWidth="1"/>
    <col min="1808" max="1808" width="2.77734375" style="2423" bestFit="1" customWidth="1"/>
    <col min="1809" max="2047" width="8.88671875" style="2423"/>
    <col min="2048" max="2049" width="8.88671875" style="2423" customWidth="1"/>
    <col min="2050" max="2050" width="10.21875" style="2423" customWidth="1"/>
    <col min="2051" max="2051" width="2.21875" style="2423" customWidth="1"/>
    <col min="2052" max="2052" width="50.44140625" style="2423" customWidth="1"/>
    <col min="2053" max="2053" width="8.88671875" style="2423"/>
    <col min="2054" max="2054" width="2.109375" style="2423" customWidth="1"/>
    <col min="2055" max="2055" width="23.88671875" style="2423" customWidth="1"/>
    <col min="2056" max="2056" width="2.109375" style="2423" customWidth="1"/>
    <col min="2057" max="2057" width="23.88671875" style="2423" customWidth="1"/>
    <col min="2058" max="2058" width="2.109375" style="2423" customWidth="1"/>
    <col min="2059" max="2059" width="23.88671875" style="2423" customWidth="1"/>
    <col min="2060" max="2060" width="2.109375" style="2423" customWidth="1"/>
    <col min="2061" max="2061" width="23.88671875" style="2423" customWidth="1"/>
    <col min="2062" max="2062" width="2.109375" style="2423" customWidth="1"/>
    <col min="2063" max="2063" width="23.88671875" style="2423" customWidth="1"/>
    <col min="2064" max="2064" width="2.77734375" style="2423" bestFit="1" customWidth="1"/>
    <col min="2065" max="2303" width="8.88671875" style="2423"/>
    <col min="2304" max="2305" width="8.88671875" style="2423" customWidth="1"/>
    <col min="2306" max="2306" width="10.21875" style="2423" customWidth="1"/>
    <col min="2307" max="2307" width="2.21875" style="2423" customWidth="1"/>
    <col min="2308" max="2308" width="50.44140625" style="2423" customWidth="1"/>
    <col min="2309" max="2309" width="8.88671875" style="2423"/>
    <col min="2310" max="2310" width="2.109375" style="2423" customWidth="1"/>
    <col min="2311" max="2311" width="23.88671875" style="2423" customWidth="1"/>
    <col min="2312" max="2312" width="2.109375" style="2423" customWidth="1"/>
    <col min="2313" max="2313" width="23.88671875" style="2423" customWidth="1"/>
    <col min="2314" max="2314" width="2.109375" style="2423" customWidth="1"/>
    <col min="2315" max="2315" width="23.88671875" style="2423" customWidth="1"/>
    <col min="2316" max="2316" width="2.109375" style="2423" customWidth="1"/>
    <col min="2317" max="2317" width="23.88671875" style="2423" customWidth="1"/>
    <col min="2318" max="2318" width="2.109375" style="2423" customWidth="1"/>
    <col min="2319" max="2319" width="23.88671875" style="2423" customWidth="1"/>
    <col min="2320" max="2320" width="2.77734375" style="2423" bestFit="1" customWidth="1"/>
    <col min="2321" max="2559" width="8.88671875" style="2423"/>
    <col min="2560" max="2561" width="8.88671875" style="2423" customWidth="1"/>
    <col min="2562" max="2562" width="10.21875" style="2423" customWidth="1"/>
    <col min="2563" max="2563" width="2.21875" style="2423" customWidth="1"/>
    <col min="2564" max="2564" width="50.44140625" style="2423" customWidth="1"/>
    <col min="2565" max="2565" width="8.88671875" style="2423"/>
    <col min="2566" max="2566" width="2.109375" style="2423" customWidth="1"/>
    <col min="2567" max="2567" width="23.88671875" style="2423" customWidth="1"/>
    <col min="2568" max="2568" width="2.109375" style="2423" customWidth="1"/>
    <col min="2569" max="2569" width="23.88671875" style="2423" customWidth="1"/>
    <col min="2570" max="2570" width="2.109375" style="2423" customWidth="1"/>
    <col min="2571" max="2571" width="23.88671875" style="2423" customWidth="1"/>
    <col min="2572" max="2572" width="2.109375" style="2423" customWidth="1"/>
    <col min="2573" max="2573" width="23.88671875" style="2423" customWidth="1"/>
    <col min="2574" max="2574" width="2.109375" style="2423" customWidth="1"/>
    <col min="2575" max="2575" width="23.88671875" style="2423" customWidth="1"/>
    <col min="2576" max="2576" width="2.77734375" style="2423" bestFit="1" customWidth="1"/>
    <col min="2577" max="2815" width="8.88671875" style="2423"/>
    <col min="2816" max="2817" width="8.88671875" style="2423" customWidth="1"/>
    <col min="2818" max="2818" width="10.21875" style="2423" customWidth="1"/>
    <col min="2819" max="2819" width="2.21875" style="2423" customWidth="1"/>
    <col min="2820" max="2820" width="50.44140625" style="2423" customWidth="1"/>
    <col min="2821" max="2821" width="8.88671875" style="2423"/>
    <col min="2822" max="2822" width="2.109375" style="2423" customWidth="1"/>
    <col min="2823" max="2823" width="23.88671875" style="2423" customWidth="1"/>
    <col min="2824" max="2824" width="2.109375" style="2423" customWidth="1"/>
    <col min="2825" max="2825" width="23.88671875" style="2423" customWidth="1"/>
    <col min="2826" max="2826" width="2.109375" style="2423" customWidth="1"/>
    <col min="2827" max="2827" width="23.88671875" style="2423" customWidth="1"/>
    <col min="2828" max="2828" width="2.109375" style="2423" customWidth="1"/>
    <col min="2829" max="2829" width="23.88671875" style="2423" customWidth="1"/>
    <col min="2830" max="2830" width="2.109375" style="2423" customWidth="1"/>
    <col min="2831" max="2831" width="23.88671875" style="2423" customWidth="1"/>
    <col min="2832" max="2832" width="2.77734375" style="2423" bestFit="1" customWidth="1"/>
    <col min="2833" max="3071" width="8.88671875" style="2423"/>
    <col min="3072" max="3073" width="8.88671875" style="2423" customWidth="1"/>
    <col min="3074" max="3074" width="10.21875" style="2423" customWidth="1"/>
    <col min="3075" max="3075" width="2.21875" style="2423" customWidth="1"/>
    <col min="3076" max="3076" width="50.44140625" style="2423" customWidth="1"/>
    <col min="3077" max="3077" width="8.88671875" style="2423"/>
    <col min="3078" max="3078" width="2.109375" style="2423" customWidth="1"/>
    <col min="3079" max="3079" width="23.88671875" style="2423" customWidth="1"/>
    <col min="3080" max="3080" width="2.109375" style="2423" customWidth="1"/>
    <col min="3081" max="3081" width="23.88671875" style="2423" customWidth="1"/>
    <col min="3082" max="3082" width="2.109375" style="2423" customWidth="1"/>
    <col min="3083" max="3083" width="23.88671875" style="2423" customWidth="1"/>
    <col min="3084" max="3084" width="2.109375" style="2423" customWidth="1"/>
    <col min="3085" max="3085" width="23.88671875" style="2423" customWidth="1"/>
    <col min="3086" max="3086" width="2.109375" style="2423" customWidth="1"/>
    <col min="3087" max="3087" width="23.88671875" style="2423" customWidth="1"/>
    <col min="3088" max="3088" width="2.77734375" style="2423" bestFit="1" customWidth="1"/>
    <col min="3089" max="3327" width="8.88671875" style="2423"/>
    <col min="3328" max="3329" width="8.88671875" style="2423" customWidth="1"/>
    <col min="3330" max="3330" width="10.21875" style="2423" customWidth="1"/>
    <col min="3331" max="3331" width="2.21875" style="2423" customWidth="1"/>
    <col min="3332" max="3332" width="50.44140625" style="2423" customWidth="1"/>
    <col min="3333" max="3333" width="8.88671875" style="2423"/>
    <col min="3334" max="3334" width="2.109375" style="2423" customWidth="1"/>
    <col min="3335" max="3335" width="23.88671875" style="2423" customWidth="1"/>
    <col min="3336" max="3336" width="2.109375" style="2423" customWidth="1"/>
    <col min="3337" max="3337" width="23.88671875" style="2423" customWidth="1"/>
    <col min="3338" max="3338" width="2.109375" style="2423" customWidth="1"/>
    <col min="3339" max="3339" width="23.88671875" style="2423" customWidth="1"/>
    <col min="3340" max="3340" width="2.109375" style="2423" customWidth="1"/>
    <col min="3341" max="3341" width="23.88671875" style="2423" customWidth="1"/>
    <col min="3342" max="3342" width="2.109375" style="2423" customWidth="1"/>
    <col min="3343" max="3343" width="23.88671875" style="2423" customWidth="1"/>
    <col min="3344" max="3344" width="2.77734375" style="2423" bestFit="1" customWidth="1"/>
    <col min="3345" max="3583" width="8.88671875" style="2423"/>
    <col min="3584" max="3585" width="8.88671875" style="2423" customWidth="1"/>
    <col min="3586" max="3586" width="10.21875" style="2423" customWidth="1"/>
    <col min="3587" max="3587" width="2.21875" style="2423" customWidth="1"/>
    <col min="3588" max="3588" width="50.44140625" style="2423" customWidth="1"/>
    <col min="3589" max="3589" width="8.88671875" style="2423"/>
    <col min="3590" max="3590" width="2.109375" style="2423" customWidth="1"/>
    <col min="3591" max="3591" width="23.88671875" style="2423" customWidth="1"/>
    <col min="3592" max="3592" width="2.109375" style="2423" customWidth="1"/>
    <col min="3593" max="3593" width="23.88671875" style="2423" customWidth="1"/>
    <col min="3594" max="3594" width="2.109375" style="2423" customWidth="1"/>
    <col min="3595" max="3595" width="23.88671875" style="2423" customWidth="1"/>
    <col min="3596" max="3596" width="2.109375" style="2423" customWidth="1"/>
    <col min="3597" max="3597" width="23.88671875" style="2423" customWidth="1"/>
    <col min="3598" max="3598" width="2.109375" style="2423" customWidth="1"/>
    <col min="3599" max="3599" width="23.88671875" style="2423" customWidth="1"/>
    <col min="3600" max="3600" width="2.77734375" style="2423" bestFit="1" customWidth="1"/>
    <col min="3601" max="3839" width="8.88671875" style="2423"/>
    <col min="3840" max="3841" width="8.88671875" style="2423" customWidth="1"/>
    <col min="3842" max="3842" width="10.21875" style="2423" customWidth="1"/>
    <col min="3843" max="3843" width="2.21875" style="2423" customWidth="1"/>
    <col min="3844" max="3844" width="50.44140625" style="2423" customWidth="1"/>
    <col min="3845" max="3845" width="8.88671875" style="2423"/>
    <col min="3846" max="3846" width="2.109375" style="2423" customWidth="1"/>
    <col min="3847" max="3847" width="23.88671875" style="2423" customWidth="1"/>
    <col min="3848" max="3848" width="2.109375" style="2423" customWidth="1"/>
    <col min="3849" max="3849" width="23.88671875" style="2423" customWidth="1"/>
    <col min="3850" max="3850" width="2.109375" style="2423" customWidth="1"/>
    <col min="3851" max="3851" width="23.88671875" style="2423" customWidth="1"/>
    <col min="3852" max="3852" width="2.109375" style="2423" customWidth="1"/>
    <col min="3853" max="3853" width="23.88671875" style="2423" customWidth="1"/>
    <col min="3854" max="3854" width="2.109375" style="2423" customWidth="1"/>
    <col min="3855" max="3855" width="23.88671875" style="2423" customWidth="1"/>
    <col min="3856" max="3856" width="2.77734375" style="2423" bestFit="1" customWidth="1"/>
    <col min="3857" max="4095" width="8.88671875" style="2423"/>
    <col min="4096" max="4097" width="8.88671875" style="2423" customWidth="1"/>
    <col min="4098" max="4098" width="10.21875" style="2423" customWidth="1"/>
    <col min="4099" max="4099" width="2.21875" style="2423" customWidth="1"/>
    <col min="4100" max="4100" width="50.44140625" style="2423" customWidth="1"/>
    <col min="4101" max="4101" width="8.88671875" style="2423"/>
    <col min="4102" max="4102" width="2.109375" style="2423" customWidth="1"/>
    <col min="4103" max="4103" width="23.88671875" style="2423" customWidth="1"/>
    <col min="4104" max="4104" width="2.109375" style="2423" customWidth="1"/>
    <col min="4105" max="4105" width="23.88671875" style="2423" customWidth="1"/>
    <col min="4106" max="4106" width="2.109375" style="2423" customWidth="1"/>
    <col min="4107" max="4107" width="23.88671875" style="2423" customWidth="1"/>
    <col min="4108" max="4108" width="2.109375" style="2423" customWidth="1"/>
    <col min="4109" max="4109" width="23.88671875" style="2423" customWidth="1"/>
    <col min="4110" max="4110" width="2.109375" style="2423" customWidth="1"/>
    <col min="4111" max="4111" width="23.88671875" style="2423" customWidth="1"/>
    <col min="4112" max="4112" width="2.77734375" style="2423" bestFit="1" customWidth="1"/>
    <col min="4113" max="4351" width="8.88671875" style="2423"/>
    <col min="4352" max="4353" width="8.88671875" style="2423" customWidth="1"/>
    <col min="4354" max="4354" width="10.21875" style="2423" customWidth="1"/>
    <col min="4355" max="4355" width="2.21875" style="2423" customWidth="1"/>
    <col min="4356" max="4356" width="50.44140625" style="2423" customWidth="1"/>
    <col min="4357" max="4357" width="8.88671875" style="2423"/>
    <col min="4358" max="4358" width="2.109375" style="2423" customWidth="1"/>
    <col min="4359" max="4359" width="23.88671875" style="2423" customWidth="1"/>
    <col min="4360" max="4360" width="2.109375" style="2423" customWidth="1"/>
    <col min="4361" max="4361" width="23.88671875" style="2423" customWidth="1"/>
    <col min="4362" max="4362" width="2.109375" style="2423" customWidth="1"/>
    <col min="4363" max="4363" width="23.88671875" style="2423" customWidth="1"/>
    <col min="4364" max="4364" width="2.109375" style="2423" customWidth="1"/>
    <col min="4365" max="4365" width="23.88671875" style="2423" customWidth="1"/>
    <col min="4366" max="4366" width="2.109375" style="2423" customWidth="1"/>
    <col min="4367" max="4367" width="23.88671875" style="2423" customWidth="1"/>
    <col min="4368" max="4368" width="2.77734375" style="2423" bestFit="1" customWidth="1"/>
    <col min="4369" max="4607" width="8.88671875" style="2423"/>
    <col min="4608" max="4609" width="8.88671875" style="2423" customWidth="1"/>
    <col min="4610" max="4610" width="10.21875" style="2423" customWidth="1"/>
    <col min="4611" max="4611" width="2.21875" style="2423" customWidth="1"/>
    <col min="4612" max="4612" width="50.44140625" style="2423" customWidth="1"/>
    <col min="4613" max="4613" width="8.88671875" style="2423"/>
    <col min="4614" max="4614" width="2.109375" style="2423" customWidth="1"/>
    <col min="4615" max="4615" width="23.88671875" style="2423" customWidth="1"/>
    <col min="4616" max="4616" width="2.109375" style="2423" customWidth="1"/>
    <col min="4617" max="4617" width="23.88671875" style="2423" customWidth="1"/>
    <col min="4618" max="4618" width="2.109375" style="2423" customWidth="1"/>
    <col min="4619" max="4619" width="23.88671875" style="2423" customWidth="1"/>
    <col min="4620" max="4620" width="2.109375" style="2423" customWidth="1"/>
    <col min="4621" max="4621" width="23.88671875" style="2423" customWidth="1"/>
    <col min="4622" max="4622" width="2.109375" style="2423" customWidth="1"/>
    <col min="4623" max="4623" width="23.88671875" style="2423" customWidth="1"/>
    <col min="4624" max="4624" width="2.77734375" style="2423" bestFit="1" customWidth="1"/>
    <col min="4625" max="4863" width="8.88671875" style="2423"/>
    <col min="4864" max="4865" width="8.88671875" style="2423" customWidth="1"/>
    <col min="4866" max="4866" width="10.21875" style="2423" customWidth="1"/>
    <col min="4867" max="4867" width="2.21875" style="2423" customWidth="1"/>
    <col min="4868" max="4868" width="50.44140625" style="2423" customWidth="1"/>
    <col min="4869" max="4869" width="8.88671875" style="2423"/>
    <col min="4870" max="4870" width="2.109375" style="2423" customWidth="1"/>
    <col min="4871" max="4871" width="23.88671875" style="2423" customWidth="1"/>
    <col min="4872" max="4872" width="2.109375" style="2423" customWidth="1"/>
    <col min="4873" max="4873" width="23.88671875" style="2423" customWidth="1"/>
    <col min="4874" max="4874" width="2.109375" style="2423" customWidth="1"/>
    <col min="4875" max="4875" width="23.88671875" style="2423" customWidth="1"/>
    <col min="4876" max="4876" width="2.109375" style="2423" customWidth="1"/>
    <col min="4877" max="4877" width="23.88671875" style="2423" customWidth="1"/>
    <col min="4878" max="4878" width="2.109375" style="2423" customWidth="1"/>
    <col min="4879" max="4879" width="23.88671875" style="2423" customWidth="1"/>
    <col min="4880" max="4880" width="2.77734375" style="2423" bestFit="1" customWidth="1"/>
    <col min="4881" max="5119" width="8.88671875" style="2423"/>
    <col min="5120" max="5121" width="8.88671875" style="2423" customWidth="1"/>
    <col min="5122" max="5122" width="10.21875" style="2423" customWidth="1"/>
    <col min="5123" max="5123" width="2.21875" style="2423" customWidth="1"/>
    <col min="5124" max="5124" width="50.44140625" style="2423" customWidth="1"/>
    <col min="5125" max="5125" width="8.88671875" style="2423"/>
    <col min="5126" max="5126" width="2.109375" style="2423" customWidth="1"/>
    <col min="5127" max="5127" width="23.88671875" style="2423" customWidth="1"/>
    <col min="5128" max="5128" width="2.109375" style="2423" customWidth="1"/>
    <col min="5129" max="5129" width="23.88671875" style="2423" customWidth="1"/>
    <col min="5130" max="5130" width="2.109375" style="2423" customWidth="1"/>
    <col min="5131" max="5131" width="23.88671875" style="2423" customWidth="1"/>
    <col min="5132" max="5132" width="2.109375" style="2423" customWidth="1"/>
    <col min="5133" max="5133" width="23.88671875" style="2423" customWidth="1"/>
    <col min="5134" max="5134" width="2.109375" style="2423" customWidth="1"/>
    <col min="5135" max="5135" width="23.88671875" style="2423" customWidth="1"/>
    <col min="5136" max="5136" width="2.77734375" style="2423" bestFit="1" customWidth="1"/>
    <col min="5137" max="5375" width="8.88671875" style="2423"/>
    <col min="5376" max="5377" width="8.88671875" style="2423" customWidth="1"/>
    <col min="5378" max="5378" width="10.21875" style="2423" customWidth="1"/>
    <col min="5379" max="5379" width="2.21875" style="2423" customWidth="1"/>
    <col min="5380" max="5380" width="50.44140625" style="2423" customWidth="1"/>
    <col min="5381" max="5381" width="8.88671875" style="2423"/>
    <col min="5382" max="5382" width="2.109375" style="2423" customWidth="1"/>
    <col min="5383" max="5383" width="23.88671875" style="2423" customWidth="1"/>
    <col min="5384" max="5384" width="2.109375" style="2423" customWidth="1"/>
    <col min="5385" max="5385" width="23.88671875" style="2423" customWidth="1"/>
    <col min="5386" max="5386" width="2.109375" style="2423" customWidth="1"/>
    <col min="5387" max="5387" width="23.88671875" style="2423" customWidth="1"/>
    <col min="5388" max="5388" width="2.109375" style="2423" customWidth="1"/>
    <col min="5389" max="5389" width="23.88671875" style="2423" customWidth="1"/>
    <col min="5390" max="5390" width="2.109375" style="2423" customWidth="1"/>
    <col min="5391" max="5391" width="23.88671875" style="2423" customWidth="1"/>
    <col min="5392" max="5392" width="2.77734375" style="2423" bestFit="1" customWidth="1"/>
    <col min="5393" max="5631" width="8.88671875" style="2423"/>
    <col min="5632" max="5633" width="8.88671875" style="2423" customWidth="1"/>
    <col min="5634" max="5634" width="10.21875" style="2423" customWidth="1"/>
    <col min="5635" max="5635" width="2.21875" style="2423" customWidth="1"/>
    <col min="5636" max="5636" width="50.44140625" style="2423" customWidth="1"/>
    <col min="5637" max="5637" width="8.88671875" style="2423"/>
    <col min="5638" max="5638" width="2.109375" style="2423" customWidth="1"/>
    <col min="5639" max="5639" width="23.88671875" style="2423" customWidth="1"/>
    <col min="5640" max="5640" width="2.109375" style="2423" customWidth="1"/>
    <col min="5641" max="5641" width="23.88671875" style="2423" customWidth="1"/>
    <col min="5642" max="5642" width="2.109375" style="2423" customWidth="1"/>
    <col min="5643" max="5643" width="23.88671875" style="2423" customWidth="1"/>
    <col min="5644" max="5644" width="2.109375" style="2423" customWidth="1"/>
    <col min="5645" max="5645" width="23.88671875" style="2423" customWidth="1"/>
    <col min="5646" max="5646" width="2.109375" style="2423" customWidth="1"/>
    <col min="5647" max="5647" width="23.88671875" style="2423" customWidth="1"/>
    <col min="5648" max="5648" width="2.77734375" style="2423" bestFit="1" customWidth="1"/>
    <col min="5649" max="5887" width="8.88671875" style="2423"/>
    <col min="5888" max="5889" width="8.88671875" style="2423" customWidth="1"/>
    <col min="5890" max="5890" width="10.21875" style="2423" customWidth="1"/>
    <col min="5891" max="5891" width="2.21875" style="2423" customWidth="1"/>
    <col min="5892" max="5892" width="50.44140625" style="2423" customWidth="1"/>
    <col min="5893" max="5893" width="8.88671875" style="2423"/>
    <col min="5894" max="5894" width="2.109375" style="2423" customWidth="1"/>
    <col min="5895" max="5895" width="23.88671875" style="2423" customWidth="1"/>
    <col min="5896" max="5896" width="2.109375" style="2423" customWidth="1"/>
    <col min="5897" max="5897" width="23.88671875" style="2423" customWidth="1"/>
    <col min="5898" max="5898" width="2.109375" style="2423" customWidth="1"/>
    <col min="5899" max="5899" width="23.88671875" style="2423" customWidth="1"/>
    <col min="5900" max="5900" width="2.109375" style="2423" customWidth="1"/>
    <col min="5901" max="5901" width="23.88671875" style="2423" customWidth="1"/>
    <col min="5902" max="5902" width="2.109375" style="2423" customWidth="1"/>
    <col min="5903" max="5903" width="23.88671875" style="2423" customWidth="1"/>
    <col min="5904" max="5904" width="2.77734375" style="2423" bestFit="1" customWidth="1"/>
    <col min="5905" max="6143" width="8.88671875" style="2423"/>
    <col min="6144" max="6145" width="8.88671875" style="2423" customWidth="1"/>
    <col min="6146" max="6146" width="10.21875" style="2423" customWidth="1"/>
    <col min="6147" max="6147" width="2.21875" style="2423" customWidth="1"/>
    <col min="6148" max="6148" width="50.44140625" style="2423" customWidth="1"/>
    <col min="6149" max="6149" width="8.88671875" style="2423"/>
    <col min="6150" max="6150" width="2.109375" style="2423" customWidth="1"/>
    <col min="6151" max="6151" width="23.88671875" style="2423" customWidth="1"/>
    <col min="6152" max="6152" width="2.109375" style="2423" customWidth="1"/>
    <col min="6153" max="6153" width="23.88671875" style="2423" customWidth="1"/>
    <col min="6154" max="6154" width="2.109375" style="2423" customWidth="1"/>
    <col min="6155" max="6155" width="23.88671875" style="2423" customWidth="1"/>
    <col min="6156" max="6156" width="2.109375" style="2423" customWidth="1"/>
    <col min="6157" max="6157" width="23.88671875" style="2423" customWidth="1"/>
    <col min="6158" max="6158" width="2.109375" style="2423" customWidth="1"/>
    <col min="6159" max="6159" width="23.88671875" style="2423" customWidth="1"/>
    <col min="6160" max="6160" width="2.77734375" style="2423" bestFit="1" customWidth="1"/>
    <col min="6161" max="6399" width="8.88671875" style="2423"/>
    <col min="6400" max="6401" width="8.88671875" style="2423" customWidth="1"/>
    <col min="6402" max="6402" width="10.21875" style="2423" customWidth="1"/>
    <col min="6403" max="6403" width="2.21875" style="2423" customWidth="1"/>
    <col min="6404" max="6404" width="50.44140625" style="2423" customWidth="1"/>
    <col min="6405" max="6405" width="8.88671875" style="2423"/>
    <col min="6406" max="6406" width="2.109375" style="2423" customWidth="1"/>
    <col min="6407" max="6407" width="23.88671875" style="2423" customWidth="1"/>
    <col min="6408" max="6408" width="2.109375" style="2423" customWidth="1"/>
    <col min="6409" max="6409" width="23.88671875" style="2423" customWidth="1"/>
    <col min="6410" max="6410" width="2.109375" style="2423" customWidth="1"/>
    <col min="6411" max="6411" width="23.88671875" style="2423" customWidth="1"/>
    <col min="6412" max="6412" width="2.109375" style="2423" customWidth="1"/>
    <col min="6413" max="6413" width="23.88671875" style="2423" customWidth="1"/>
    <col min="6414" max="6414" width="2.109375" style="2423" customWidth="1"/>
    <col min="6415" max="6415" width="23.88671875" style="2423" customWidth="1"/>
    <col min="6416" max="6416" width="2.77734375" style="2423" bestFit="1" customWidth="1"/>
    <col min="6417" max="6655" width="8.88671875" style="2423"/>
    <col min="6656" max="6657" width="8.88671875" style="2423" customWidth="1"/>
    <col min="6658" max="6658" width="10.21875" style="2423" customWidth="1"/>
    <col min="6659" max="6659" width="2.21875" style="2423" customWidth="1"/>
    <col min="6660" max="6660" width="50.44140625" style="2423" customWidth="1"/>
    <col min="6661" max="6661" width="8.88671875" style="2423"/>
    <col min="6662" max="6662" width="2.109375" style="2423" customWidth="1"/>
    <col min="6663" max="6663" width="23.88671875" style="2423" customWidth="1"/>
    <col min="6664" max="6664" width="2.109375" style="2423" customWidth="1"/>
    <col min="6665" max="6665" width="23.88671875" style="2423" customWidth="1"/>
    <col min="6666" max="6666" width="2.109375" style="2423" customWidth="1"/>
    <col min="6667" max="6667" width="23.88671875" style="2423" customWidth="1"/>
    <col min="6668" max="6668" width="2.109375" style="2423" customWidth="1"/>
    <col min="6669" max="6669" width="23.88671875" style="2423" customWidth="1"/>
    <col min="6670" max="6670" width="2.109375" style="2423" customWidth="1"/>
    <col min="6671" max="6671" width="23.88671875" style="2423" customWidth="1"/>
    <col min="6672" max="6672" width="2.77734375" style="2423" bestFit="1" customWidth="1"/>
    <col min="6673" max="6911" width="8.88671875" style="2423"/>
    <col min="6912" max="6913" width="8.88671875" style="2423" customWidth="1"/>
    <col min="6914" max="6914" width="10.21875" style="2423" customWidth="1"/>
    <col min="6915" max="6915" width="2.21875" style="2423" customWidth="1"/>
    <col min="6916" max="6916" width="50.44140625" style="2423" customWidth="1"/>
    <col min="6917" max="6917" width="8.88671875" style="2423"/>
    <col min="6918" max="6918" width="2.109375" style="2423" customWidth="1"/>
    <col min="6919" max="6919" width="23.88671875" style="2423" customWidth="1"/>
    <col min="6920" max="6920" width="2.109375" style="2423" customWidth="1"/>
    <col min="6921" max="6921" width="23.88671875" style="2423" customWidth="1"/>
    <col min="6922" max="6922" width="2.109375" style="2423" customWidth="1"/>
    <col min="6923" max="6923" width="23.88671875" style="2423" customWidth="1"/>
    <col min="6924" max="6924" width="2.109375" style="2423" customWidth="1"/>
    <col min="6925" max="6925" width="23.88671875" style="2423" customWidth="1"/>
    <col min="6926" max="6926" width="2.109375" style="2423" customWidth="1"/>
    <col min="6927" max="6927" width="23.88671875" style="2423" customWidth="1"/>
    <col min="6928" max="6928" width="2.77734375" style="2423" bestFit="1" customWidth="1"/>
    <col min="6929" max="7167" width="8.88671875" style="2423"/>
    <col min="7168" max="7169" width="8.88671875" style="2423" customWidth="1"/>
    <col min="7170" max="7170" width="10.21875" style="2423" customWidth="1"/>
    <col min="7171" max="7171" width="2.21875" style="2423" customWidth="1"/>
    <col min="7172" max="7172" width="50.44140625" style="2423" customWidth="1"/>
    <col min="7173" max="7173" width="8.88671875" style="2423"/>
    <col min="7174" max="7174" width="2.109375" style="2423" customWidth="1"/>
    <col min="7175" max="7175" width="23.88671875" style="2423" customWidth="1"/>
    <col min="7176" max="7176" width="2.109375" style="2423" customWidth="1"/>
    <col min="7177" max="7177" width="23.88671875" style="2423" customWidth="1"/>
    <col min="7178" max="7178" width="2.109375" style="2423" customWidth="1"/>
    <col min="7179" max="7179" width="23.88671875" style="2423" customWidth="1"/>
    <col min="7180" max="7180" width="2.109375" style="2423" customWidth="1"/>
    <col min="7181" max="7181" width="23.88671875" style="2423" customWidth="1"/>
    <col min="7182" max="7182" width="2.109375" style="2423" customWidth="1"/>
    <col min="7183" max="7183" width="23.88671875" style="2423" customWidth="1"/>
    <col min="7184" max="7184" width="2.77734375" style="2423" bestFit="1" customWidth="1"/>
    <col min="7185" max="7423" width="8.88671875" style="2423"/>
    <col min="7424" max="7425" width="8.88671875" style="2423" customWidth="1"/>
    <col min="7426" max="7426" width="10.21875" style="2423" customWidth="1"/>
    <col min="7427" max="7427" width="2.21875" style="2423" customWidth="1"/>
    <col min="7428" max="7428" width="50.44140625" style="2423" customWidth="1"/>
    <col min="7429" max="7429" width="8.88671875" style="2423"/>
    <col min="7430" max="7430" width="2.109375" style="2423" customWidth="1"/>
    <col min="7431" max="7431" width="23.88671875" style="2423" customWidth="1"/>
    <col min="7432" max="7432" width="2.109375" style="2423" customWidth="1"/>
    <col min="7433" max="7433" width="23.88671875" style="2423" customWidth="1"/>
    <col min="7434" max="7434" width="2.109375" style="2423" customWidth="1"/>
    <col min="7435" max="7435" width="23.88671875" style="2423" customWidth="1"/>
    <col min="7436" max="7436" width="2.109375" style="2423" customWidth="1"/>
    <col min="7437" max="7437" width="23.88671875" style="2423" customWidth="1"/>
    <col min="7438" max="7438" width="2.109375" style="2423" customWidth="1"/>
    <col min="7439" max="7439" width="23.88671875" style="2423" customWidth="1"/>
    <col min="7440" max="7440" width="2.77734375" style="2423" bestFit="1" customWidth="1"/>
    <col min="7441" max="7679" width="8.88671875" style="2423"/>
    <col min="7680" max="7681" width="8.88671875" style="2423" customWidth="1"/>
    <col min="7682" max="7682" width="10.21875" style="2423" customWidth="1"/>
    <col min="7683" max="7683" width="2.21875" style="2423" customWidth="1"/>
    <col min="7684" max="7684" width="50.44140625" style="2423" customWidth="1"/>
    <col min="7685" max="7685" width="8.88671875" style="2423"/>
    <col min="7686" max="7686" width="2.109375" style="2423" customWidth="1"/>
    <col min="7687" max="7687" width="23.88671875" style="2423" customWidth="1"/>
    <col min="7688" max="7688" width="2.109375" style="2423" customWidth="1"/>
    <col min="7689" max="7689" width="23.88671875" style="2423" customWidth="1"/>
    <col min="7690" max="7690" width="2.109375" style="2423" customWidth="1"/>
    <col min="7691" max="7691" width="23.88671875" style="2423" customWidth="1"/>
    <col min="7692" max="7692" width="2.109375" style="2423" customWidth="1"/>
    <col min="7693" max="7693" width="23.88671875" style="2423" customWidth="1"/>
    <col min="7694" max="7694" width="2.109375" style="2423" customWidth="1"/>
    <col min="7695" max="7695" width="23.88671875" style="2423" customWidth="1"/>
    <col min="7696" max="7696" width="2.77734375" style="2423" bestFit="1" customWidth="1"/>
    <col min="7697" max="7935" width="8.88671875" style="2423"/>
    <col min="7936" max="7937" width="8.88671875" style="2423" customWidth="1"/>
    <col min="7938" max="7938" width="10.21875" style="2423" customWidth="1"/>
    <col min="7939" max="7939" width="2.21875" style="2423" customWidth="1"/>
    <col min="7940" max="7940" width="50.44140625" style="2423" customWidth="1"/>
    <col min="7941" max="7941" width="8.88671875" style="2423"/>
    <col min="7942" max="7942" width="2.109375" style="2423" customWidth="1"/>
    <col min="7943" max="7943" width="23.88671875" style="2423" customWidth="1"/>
    <col min="7944" max="7944" width="2.109375" style="2423" customWidth="1"/>
    <col min="7945" max="7945" width="23.88671875" style="2423" customWidth="1"/>
    <col min="7946" max="7946" width="2.109375" style="2423" customWidth="1"/>
    <col min="7947" max="7947" width="23.88671875" style="2423" customWidth="1"/>
    <col min="7948" max="7948" width="2.109375" style="2423" customWidth="1"/>
    <col min="7949" max="7949" width="23.88671875" style="2423" customWidth="1"/>
    <col min="7950" max="7950" width="2.109375" style="2423" customWidth="1"/>
    <col min="7951" max="7951" width="23.88671875" style="2423" customWidth="1"/>
    <col min="7952" max="7952" width="2.77734375" style="2423" bestFit="1" customWidth="1"/>
    <col min="7953" max="8191" width="8.88671875" style="2423"/>
    <col min="8192" max="8193" width="8.88671875" style="2423" customWidth="1"/>
    <col min="8194" max="8194" width="10.21875" style="2423" customWidth="1"/>
    <col min="8195" max="8195" width="2.21875" style="2423" customWidth="1"/>
    <col min="8196" max="8196" width="50.44140625" style="2423" customWidth="1"/>
    <col min="8197" max="8197" width="8.88671875" style="2423"/>
    <col min="8198" max="8198" width="2.109375" style="2423" customWidth="1"/>
    <col min="8199" max="8199" width="23.88671875" style="2423" customWidth="1"/>
    <col min="8200" max="8200" width="2.109375" style="2423" customWidth="1"/>
    <col min="8201" max="8201" width="23.88671875" style="2423" customWidth="1"/>
    <col min="8202" max="8202" width="2.109375" style="2423" customWidth="1"/>
    <col min="8203" max="8203" width="23.88671875" style="2423" customWidth="1"/>
    <col min="8204" max="8204" width="2.109375" style="2423" customWidth="1"/>
    <col min="8205" max="8205" width="23.88671875" style="2423" customWidth="1"/>
    <col min="8206" max="8206" width="2.109375" style="2423" customWidth="1"/>
    <col min="8207" max="8207" width="23.88671875" style="2423" customWidth="1"/>
    <col min="8208" max="8208" width="2.77734375" style="2423" bestFit="1" customWidth="1"/>
    <col min="8209" max="8447" width="8.88671875" style="2423"/>
    <col min="8448" max="8449" width="8.88671875" style="2423" customWidth="1"/>
    <col min="8450" max="8450" width="10.21875" style="2423" customWidth="1"/>
    <col min="8451" max="8451" width="2.21875" style="2423" customWidth="1"/>
    <col min="8452" max="8452" width="50.44140625" style="2423" customWidth="1"/>
    <col min="8453" max="8453" width="8.88671875" style="2423"/>
    <col min="8454" max="8454" width="2.109375" style="2423" customWidth="1"/>
    <col min="8455" max="8455" width="23.88671875" style="2423" customWidth="1"/>
    <col min="8456" max="8456" width="2.109375" style="2423" customWidth="1"/>
    <col min="8457" max="8457" width="23.88671875" style="2423" customWidth="1"/>
    <col min="8458" max="8458" width="2.109375" style="2423" customWidth="1"/>
    <col min="8459" max="8459" width="23.88671875" style="2423" customWidth="1"/>
    <col min="8460" max="8460" width="2.109375" style="2423" customWidth="1"/>
    <col min="8461" max="8461" width="23.88671875" style="2423" customWidth="1"/>
    <col min="8462" max="8462" width="2.109375" style="2423" customWidth="1"/>
    <col min="8463" max="8463" width="23.88671875" style="2423" customWidth="1"/>
    <col min="8464" max="8464" width="2.77734375" style="2423" bestFit="1" customWidth="1"/>
    <col min="8465" max="8703" width="8.88671875" style="2423"/>
    <col min="8704" max="8705" width="8.88671875" style="2423" customWidth="1"/>
    <col min="8706" max="8706" width="10.21875" style="2423" customWidth="1"/>
    <col min="8707" max="8707" width="2.21875" style="2423" customWidth="1"/>
    <col min="8708" max="8708" width="50.44140625" style="2423" customWidth="1"/>
    <col min="8709" max="8709" width="8.88671875" style="2423"/>
    <col min="8710" max="8710" width="2.109375" style="2423" customWidth="1"/>
    <col min="8711" max="8711" width="23.88671875" style="2423" customWidth="1"/>
    <col min="8712" max="8712" width="2.109375" style="2423" customWidth="1"/>
    <col min="8713" max="8713" width="23.88671875" style="2423" customWidth="1"/>
    <col min="8714" max="8714" width="2.109375" style="2423" customWidth="1"/>
    <col min="8715" max="8715" width="23.88671875" style="2423" customWidth="1"/>
    <col min="8716" max="8716" width="2.109375" style="2423" customWidth="1"/>
    <col min="8717" max="8717" width="23.88671875" style="2423" customWidth="1"/>
    <col min="8718" max="8718" width="2.109375" style="2423" customWidth="1"/>
    <col min="8719" max="8719" width="23.88671875" style="2423" customWidth="1"/>
    <col min="8720" max="8720" width="2.77734375" style="2423" bestFit="1" customWidth="1"/>
    <col min="8721" max="8959" width="8.88671875" style="2423"/>
    <col min="8960" max="8961" width="8.88671875" style="2423" customWidth="1"/>
    <col min="8962" max="8962" width="10.21875" style="2423" customWidth="1"/>
    <col min="8963" max="8963" width="2.21875" style="2423" customWidth="1"/>
    <col min="8964" max="8964" width="50.44140625" style="2423" customWidth="1"/>
    <col min="8965" max="8965" width="8.88671875" style="2423"/>
    <col min="8966" max="8966" width="2.109375" style="2423" customWidth="1"/>
    <col min="8967" max="8967" width="23.88671875" style="2423" customWidth="1"/>
    <col min="8968" max="8968" width="2.109375" style="2423" customWidth="1"/>
    <col min="8969" max="8969" width="23.88671875" style="2423" customWidth="1"/>
    <col min="8970" max="8970" width="2.109375" style="2423" customWidth="1"/>
    <col min="8971" max="8971" width="23.88671875" style="2423" customWidth="1"/>
    <col min="8972" max="8972" width="2.109375" style="2423" customWidth="1"/>
    <col min="8973" max="8973" width="23.88671875" style="2423" customWidth="1"/>
    <col min="8974" max="8974" width="2.109375" style="2423" customWidth="1"/>
    <col min="8975" max="8975" width="23.88671875" style="2423" customWidth="1"/>
    <col min="8976" max="8976" width="2.77734375" style="2423" bestFit="1" customWidth="1"/>
    <col min="8977" max="9215" width="8.88671875" style="2423"/>
    <col min="9216" max="9217" width="8.88671875" style="2423" customWidth="1"/>
    <col min="9218" max="9218" width="10.21875" style="2423" customWidth="1"/>
    <col min="9219" max="9219" width="2.21875" style="2423" customWidth="1"/>
    <col min="9220" max="9220" width="50.44140625" style="2423" customWidth="1"/>
    <col min="9221" max="9221" width="8.88671875" style="2423"/>
    <col min="9222" max="9222" width="2.109375" style="2423" customWidth="1"/>
    <col min="9223" max="9223" width="23.88671875" style="2423" customWidth="1"/>
    <col min="9224" max="9224" width="2.109375" style="2423" customWidth="1"/>
    <col min="9225" max="9225" width="23.88671875" style="2423" customWidth="1"/>
    <col min="9226" max="9226" width="2.109375" style="2423" customWidth="1"/>
    <col min="9227" max="9227" width="23.88671875" style="2423" customWidth="1"/>
    <col min="9228" max="9228" width="2.109375" style="2423" customWidth="1"/>
    <col min="9229" max="9229" width="23.88671875" style="2423" customWidth="1"/>
    <col min="9230" max="9230" width="2.109375" style="2423" customWidth="1"/>
    <col min="9231" max="9231" width="23.88671875" style="2423" customWidth="1"/>
    <col min="9232" max="9232" width="2.77734375" style="2423" bestFit="1" customWidth="1"/>
    <col min="9233" max="9471" width="8.88671875" style="2423"/>
    <col min="9472" max="9473" width="8.88671875" style="2423" customWidth="1"/>
    <col min="9474" max="9474" width="10.21875" style="2423" customWidth="1"/>
    <col min="9475" max="9475" width="2.21875" style="2423" customWidth="1"/>
    <col min="9476" max="9476" width="50.44140625" style="2423" customWidth="1"/>
    <col min="9477" max="9477" width="8.88671875" style="2423"/>
    <col min="9478" max="9478" width="2.109375" style="2423" customWidth="1"/>
    <col min="9479" max="9479" width="23.88671875" style="2423" customWidth="1"/>
    <col min="9480" max="9480" width="2.109375" style="2423" customWidth="1"/>
    <col min="9481" max="9481" width="23.88671875" style="2423" customWidth="1"/>
    <col min="9482" max="9482" width="2.109375" style="2423" customWidth="1"/>
    <col min="9483" max="9483" width="23.88671875" style="2423" customWidth="1"/>
    <col min="9484" max="9484" width="2.109375" style="2423" customWidth="1"/>
    <col min="9485" max="9485" width="23.88671875" style="2423" customWidth="1"/>
    <col min="9486" max="9486" width="2.109375" style="2423" customWidth="1"/>
    <col min="9487" max="9487" width="23.88671875" style="2423" customWidth="1"/>
    <col min="9488" max="9488" width="2.77734375" style="2423" bestFit="1" customWidth="1"/>
    <col min="9489" max="9727" width="8.88671875" style="2423"/>
    <col min="9728" max="9729" width="8.88671875" style="2423" customWidth="1"/>
    <col min="9730" max="9730" width="10.21875" style="2423" customWidth="1"/>
    <col min="9731" max="9731" width="2.21875" style="2423" customWidth="1"/>
    <col min="9732" max="9732" width="50.44140625" style="2423" customWidth="1"/>
    <col min="9733" max="9733" width="8.88671875" style="2423"/>
    <col min="9734" max="9734" width="2.109375" style="2423" customWidth="1"/>
    <col min="9735" max="9735" width="23.88671875" style="2423" customWidth="1"/>
    <col min="9736" max="9736" width="2.109375" style="2423" customWidth="1"/>
    <col min="9737" max="9737" width="23.88671875" style="2423" customWidth="1"/>
    <col min="9738" max="9738" width="2.109375" style="2423" customWidth="1"/>
    <col min="9739" max="9739" width="23.88671875" style="2423" customWidth="1"/>
    <col min="9740" max="9740" width="2.109375" style="2423" customWidth="1"/>
    <col min="9741" max="9741" width="23.88671875" style="2423" customWidth="1"/>
    <col min="9742" max="9742" width="2.109375" style="2423" customWidth="1"/>
    <col min="9743" max="9743" width="23.88671875" style="2423" customWidth="1"/>
    <col min="9744" max="9744" width="2.77734375" style="2423" bestFit="1" customWidth="1"/>
    <col min="9745" max="9983" width="8.88671875" style="2423"/>
    <col min="9984" max="9985" width="8.88671875" style="2423" customWidth="1"/>
    <col min="9986" max="9986" width="10.21875" style="2423" customWidth="1"/>
    <col min="9987" max="9987" width="2.21875" style="2423" customWidth="1"/>
    <col min="9988" max="9988" width="50.44140625" style="2423" customWidth="1"/>
    <col min="9989" max="9989" width="8.88671875" style="2423"/>
    <col min="9990" max="9990" width="2.109375" style="2423" customWidth="1"/>
    <col min="9991" max="9991" width="23.88671875" style="2423" customWidth="1"/>
    <col min="9992" max="9992" width="2.109375" style="2423" customWidth="1"/>
    <col min="9993" max="9993" width="23.88671875" style="2423" customWidth="1"/>
    <col min="9994" max="9994" width="2.109375" style="2423" customWidth="1"/>
    <col min="9995" max="9995" width="23.88671875" style="2423" customWidth="1"/>
    <col min="9996" max="9996" width="2.109375" style="2423" customWidth="1"/>
    <col min="9997" max="9997" width="23.88671875" style="2423" customWidth="1"/>
    <col min="9998" max="9998" width="2.109375" style="2423" customWidth="1"/>
    <col min="9999" max="9999" width="23.88671875" style="2423" customWidth="1"/>
    <col min="10000" max="10000" width="2.77734375" style="2423" bestFit="1" customWidth="1"/>
    <col min="10001" max="10239" width="8.88671875" style="2423"/>
    <col min="10240" max="10241" width="8.88671875" style="2423" customWidth="1"/>
    <col min="10242" max="10242" width="10.21875" style="2423" customWidth="1"/>
    <col min="10243" max="10243" width="2.21875" style="2423" customWidth="1"/>
    <col min="10244" max="10244" width="50.44140625" style="2423" customWidth="1"/>
    <col min="10245" max="10245" width="8.88671875" style="2423"/>
    <col min="10246" max="10246" width="2.109375" style="2423" customWidth="1"/>
    <col min="10247" max="10247" width="23.88671875" style="2423" customWidth="1"/>
    <col min="10248" max="10248" width="2.109375" style="2423" customWidth="1"/>
    <col min="10249" max="10249" width="23.88671875" style="2423" customWidth="1"/>
    <col min="10250" max="10250" width="2.109375" style="2423" customWidth="1"/>
    <col min="10251" max="10251" width="23.88671875" style="2423" customWidth="1"/>
    <col min="10252" max="10252" width="2.109375" style="2423" customWidth="1"/>
    <col min="10253" max="10253" width="23.88671875" style="2423" customWidth="1"/>
    <col min="10254" max="10254" width="2.109375" style="2423" customWidth="1"/>
    <col min="10255" max="10255" width="23.88671875" style="2423" customWidth="1"/>
    <col min="10256" max="10256" width="2.77734375" style="2423" bestFit="1" customWidth="1"/>
    <col min="10257" max="10495" width="8.88671875" style="2423"/>
    <col min="10496" max="10497" width="8.88671875" style="2423" customWidth="1"/>
    <col min="10498" max="10498" width="10.21875" style="2423" customWidth="1"/>
    <col min="10499" max="10499" width="2.21875" style="2423" customWidth="1"/>
    <col min="10500" max="10500" width="50.44140625" style="2423" customWidth="1"/>
    <col min="10501" max="10501" width="8.88671875" style="2423"/>
    <col min="10502" max="10502" width="2.109375" style="2423" customWidth="1"/>
    <col min="10503" max="10503" width="23.88671875" style="2423" customWidth="1"/>
    <col min="10504" max="10504" width="2.109375" style="2423" customWidth="1"/>
    <col min="10505" max="10505" width="23.88671875" style="2423" customWidth="1"/>
    <col min="10506" max="10506" width="2.109375" style="2423" customWidth="1"/>
    <col min="10507" max="10507" width="23.88671875" style="2423" customWidth="1"/>
    <col min="10508" max="10508" width="2.109375" style="2423" customWidth="1"/>
    <col min="10509" max="10509" width="23.88671875" style="2423" customWidth="1"/>
    <col min="10510" max="10510" width="2.109375" style="2423" customWidth="1"/>
    <col min="10511" max="10511" width="23.88671875" style="2423" customWidth="1"/>
    <col min="10512" max="10512" width="2.77734375" style="2423" bestFit="1" customWidth="1"/>
    <col min="10513" max="10751" width="8.88671875" style="2423"/>
    <col min="10752" max="10753" width="8.88671875" style="2423" customWidth="1"/>
    <col min="10754" max="10754" width="10.21875" style="2423" customWidth="1"/>
    <col min="10755" max="10755" width="2.21875" style="2423" customWidth="1"/>
    <col min="10756" max="10756" width="50.44140625" style="2423" customWidth="1"/>
    <col min="10757" max="10757" width="8.88671875" style="2423"/>
    <col min="10758" max="10758" width="2.109375" style="2423" customWidth="1"/>
    <col min="10759" max="10759" width="23.88671875" style="2423" customWidth="1"/>
    <col min="10760" max="10760" width="2.109375" style="2423" customWidth="1"/>
    <col min="10761" max="10761" width="23.88671875" style="2423" customWidth="1"/>
    <col min="10762" max="10762" width="2.109375" style="2423" customWidth="1"/>
    <col min="10763" max="10763" width="23.88671875" style="2423" customWidth="1"/>
    <col min="10764" max="10764" width="2.109375" style="2423" customWidth="1"/>
    <col min="10765" max="10765" width="23.88671875" style="2423" customWidth="1"/>
    <col min="10766" max="10766" width="2.109375" style="2423" customWidth="1"/>
    <col min="10767" max="10767" width="23.88671875" style="2423" customWidth="1"/>
    <col min="10768" max="10768" width="2.77734375" style="2423" bestFit="1" customWidth="1"/>
    <col min="10769" max="11007" width="8.88671875" style="2423"/>
    <col min="11008" max="11009" width="8.88671875" style="2423" customWidth="1"/>
    <col min="11010" max="11010" width="10.21875" style="2423" customWidth="1"/>
    <col min="11011" max="11011" width="2.21875" style="2423" customWidth="1"/>
    <col min="11012" max="11012" width="50.44140625" style="2423" customWidth="1"/>
    <col min="11013" max="11013" width="8.88671875" style="2423"/>
    <col min="11014" max="11014" width="2.109375" style="2423" customWidth="1"/>
    <col min="11015" max="11015" width="23.88671875" style="2423" customWidth="1"/>
    <col min="11016" max="11016" width="2.109375" style="2423" customWidth="1"/>
    <col min="11017" max="11017" width="23.88671875" style="2423" customWidth="1"/>
    <col min="11018" max="11018" width="2.109375" style="2423" customWidth="1"/>
    <col min="11019" max="11019" width="23.88671875" style="2423" customWidth="1"/>
    <col min="11020" max="11020" width="2.109375" style="2423" customWidth="1"/>
    <col min="11021" max="11021" width="23.88671875" style="2423" customWidth="1"/>
    <col min="11022" max="11022" width="2.109375" style="2423" customWidth="1"/>
    <col min="11023" max="11023" width="23.88671875" style="2423" customWidth="1"/>
    <col min="11024" max="11024" width="2.77734375" style="2423" bestFit="1" customWidth="1"/>
    <col min="11025" max="11263" width="8.88671875" style="2423"/>
    <col min="11264" max="11265" width="8.88671875" style="2423" customWidth="1"/>
    <col min="11266" max="11266" width="10.21875" style="2423" customWidth="1"/>
    <col min="11267" max="11267" width="2.21875" style="2423" customWidth="1"/>
    <col min="11268" max="11268" width="50.44140625" style="2423" customWidth="1"/>
    <col min="11269" max="11269" width="8.88671875" style="2423"/>
    <col min="11270" max="11270" width="2.109375" style="2423" customWidth="1"/>
    <col min="11271" max="11271" width="23.88671875" style="2423" customWidth="1"/>
    <col min="11272" max="11272" width="2.109375" style="2423" customWidth="1"/>
    <col min="11273" max="11273" width="23.88671875" style="2423" customWidth="1"/>
    <col min="11274" max="11274" width="2.109375" style="2423" customWidth="1"/>
    <col min="11275" max="11275" width="23.88671875" style="2423" customWidth="1"/>
    <col min="11276" max="11276" width="2.109375" style="2423" customWidth="1"/>
    <col min="11277" max="11277" width="23.88671875" style="2423" customWidth="1"/>
    <col min="11278" max="11278" width="2.109375" style="2423" customWidth="1"/>
    <col min="11279" max="11279" width="23.88671875" style="2423" customWidth="1"/>
    <col min="11280" max="11280" width="2.77734375" style="2423" bestFit="1" customWidth="1"/>
    <col min="11281" max="11519" width="8.88671875" style="2423"/>
    <col min="11520" max="11521" width="8.88671875" style="2423" customWidth="1"/>
    <col min="11522" max="11522" width="10.21875" style="2423" customWidth="1"/>
    <col min="11523" max="11523" width="2.21875" style="2423" customWidth="1"/>
    <col min="11524" max="11524" width="50.44140625" style="2423" customWidth="1"/>
    <col min="11525" max="11525" width="8.88671875" style="2423"/>
    <col min="11526" max="11526" width="2.109375" style="2423" customWidth="1"/>
    <col min="11527" max="11527" width="23.88671875" style="2423" customWidth="1"/>
    <col min="11528" max="11528" width="2.109375" style="2423" customWidth="1"/>
    <col min="11529" max="11529" width="23.88671875" style="2423" customWidth="1"/>
    <col min="11530" max="11530" width="2.109375" style="2423" customWidth="1"/>
    <col min="11531" max="11531" width="23.88671875" style="2423" customWidth="1"/>
    <col min="11532" max="11532" width="2.109375" style="2423" customWidth="1"/>
    <col min="11533" max="11533" width="23.88671875" style="2423" customWidth="1"/>
    <col min="11534" max="11534" width="2.109375" style="2423" customWidth="1"/>
    <col min="11535" max="11535" width="23.88671875" style="2423" customWidth="1"/>
    <col min="11536" max="11536" width="2.77734375" style="2423" bestFit="1" customWidth="1"/>
    <col min="11537" max="11775" width="8.88671875" style="2423"/>
    <col min="11776" max="11777" width="8.88671875" style="2423" customWidth="1"/>
    <col min="11778" max="11778" width="10.21875" style="2423" customWidth="1"/>
    <col min="11779" max="11779" width="2.21875" style="2423" customWidth="1"/>
    <col min="11780" max="11780" width="50.44140625" style="2423" customWidth="1"/>
    <col min="11781" max="11781" width="8.88671875" style="2423"/>
    <col min="11782" max="11782" width="2.109375" style="2423" customWidth="1"/>
    <col min="11783" max="11783" width="23.88671875" style="2423" customWidth="1"/>
    <col min="11784" max="11784" width="2.109375" style="2423" customWidth="1"/>
    <col min="11785" max="11785" width="23.88671875" style="2423" customWidth="1"/>
    <col min="11786" max="11786" width="2.109375" style="2423" customWidth="1"/>
    <col min="11787" max="11787" width="23.88671875" style="2423" customWidth="1"/>
    <col min="11788" max="11788" width="2.109375" style="2423" customWidth="1"/>
    <col min="11789" max="11789" width="23.88671875" style="2423" customWidth="1"/>
    <col min="11790" max="11790" width="2.109375" style="2423" customWidth="1"/>
    <col min="11791" max="11791" width="23.88671875" style="2423" customWidth="1"/>
    <col min="11792" max="11792" width="2.77734375" style="2423" bestFit="1" customWidth="1"/>
    <col min="11793" max="12031" width="8.88671875" style="2423"/>
    <col min="12032" max="12033" width="8.88671875" style="2423" customWidth="1"/>
    <col min="12034" max="12034" width="10.21875" style="2423" customWidth="1"/>
    <col min="12035" max="12035" width="2.21875" style="2423" customWidth="1"/>
    <col min="12036" max="12036" width="50.44140625" style="2423" customWidth="1"/>
    <col min="12037" max="12037" width="8.88671875" style="2423"/>
    <col min="12038" max="12038" width="2.109375" style="2423" customWidth="1"/>
    <col min="12039" max="12039" width="23.88671875" style="2423" customWidth="1"/>
    <col min="12040" max="12040" width="2.109375" style="2423" customWidth="1"/>
    <col min="12041" max="12041" width="23.88671875" style="2423" customWidth="1"/>
    <col min="12042" max="12042" width="2.109375" style="2423" customWidth="1"/>
    <col min="12043" max="12043" width="23.88671875" style="2423" customWidth="1"/>
    <col min="12044" max="12044" width="2.109375" style="2423" customWidth="1"/>
    <col min="12045" max="12045" width="23.88671875" style="2423" customWidth="1"/>
    <col min="12046" max="12046" width="2.109375" style="2423" customWidth="1"/>
    <col min="12047" max="12047" width="23.88671875" style="2423" customWidth="1"/>
    <col min="12048" max="12048" width="2.77734375" style="2423" bestFit="1" customWidth="1"/>
    <col min="12049" max="12287" width="8.88671875" style="2423"/>
    <col min="12288" max="12289" width="8.88671875" style="2423" customWidth="1"/>
    <col min="12290" max="12290" width="10.21875" style="2423" customWidth="1"/>
    <col min="12291" max="12291" width="2.21875" style="2423" customWidth="1"/>
    <col min="12292" max="12292" width="50.44140625" style="2423" customWidth="1"/>
    <col min="12293" max="12293" width="8.88671875" style="2423"/>
    <col min="12294" max="12294" width="2.109375" style="2423" customWidth="1"/>
    <col min="12295" max="12295" width="23.88671875" style="2423" customWidth="1"/>
    <col min="12296" max="12296" width="2.109375" style="2423" customWidth="1"/>
    <col min="12297" max="12297" width="23.88671875" style="2423" customWidth="1"/>
    <col min="12298" max="12298" width="2.109375" style="2423" customWidth="1"/>
    <col min="12299" max="12299" width="23.88671875" style="2423" customWidth="1"/>
    <col min="12300" max="12300" width="2.109375" style="2423" customWidth="1"/>
    <col min="12301" max="12301" width="23.88671875" style="2423" customWidth="1"/>
    <col min="12302" max="12302" width="2.109375" style="2423" customWidth="1"/>
    <col min="12303" max="12303" width="23.88671875" style="2423" customWidth="1"/>
    <col min="12304" max="12304" width="2.77734375" style="2423" bestFit="1" customWidth="1"/>
    <col min="12305" max="12543" width="8.88671875" style="2423"/>
    <col min="12544" max="12545" width="8.88671875" style="2423" customWidth="1"/>
    <col min="12546" max="12546" width="10.21875" style="2423" customWidth="1"/>
    <col min="12547" max="12547" width="2.21875" style="2423" customWidth="1"/>
    <col min="12548" max="12548" width="50.44140625" style="2423" customWidth="1"/>
    <col min="12549" max="12549" width="8.88671875" style="2423"/>
    <col min="12550" max="12550" width="2.109375" style="2423" customWidth="1"/>
    <col min="12551" max="12551" width="23.88671875" style="2423" customWidth="1"/>
    <col min="12552" max="12552" width="2.109375" style="2423" customWidth="1"/>
    <col min="12553" max="12553" width="23.88671875" style="2423" customWidth="1"/>
    <col min="12554" max="12554" width="2.109375" style="2423" customWidth="1"/>
    <col min="12555" max="12555" width="23.88671875" style="2423" customWidth="1"/>
    <col min="12556" max="12556" width="2.109375" style="2423" customWidth="1"/>
    <col min="12557" max="12557" width="23.88671875" style="2423" customWidth="1"/>
    <col min="12558" max="12558" width="2.109375" style="2423" customWidth="1"/>
    <col min="12559" max="12559" width="23.88671875" style="2423" customWidth="1"/>
    <col min="12560" max="12560" width="2.77734375" style="2423" bestFit="1" customWidth="1"/>
    <col min="12561" max="12799" width="8.88671875" style="2423"/>
    <col min="12800" max="12801" width="8.88671875" style="2423" customWidth="1"/>
    <col min="12802" max="12802" width="10.21875" style="2423" customWidth="1"/>
    <col min="12803" max="12803" width="2.21875" style="2423" customWidth="1"/>
    <col min="12804" max="12804" width="50.44140625" style="2423" customWidth="1"/>
    <col min="12805" max="12805" width="8.88671875" style="2423"/>
    <col min="12806" max="12806" width="2.109375" style="2423" customWidth="1"/>
    <col min="12807" max="12807" width="23.88671875" style="2423" customWidth="1"/>
    <col min="12808" max="12808" width="2.109375" style="2423" customWidth="1"/>
    <col min="12809" max="12809" width="23.88671875" style="2423" customWidth="1"/>
    <col min="12810" max="12810" width="2.109375" style="2423" customWidth="1"/>
    <col min="12811" max="12811" width="23.88671875" style="2423" customWidth="1"/>
    <col min="12812" max="12812" width="2.109375" style="2423" customWidth="1"/>
    <col min="12813" max="12813" width="23.88671875" style="2423" customWidth="1"/>
    <col min="12814" max="12814" width="2.109375" style="2423" customWidth="1"/>
    <col min="12815" max="12815" width="23.88671875" style="2423" customWidth="1"/>
    <col min="12816" max="12816" width="2.77734375" style="2423" bestFit="1" customWidth="1"/>
    <col min="12817" max="13055" width="8.88671875" style="2423"/>
    <col min="13056" max="13057" width="8.88671875" style="2423" customWidth="1"/>
    <col min="13058" max="13058" width="10.21875" style="2423" customWidth="1"/>
    <col min="13059" max="13059" width="2.21875" style="2423" customWidth="1"/>
    <col min="13060" max="13060" width="50.44140625" style="2423" customWidth="1"/>
    <col min="13061" max="13061" width="8.88671875" style="2423"/>
    <col min="13062" max="13062" width="2.109375" style="2423" customWidth="1"/>
    <col min="13063" max="13063" width="23.88671875" style="2423" customWidth="1"/>
    <col min="13064" max="13064" width="2.109375" style="2423" customWidth="1"/>
    <col min="13065" max="13065" width="23.88671875" style="2423" customWidth="1"/>
    <col min="13066" max="13066" width="2.109375" style="2423" customWidth="1"/>
    <col min="13067" max="13067" width="23.88671875" style="2423" customWidth="1"/>
    <col min="13068" max="13068" width="2.109375" style="2423" customWidth="1"/>
    <col min="13069" max="13069" width="23.88671875" style="2423" customWidth="1"/>
    <col min="13070" max="13070" width="2.109375" style="2423" customWidth="1"/>
    <col min="13071" max="13071" width="23.88671875" style="2423" customWidth="1"/>
    <col min="13072" max="13072" width="2.77734375" style="2423" bestFit="1" customWidth="1"/>
    <col min="13073" max="13311" width="8.88671875" style="2423"/>
    <col min="13312" max="13313" width="8.88671875" style="2423" customWidth="1"/>
    <col min="13314" max="13314" width="10.21875" style="2423" customWidth="1"/>
    <col min="13315" max="13315" width="2.21875" style="2423" customWidth="1"/>
    <col min="13316" max="13316" width="50.44140625" style="2423" customWidth="1"/>
    <col min="13317" max="13317" width="8.88671875" style="2423"/>
    <col min="13318" max="13318" width="2.109375" style="2423" customWidth="1"/>
    <col min="13319" max="13319" width="23.88671875" style="2423" customWidth="1"/>
    <col min="13320" max="13320" width="2.109375" style="2423" customWidth="1"/>
    <col min="13321" max="13321" width="23.88671875" style="2423" customWidth="1"/>
    <col min="13322" max="13322" width="2.109375" style="2423" customWidth="1"/>
    <col min="13323" max="13323" width="23.88671875" style="2423" customWidth="1"/>
    <col min="13324" max="13324" width="2.109375" style="2423" customWidth="1"/>
    <col min="13325" max="13325" width="23.88671875" style="2423" customWidth="1"/>
    <col min="13326" max="13326" width="2.109375" style="2423" customWidth="1"/>
    <col min="13327" max="13327" width="23.88671875" style="2423" customWidth="1"/>
    <col min="13328" max="13328" width="2.77734375" style="2423" bestFit="1" customWidth="1"/>
    <col min="13329" max="13567" width="8.88671875" style="2423"/>
    <col min="13568" max="13569" width="8.88671875" style="2423" customWidth="1"/>
    <col min="13570" max="13570" width="10.21875" style="2423" customWidth="1"/>
    <col min="13571" max="13571" width="2.21875" style="2423" customWidth="1"/>
    <col min="13572" max="13572" width="50.44140625" style="2423" customWidth="1"/>
    <col min="13573" max="13573" width="8.88671875" style="2423"/>
    <col min="13574" max="13574" width="2.109375" style="2423" customWidth="1"/>
    <col min="13575" max="13575" width="23.88671875" style="2423" customWidth="1"/>
    <col min="13576" max="13576" width="2.109375" style="2423" customWidth="1"/>
    <col min="13577" max="13577" width="23.88671875" style="2423" customWidth="1"/>
    <col min="13578" max="13578" width="2.109375" style="2423" customWidth="1"/>
    <col min="13579" max="13579" width="23.88671875" style="2423" customWidth="1"/>
    <col min="13580" max="13580" width="2.109375" style="2423" customWidth="1"/>
    <col min="13581" max="13581" width="23.88671875" style="2423" customWidth="1"/>
    <col min="13582" max="13582" width="2.109375" style="2423" customWidth="1"/>
    <col min="13583" max="13583" width="23.88671875" style="2423" customWidth="1"/>
    <col min="13584" max="13584" width="2.77734375" style="2423" bestFit="1" customWidth="1"/>
    <col min="13585" max="13823" width="8.88671875" style="2423"/>
    <col min="13824" max="13825" width="8.88671875" style="2423" customWidth="1"/>
    <col min="13826" max="13826" width="10.21875" style="2423" customWidth="1"/>
    <col min="13827" max="13827" width="2.21875" style="2423" customWidth="1"/>
    <col min="13828" max="13828" width="50.44140625" style="2423" customWidth="1"/>
    <col min="13829" max="13829" width="8.88671875" style="2423"/>
    <col min="13830" max="13830" width="2.109375" style="2423" customWidth="1"/>
    <col min="13831" max="13831" width="23.88671875" style="2423" customWidth="1"/>
    <col min="13832" max="13832" width="2.109375" style="2423" customWidth="1"/>
    <col min="13833" max="13833" width="23.88671875" style="2423" customWidth="1"/>
    <col min="13834" max="13834" width="2.109375" style="2423" customWidth="1"/>
    <col min="13835" max="13835" width="23.88671875" style="2423" customWidth="1"/>
    <col min="13836" max="13836" width="2.109375" style="2423" customWidth="1"/>
    <col min="13837" max="13837" width="23.88671875" style="2423" customWidth="1"/>
    <col min="13838" max="13838" width="2.109375" style="2423" customWidth="1"/>
    <col min="13839" max="13839" width="23.88671875" style="2423" customWidth="1"/>
    <col min="13840" max="13840" width="2.77734375" style="2423" bestFit="1" customWidth="1"/>
    <col min="13841" max="14079" width="8.88671875" style="2423"/>
    <col min="14080" max="14081" width="8.88671875" style="2423" customWidth="1"/>
    <col min="14082" max="14082" width="10.21875" style="2423" customWidth="1"/>
    <col min="14083" max="14083" width="2.21875" style="2423" customWidth="1"/>
    <col min="14084" max="14084" width="50.44140625" style="2423" customWidth="1"/>
    <col min="14085" max="14085" width="8.88671875" style="2423"/>
    <col min="14086" max="14086" width="2.109375" style="2423" customWidth="1"/>
    <col min="14087" max="14087" width="23.88671875" style="2423" customWidth="1"/>
    <col min="14088" max="14088" width="2.109375" style="2423" customWidth="1"/>
    <col min="14089" max="14089" width="23.88671875" style="2423" customWidth="1"/>
    <col min="14090" max="14090" width="2.109375" style="2423" customWidth="1"/>
    <col min="14091" max="14091" width="23.88671875" style="2423" customWidth="1"/>
    <col min="14092" max="14092" width="2.109375" style="2423" customWidth="1"/>
    <col min="14093" max="14093" width="23.88671875" style="2423" customWidth="1"/>
    <col min="14094" max="14094" width="2.109375" style="2423" customWidth="1"/>
    <col min="14095" max="14095" width="23.88671875" style="2423" customWidth="1"/>
    <col min="14096" max="14096" width="2.77734375" style="2423" bestFit="1" customWidth="1"/>
    <col min="14097" max="14335" width="8.88671875" style="2423"/>
    <col min="14336" max="14337" width="8.88671875" style="2423" customWidth="1"/>
    <col min="14338" max="14338" width="10.21875" style="2423" customWidth="1"/>
    <col min="14339" max="14339" width="2.21875" style="2423" customWidth="1"/>
    <col min="14340" max="14340" width="50.44140625" style="2423" customWidth="1"/>
    <col min="14341" max="14341" width="8.88671875" style="2423"/>
    <col min="14342" max="14342" width="2.109375" style="2423" customWidth="1"/>
    <col min="14343" max="14343" width="23.88671875" style="2423" customWidth="1"/>
    <col min="14344" max="14344" width="2.109375" style="2423" customWidth="1"/>
    <col min="14345" max="14345" width="23.88671875" style="2423" customWidth="1"/>
    <col min="14346" max="14346" width="2.109375" style="2423" customWidth="1"/>
    <col min="14347" max="14347" width="23.88671875" style="2423" customWidth="1"/>
    <col min="14348" max="14348" width="2.109375" style="2423" customWidth="1"/>
    <col min="14349" max="14349" width="23.88671875" style="2423" customWidth="1"/>
    <col min="14350" max="14350" width="2.109375" style="2423" customWidth="1"/>
    <col min="14351" max="14351" width="23.88671875" style="2423" customWidth="1"/>
    <col min="14352" max="14352" width="2.77734375" style="2423" bestFit="1" customWidth="1"/>
    <col min="14353" max="14591" width="8.88671875" style="2423"/>
    <col min="14592" max="14593" width="8.88671875" style="2423" customWidth="1"/>
    <col min="14594" max="14594" width="10.21875" style="2423" customWidth="1"/>
    <col min="14595" max="14595" width="2.21875" style="2423" customWidth="1"/>
    <col min="14596" max="14596" width="50.44140625" style="2423" customWidth="1"/>
    <col min="14597" max="14597" width="8.88671875" style="2423"/>
    <col min="14598" max="14598" width="2.109375" style="2423" customWidth="1"/>
    <col min="14599" max="14599" width="23.88671875" style="2423" customWidth="1"/>
    <col min="14600" max="14600" width="2.109375" style="2423" customWidth="1"/>
    <col min="14601" max="14601" width="23.88671875" style="2423" customWidth="1"/>
    <col min="14602" max="14602" width="2.109375" style="2423" customWidth="1"/>
    <col min="14603" max="14603" width="23.88671875" style="2423" customWidth="1"/>
    <col min="14604" max="14604" width="2.109375" style="2423" customWidth="1"/>
    <col min="14605" max="14605" width="23.88671875" style="2423" customWidth="1"/>
    <col min="14606" max="14606" width="2.109375" style="2423" customWidth="1"/>
    <col min="14607" max="14607" width="23.88671875" style="2423" customWidth="1"/>
    <col min="14608" max="14608" width="2.77734375" style="2423" bestFit="1" customWidth="1"/>
    <col min="14609" max="14847" width="8.88671875" style="2423"/>
    <col min="14848" max="14849" width="8.88671875" style="2423" customWidth="1"/>
    <col min="14850" max="14850" width="10.21875" style="2423" customWidth="1"/>
    <col min="14851" max="14851" width="2.21875" style="2423" customWidth="1"/>
    <col min="14852" max="14852" width="50.44140625" style="2423" customWidth="1"/>
    <col min="14853" max="14853" width="8.88671875" style="2423"/>
    <col min="14854" max="14854" width="2.109375" style="2423" customWidth="1"/>
    <col min="14855" max="14855" width="23.88671875" style="2423" customWidth="1"/>
    <col min="14856" max="14856" width="2.109375" style="2423" customWidth="1"/>
    <col min="14857" max="14857" width="23.88671875" style="2423" customWidth="1"/>
    <col min="14858" max="14858" width="2.109375" style="2423" customWidth="1"/>
    <col min="14859" max="14859" width="23.88671875" style="2423" customWidth="1"/>
    <col min="14860" max="14860" width="2.109375" style="2423" customWidth="1"/>
    <col min="14861" max="14861" width="23.88671875" style="2423" customWidth="1"/>
    <col min="14862" max="14862" width="2.109375" style="2423" customWidth="1"/>
    <col min="14863" max="14863" width="23.88671875" style="2423" customWidth="1"/>
    <col min="14864" max="14864" width="2.77734375" style="2423" bestFit="1" customWidth="1"/>
    <col min="14865" max="15103" width="8.88671875" style="2423"/>
    <col min="15104" max="15105" width="8.88671875" style="2423" customWidth="1"/>
    <col min="15106" max="15106" width="10.21875" style="2423" customWidth="1"/>
    <col min="15107" max="15107" width="2.21875" style="2423" customWidth="1"/>
    <col min="15108" max="15108" width="50.44140625" style="2423" customWidth="1"/>
    <col min="15109" max="15109" width="8.88671875" style="2423"/>
    <col min="15110" max="15110" width="2.109375" style="2423" customWidth="1"/>
    <col min="15111" max="15111" width="23.88671875" style="2423" customWidth="1"/>
    <col min="15112" max="15112" width="2.109375" style="2423" customWidth="1"/>
    <col min="15113" max="15113" width="23.88671875" style="2423" customWidth="1"/>
    <col min="15114" max="15114" width="2.109375" style="2423" customWidth="1"/>
    <col min="15115" max="15115" width="23.88671875" style="2423" customWidth="1"/>
    <col min="15116" max="15116" width="2.109375" style="2423" customWidth="1"/>
    <col min="15117" max="15117" width="23.88671875" style="2423" customWidth="1"/>
    <col min="15118" max="15118" width="2.109375" style="2423" customWidth="1"/>
    <col min="15119" max="15119" width="23.88671875" style="2423" customWidth="1"/>
    <col min="15120" max="15120" width="2.77734375" style="2423" bestFit="1" customWidth="1"/>
    <col min="15121" max="15359" width="8.88671875" style="2423"/>
    <col min="15360" max="15361" width="8.88671875" style="2423" customWidth="1"/>
    <col min="15362" max="15362" width="10.21875" style="2423" customWidth="1"/>
    <col min="15363" max="15363" width="2.21875" style="2423" customWidth="1"/>
    <col min="15364" max="15364" width="50.44140625" style="2423" customWidth="1"/>
    <col min="15365" max="15365" width="8.88671875" style="2423"/>
    <col min="15366" max="15366" width="2.109375" style="2423" customWidth="1"/>
    <col min="15367" max="15367" width="23.88671875" style="2423" customWidth="1"/>
    <col min="15368" max="15368" width="2.109375" style="2423" customWidth="1"/>
    <col min="15369" max="15369" width="23.88671875" style="2423" customWidth="1"/>
    <col min="15370" max="15370" width="2.109375" style="2423" customWidth="1"/>
    <col min="15371" max="15371" width="23.88671875" style="2423" customWidth="1"/>
    <col min="15372" max="15372" width="2.109375" style="2423" customWidth="1"/>
    <col min="15373" max="15373" width="23.88671875" style="2423" customWidth="1"/>
    <col min="15374" max="15374" width="2.109375" style="2423" customWidth="1"/>
    <col min="15375" max="15375" width="23.88671875" style="2423" customWidth="1"/>
    <col min="15376" max="15376" width="2.77734375" style="2423" bestFit="1" customWidth="1"/>
    <col min="15377" max="15615" width="8.88671875" style="2423"/>
    <col min="15616" max="15617" width="8.88671875" style="2423" customWidth="1"/>
    <col min="15618" max="15618" width="10.21875" style="2423" customWidth="1"/>
    <col min="15619" max="15619" width="2.21875" style="2423" customWidth="1"/>
    <col min="15620" max="15620" width="50.44140625" style="2423" customWidth="1"/>
    <col min="15621" max="15621" width="8.88671875" style="2423"/>
    <col min="15622" max="15622" width="2.109375" style="2423" customWidth="1"/>
    <col min="15623" max="15623" width="23.88671875" style="2423" customWidth="1"/>
    <col min="15624" max="15624" width="2.109375" style="2423" customWidth="1"/>
    <col min="15625" max="15625" width="23.88671875" style="2423" customWidth="1"/>
    <col min="15626" max="15626" width="2.109375" style="2423" customWidth="1"/>
    <col min="15627" max="15627" width="23.88671875" style="2423" customWidth="1"/>
    <col min="15628" max="15628" width="2.109375" style="2423" customWidth="1"/>
    <col min="15629" max="15629" width="23.88671875" style="2423" customWidth="1"/>
    <col min="15630" max="15630" width="2.109375" style="2423" customWidth="1"/>
    <col min="15631" max="15631" width="23.88671875" style="2423" customWidth="1"/>
    <col min="15632" max="15632" width="2.77734375" style="2423" bestFit="1" customWidth="1"/>
    <col min="15633" max="15871" width="8.88671875" style="2423"/>
    <col min="15872" max="15873" width="8.88671875" style="2423" customWidth="1"/>
    <col min="15874" max="15874" width="10.21875" style="2423" customWidth="1"/>
    <col min="15875" max="15875" width="2.21875" style="2423" customWidth="1"/>
    <col min="15876" max="15876" width="50.44140625" style="2423" customWidth="1"/>
    <col min="15877" max="15877" width="8.88671875" style="2423"/>
    <col min="15878" max="15878" width="2.109375" style="2423" customWidth="1"/>
    <col min="15879" max="15879" width="23.88671875" style="2423" customWidth="1"/>
    <col min="15880" max="15880" width="2.109375" style="2423" customWidth="1"/>
    <col min="15881" max="15881" width="23.88671875" style="2423" customWidth="1"/>
    <col min="15882" max="15882" width="2.109375" style="2423" customWidth="1"/>
    <col min="15883" max="15883" width="23.88671875" style="2423" customWidth="1"/>
    <col min="15884" max="15884" width="2.109375" style="2423" customWidth="1"/>
    <col min="15885" max="15885" width="23.88671875" style="2423" customWidth="1"/>
    <col min="15886" max="15886" width="2.109375" style="2423" customWidth="1"/>
    <col min="15887" max="15887" width="23.88671875" style="2423" customWidth="1"/>
    <col min="15888" max="15888" width="2.77734375" style="2423" bestFit="1" customWidth="1"/>
    <col min="15889" max="16127" width="8.88671875" style="2423"/>
    <col min="16128" max="16129" width="8.88671875" style="2423" customWidth="1"/>
    <col min="16130" max="16130" width="10.21875" style="2423" customWidth="1"/>
    <col min="16131" max="16131" width="2.21875" style="2423" customWidth="1"/>
    <col min="16132" max="16132" width="50.44140625" style="2423" customWidth="1"/>
    <col min="16133" max="16133" width="8.88671875" style="2423"/>
    <col min="16134" max="16134" width="2.109375" style="2423" customWidth="1"/>
    <col min="16135" max="16135" width="23.88671875" style="2423" customWidth="1"/>
    <col min="16136" max="16136" width="2.109375" style="2423" customWidth="1"/>
    <col min="16137" max="16137" width="23.88671875" style="2423" customWidth="1"/>
    <col min="16138" max="16138" width="2.109375" style="2423" customWidth="1"/>
    <col min="16139" max="16139" width="23.88671875" style="2423" customWidth="1"/>
    <col min="16140" max="16140" width="2.109375" style="2423" customWidth="1"/>
    <col min="16141" max="16141" width="23.88671875" style="2423" customWidth="1"/>
    <col min="16142" max="16142" width="2.109375" style="2423" customWidth="1"/>
    <col min="16143" max="16143" width="23.88671875" style="2423" customWidth="1"/>
    <col min="16144" max="16144" width="2.77734375" style="2423" bestFit="1" customWidth="1"/>
    <col min="16145" max="16384" width="8.88671875" style="2423"/>
  </cols>
  <sheetData>
    <row r="1" spans="2:16" ht="15.75">
      <c r="B1" s="1885"/>
      <c r="C1" s="2421"/>
      <c r="D1" s="1190" t="s">
        <v>1231</v>
      </c>
      <c r="E1" s="2421"/>
      <c r="F1" s="2422"/>
      <c r="G1" s="1885"/>
      <c r="H1" s="2421"/>
      <c r="I1" s="1885"/>
      <c r="J1" s="2421"/>
      <c r="K1" s="1885"/>
      <c r="L1" s="2421"/>
      <c r="M1" s="1885"/>
      <c r="N1" s="2421"/>
      <c r="P1" s="1297"/>
    </row>
    <row r="2" spans="2:16" ht="15.75">
      <c r="B2" s="1885"/>
      <c r="C2" s="2421"/>
      <c r="D2" s="1885"/>
      <c r="E2" s="2421"/>
      <c r="F2" s="2422"/>
      <c r="G2" s="1885"/>
      <c r="H2" s="2421"/>
      <c r="I2" s="1885"/>
      <c r="J2" s="2421"/>
      <c r="K2" s="1885"/>
      <c r="L2" s="2421"/>
      <c r="M2" s="1885"/>
      <c r="N2" s="2421"/>
      <c r="O2" s="2678" t="s">
        <v>772</v>
      </c>
      <c r="P2" s="1297"/>
    </row>
    <row r="3" spans="2:16" ht="15.75">
      <c r="B3" s="1885"/>
      <c r="C3" s="2421"/>
      <c r="D3" s="1885"/>
      <c r="E3" s="2421"/>
      <c r="F3" s="2422"/>
      <c r="G3" s="1885"/>
      <c r="H3" s="2421"/>
      <c r="I3" s="1885"/>
      <c r="J3" s="2421"/>
      <c r="K3" s="1885"/>
      <c r="L3" s="2421"/>
      <c r="M3" s="1885"/>
      <c r="N3" s="2421"/>
      <c r="O3" s="1298"/>
      <c r="P3" s="1299"/>
    </row>
    <row r="4" spans="2:16" ht="18">
      <c r="B4" s="1217"/>
      <c r="C4" s="1300"/>
      <c r="D4" s="1223" t="s">
        <v>0</v>
      </c>
      <c r="E4" s="1300"/>
      <c r="F4" s="1300"/>
      <c r="G4"/>
      <c r="H4" s="1301"/>
      <c r="I4"/>
      <c r="J4" s="1301"/>
      <c r="K4"/>
      <c r="L4" s="1301"/>
      <c r="M4" s="1219"/>
      <c r="N4" s="1219"/>
      <c r="O4" s="2679"/>
      <c r="P4" s="1302"/>
    </row>
    <row r="5" spans="2:16" ht="18">
      <c r="B5" s="1217"/>
      <c r="C5" s="1300"/>
      <c r="D5" s="1223" t="s">
        <v>1098</v>
      </c>
      <c r="E5" s="1300"/>
      <c r="F5" s="1300"/>
      <c r="G5"/>
      <c r="H5" s="1301"/>
      <c r="I5"/>
      <c r="J5" s="1301"/>
      <c r="K5"/>
      <c r="L5" s="1301"/>
      <c r="M5" s="1220"/>
      <c r="N5" s="1220"/>
      <c r="O5" s="1220"/>
      <c r="P5" s="1303"/>
    </row>
    <row r="6" spans="2:16" ht="15.75">
      <c r="B6" s="1217"/>
      <c r="C6" s="1300"/>
      <c r="D6" s="1218"/>
      <c r="E6" s="1300"/>
      <c r="F6" s="1300"/>
      <c r="G6"/>
      <c r="H6" s="1301"/>
      <c r="I6"/>
      <c r="J6" s="1301"/>
      <c r="K6"/>
      <c r="L6" s="1301"/>
      <c r="M6" s="1221"/>
      <c r="N6" s="1221"/>
      <c r="O6" s="1221"/>
      <c r="P6" s="1304"/>
    </row>
    <row r="7" spans="2:16" ht="15.75">
      <c r="B7" s="1217"/>
      <c r="C7" s="1305"/>
      <c r="D7" s="1216"/>
      <c r="E7" s="1306"/>
      <c r="F7" s="1306"/>
      <c r="G7"/>
      <c r="H7" s="1301"/>
      <c r="I7"/>
      <c r="J7" s="1301"/>
      <c r="K7"/>
      <c r="L7" s="1301"/>
      <c r="M7" s="1222"/>
      <c r="N7" s="1222"/>
      <c r="O7" s="1222"/>
      <c r="P7" s="1307"/>
    </row>
    <row r="8" spans="2:16" s="985" customFormat="1" ht="16.5" thickBot="1">
      <c r="B8" s="1224" t="s">
        <v>773</v>
      </c>
      <c r="C8" s="1657"/>
      <c r="D8" s="1225" t="s">
        <v>774</v>
      </c>
      <c r="E8" s="1225"/>
      <c r="F8" s="1225"/>
      <c r="G8" s="2424">
        <v>42063</v>
      </c>
      <c r="H8" s="1658"/>
      <c r="I8" s="2424">
        <v>42094</v>
      </c>
      <c r="J8" s="1658"/>
      <c r="K8" s="2424">
        <v>42124</v>
      </c>
      <c r="L8" s="1658"/>
      <c r="M8" s="1658" t="s">
        <v>775</v>
      </c>
      <c r="N8" s="1659"/>
      <c r="O8" s="2424">
        <v>42155</v>
      </c>
      <c r="P8" s="1309"/>
    </row>
    <row r="9" spans="2:16" s="985" customFormat="1" ht="15.75">
      <c r="B9" s="1412"/>
      <c r="C9" s="1311"/>
      <c r="D9" s="1226" t="s">
        <v>151</v>
      </c>
      <c r="E9" s="1308"/>
      <c r="F9" s="1308"/>
      <c r="G9" s="1660"/>
      <c r="H9" s="1660"/>
      <c r="I9" s="1661"/>
      <c r="J9" s="1660"/>
      <c r="K9" s="1661"/>
      <c r="L9" s="1660"/>
      <c r="M9" s="1661"/>
      <c r="N9" s="1661"/>
      <c r="O9" s="1661"/>
      <c r="P9" s="1313"/>
    </row>
    <row r="10" spans="2:16" s="985" customFormat="1" ht="15.75">
      <c r="B10" s="2885">
        <v>10050</v>
      </c>
      <c r="C10" s="1412"/>
      <c r="D10" s="1228" t="s">
        <v>1232</v>
      </c>
      <c r="E10"/>
      <c r="F10" s="1662"/>
      <c r="G10" s="2425">
        <v>0</v>
      </c>
      <c r="H10" s="1663"/>
      <c r="I10" s="2425">
        <v>0</v>
      </c>
      <c r="J10" s="1663"/>
      <c r="K10" s="2425">
        <v>0</v>
      </c>
      <c r="L10" s="1663"/>
      <c r="M10" s="2425">
        <v>0</v>
      </c>
      <c r="N10" s="1663"/>
      <c r="O10" s="2425">
        <v>0</v>
      </c>
      <c r="P10" s="1314" t="s">
        <v>1093</v>
      </c>
    </row>
    <row r="11" spans="2:16" s="985" customFormat="1" ht="16.5" thickBot="1">
      <c r="B11" s="1230"/>
      <c r="C11" s="1311"/>
      <c r="D11" s="1231" t="s">
        <v>776</v>
      </c>
      <c r="E11" s="1308"/>
      <c r="F11" s="1308"/>
      <c r="G11" s="2888">
        <f>ROUND(SUM(G10),2)</f>
        <v>0</v>
      </c>
      <c r="H11" s="2889"/>
      <c r="I11" s="2888">
        <f>ROUND(SUM(I10),2)</f>
        <v>0</v>
      </c>
      <c r="J11" s="2889"/>
      <c r="K11" s="2888">
        <f>ROUND(SUM(K10),2)</f>
        <v>0</v>
      </c>
      <c r="L11" s="2889"/>
      <c r="M11" s="2888">
        <f>ROUND(SUM(M10),2)</f>
        <v>0</v>
      </c>
      <c r="N11" s="2889"/>
      <c r="O11" s="3443">
        <f>ROUND(SUM(O10),2)</f>
        <v>0</v>
      </c>
      <c r="P11" s="1314"/>
    </row>
    <row r="12" spans="2:16" s="985" customFormat="1" ht="16.5" thickTop="1">
      <c r="B12" s="1230"/>
      <c r="C12" s="1315"/>
      <c r="D12" s="1233"/>
      <c r="E12" s="1253"/>
      <c r="F12" s="1253"/>
      <c r="G12" s="1664"/>
      <c r="H12" s="1664"/>
      <c r="I12" s="1252"/>
      <c r="J12" s="1664"/>
      <c r="K12" s="1252"/>
      <c r="L12" s="1664"/>
      <c r="M12" s="1252"/>
      <c r="N12" s="1252"/>
      <c r="O12" s="1252"/>
      <c r="P12" s="1245"/>
    </row>
    <row r="13" spans="2:16" s="985" customFormat="1" ht="15.75">
      <c r="B13" s="1230"/>
      <c r="C13" s="1311"/>
      <c r="D13" s="1226" t="s">
        <v>777</v>
      </c>
      <c r="E13" s="1308"/>
      <c r="F13" s="1308"/>
      <c r="G13" s="1665"/>
      <c r="H13" s="1665"/>
      <c r="I13" s="1666"/>
      <c r="J13" s="1665"/>
      <c r="K13" s="1666"/>
      <c r="L13" s="1665"/>
      <c r="M13" s="1666"/>
      <c r="N13" s="1666"/>
      <c r="O13" s="1666"/>
      <c r="P13" s="1245"/>
    </row>
    <row r="14" spans="2:16" s="985" customFormat="1" ht="15.75">
      <c r="B14" s="2885">
        <v>30051</v>
      </c>
      <c r="C14" s="1885"/>
      <c r="D14" s="1228" t="s">
        <v>778</v>
      </c>
      <c r="E14" s="1885"/>
      <c r="F14" s="1886">
        <v>227042324.13</v>
      </c>
      <c r="G14" s="1886">
        <v>621929028.82000005</v>
      </c>
      <c r="H14" s="1886"/>
      <c r="I14" s="1886">
        <v>134187645.5</v>
      </c>
      <c r="J14" s="1886"/>
      <c r="K14" s="1886">
        <v>185691943.88</v>
      </c>
      <c r="L14" s="1886"/>
      <c r="M14" s="2426">
        <f>ROUND(SUM(O14)-SUM(K14),2)</f>
        <v>44144337.689999998</v>
      </c>
      <c r="N14" s="1886"/>
      <c r="O14" s="3444">
        <v>229836281.56999999</v>
      </c>
      <c r="P14" s="1314" t="s">
        <v>118</v>
      </c>
    </row>
    <row r="15" spans="2:16" s="985" customFormat="1" ht="15.75">
      <c r="B15" s="2885">
        <v>30101</v>
      </c>
      <c r="C15" s="1885"/>
      <c r="D15" s="1228" t="s">
        <v>779</v>
      </c>
      <c r="E15" s="1885"/>
      <c r="F15" s="1886">
        <v>0</v>
      </c>
      <c r="G15" s="1886">
        <v>0</v>
      </c>
      <c r="H15" s="1886"/>
      <c r="I15" s="1886">
        <v>0</v>
      </c>
      <c r="J15" s="1886"/>
      <c r="K15" s="1886">
        <v>0</v>
      </c>
      <c r="L15" s="1886"/>
      <c r="M15" s="2426">
        <f t="shared" ref="M15:M78" si="0">ROUND(SUM(O15)-SUM(K15),2)</f>
        <v>0</v>
      </c>
      <c r="N15" s="1886"/>
      <c r="O15" s="3444">
        <v>0</v>
      </c>
      <c r="P15" s="1245"/>
    </row>
    <row r="16" spans="2:16" s="985" customFormat="1" ht="15.75">
      <c r="B16" s="2885">
        <v>30102</v>
      </c>
      <c r="C16" s="1885"/>
      <c r="D16" s="1228" t="s">
        <v>780</v>
      </c>
      <c r="E16" s="1885"/>
      <c r="F16" s="1886">
        <v>0</v>
      </c>
      <c r="G16" s="1886">
        <v>0</v>
      </c>
      <c r="H16" s="1886"/>
      <c r="I16" s="1886">
        <v>0</v>
      </c>
      <c r="J16" s="1886"/>
      <c r="K16" s="1886">
        <v>0</v>
      </c>
      <c r="L16" s="1886"/>
      <c r="M16" s="2426">
        <f t="shared" si="0"/>
        <v>0</v>
      </c>
      <c r="N16" s="1886"/>
      <c r="O16" s="3444">
        <v>0</v>
      </c>
      <c r="P16" s="1245"/>
    </row>
    <row r="17" spans="2:16" s="985" customFormat="1" ht="15.75">
      <c r="B17" s="2885">
        <v>30103</v>
      </c>
      <c r="C17" s="1885"/>
      <c r="D17" s="1228" t="s">
        <v>781</v>
      </c>
      <c r="E17" s="1885"/>
      <c r="F17" s="1886">
        <v>0</v>
      </c>
      <c r="G17" s="1886">
        <v>0</v>
      </c>
      <c r="H17" s="1886"/>
      <c r="I17" s="1886">
        <v>0</v>
      </c>
      <c r="J17" s="1886"/>
      <c r="K17" s="1886">
        <v>0</v>
      </c>
      <c r="L17" s="1886"/>
      <c r="M17" s="2426">
        <f t="shared" si="0"/>
        <v>0</v>
      </c>
      <c r="N17" s="1886"/>
      <c r="O17" s="3444">
        <v>0</v>
      </c>
      <c r="P17" s="1245"/>
    </row>
    <row r="18" spans="2:16" s="985" customFormat="1" ht="15.75">
      <c r="B18" s="2885">
        <v>30104</v>
      </c>
      <c r="C18" s="1885"/>
      <c r="D18" s="1228" t="s">
        <v>782</v>
      </c>
      <c r="E18" s="1885"/>
      <c r="F18" s="1886">
        <v>140390.18</v>
      </c>
      <c r="G18" s="1886">
        <v>2053378.16</v>
      </c>
      <c r="H18" s="1886"/>
      <c r="I18" s="1886">
        <v>5606974.6399999997</v>
      </c>
      <c r="J18" s="1886"/>
      <c r="K18" s="1886">
        <v>5665756.9100000001</v>
      </c>
      <c r="L18" s="1886"/>
      <c r="M18" s="2426">
        <f t="shared" si="0"/>
        <v>-4077572.79</v>
      </c>
      <c r="N18" s="1886"/>
      <c r="O18" s="3444">
        <v>1588184.12</v>
      </c>
      <c r="P18" s="1245"/>
    </row>
    <row r="19" spans="2:16" s="985" customFormat="1" ht="15.75">
      <c r="B19" s="2885">
        <v>30105</v>
      </c>
      <c r="C19" s="1885"/>
      <c r="D19" s="1228" t="s">
        <v>783</v>
      </c>
      <c r="E19" s="1885"/>
      <c r="F19" s="1886">
        <v>0</v>
      </c>
      <c r="G19" s="1886">
        <v>0</v>
      </c>
      <c r="H19" s="1886"/>
      <c r="I19" s="1886">
        <v>0</v>
      </c>
      <c r="J19" s="1886"/>
      <c r="K19" s="1886">
        <v>0</v>
      </c>
      <c r="L19" s="1886"/>
      <c r="M19" s="2426">
        <f t="shared" si="0"/>
        <v>0</v>
      </c>
      <c r="N19" s="1886"/>
      <c r="O19" s="3444">
        <v>0</v>
      </c>
      <c r="P19" s="1245"/>
    </row>
    <row r="20" spans="2:16" s="985" customFormat="1" ht="15.75">
      <c r="B20" s="2885">
        <v>30106</v>
      </c>
      <c r="C20" s="1885"/>
      <c r="D20" s="1228" t="s">
        <v>1299</v>
      </c>
      <c r="E20" s="1885"/>
      <c r="F20" s="1886">
        <v>0</v>
      </c>
      <c r="G20" s="1886">
        <v>0</v>
      </c>
      <c r="H20" s="1886"/>
      <c r="I20" s="1886">
        <v>0</v>
      </c>
      <c r="J20" s="1886"/>
      <c r="K20" s="1886">
        <v>0</v>
      </c>
      <c r="L20" s="1886"/>
      <c r="M20" s="2426">
        <f t="shared" si="0"/>
        <v>0</v>
      </c>
      <c r="N20" s="1886"/>
      <c r="O20" s="3444">
        <v>0</v>
      </c>
      <c r="P20" s="1245"/>
    </row>
    <row r="21" spans="2:16" s="985" customFormat="1" ht="15.75">
      <c r="B21" s="2885">
        <v>30107</v>
      </c>
      <c r="C21" s="1885"/>
      <c r="D21" s="1228" t="s">
        <v>784</v>
      </c>
      <c r="E21" s="1885"/>
      <c r="F21" s="1886">
        <v>0</v>
      </c>
      <c r="G21" s="1886">
        <v>0</v>
      </c>
      <c r="H21" s="1886"/>
      <c r="I21" s="1886">
        <v>0</v>
      </c>
      <c r="J21" s="1886"/>
      <c r="K21" s="1886">
        <v>0</v>
      </c>
      <c r="L21" s="1886"/>
      <c r="M21" s="2426">
        <f t="shared" si="0"/>
        <v>0</v>
      </c>
      <c r="N21" s="1886"/>
      <c r="O21" s="3444">
        <v>0</v>
      </c>
      <c r="P21" s="1245"/>
    </row>
    <row r="22" spans="2:16" s="985" customFormat="1" ht="15.75">
      <c r="B22" s="2885">
        <v>30108</v>
      </c>
      <c r="C22" s="1885"/>
      <c r="D22" s="1228" t="s">
        <v>1300</v>
      </c>
      <c r="E22" s="1885"/>
      <c r="F22" s="1886">
        <v>0</v>
      </c>
      <c r="G22" s="1886">
        <v>0</v>
      </c>
      <c r="H22" s="1886"/>
      <c r="I22" s="1886">
        <v>0</v>
      </c>
      <c r="J22" s="1886"/>
      <c r="K22" s="1886">
        <v>0</v>
      </c>
      <c r="L22" s="1886"/>
      <c r="M22" s="2426">
        <f t="shared" si="0"/>
        <v>0</v>
      </c>
      <c r="N22" s="1886"/>
      <c r="O22" s="3444">
        <v>0</v>
      </c>
      <c r="P22" s="1245"/>
    </row>
    <row r="23" spans="2:16" s="985" customFormat="1" ht="15.75">
      <c r="B23" s="2885">
        <v>30109</v>
      </c>
      <c r="C23" s="1885"/>
      <c r="D23" s="1228" t="s">
        <v>785</v>
      </c>
      <c r="E23" s="1885"/>
      <c r="F23" s="1886">
        <v>0</v>
      </c>
      <c r="G23" s="1886">
        <v>0</v>
      </c>
      <c r="H23" s="1886"/>
      <c r="I23" s="1886">
        <v>0</v>
      </c>
      <c r="J23" s="1886"/>
      <c r="K23" s="1886">
        <v>0</v>
      </c>
      <c r="L23" s="1886"/>
      <c r="M23" s="2426">
        <f t="shared" si="0"/>
        <v>0</v>
      </c>
      <c r="N23" s="1886"/>
      <c r="O23" s="3444">
        <v>0</v>
      </c>
      <c r="P23" s="1245"/>
    </row>
    <row r="24" spans="2:16" s="985" customFormat="1" ht="15.75">
      <c r="B24" s="2885">
        <v>30110</v>
      </c>
      <c r="C24" s="1885"/>
      <c r="D24" s="1228" t="s">
        <v>786</v>
      </c>
      <c r="E24" s="1885"/>
      <c r="F24" s="1886">
        <v>0</v>
      </c>
      <c r="G24" s="1886">
        <v>0</v>
      </c>
      <c r="H24" s="1886"/>
      <c r="I24" s="1886">
        <v>0</v>
      </c>
      <c r="J24" s="1886"/>
      <c r="K24" s="1886">
        <v>0</v>
      </c>
      <c r="L24" s="1886"/>
      <c r="M24" s="2426">
        <f t="shared" si="0"/>
        <v>0</v>
      </c>
      <c r="N24" s="1886"/>
      <c r="O24" s="3444">
        <v>0</v>
      </c>
      <c r="P24" s="1245"/>
    </row>
    <row r="25" spans="2:16" s="985" customFormat="1" ht="15.75">
      <c r="B25" s="2885">
        <v>30111</v>
      </c>
      <c r="C25" s="1885"/>
      <c r="D25" s="1228" t="s">
        <v>787</v>
      </c>
      <c r="E25" s="1885"/>
      <c r="F25" s="1886">
        <v>0</v>
      </c>
      <c r="G25" s="1886">
        <v>0</v>
      </c>
      <c r="H25" s="1886"/>
      <c r="I25" s="1886">
        <v>0</v>
      </c>
      <c r="J25" s="1886"/>
      <c r="K25" s="1886">
        <v>0</v>
      </c>
      <c r="L25" s="1886"/>
      <c r="M25" s="2426">
        <f t="shared" si="0"/>
        <v>0</v>
      </c>
      <c r="N25" s="1886"/>
      <c r="O25" s="3444">
        <v>0</v>
      </c>
      <c r="P25" s="1245"/>
    </row>
    <row r="26" spans="2:16" s="985" customFormat="1" ht="15.75">
      <c r="B26" s="2885">
        <v>30112</v>
      </c>
      <c r="C26" s="1885"/>
      <c r="D26" s="1228" t="s">
        <v>788</v>
      </c>
      <c r="E26" s="1885"/>
      <c r="F26" s="1886">
        <v>0</v>
      </c>
      <c r="G26" s="1886">
        <v>0</v>
      </c>
      <c r="H26" s="1886"/>
      <c r="I26" s="1886">
        <v>0</v>
      </c>
      <c r="J26" s="1886"/>
      <c r="K26" s="1886">
        <v>0</v>
      </c>
      <c r="L26" s="1886"/>
      <c r="M26" s="2426">
        <f t="shared" si="0"/>
        <v>0</v>
      </c>
      <c r="N26" s="1886"/>
      <c r="O26" s="3444">
        <v>0</v>
      </c>
      <c r="P26" s="1245"/>
    </row>
    <row r="27" spans="2:16" s="985" customFormat="1" ht="15.75">
      <c r="B27" s="2885">
        <v>30113</v>
      </c>
      <c r="C27" s="1885"/>
      <c r="D27" s="1228" t="s">
        <v>789</v>
      </c>
      <c r="E27" s="1885"/>
      <c r="F27" s="1886">
        <v>0</v>
      </c>
      <c r="G27" s="1886">
        <v>0</v>
      </c>
      <c r="H27" s="1886"/>
      <c r="I27" s="1886">
        <v>0</v>
      </c>
      <c r="J27" s="1886"/>
      <c r="K27" s="1886">
        <v>0</v>
      </c>
      <c r="L27" s="1886"/>
      <c r="M27" s="2426">
        <f t="shared" si="0"/>
        <v>0</v>
      </c>
      <c r="N27" s="1886"/>
      <c r="O27" s="3444">
        <v>0</v>
      </c>
      <c r="P27" s="1245"/>
    </row>
    <row r="28" spans="2:16" s="985" customFormat="1" ht="15.75">
      <c r="B28" s="2885">
        <v>30114</v>
      </c>
      <c r="C28" s="1885"/>
      <c r="D28" s="1228" t="s">
        <v>790</v>
      </c>
      <c r="E28" s="1885"/>
      <c r="F28" s="1886">
        <v>0</v>
      </c>
      <c r="G28" s="1886">
        <v>0</v>
      </c>
      <c r="H28" s="1886"/>
      <c r="I28" s="1886">
        <v>0</v>
      </c>
      <c r="J28" s="1886"/>
      <c r="K28" s="1886">
        <v>0</v>
      </c>
      <c r="L28" s="1886"/>
      <c r="M28" s="2426">
        <f t="shared" si="0"/>
        <v>0</v>
      </c>
      <c r="N28" s="1886"/>
      <c r="O28" s="3444">
        <v>0</v>
      </c>
      <c r="P28" s="1245"/>
    </row>
    <row r="29" spans="2:16" s="985" customFormat="1" ht="15.75">
      <c r="B29" s="2885">
        <v>30115</v>
      </c>
      <c r="C29" s="1885"/>
      <c r="D29" s="1228" t="s">
        <v>791</v>
      </c>
      <c r="E29" s="1885"/>
      <c r="F29" s="1886">
        <v>0</v>
      </c>
      <c r="G29" s="1886">
        <v>0</v>
      </c>
      <c r="H29" s="1886"/>
      <c r="I29" s="1886">
        <v>0</v>
      </c>
      <c r="J29" s="1886"/>
      <c r="K29" s="1886">
        <v>0</v>
      </c>
      <c r="L29" s="1886"/>
      <c r="M29" s="2426">
        <f t="shared" si="0"/>
        <v>0</v>
      </c>
      <c r="N29" s="1886"/>
      <c r="O29" s="3444">
        <v>0</v>
      </c>
      <c r="P29" s="1245"/>
    </row>
    <row r="30" spans="2:16" s="985" customFormat="1" ht="15.75">
      <c r="B30" s="2885">
        <v>30116</v>
      </c>
      <c r="C30" s="1885"/>
      <c r="D30" s="1228" t="s">
        <v>792</v>
      </c>
      <c r="E30" s="1885"/>
      <c r="F30" s="1886">
        <v>0</v>
      </c>
      <c r="G30" s="1886">
        <v>0</v>
      </c>
      <c r="H30" s="1886"/>
      <c r="I30" s="1886">
        <v>0</v>
      </c>
      <c r="J30" s="1886"/>
      <c r="K30" s="1886">
        <v>0</v>
      </c>
      <c r="L30" s="1886"/>
      <c r="M30" s="2426">
        <f t="shared" si="0"/>
        <v>0</v>
      </c>
      <c r="N30" s="1886"/>
      <c r="O30" s="3444">
        <v>0</v>
      </c>
      <c r="P30" s="1245"/>
    </row>
    <row r="31" spans="2:16" s="985" customFormat="1" ht="15.75">
      <c r="B31" s="2885">
        <v>30117</v>
      </c>
      <c r="C31" s="1885"/>
      <c r="D31" s="1228" t="s">
        <v>793</v>
      </c>
      <c r="E31" s="1885"/>
      <c r="F31" s="1886">
        <v>0</v>
      </c>
      <c r="G31" s="1886">
        <v>0</v>
      </c>
      <c r="H31" s="1886"/>
      <c r="I31" s="1886">
        <v>0</v>
      </c>
      <c r="J31" s="1886"/>
      <c r="K31" s="1886">
        <v>0</v>
      </c>
      <c r="L31" s="1886"/>
      <c r="M31" s="2426">
        <f t="shared" si="0"/>
        <v>0</v>
      </c>
      <c r="N31" s="1886"/>
      <c r="O31" s="3444">
        <v>0</v>
      </c>
      <c r="P31" s="1245"/>
    </row>
    <row r="32" spans="2:16" s="985" customFormat="1" ht="15.75">
      <c r="B32" s="2885">
        <v>30118</v>
      </c>
      <c r="C32" s="1885"/>
      <c r="D32" s="1228" t="s">
        <v>794</v>
      </c>
      <c r="E32" s="1885"/>
      <c r="F32" s="1886">
        <v>0</v>
      </c>
      <c r="G32" s="1886">
        <v>0</v>
      </c>
      <c r="H32" s="1886"/>
      <c r="I32" s="1886">
        <v>0</v>
      </c>
      <c r="J32" s="1886"/>
      <c r="K32" s="1886">
        <v>0</v>
      </c>
      <c r="L32" s="1886"/>
      <c r="M32" s="2426">
        <f t="shared" si="0"/>
        <v>0</v>
      </c>
      <c r="N32" s="1886"/>
      <c r="O32" s="3444">
        <v>0</v>
      </c>
      <c r="P32" s="1245"/>
    </row>
    <row r="33" spans="2:16" s="985" customFormat="1" ht="15.75">
      <c r="B33" s="2885">
        <v>30119</v>
      </c>
      <c r="C33" s="1885"/>
      <c r="D33" s="1228" t="s">
        <v>795</v>
      </c>
      <c r="E33" s="1885"/>
      <c r="F33" s="1886">
        <v>0</v>
      </c>
      <c r="G33" s="1886">
        <v>0</v>
      </c>
      <c r="H33" s="1886"/>
      <c r="I33" s="1886">
        <v>0</v>
      </c>
      <c r="J33" s="1886"/>
      <c r="K33" s="1886">
        <v>0</v>
      </c>
      <c r="L33" s="1886"/>
      <c r="M33" s="2426">
        <f t="shared" si="0"/>
        <v>0</v>
      </c>
      <c r="N33" s="1886"/>
      <c r="O33" s="3444">
        <v>0</v>
      </c>
      <c r="P33" s="1245"/>
    </row>
    <row r="34" spans="2:16" s="985" customFormat="1" ht="15.75">
      <c r="B34" s="2885">
        <v>30120</v>
      </c>
      <c r="C34" s="1885"/>
      <c r="D34" s="1228" t="s">
        <v>796</v>
      </c>
      <c r="E34" s="1885"/>
      <c r="F34" s="1886">
        <v>0</v>
      </c>
      <c r="G34" s="1886">
        <v>0</v>
      </c>
      <c r="H34" s="1886"/>
      <c r="I34" s="1886">
        <v>0</v>
      </c>
      <c r="J34" s="1886"/>
      <c r="K34" s="1886">
        <v>0</v>
      </c>
      <c r="L34" s="1886"/>
      <c r="M34" s="2426">
        <f t="shared" si="0"/>
        <v>0</v>
      </c>
      <c r="N34" s="1886"/>
      <c r="O34" s="3444">
        <v>0</v>
      </c>
      <c r="P34" s="1245"/>
    </row>
    <row r="35" spans="2:16" s="985" customFormat="1" ht="15.75">
      <c r="B35" s="2885">
        <v>30121</v>
      </c>
      <c r="C35" s="1885"/>
      <c r="D35" s="1228" t="s">
        <v>797</v>
      </c>
      <c r="E35" s="1885"/>
      <c r="F35" s="1886">
        <v>0</v>
      </c>
      <c r="G35" s="1886">
        <v>0</v>
      </c>
      <c r="H35" s="1886"/>
      <c r="I35" s="1886">
        <v>0</v>
      </c>
      <c r="J35" s="1886"/>
      <c r="K35" s="1886">
        <v>0</v>
      </c>
      <c r="L35" s="1886"/>
      <c r="M35" s="2426">
        <f t="shared" si="0"/>
        <v>0</v>
      </c>
      <c r="N35" s="1886"/>
      <c r="O35" s="3444">
        <v>0</v>
      </c>
      <c r="P35" s="1245"/>
    </row>
    <row r="36" spans="2:16" s="985" customFormat="1" ht="15.75">
      <c r="B36" s="2885">
        <v>30122</v>
      </c>
      <c r="C36" s="1885"/>
      <c r="D36" s="1228" t="s">
        <v>798</v>
      </c>
      <c r="E36" s="1885"/>
      <c r="F36" s="1886">
        <v>0</v>
      </c>
      <c r="G36" s="1886">
        <v>0</v>
      </c>
      <c r="H36" s="1886"/>
      <c r="I36" s="1886">
        <v>0</v>
      </c>
      <c r="J36" s="1886"/>
      <c r="K36" s="1886">
        <v>0</v>
      </c>
      <c r="L36" s="1886"/>
      <c r="M36" s="2426">
        <f t="shared" si="0"/>
        <v>0</v>
      </c>
      <c r="N36" s="1886"/>
      <c r="O36" s="3444">
        <v>0</v>
      </c>
      <c r="P36" s="1245"/>
    </row>
    <row r="37" spans="2:16" s="985" customFormat="1" ht="15.75">
      <c r="B37" s="2885">
        <v>30123</v>
      </c>
      <c r="C37" s="1885"/>
      <c r="D37" s="1228" t="s">
        <v>799</v>
      </c>
      <c r="E37" s="1885"/>
      <c r="F37" s="1886">
        <v>0</v>
      </c>
      <c r="G37" s="1886">
        <v>0</v>
      </c>
      <c r="H37" s="1886"/>
      <c r="I37" s="1886">
        <v>0</v>
      </c>
      <c r="J37" s="1886"/>
      <c r="K37" s="1886">
        <v>0</v>
      </c>
      <c r="L37" s="1886"/>
      <c r="M37" s="2426">
        <f t="shared" si="0"/>
        <v>0</v>
      </c>
      <c r="N37" s="1886"/>
      <c r="O37" s="3444">
        <v>0</v>
      </c>
      <c r="P37" s="1245"/>
    </row>
    <row r="38" spans="2:16" s="985" customFormat="1" ht="15.75">
      <c r="B38" s="2885">
        <v>30124</v>
      </c>
      <c r="C38" s="1885"/>
      <c r="D38" s="1228" t="s">
        <v>800</v>
      </c>
      <c r="E38" s="1885"/>
      <c r="F38" s="1886">
        <v>0</v>
      </c>
      <c r="G38" s="1886">
        <v>0</v>
      </c>
      <c r="H38" s="1886"/>
      <c r="I38" s="1886">
        <v>0</v>
      </c>
      <c r="J38" s="1886"/>
      <c r="K38" s="1886">
        <v>0</v>
      </c>
      <c r="L38" s="1886"/>
      <c r="M38" s="2426">
        <f t="shared" si="0"/>
        <v>0</v>
      </c>
      <c r="N38" s="1886"/>
      <c r="O38" s="3444">
        <v>0</v>
      </c>
      <c r="P38" s="1245"/>
    </row>
    <row r="39" spans="2:16" s="985" customFormat="1" ht="15.75">
      <c r="B39" s="2885">
        <v>30125</v>
      </c>
      <c r="C39" s="1885"/>
      <c r="D39" s="1228" t="s">
        <v>801</v>
      </c>
      <c r="E39" s="1885"/>
      <c r="F39" s="1886">
        <v>0</v>
      </c>
      <c r="G39" s="1886">
        <v>0</v>
      </c>
      <c r="H39" s="1886"/>
      <c r="I39" s="1886">
        <v>0</v>
      </c>
      <c r="J39" s="1886"/>
      <c r="K39" s="1886">
        <v>0</v>
      </c>
      <c r="L39" s="1886"/>
      <c r="M39" s="2426">
        <f t="shared" si="0"/>
        <v>0</v>
      </c>
      <c r="N39" s="1886"/>
      <c r="O39" s="3444">
        <v>0</v>
      </c>
      <c r="P39" s="1245"/>
    </row>
    <row r="40" spans="2:16" s="985" customFormat="1" ht="15.75">
      <c r="B40" s="2885">
        <v>30126</v>
      </c>
      <c r="C40" s="1885"/>
      <c r="D40" s="1228" t="s">
        <v>802</v>
      </c>
      <c r="E40" s="1885"/>
      <c r="F40" s="1886">
        <v>0</v>
      </c>
      <c r="G40" s="1886">
        <v>0</v>
      </c>
      <c r="H40" s="1886"/>
      <c r="I40" s="1886">
        <v>0</v>
      </c>
      <c r="J40" s="1886"/>
      <c r="K40" s="1886">
        <v>0</v>
      </c>
      <c r="L40" s="1886"/>
      <c r="M40" s="2426">
        <f t="shared" si="0"/>
        <v>0</v>
      </c>
      <c r="N40" s="1886"/>
      <c r="O40" s="3444">
        <v>0</v>
      </c>
      <c r="P40" s="1245"/>
    </row>
    <row r="41" spans="2:16" s="985" customFormat="1" ht="15.75">
      <c r="B41" s="2885">
        <v>30127</v>
      </c>
      <c r="C41" s="1885"/>
      <c r="D41" s="1228" t="s">
        <v>803</v>
      </c>
      <c r="E41" s="1885"/>
      <c r="F41" s="1886">
        <v>0</v>
      </c>
      <c r="G41" s="1886">
        <v>0</v>
      </c>
      <c r="H41" s="1886"/>
      <c r="I41" s="1886">
        <v>0</v>
      </c>
      <c r="J41" s="1886"/>
      <c r="K41" s="1886">
        <v>0</v>
      </c>
      <c r="L41" s="1886"/>
      <c r="M41" s="2426">
        <f t="shared" si="0"/>
        <v>0</v>
      </c>
      <c r="N41" s="1886"/>
      <c r="O41" s="3444">
        <v>0</v>
      </c>
      <c r="P41" s="1245"/>
    </row>
    <row r="42" spans="2:16" s="985" customFormat="1" ht="15.75">
      <c r="B42" s="2885">
        <v>30128</v>
      </c>
      <c r="C42" s="1885"/>
      <c r="D42" s="1228" t="s">
        <v>804</v>
      </c>
      <c r="E42" s="1885"/>
      <c r="F42" s="1886">
        <v>0</v>
      </c>
      <c r="G42" s="1886">
        <v>0</v>
      </c>
      <c r="H42" s="1886"/>
      <c r="I42" s="1886">
        <v>0</v>
      </c>
      <c r="J42" s="1886"/>
      <c r="K42" s="1886">
        <v>0</v>
      </c>
      <c r="L42" s="1886"/>
      <c r="M42" s="2426">
        <f t="shared" si="0"/>
        <v>0</v>
      </c>
      <c r="N42" s="1886"/>
      <c r="O42" s="3444">
        <v>0</v>
      </c>
      <c r="P42" s="1245"/>
    </row>
    <row r="43" spans="2:16" s="985" customFormat="1" ht="15.75">
      <c r="B43" s="2885">
        <v>30129</v>
      </c>
      <c r="C43" s="1885"/>
      <c r="D43" s="1228" t="s">
        <v>805</v>
      </c>
      <c r="E43" s="1885"/>
      <c r="F43" s="1886">
        <v>0</v>
      </c>
      <c r="G43" s="1886">
        <v>0</v>
      </c>
      <c r="H43" s="1886"/>
      <c r="I43" s="1886">
        <v>0</v>
      </c>
      <c r="J43" s="1886"/>
      <c r="K43" s="1886">
        <v>0</v>
      </c>
      <c r="L43" s="1886"/>
      <c r="M43" s="2426">
        <f t="shared" si="0"/>
        <v>0</v>
      </c>
      <c r="N43" s="1886"/>
      <c r="O43" s="3444">
        <v>0</v>
      </c>
      <c r="P43" s="1245"/>
    </row>
    <row r="44" spans="2:16" s="985" customFormat="1" ht="15.75">
      <c r="B44" s="2885">
        <v>30130</v>
      </c>
      <c r="C44" s="1885"/>
      <c r="D44" s="1228" t="s">
        <v>806</v>
      </c>
      <c r="E44" s="1885"/>
      <c r="F44" s="1886">
        <v>0</v>
      </c>
      <c r="G44" s="1886">
        <v>0</v>
      </c>
      <c r="H44" s="1886"/>
      <c r="I44" s="1886">
        <v>0</v>
      </c>
      <c r="J44" s="1886"/>
      <c r="K44" s="1886">
        <v>0</v>
      </c>
      <c r="L44" s="1886"/>
      <c r="M44" s="2426">
        <f t="shared" si="0"/>
        <v>0</v>
      </c>
      <c r="N44" s="1886"/>
      <c r="O44" s="3444">
        <v>0</v>
      </c>
      <c r="P44" s="1245"/>
    </row>
    <row r="45" spans="2:16" s="985" customFormat="1" ht="15.75">
      <c r="B45" s="2885">
        <v>30131</v>
      </c>
      <c r="C45" s="1885"/>
      <c r="D45" s="1228" t="s">
        <v>807</v>
      </c>
      <c r="E45" s="1885"/>
      <c r="F45" s="1886">
        <v>0</v>
      </c>
      <c r="G45" s="1886">
        <v>0</v>
      </c>
      <c r="H45" s="1886"/>
      <c r="I45" s="1886">
        <v>0</v>
      </c>
      <c r="J45" s="1886"/>
      <c r="K45" s="1886">
        <v>0</v>
      </c>
      <c r="L45" s="1886"/>
      <c r="M45" s="2426">
        <f t="shared" si="0"/>
        <v>0</v>
      </c>
      <c r="N45" s="1886"/>
      <c r="O45" s="3444">
        <v>0</v>
      </c>
      <c r="P45" s="1245"/>
    </row>
    <row r="46" spans="2:16" s="985" customFormat="1" ht="15.75">
      <c r="B46" s="2885">
        <v>30132</v>
      </c>
      <c r="C46" s="1885"/>
      <c r="D46" s="1228" t="s">
        <v>808</v>
      </c>
      <c r="E46" s="1885"/>
      <c r="F46" s="1886">
        <v>0</v>
      </c>
      <c r="G46" s="1886">
        <v>0</v>
      </c>
      <c r="H46" s="1886"/>
      <c r="I46" s="1886">
        <v>0</v>
      </c>
      <c r="J46" s="1886"/>
      <c r="K46" s="1886">
        <v>0</v>
      </c>
      <c r="L46" s="1886"/>
      <c r="M46" s="2426">
        <f t="shared" si="0"/>
        <v>0</v>
      </c>
      <c r="N46" s="1886"/>
      <c r="O46" s="3444">
        <v>0</v>
      </c>
      <c r="P46" s="1245"/>
    </row>
    <row r="47" spans="2:16" s="985" customFormat="1" ht="15.75">
      <c r="B47" s="2885">
        <v>30133</v>
      </c>
      <c r="C47" s="1885"/>
      <c r="D47" s="1228" t="s">
        <v>809</v>
      </c>
      <c r="E47" s="1885"/>
      <c r="F47" s="1886">
        <v>0</v>
      </c>
      <c r="G47" s="1886">
        <v>0</v>
      </c>
      <c r="H47" s="1886"/>
      <c r="I47" s="1886">
        <v>0</v>
      </c>
      <c r="J47" s="1886"/>
      <c r="K47" s="1886">
        <v>0</v>
      </c>
      <c r="L47" s="1886"/>
      <c r="M47" s="2426">
        <f t="shared" si="0"/>
        <v>0</v>
      </c>
      <c r="N47" s="1886"/>
      <c r="O47" s="3444">
        <v>0</v>
      </c>
      <c r="P47" s="1245"/>
    </row>
    <row r="48" spans="2:16" s="985" customFormat="1" ht="15.75">
      <c r="B48" s="2885">
        <v>30134</v>
      </c>
      <c r="C48" s="1885"/>
      <c r="D48" s="1228" t="s">
        <v>810</v>
      </c>
      <c r="E48" s="1885"/>
      <c r="F48" s="1886">
        <v>0</v>
      </c>
      <c r="G48" s="1886">
        <v>0</v>
      </c>
      <c r="H48" s="1886"/>
      <c r="I48" s="1886">
        <v>0</v>
      </c>
      <c r="J48" s="1886"/>
      <c r="K48" s="1886">
        <v>0</v>
      </c>
      <c r="L48" s="1886"/>
      <c r="M48" s="2426">
        <f t="shared" si="0"/>
        <v>0</v>
      </c>
      <c r="N48" s="1886"/>
      <c r="O48" s="3444">
        <v>0</v>
      </c>
      <c r="P48" s="1245"/>
    </row>
    <row r="49" spans="2:16" s="985" customFormat="1" ht="15.75">
      <c r="B49" s="2885">
        <v>30135</v>
      </c>
      <c r="C49" s="1885"/>
      <c r="D49" s="1228" t="s">
        <v>811</v>
      </c>
      <c r="E49" s="1885"/>
      <c r="F49" s="1886">
        <v>0</v>
      </c>
      <c r="G49" s="1886">
        <v>0</v>
      </c>
      <c r="H49" s="1886"/>
      <c r="I49" s="1886">
        <v>0</v>
      </c>
      <c r="J49" s="1886"/>
      <c r="K49" s="1886">
        <v>0</v>
      </c>
      <c r="L49" s="1886"/>
      <c r="M49" s="2426">
        <f t="shared" si="0"/>
        <v>0</v>
      </c>
      <c r="N49" s="1886"/>
      <c r="O49" s="3444">
        <v>0</v>
      </c>
      <c r="P49" s="1245"/>
    </row>
    <row r="50" spans="2:16" s="985" customFormat="1" ht="15.75">
      <c r="B50" s="2885">
        <v>30136</v>
      </c>
      <c r="C50" s="1885"/>
      <c r="D50" s="1228" t="s">
        <v>812</v>
      </c>
      <c r="E50" s="1885"/>
      <c r="F50" s="1886">
        <v>0</v>
      </c>
      <c r="G50" s="1886">
        <v>0</v>
      </c>
      <c r="H50" s="1886"/>
      <c r="I50" s="1886">
        <v>0</v>
      </c>
      <c r="J50" s="1886"/>
      <c r="K50" s="1886">
        <v>0</v>
      </c>
      <c r="L50" s="1886"/>
      <c r="M50" s="2426">
        <f t="shared" si="0"/>
        <v>0</v>
      </c>
      <c r="N50" s="1886"/>
      <c r="O50" s="3444">
        <v>0</v>
      </c>
      <c r="P50" s="1245"/>
    </row>
    <row r="51" spans="2:16" s="985" customFormat="1" ht="15.75">
      <c r="B51" s="2885">
        <v>30137</v>
      </c>
      <c r="C51" s="1885"/>
      <c r="D51" s="1228" t="s">
        <v>813</v>
      </c>
      <c r="E51" s="1885"/>
      <c r="F51" s="1886">
        <v>2867.69</v>
      </c>
      <c r="G51" s="1886">
        <v>0</v>
      </c>
      <c r="H51" s="1886"/>
      <c r="I51" s="1886">
        <v>0</v>
      </c>
      <c r="J51" s="1886"/>
      <c r="K51" s="1886">
        <v>0</v>
      </c>
      <c r="L51" s="1886"/>
      <c r="M51" s="2426">
        <f t="shared" si="0"/>
        <v>0</v>
      </c>
      <c r="N51" s="1886"/>
      <c r="O51" s="3444">
        <v>0</v>
      </c>
      <c r="P51" s="1245"/>
    </row>
    <row r="52" spans="2:16" s="985" customFormat="1" ht="15.75">
      <c r="B52" s="2885">
        <v>30138</v>
      </c>
      <c r="C52" s="1885"/>
      <c r="D52" s="1228" t="s">
        <v>814</v>
      </c>
      <c r="E52" s="1885"/>
      <c r="F52" s="1886">
        <v>0</v>
      </c>
      <c r="G52" s="1886">
        <v>0</v>
      </c>
      <c r="H52" s="1886"/>
      <c r="I52" s="1886">
        <v>0</v>
      </c>
      <c r="J52" s="1886"/>
      <c r="K52" s="1886">
        <v>0</v>
      </c>
      <c r="L52" s="1886"/>
      <c r="M52" s="2426">
        <f t="shared" si="0"/>
        <v>0</v>
      </c>
      <c r="N52" s="1886"/>
      <c r="O52" s="3444">
        <v>0</v>
      </c>
      <c r="P52" s="1245"/>
    </row>
    <row r="53" spans="2:16" s="985" customFormat="1" ht="15.75">
      <c r="B53" s="2885">
        <v>30139</v>
      </c>
      <c r="C53" s="1885"/>
      <c r="D53" s="1228" t="s">
        <v>815</v>
      </c>
      <c r="E53" s="1885"/>
      <c r="F53" s="1886">
        <v>0</v>
      </c>
      <c r="G53" s="1886">
        <v>0</v>
      </c>
      <c r="H53" s="1886"/>
      <c r="I53" s="1886">
        <v>0</v>
      </c>
      <c r="J53" s="1886"/>
      <c r="K53" s="1886">
        <v>0</v>
      </c>
      <c r="L53" s="1886"/>
      <c r="M53" s="2426">
        <f t="shared" si="0"/>
        <v>0</v>
      </c>
      <c r="N53" s="1886"/>
      <c r="O53" s="3444">
        <v>0</v>
      </c>
      <c r="P53" s="1245"/>
    </row>
    <row r="54" spans="2:16" s="985" customFormat="1" ht="15.75">
      <c r="B54" s="2885">
        <v>30140</v>
      </c>
      <c r="C54" s="1885"/>
      <c r="D54" s="1228" t="s">
        <v>816</v>
      </c>
      <c r="E54" s="1885"/>
      <c r="F54" s="1886">
        <v>0</v>
      </c>
      <c r="G54" s="1886">
        <v>0</v>
      </c>
      <c r="H54" s="1886"/>
      <c r="I54" s="1886">
        <v>0</v>
      </c>
      <c r="J54" s="1886"/>
      <c r="K54" s="1886">
        <v>0</v>
      </c>
      <c r="L54" s="1886"/>
      <c r="M54" s="2426">
        <f t="shared" si="0"/>
        <v>0</v>
      </c>
      <c r="N54" s="1886"/>
      <c r="O54" s="3444">
        <v>0</v>
      </c>
      <c r="P54" s="1245"/>
    </row>
    <row r="55" spans="2:16" s="985" customFormat="1" ht="15.75">
      <c r="B55" s="2885">
        <v>30141</v>
      </c>
      <c r="C55" s="1885"/>
      <c r="D55" s="1228" t="s">
        <v>817</v>
      </c>
      <c r="E55" s="1885"/>
      <c r="F55" s="1886">
        <v>0</v>
      </c>
      <c r="G55" s="1886">
        <v>0</v>
      </c>
      <c r="H55" s="1886"/>
      <c r="I55" s="1886">
        <v>0</v>
      </c>
      <c r="J55" s="1886"/>
      <c r="K55" s="1886">
        <v>0</v>
      </c>
      <c r="L55" s="1886"/>
      <c r="M55" s="2426">
        <f t="shared" si="0"/>
        <v>0</v>
      </c>
      <c r="N55" s="1886"/>
      <c r="O55" s="3444">
        <v>0</v>
      </c>
      <c r="P55" s="1245"/>
    </row>
    <row r="56" spans="2:16" s="985" customFormat="1" ht="15.75">
      <c r="B56" s="2885">
        <v>30142</v>
      </c>
      <c r="C56" s="1885"/>
      <c r="D56" s="1228" t="s">
        <v>818</v>
      </c>
      <c r="E56" s="1885"/>
      <c r="F56" s="1886">
        <v>0</v>
      </c>
      <c r="G56" s="1886">
        <v>0</v>
      </c>
      <c r="H56" s="1886"/>
      <c r="I56" s="1886">
        <v>0</v>
      </c>
      <c r="J56" s="1886"/>
      <c r="K56" s="1886">
        <v>0</v>
      </c>
      <c r="L56" s="1886"/>
      <c r="M56" s="2426">
        <f t="shared" si="0"/>
        <v>0</v>
      </c>
      <c r="N56" s="1886"/>
      <c r="O56" s="3444">
        <v>0</v>
      </c>
      <c r="P56" s="1245"/>
    </row>
    <row r="57" spans="2:16" s="985" customFormat="1" ht="15.75">
      <c r="B57" s="2885">
        <v>30143</v>
      </c>
      <c r="C57" s="1885"/>
      <c r="D57" s="1228" t="s">
        <v>819</v>
      </c>
      <c r="E57" s="1885"/>
      <c r="F57" s="1886">
        <v>0</v>
      </c>
      <c r="G57" s="1886">
        <v>0</v>
      </c>
      <c r="H57" s="1886"/>
      <c r="I57" s="1886">
        <v>0</v>
      </c>
      <c r="J57" s="1886"/>
      <c r="K57" s="1886">
        <v>0</v>
      </c>
      <c r="L57" s="1886"/>
      <c r="M57" s="2426">
        <f t="shared" si="0"/>
        <v>0</v>
      </c>
      <c r="N57" s="1886"/>
      <c r="O57" s="3444">
        <v>0</v>
      </c>
      <c r="P57" s="1245"/>
    </row>
    <row r="58" spans="2:16" s="985" customFormat="1" ht="15.75">
      <c r="B58" s="2885">
        <v>30144</v>
      </c>
      <c r="C58" s="1885"/>
      <c r="D58" s="1228" t="s">
        <v>820</v>
      </c>
      <c r="E58" s="1885"/>
      <c r="F58" s="1886">
        <v>0</v>
      </c>
      <c r="G58" s="1886">
        <v>0</v>
      </c>
      <c r="H58" s="1886"/>
      <c r="I58" s="1886">
        <v>0</v>
      </c>
      <c r="J58" s="1886"/>
      <c r="K58" s="1886">
        <v>0</v>
      </c>
      <c r="L58" s="1886"/>
      <c r="M58" s="2426">
        <f t="shared" si="0"/>
        <v>0</v>
      </c>
      <c r="N58" s="1886"/>
      <c r="O58" s="3444">
        <v>0</v>
      </c>
      <c r="P58" s="1245"/>
    </row>
    <row r="59" spans="2:16" s="985" customFormat="1" ht="15.75">
      <c r="B59" s="2885">
        <v>30145</v>
      </c>
      <c r="C59" s="1885"/>
      <c r="D59" s="1228" t="s">
        <v>821</v>
      </c>
      <c r="E59" s="1885"/>
      <c r="F59" s="1886">
        <v>0</v>
      </c>
      <c r="G59" s="1886">
        <v>0</v>
      </c>
      <c r="H59" s="1886"/>
      <c r="I59" s="1886">
        <v>0</v>
      </c>
      <c r="J59" s="1886"/>
      <c r="K59" s="1886">
        <v>0</v>
      </c>
      <c r="L59" s="1886"/>
      <c r="M59" s="2426">
        <f t="shared" si="0"/>
        <v>0</v>
      </c>
      <c r="N59" s="1886"/>
      <c r="O59" s="3444">
        <v>0</v>
      </c>
      <c r="P59" s="1245"/>
    </row>
    <row r="60" spans="2:16" s="985" customFormat="1" ht="15.75">
      <c r="B60" s="2885">
        <v>30146</v>
      </c>
      <c r="C60" s="1885"/>
      <c r="D60" s="1228" t="s">
        <v>822</v>
      </c>
      <c r="E60" s="1885"/>
      <c r="F60" s="1886">
        <v>0</v>
      </c>
      <c r="G60" s="1886">
        <v>0</v>
      </c>
      <c r="H60" s="1886"/>
      <c r="I60" s="1886">
        <v>0</v>
      </c>
      <c r="J60" s="1886"/>
      <c r="K60" s="1886">
        <v>0</v>
      </c>
      <c r="L60" s="1886"/>
      <c r="M60" s="2426">
        <f t="shared" si="0"/>
        <v>0</v>
      </c>
      <c r="N60" s="1886"/>
      <c r="O60" s="3444">
        <v>0</v>
      </c>
      <c r="P60" s="1245"/>
    </row>
    <row r="61" spans="2:16" s="985" customFormat="1" ht="15.75">
      <c r="B61" s="2885">
        <v>30147</v>
      </c>
      <c r="C61" s="1885"/>
      <c r="D61" s="1228" t="s">
        <v>823</v>
      </c>
      <c r="E61" s="1885"/>
      <c r="F61" s="1886">
        <v>0</v>
      </c>
      <c r="G61" s="1886">
        <v>0</v>
      </c>
      <c r="H61" s="1886"/>
      <c r="I61" s="1886">
        <v>0</v>
      </c>
      <c r="J61" s="1886"/>
      <c r="K61" s="1886">
        <v>0</v>
      </c>
      <c r="L61" s="1886"/>
      <c r="M61" s="2426">
        <f t="shared" si="0"/>
        <v>0</v>
      </c>
      <c r="N61" s="1886"/>
      <c r="O61" s="3444">
        <v>0</v>
      </c>
      <c r="P61" s="1245"/>
    </row>
    <row r="62" spans="2:16" s="985" customFormat="1" ht="15.75">
      <c r="B62" s="2885">
        <v>30148</v>
      </c>
      <c r="C62" s="1885"/>
      <c r="D62" s="1228" t="s">
        <v>824</v>
      </c>
      <c r="E62" s="1885"/>
      <c r="F62" s="1886">
        <v>0</v>
      </c>
      <c r="G62" s="1886">
        <v>0</v>
      </c>
      <c r="H62" s="1886"/>
      <c r="I62" s="1886">
        <v>0</v>
      </c>
      <c r="J62" s="1886"/>
      <c r="K62" s="1886">
        <v>0</v>
      </c>
      <c r="L62" s="1886"/>
      <c r="M62" s="2426">
        <f t="shared" si="0"/>
        <v>0</v>
      </c>
      <c r="N62" s="1886"/>
      <c r="O62" s="3444">
        <v>0</v>
      </c>
      <c r="P62" s="1245"/>
    </row>
    <row r="63" spans="2:16" s="985" customFormat="1" ht="15.75">
      <c r="B63" s="2885">
        <v>30149</v>
      </c>
      <c r="C63" s="1885"/>
      <c r="D63" s="1228" t="s">
        <v>825</v>
      </c>
      <c r="E63" s="1885"/>
      <c r="F63" s="1886">
        <v>0</v>
      </c>
      <c r="G63" s="1886">
        <v>0</v>
      </c>
      <c r="H63" s="1886"/>
      <c r="I63" s="1886">
        <v>0</v>
      </c>
      <c r="J63" s="1886"/>
      <c r="K63" s="1886">
        <v>0</v>
      </c>
      <c r="L63" s="1886"/>
      <c r="M63" s="2426">
        <f t="shared" si="0"/>
        <v>0</v>
      </c>
      <c r="N63" s="1886"/>
      <c r="O63" s="3444">
        <v>0</v>
      </c>
      <c r="P63" s="1245"/>
    </row>
    <row r="64" spans="2:16" s="985" customFormat="1" ht="15.75">
      <c r="B64" s="2885">
        <v>30150</v>
      </c>
      <c r="C64" s="1885"/>
      <c r="D64" s="1228" t="s">
        <v>826</v>
      </c>
      <c r="E64" s="1885"/>
      <c r="F64" s="1886">
        <v>0</v>
      </c>
      <c r="G64" s="1886">
        <v>0</v>
      </c>
      <c r="H64" s="1886"/>
      <c r="I64" s="1886">
        <v>0</v>
      </c>
      <c r="J64" s="1886"/>
      <c r="K64" s="1886">
        <v>0</v>
      </c>
      <c r="L64" s="1886"/>
      <c r="M64" s="2426">
        <f t="shared" si="0"/>
        <v>0</v>
      </c>
      <c r="N64" s="1886"/>
      <c r="O64" s="3444">
        <v>0</v>
      </c>
      <c r="P64" s="1245"/>
    </row>
    <row r="65" spans="2:16" s="985" customFormat="1" ht="15.75">
      <c r="B65" s="2885">
        <v>30151</v>
      </c>
      <c r="C65" s="1885"/>
      <c r="D65" s="1228" t="s">
        <v>827</v>
      </c>
      <c r="E65" s="1885"/>
      <c r="F65" s="1886">
        <v>0</v>
      </c>
      <c r="G65" s="1886">
        <v>0</v>
      </c>
      <c r="H65" s="1886"/>
      <c r="I65" s="1886">
        <v>0</v>
      </c>
      <c r="J65" s="1886"/>
      <c r="K65" s="1886">
        <v>0</v>
      </c>
      <c r="L65" s="1886"/>
      <c r="M65" s="2426">
        <f t="shared" si="0"/>
        <v>0</v>
      </c>
      <c r="N65" s="1886"/>
      <c r="O65" s="3444">
        <v>0</v>
      </c>
      <c r="P65" s="1245"/>
    </row>
    <row r="66" spans="2:16" s="985" customFormat="1" ht="15.75">
      <c r="B66" s="2885">
        <v>30152</v>
      </c>
      <c r="C66" s="1885"/>
      <c r="D66" s="1228" t="s">
        <v>828</v>
      </c>
      <c r="E66" s="1885"/>
      <c r="F66" s="1886">
        <v>0</v>
      </c>
      <c r="G66" s="1886">
        <v>0</v>
      </c>
      <c r="H66" s="1886"/>
      <c r="I66" s="1886">
        <v>0</v>
      </c>
      <c r="J66" s="1886"/>
      <c r="K66" s="1886">
        <v>0</v>
      </c>
      <c r="L66" s="1886"/>
      <c r="M66" s="2426">
        <f t="shared" si="0"/>
        <v>0</v>
      </c>
      <c r="N66" s="1886"/>
      <c r="O66" s="3444">
        <v>0</v>
      </c>
      <c r="P66" s="1245"/>
    </row>
    <row r="67" spans="2:16" s="985" customFormat="1" ht="15.75">
      <c r="B67" s="2885">
        <v>30153</v>
      </c>
      <c r="C67" s="1885"/>
      <c r="D67" s="1228" t="s">
        <v>829</v>
      </c>
      <c r="E67" s="1885"/>
      <c r="F67" s="1886">
        <v>0</v>
      </c>
      <c r="G67" s="1886">
        <v>0</v>
      </c>
      <c r="H67" s="1886"/>
      <c r="I67" s="1886">
        <v>0</v>
      </c>
      <c r="J67" s="1886"/>
      <c r="K67" s="1886">
        <v>0</v>
      </c>
      <c r="L67" s="1886"/>
      <c r="M67" s="2426">
        <f t="shared" si="0"/>
        <v>0</v>
      </c>
      <c r="N67" s="1886"/>
      <c r="O67" s="3444">
        <v>0</v>
      </c>
      <c r="P67" s="1245"/>
    </row>
    <row r="68" spans="2:16" s="985" customFormat="1" ht="15.75">
      <c r="B68" s="2885">
        <v>30154</v>
      </c>
      <c r="C68" s="1885"/>
      <c r="D68" s="1228" t="s">
        <v>830</v>
      </c>
      <c r="E68" s="1885"/>
      <c r="F68" s="1886">
        <v>0</v>
      </c>
      <c r="G68" s="1886">
        <v>0</v>
      </c>
      <c r="H68" s="1886"/>
      <c r="I68" s="1886">
        <v>0</v>
      </c>
      <c r="J68" s="1886"/>
      <c r="K68" s="1886">
        <v>0</v>
      </c>
      <c r="L68" s="1886"/>
      <c r="M68" s="2426">
        <f t="shared" si="0"/>
        <v>0</v>
      </c>
      <c r="N68" s="1886"/>
      <c r="O68" s="3444">
        <v>0</v>
      </c>
      <c r="P68" s="1245"/>
    </row>
    <row r="69" spans="2:16" s="985" customFormat="1" ht="15.75">
      <c r="B69" s="2885">
        <v>30351</v>
      </c>
      <c r="C69" s="1885"/>
      <c r="D69" s="1228" t="s">
        <v>831</v>
      </c>
      <c r="E69" s="1885"/>
      <c r="F69" s="1886">
        <v>72792259.140000001</v>
      </c>
      <c r="G69" s="1886">
        <v>125238266.43000001</v>
      </c>
      <c r="H69" s="1886"/>
      <c r="I69" s="1886">
        <v>87063301.409999996</v>
      </c>
      <c r="J69" s="1886"/>
      <c r="K69" s="1886">
        <v>92884081.099999994</v>
      </c>
      <c r="L69" s="1886"/>
      <c r="M69" s="2426">
        <f t="shared" si="0"/>
        <v>8514720.1899999995</v>
      </c>
      <c r="N69" s="1886"/>
      <c r="O69" s="3444">
        <v>101398801.29000001</v>
      </c>
      <c r="P69" s="1245"/>
    </row>
    <row r="70" spans="2:16" s="985" customFormat="1" ht="15.75">
      <c r="B70" s="2885">
        <v>30501</v>
      </c>
      <c r="C70" s="1885"/>
      <c r="D70" s="1228" t="s">
        <v>832</v>
      </c>
      <c r="E70" s="1885"/>
      <c r="F70" s="1886">
        <v>169.29</v>
      </c>
      <c r="G70" s="1886">
        <v>169.29</v>
      </c>
      <c r="H70" s="1886"/>
      <c r="I70" s="1886">
        <v>0</v>
      </c>
      <c r="J70" s="1886"/>
      <c r="K70" s="1886">
        <v>0</v>
      </c>
      <c r="L70" s="1886"/>
      <c r="M70" s="2426">
        <f t="shared" si="0"/>
        <v>0</v>
      </c>
      <c r="N70" s="1886"/>
      <c r="O70" s="3444">
        <v>0</v>
      </c>
      <c r="P70" s="1245"/>
    </row>
    <row r="71" spans="2:16" s="985" customFormat="1" ht="15.75">
      <c r="B71" s="2885">
        <v>30502</v>
      </c>
      <c r="C71" s="1885"/>
      <c r="D71" s="1228" t="s">
        <v>833</v>
      </c>
      <c r="E71" s="1885"/>
      <c r="F71" s="1886">
        <v>0</v>
      </c>
      <c r="G71" s="1886">
        <v>0</v>
      </c>
      <c r="H71" s="1886"/>
      <c r="I71" s="1886">
        <v>0</v>
      </c>
      <c r="J71" s="1886"/>
      <c r="K71" s="1886">
        <v>0</v>
      </c>
      <c r="L71" s="1886"/>
      <c r="M71" s="2426">
        <f t="shared" si="0"/>
        <v>0</v>
      </c>
      <c r="N71" s="1886"/>
      <c r="O71" s="3444">
        <v>0</v>
      </c>
      <c r="P71" s="1245"/>
    </row>
    <row r="72" spans="2:16" s="985" customFormat="1" ht="15.75">
      <c r="B72" s="2885">
        <v>30503</v>
      </c>
      <c r="C72" s="1885"/>
      <c r="D72" s="1228" t="s">
        <v>834</v>
      </c>
      <c r="E72" s="1885"/>
      <c r="F72" s="1886">
        <v>0</v>
      </c>
      <c r="G72" s="1886">
        <v>0</v>
      </c>
      <c r="H72" s="1886"/>
      <c r="I72" s="1886">
        <v>0</v>
      </c>
      <c r="J72" s="1886"/>
      <c r="K72" s="1886">
        <v>0</v>
      </c>
      <c r="L72" s="1886"/>
      <c r="M72" s="2426">
        <f t="shared" si="0"/>
        <v>0</v>
      </c>
      <c r="N72" s="1886"/>
      <c r="O72" s="3444">
        <v>0</v>
      </c>
      <c r="P72" s="1245"/>
    </row>
    <row r="73" spans="2:16" s="985" customFormat="1" ht="15.75">
      <c r="B73" s="2885">
        <v>30504</v>
      </c>
      <c r="C73" s="1885"/>
      <c r="D73" s="1234" t="s">
        <v>835</v>
      </c>
      <c r="E73" s="1885"/>
      <c r="F73" s="1886">
        <v>0</v>
      </c>
      <c r="G73" s="1886">
        <v>0</v>
      </c>
      <c r="H73" s="1886"/>
      <c r="I73" s="1886">
        <v>0</v>
      </c>
      <c r="J73" s="1886"/>
      <c r="K73" s="1886">
        <v>0</v>
      </c>
      <c r="L73" s="1886"/>
      <c r="M73" s="2426">
        <f t="shared" si="0"/>
        <v>0</v>
      </c>
      <c r="N73" s="1886"/>
      <c r="O73" s="3444">
        <v>0</v>
      </c>
      <c r="P73" s="1245"/>
    </row>
    <row r="74" spans="2:16" s="985" customFormat="1" ht="15.75">
      <c r="B74" s="2885">
        <v>31506</v>
      </c>
      <c r="C74" s="1235"/>
      <c r="D74" s="1236" t="s">
        <v>836</v>
      </c>
      <c r="E74" s="1237"/>
      <c r="F74" s="1886">
        <v>109849194.79000001</v>
      </c>
      <c r="G74" s="1886">
        <v>121941572</v>
      </c>
      <c r="H74" s="1886"/>
      <c r="I74" s="1886">
        <v>132568502.13</v>
      </c>
      <c r="J74" s="1886"/>
      <c r="K74" s="1886">
        <v>134680573.00999999</v>
      </c>
      <c r="L74" s="1886"/>
      <c r="M74" s="2426">
        <f t="shared" si="0"/>
        <v>8380935.3799999999</v>
      </c>
      <c r="N74" s="1886"/>
      <c r="O74" s="3444">
        <v>143061508.38999999</v>
      </c>
      <c r="P74" s="1245"/>
    </row>
    <row r="75" spans="2:16" s="985" customFormat="1" ht="15.75">
      <c r="B75" s="2885">
        <v>31701</v>
      </c>
      <c r="C75" s="1885"/>
      <c r="D75" s="1228" t="s">
        <v>837</v>
      </c>
      <c r="E75" s="1885"/>
      <c r="F75" s="1886">
        <v>7423246.6200000001</v>
      </c>
      <c r="G75" s="1886">
        <v>7629214.7999999998</v>
      </c>
      <c r="H75" s="1886"/>
      <c r="I75" s="1886">
        <v>7598131.0099999998</v>
      </c>
      <c r="J75" s="1886"/>
      <c r="K75" s="1886">
        <v>8756072.9199999999</v>
      </c>
      <c r="L75" s="1886"/>
      <c r="M75" s="2426">
        <f t="shared" si="0"/>
        <v>1904914.64</v>
      </c>
      <c r="N75" s="1886"/>
      <c r="O75" s="3444">
        <v>10660987.560000001</v>
      </c>
      <c r="P75" s="1245"/>
    </row>
    <row r="76" spans="2:16" s="985" customFormat="1" ht="15.75">
      <c r="B76" s="2885">
        <v>31801</v>
      </c>
      <c r="C76" s="1885"/>
      <c r="D76" s="1228" t="s">
        <v>838</v>
      </c>
      <c r="E76" s="1885"/>
      <c r="F76" s="1886">
        <v>13150846.050000001</v>
      </c>
      <c r="G76" s="1886">
        <v>13972846.050000001</v>
      </c>
      <c r="H76" s="1886"/>
      <c r="I76" s="1886">
        <v>13972846.050000001</v>
      </c>
      <c r="J76" s="1886"/>
      <c r="K76" s="1886">
        <v>13972846.050000001</v>
      </c>
      <c r="L76" s="1886"/>
      <c r="M76" s="2426">
        <f t="shared" si="0"/>
        <v>0</v>
      </c>
      <c r="N76" s="1886"/>
      <c r="O76" s="3444">
        <v>13972846.050000001</v>
      </c>
      <c r="P76" s="1245"/>
    </row>
    <row r="77" spans="2:16" s="985" customFormat="1" ht="15.75">
      <c r="B77" s="2885">
        <v>31851</v>
      </c>
      <c r="C77" s="1885"/>
      <c r="D77" s="1234" t="s">
        <v>839</v>
      </c>
      <c r="E77" s="1885"/>
      <c r="F77" s="1886">
        <v>0</v>
      </c>
      <c r="G77" s="1886">
        <v>0</v>
      </c>
      <c r="H77" s="1886"/>
      <c r="I77" s="1886">
        <v>12733101.42</v>
      </c>
      <c r="J77" s="1886"/>
      <c r="K77" s="1886">
        <v>12733101.42</v>
      </c>
      <c r="L77" s="1886"/>
      <c r="M77" s="2426">
        <f t="shared" si="0"/>
        <v>0</v>
      </c>
      <c r="N77" s="1886"/>
      <c r="O77" s="3444">
        <v>12733101.42</v>
      </c>
      <c r="P77" s="1245"/>
    </row>
    <row r="78" spans="2:16" s="985" customFormat="1" ht="15.75">
      <c r="B78" s="2885">
        <v>31852</v>
      </c>
      <c r="C78" s="1885"/>
      <c r="D78" s="1228" t="s">
        <v>840</v>
      </c>
      <c r="E78" s="1885"/>
      <c r="F78" s="1886">
        <v>40679225.310000002</v>
      </c>
      <c r="G78" s="1886">
        <v>26463332.34</v>
      </c>
      <c r="H78" s="1886"/>
      <c r="I78" s="1886">
        <v>32666509.620000001</v>
      </c>
      <c r="J78" s="1886"/>
      <c r="K78" s="1886">
        <v>32666509.620000001</v>
      </c>
      <c r="L78" s="1886"/>
      <c r="M78" s="2426">
        <f t="shared" si="0"/>
        <v>0</v>
      </c>
      <c r="N78" s="1886"/>
      <c r="O78" s="3444">
        <v>32666509.620000001</v>
      </c>
      <c r="P78" s="1245"/>
    </row>
    <row r="79" spans="2:16" s="985" customFormat="1" ht="15.75">
      <c r="B79" s="2885">
        <v>31853</v>
      </c>
      <c r="C79" s="1885"/>
      <c r="D79" s="1234" t="s">
        <v>841</v>
      </c>
      <c r="E79" s="1885"/>
      <c r="F79" s="1886">
        <v>76297899.909999996</v>
      </c>
      <c r="G79" s="1886">
        <v>80191044.299999997</v>
      </c>
      <c r="H79" s="1886"/>
      <c r="I79" s="1886">
        <v>84707492.439999998</v>
      </c>
      <c r="J79" s="1886"/>
      <c r="K79" s="1886">
        <v>84725928.959999993</v>
      </c>
      <c r="L79" s="1886"/>
      <c r="M79" s="2426">
        <f t="shared" ref="M79:M96" si="1">ROUND(SUM(O79)-SUM(K79),2)</f>
        <v>20713.22</v>
      </c>
      <c r="N79" s="1886"/>
      <c r="O79" s="3444">
        <v>84746642.180000007</v>
      </c>
      <c r="P79" s="1245"/>
    </row>
    <row r="80" spans="2:16" s="985" customFormat="1" ht="15.75">
      <c r="B80" s="2885">
        <v>31854</v>
      </c>
      <c r="C80" s="1885"/>
      <c r="D80" s="1228" t="s">
        <v>842</v>
      </c>
      <c r="E80" s="1885"/>
      <c r="F80" s="1886">
        <v>0</v>
      </c>
      <c r="G80" s="1886">
        <v>0</v>
      </c>
      <c r="H80" s="1886"/>
      <c r="I80" s="1886">
        <v>0</v>
      </c>
      <c r="J80" s="1886"/>
      <c r="K80" s="1886">
        <v>0</v>
      </c>
      <c r="L80" s="1886"/>
      <c r="M80" s="2426">
        <f t="shared" si="1"/>
        <v>0</v>
      </c>
      <c r="N80" s="1886"/>
      <c r="O80" s="3444">
        <v>0</v>
      </c>
      <c r="P80" s="1245"/>
    </row>
    <row r="81" spans="2:16" s="985" customFormat="1" ht="15.75">
      <c r="B81" s="2885">
        <v>31951</v>
      </c>
      <c r="C81" s="1885"/>
      <c r="D81" s="1234" t="s">
        <v>843</v>
      </c>
      <c r="E81" s="1885"/>
      <c r="F81" s="1886">
        <v>12348115.710000001</v>
      </c>
      <c r="G81" s="1886">
        <v>12321077.699999999</v>
      </c>
      <c r="H81" s="1886"/>
      <c r="I81" s="1886">
        <v>12559100.550000001</v>
      </c>
      <c r="J81" s="1886"/>
      <c r="K81" s="1886">
        <v>12615952.17</v>
      </c>
      <c r="L81" s="1886"/>
      <c r="M81" s="2426">
        <f t="shared" si="1"/>
        <v>0</v>
      </c>
      <c r="N81" s="1886"/>
      <c r="O81" s="3444">
        <v>12615952.17</v>
      </c>
      <c r="P81" s="1245"/>
    </row>
    <row r="82" spans="2:16" s="985" customFormat="1" ht="15.75">
      <c r="B82" s="2885">
        <v>32213</v>
      </c>
      <c r="C82" s="1885"/>
      <c r="D82" s="1228" t="s">
        <v>844</v>
      </c>
      <c r="E82" s="1885"/>
      <c r="F82" s="1886">
        <v>153750</v>
      </c>
      <c r="G82" s="1886">
        <v>923750</v>
      </c>
      <c r="H82" s="1886"/>
      <c r="I82" s="1886">
        <v>1223750</v>
      </c>
      <c r="J82" s="1886"/>
      <c r="K82" s="1886">
        <v>1255000</v>
      </c>
      <c r="L82" s="1886"/>
      <c r="M82" s="2426">
        <f t="shared" si="1"/>
        <v>0</v>
      </c>
      <c r="N82" s="1886"/>
      <c r="O82" s="3444">
        <v>1255000</v>
      </c>
      <c r="P82" s="1245"/>
    </row>
    <row r="83" spans="2:16" s="985" customFormat="1" ht="15.75">
      <c r="B83" s="2885">
        <v>32301</v>
      </c>
      <c r="C83" s="1885"/>
      <c r="D83" s="1234" t="s">
        <v>845</v>
      </c>
      <c r="E83" s="1237"/>
      <c r="F83" s="1886">
        <v>0</v>
      </c>
      <c r="G83" s="1886">
        <v>0</v>
      </c>
      <c r="H83" s="1886"/>
      <c r="I83" s="1886">
        <v>0</v>
      </c>
      <c r="J83" s="1886"/>
      <c r="K83" s="1886">
        <v>0</v>
      </c>
      <c r="L83" s="1886"/>
      <c r="M83" s="2426">
        <f t="shared" si="1"/>
        <v>0</v>
      </c>
      <c r="N83" s="1886"/>
      <c r="O83" s="3444">
        <v>0</v>
      </c>
      <c r="P83" s="1245"/>
    </row>
    <row r="84" spans="2:16" s="985" customFormat="1" ht="15.75">
      <c r="B84" s="2885">
        <v>32302</v>
      </c>
      <c r="C84" s="1885"/>
      <c r="D84" s="1234" t="s">
        <v>1301</v>
      </c>
      <c r="E84" s="1237"/>
      <c r="F84" s="1886">
        <v>0</v>
      </c>
      <c r="G84" s="1886">
        <v>0</v>
      </c>
      <c r="H84" s="1886"/>
      <c r="I84" s="1886">
        <v>0</v>
      </c>
      <c r="J84" s="1886"/>
      <c r="K84" s="1886">
        <v>0</v>
      </c>
      <c r="L84" s="1886"/>
      <c r="M84" s="2426">
        <f t="shared" si="1"/>
        <v>0</v>
      </c>
      <c r="N84" s="1886"/>
      <c r="O84" s="3444">
        <v>0</v>
      </c>
      <c r="P84" s="1245"/>
    </row>
    <row r="85" spans="2:16" s="985" customFormat="1" ht="15.75">
      <c r="B85" s="2885">
        <v>32303</v>
      </c>
      <c r="C85" s="1885"/>
      <c r="D85" s="1228" t="s">
        <v>846</v>
      </c>
      <c r="E85" s="1237"/>
      <c r="F85" s="1886">
        <v>87723047.260000005</v>
      </c>
      <c r="G85" s="1886">
        <v>110874715.43000001</v>
      </c>
      <c r="H85" s="1886"/>
      <c r="I85" s="1886">
        <v>115467374.33</v>
      </c>
      <c r="J85" s="1886"/>
      <c r="K85" s="1886">
        <v>119060085.34999999</v>
      </c>
      <c r="L85" s="1886"/>
      <c r="M85" s="2426">
        <f t="shared" si="1"/>
        <v>2294916.5</v>
      </c>
      <c r="N85" s="1886"/>
      <c r="O85" s="3444">
        <v>121355001.84999999</v>
      </c>
      <c r="P85" s="1245"/>
    </row>
    <row r="86" spans="2:16" s="985" customFormat="1" ht="15.75">
      <c r="B86" s="2885">
        <v>32304</v>
      </c>
      <c r="C86" s="1885"/>
      <c r="D86" s="1228" t="s">
        <v>1302</v>
      </c>
      <c r="E86" s="1237"/>
      <c r="F86" s="1886">
        <v>0</v>
      </c>
      <c r="G86" s="1886">
        <v>0</v>
      </c>
      <c r="H86" s="1886"/>
      <c r="I86" s="1886">
        <v>0</v>
      </c>
      <c r="J86" s="1886"/>
      <c r="K86" s="1886">
        <v>0</v>
      </c>
      <c r="L86" s="1886"/>
      <c r="M86" s="2426">
        <f t="shared" si="1"/>
        <v>0</v>
      </c>
      <c r="N86" s="1886"/>
      <c r="O86" s="3444">
        <v>0</v>
      </c>
      <c r="P86" s="1245"/>
    </row>
    <row r="87" spans="2:16" s="985" customFormat="1" ht="15.75">
      <c r="B87" s="2885">
        <v>32305</v>
      </c>
      <c r="C87" s="1885"/>
      <c r="D87" s="1228" t="s">
        <v>847</v>
      </c>
      <c r="E87" s="1237"/>
      <c r="F87" s="1886">
        <v>172362230.61000001</v>
      </c>
      <c r="G87" s="1886">
        <v>175347705.94999999</v>
      </c>
      <c r="H87" s="1886"/>
      <c r="I87" s="1886">
        <v>173878404.40000001</v>
      </c>
      <c r="J87" s="1886"/>
      <c r="K87" s="1886">
        <v>173524511.81999999</v>
      </c>
      <c r="L87" s="1886"/>
      <c r="M87" s="2426">
        <f t="shared" si="1"/>
        <v>599523.86</v>
      </c>
      <c r="N87" s="1886"/>
      <c r="O87" s="3444">
        <v>174124035.68000001</v>
      </c>
      <c r="P87" s="1245"/>
    </row>
    <row r="88" spans="2:16" s="985" customFormat="1" ht="15.75">
      <c r="B88" s="2885">
        <v>32306</v>
      </c>
      <c r="C88" s="1885"/>
      <c r="D88" s="1234" t="s">
        <v>848</v>
      </c>
      <c r="E88" s="1237"/>
      <c r="F88" s="1886">
        <v>26767629.280000001</v>
      </c>
      <c r="G88" s="1886">
        <v>32752790.969999999</v>
      </c>
      <c r="H88" s="1886"/>
      <c r="I88" s="1886">
        <v>32768915.23</v>
      </c>
      <c r="J88" s="1886"/>
      <c r="K88" s="1886">
        <v>29756256.27</v>
      </c>
      <c r="L88" s="1886"/>
      <c r="M88" s="2426">
        <f t="shared" si="1"/>
        <v>249045.8</v>
      </c>
      <c r="N88" s="1886"/>
      <c r="O88" s="3444">
        <v>30005302.07</v>
      </c>
      <c r="P88" s="1245"/>
    </row>
    <row r="89" spans="2:16" s="985" customFormat="1" ht="15.75">
      <c r="B89" s="2885">
        <v>32307</v>
      </c>
      <c r="C89" s="1885"/>
      <c r="D89" s="1234" t="s">
        <v>849</v>
      </c>
      <c r="E89" s="1237"/>
      <c r="F89" s="1886">
        <v>5430710.0300000003</v>
      </c>
      <c r="G89" s="1886">
        <v>6791126.3099999996</v>
      </c>
      <c r="H89" s="1886"/>
      <c r="I89" s="1886">
        <v>6791126.3099999996</v>
      </c>
      <c r="J89" s="1886"/>
      <c r="K89" s="1886">
        <v>2772711.62</v>
      </c>
      <c r="L89" s="1886"/>
      <c r="M89" s="2426">
        <f t="shared" si="1"/>
        <v>0</v>
      </c>
      <c r="N89" s="1886"/>
      <c r="O89" s="3444">
        <v>2772711.62</v>
      </c>
      <c r="P89" s="1245"/>
    </row>
    <row r="90" spans="2:16" s="985" customFormat="1" ht="15.75">
      <c r="B90" s="2885">
        <v>32308</v>
      </c>
      <c r="C90" s="1885"/>
      <c r="D90" s="1234" t="s">
        <v>850</v>
      </c>
      <c r="E90" s="1237"/>
      <c r="F90" s="1886">
        <v>539890.44999999995</v>
      </c>
      <c r="G90" s="1886">
        <v>578545.68999999994</v>
      </c>
      <c r="H90" s="1886"/>
      <c r="I90" s="1886">
        <v>578545.68999999994</v>
      </c>
      <c r="J90" s="1886"/>
      <c r="K90" s="1886">
        <v>165276.03</v>
      </c>
      <c r="L90" s="1886"/>
      <c r="M90" s="2426">
        <f t="shared" si="1"/>
        <v>399500</v>
      </c>
      <c r="N90" s="1886"/>
      <c r="O90" s="3444">
        <v>564776.03</v>
      </c>
      <c r="P90" s="1245"/>
    </row>
    <row r="91" spans="2:16" s="985" customFormat="1" ht="15.75">
      <c r="B91" s="2885">
        <v>32309</v>
      </c>
      <c r="C91" s="1885"/>
      <c r="D91" s="1234" t="s">
        <v>851</v>
      </c>
      <c r="E91" s="1237"/>
      <c r="F91" s="1886">
        <v>104401100.42</v>
      </c>
      <c r="G91" s="1886">
        <v>115854028.92</v>
      </c>
      <c r="H91" s="1886"/>
      <c r="I91" s="1886">
        <v>90746842.939999998</v>
      </c>
      <c r="J91" s="1886"/>
      <c r="K91" s="1886">
        <v>94613093.090000004</v>
      </c>
      <c r="L91" s="1886"/>
      <c r="M91" s="2426">
        <f t="shared" si="1"/>
        <v>6527784.3899999997</v>
      </c>
      <c r="N91" s="1886"/>
      <c r="O91" s="3444">
        <v>101140877.48</v>
      </c>
      <c r="P91" s="1245"/>
    </row>
    <row r="92" spans="2:16" s="985" customFormat="1" ht="15.75">
      <c r="B92" s="2885">
        <v>32310</v>
      </c>
      <c r="C92" s="1885"/>
      <c r="D92" s="1234" t="s">
        <v>852</v>
      </c>
      <c r="E92" s="1237"/>
      <c r="F92" s="1886">
        <v>0</v>
      </c>
      <c r="G92" s="1886">
        <v>0</v>
      </c>
      <c r="H92" s="1886"/>
      <c r="I92" s="1886">
        <v>0</v>
      </c>
      <c r="J92" s="1886"/>
      <c r="K92" s="1886">
        <v>0</v>
      </c>
      <c r="L92" s="1886"/>
      <c r="M92" s="2426">
        <f t="shared" si="1"/>
        <v>0</v>
      </c>
      <c r="N92" s="1886"/>
      <c r="O92" s="3444">
        <v>0</v>
      </c>
      <c r="P92" s="1245"/>
    </row>
    <row r="93" spans="2:16" s="985" customFormat="1" ht="17.25">
      <c r="B93" s="2885">
        <v>32311</v>
      </c>
      <c r="C93" s="1885"/>
      <c r="D93" s="1887" t="s">
        <v>853</v>
      </c>
      <c r="E93" s="1237"/>
      <c r="F93" s="1886">
        <v>2486315.4700000002</v>
      </c>
      <c r="G93" s="1886">
        <v>1644806.78</v>
      </c>
      <c r="H93" s="1886"/>
      <c r="I93" s="1886">
        <v>1729169.4</v>
      </c>
      <c r="J93" s="1886"/>
      <c r="K93" s="1886">
        <v>1797798.02</v>
      </c>
      <c r="L93" s="1886"/>
      <c r="M93" s="2426">
        <f t="shared" si="1"/>
        <v>55647.94</v>
      </c>
      <c r="N93" s="1886"/>
      <c r="O93" s="3444">
        <v>1853445.96</v>
      </c>
      <c r="P93" s="1245"/>
    </row>
    <row r="94" spans="2:16" s="985" customFormat="1" ht="15.75">
      <c r="B94" s="2885">
        <v>32351</v>
      </c>
      <c r="C94" s="1885"/>
      <c r="D94" s="1234" t="s">
        <v>854</v>
      </c>
      <c r="E94" s="1237"/>
      <c r="F94" s="1886">
        <v>11110.01</v>
      </c>
      <c r="G94" s="1886">
        <v>0</v>
      </c>
      <c r="H94" s="1886"/>
      <c r="I94" s="1886">
        <v>0</v>
      </c>
      <c r="J94" s="1886"/>
      <c r="K94" s="1886">
        <v>0</v>
      </c>
      <c r="L94" s="1886"/>
      <c r="M94" s="2426">
        <f t="shared" si="1"/>
        <v>0</v>
      </c>
      <c r="N94" s="1886"/>
      <c r="O94" s="3444">
        <v>0</v>
      </c>
      <c r="P94" s="1245"/>
    </row>
    <row r="95" spans="2:16" s="985" customFormat="1" ht="15.75">
      <c r="B95" s="2885">
        <v>32352</v>
      </c>
      <c r="C95" s="1885"/>
      <c r="D95" s="1228" t="s">
        <v>855</v>
      </c>
      <c r="E95" s="1237"/>
      <c r="F95" s="1886">
        <v>65245293.57</v>
      </c>
      <c r="G95" s="1886">
        <v>72088609.379999995</v>
      </c>
      <c r="H95" s="1886"/>
      <c r="I95" s="1886">
        <v>39009180.719999999</v>
      </c>
      <c r="J95" s="1886"/>
      <c r="K95" s="1886">
        <v>51446414.920000002</v>
      </c>
      <c r="L95" s="1886"/>
      <c r="M95" s="2426">
        <f t="shared" si="1"/>
        <v>27138013.920000002</v>
      </c>
      <c r="N95" s="1886"/>
      <c r="O95" s="3444">
        <v>78584428.840000004</v>
      </c>
      <c r="P95" s="1318"/>
    </row>
    <row r="96" spans="2:16" s="985" customFormat="1" ht="15.75">
      <c r="B96" s="2885">
        <v>33001</v>
      </c>
      <c r="C96" s="1885"/>
      <c r="D96" s="1228" t="s">
        <v>856</v>
      </c>
      <c r="E96" s="1237"/>
      <c r="F96" s="1886">
        <v>10000000</v>
      </c>
      <c r="G96" s="1886">
        <v>1126.05</v>
      </c>
      <c r="H96" s="1886"/>
      <c r="I96" s="1886">
        <v>43372491.810000002</v>
      </c>
      <c r="J96" s="1886"/>
      <c r="K96" s="1886">
        <v>43372491.810000002</v>
      </c>
      <c r="L96" s="1886"/>
      <c r="M96" s="2426">
        <f t="shared" si="1"/>
        <v>390772.23</v>
      </c>
      <c r="N96" s="1886"/>
      <c r="O96" s="3444">
        <v>43763264.039999999</v>
      </c>
      <c r="P96" s="1245"/>
    </row>
    <row r="97" spans="2:16" s="985" customFormat="1" ht="16.5" thickBot="1">
      <c r="B97" s="1669"/>
      <c r="C97" s="1670"/>
      <c r="D97" s="1231" t="s">
        <v>857</v>
      </c>
      <c r="E97" s="1308"/>
      <c r="F97" s="1308"/>
      <c r="G97" s="2428">
        <f>ROUND(SUM(G14:G96),2)</f>
        <v>1528597135.3699999</v>
      </c>
      <c r="H97" s="2890"/>
      <c r="I97" s="2428">
        <f>ROUND(SUM(I14:I96),2)</f>
        <v>1029229405.6</v>
      </c>
      <c r="J97" s="2890"/>
      <c r="K97" s="2428">
        <f>ROUND(SUM(K14:K96),2)</f>
        <v>1102156404.97</v>
      </c>
      <c r="L97" s="2890"/>
      <c r="M97" s="2428">
        <f>ROUND(SUM(M14:M96),2)</f>
        <v>96543252.969999999</v>
      </c>
      <c r="N97" s="2890"/>
      <c r="O97" s="3445">
        <v>1198699657.9400001</v>
      </c>
      <c r="P97" s="1245"/>
    </row>
    <row r="98" spans="2:16" s="985" customFormat="1" ht="16.5" thickTop="1">
      <c r="B98" s="1671"/>
      <c r="C98" s="1671"/>
      <c r="D98" s="1672"/>
      <c r="E98" s="1313"/>
      <c r="F98" s="1313"/>
      <c r="G98" s="1673"/>
      <c r="H98" s="1201"/>
      <c r="I98" s="1673"/>
      <c r="J98" s="1201"/>
      <c r="K98" s="1673"/>
      <c r="L98" s="1201"/>
      <c r="M98" s="1674"/>
      <c r="N98" s="1675"/>
      <c r="O98" s="1673"/>
      <c r="P98" s="1319"/>
    </row>
    <row r="99" spans="2:16" s="985" customFormat="1" ht="15.75">
      <c r="B99" s="1412"/>
      <c r="C99" s="1670"/>
      <c r="D99" s="1676" t="s">
        <v>858</v>
      </c>
      <c r="E99" s="1677"/>
      <c r="F99" s="1677"/>
      <c r="G99" s="1667"/>
      <c r="H99" s="1667"/>
      <c r="I99" s="1667"/>
      <c r="J99" s="1667"/>
      <c r="K99" s="1667"/>
      <c r="L99" s="1667"/>
      <c r="M99" s="2943"/>
      <c r="N99" s="1678"/>
      <c r="O99" s="1667"/>
      <c r="P99" s="1313"/>
    </row>
    <row r="100" spans="2:16" s="985" customFormat="1" ht="15.75">
      <c r="B100" s="2688">
        <v>20451</v>
      </c>
      <c r="C100" s="1671"/>
      <c r="D100" s="1240" t="s">
        <v>859</v>
      </c>
      <c r="E100" s="1313"/>
      <c r="F100" s="1313"/>
      <c r="G100" s="1679">
        <v>0</v>
      </c>
      <c r="H100" s="1667"/>
      <c r="I100" s="1886">
        <v>0</v>
      </c>
      <c r="J100" s="1667"/>
      <c r="K100" s="1886">
        <v>0</v>
      </c>
      <c r="L100" s="1667"/>
      <c r="M100" s="2426">
        <f t="shared" ref="M100:M162" si="2">ROUND(SUM(O100)-SUM(K100),2)</f>
        <v>0</v>
      </c>
      <c r="N100" s="1679"/>
      <c r="O100" s="3444">
        <v>0</v>
      </c>
      <c r="P100" s="1313"/>
    </row>
    <row r="101" spans="2:16" s="985" customFormat="1" ht="15.75">
      <c r="B101" s="2885">
        <v>20452</v>
      </c>
      <c r="C101" s="1412"/>
      <c r="D101" s="1228" t="s">
        <v>860</v>
      </c>
      <c r="E101"/>
      <c r="F101" s="1412"/>
      <c r="G101" s="1886">
        <v>0</v>
      </c>
      <c r="H101" s="1667"/>
      <c r="I101" s="1886">
        <v>0</v>
      </c>
      <c r="J101" s="1667"/>
      <c r="K101" s="1886">
        <v>0</v>
      </c>
      <c r="L101" s="1667"/>
      <c r="M101" s="2426">
        <f t="shared" si="2"/>
        <v>0</v>
      </c>
      <c r="N101" s="1667"/>
      <c r="O101" s="3444">
        <v>0</v>
      </c>
      <c r="P101" s="1245"/>
    </row>
    <row r="102" spans="2:16" s="985" customFormat="1" ht="15.75">
      <c r="B102" s="2885">
        <v>20501</v>
      </c>
      <c r="C102" s="1680"/>
      <c r="D102" s="1228" t="s">
        <v>861</v>
      </c>
      <c r="E102" s="1668"/>
      <c r="F102" s="1668"/>
      <c r="G102" s="1886">
        <v>0</v>
      </c>
      <c r="H102" s="1667"/>
      <c r="I102" s="1886">
        <v>0</v>
      </c>
      <c r="J102" s="1667"/>
      <c r="K102" s="1886">
        <v>0</v>
      </c>
      <c r="L102" s="1667"/>
      <c r="M102" s="2426">
        <f t="shared" si="2"/>
        <v>0</v>
      </c>
      <c r="N102" s="1667"/>
      <c r="O102" s="3444">
        <v>0</v>
      </c>
      <c r="P102" s="1245"/>
    </row>
    <row r="103" spans="2:16" s="985" customFormat="1" ht="15.75">
      <c r="B103" s="2885">
        <v>20810</v>
      </c>
      <c r="C103" s="1235"/>
      <c r="D103" s="1239" t="s">
        <v>862</v>
      </c>
      <c r="E103" s="1237"/>
      <c r="F103" s="1237"/>
      <c r="G103" s="1886">
        <v>263221.86</v>
      </c>
      <c r="H103" s="1667"/>
      <c r="I103" s="1886">
        <v>0</v>
      </c>
      <c r="J103" s="1667"/>
      <c r="K103" s="1886">
        <v>16644204.18</v>
      </c>
      <c r="L103" s="1667"/>
      <c r="M103" s="2426">
        <f t="shared" si="2"/>
        <v>23585978.629999999</v>
      </c>
      <c r="N103" s="1667"/>
      <c r="O103" s="3444">
        <v>40230182.810000002</v>
      </c>
      <c r="P103" s="1245"/>
    </row>
    <row r="104" spans="2:16" s="985" customFormat="1" ht="15.75">
      <c r="B104" s="2885">
        <v>20812</v>
      </c>
      <c r="C104" s="1235"/>
      <c r="D104" s="1239" t="s">
        <v>863</v>
      </c>
      <c r="E104" s="1237"/>
      <c r="F104" s="1237"/>
      <c r="G104" s="1886">
        <v>0</v>
      </c>
      <c r="H104" s="1667"/>
      <c r="I104" s="1886">
        <v>0</v>
      </c>
      <c r="J104" s="1667"/>
      <c r="K104" s="1886">
        <v>0</v>
      </c>
      <c r="L104" s="1667"/>
      <c r="M104" s="2426">
        <f t="shared" si="2"/>
        <v>0</v>
      </c>
      <c r="N104" s="1667"/>
      <c r="O104" s="3444">
        <v>0</v>
      </c>
      <c r="P104" s="1719" t="s">
        <v>1567</v>
      </c>
    </row>
    <row r="105" spans="2:16" s="985" customFormat="1" ht="15.75">
      <c r="B105" s="2885">
        <v>20818</v>
      </c>
      <c r="C105" s="1235"/>
      <c r="D105" s="1239" t="s">
        <v>864</v>
      </c>
      <c r="E105" s="1237"/>
      <c r="F105" s="1237"/>
      <c r="G105" s="1886">
        <v>8298779.8200000003</v>
      </c>
      <c r="H105" s="1667"/>
      <c r="I105" s="1886">
        <v>0</v>
      </c>
      <c r="J105" s="1667"/>
      <c r="K105" s="1886">
        <v>0</v>
      </c>
      <c r="L105" s="1667"/>
      <c r="M105" s="2426">
        <f t="shared" si="2"/>
        <v>11102592.789999999</v>
      </c>
      <c r="N105" s="1667"/>
      <c r="O105" s="3444">
        <v>11102592.789999999</v>
      </c>
      <c r="P105" s="1245"/>
    </row>
    <row r="106" spans="2:16" s="985" customFormat="1" ht="15.75">
      <c r="B106" s="2885">
        <v>20901</v>
      </c>
      <c r="C106" s="1235"/>
      <c r="D106" s="1239" t="s">
        <v>865</v>
      </c>
      <c r="E106" s="1237"/>
      <c r="F106" s="1237"/>
      <c r="G106" s="1886">
        <v>583824250.51999998</v>
      </c>
      <c r="H106" s="1667"/>
      <c r="I106" s="1886">
        <v>0</v>
      </c>
      <c r="J106" s="1667"/>
      <c r="K106" s="1886">
        <v>0</v>
      </c>
      <c r="L106" s="1667"/>
      <c r="M106" s="2426">
        <f t="shared" si="2"/>
        <v>0</v>
      </c>
      <c r="N106" s="1667"/>
      <c r="O106" s="3444">
        <v>0</v>
      </c>
      <c r="P106" s="1245"/>
    </row>
    <row r="107" spans="2:16" s="985" customFormat="1" ht="15.75">
      <c r="B107" s="2885">
        <v>20904</v>
      </c>
      <c r="C107" s="1232"/>
      <c r="D107" s="1240" t="s">
        <v>866</v>
      </c>
      <c r="E107" s="1244"/>
      <c r="F107" s="1244"/>
      <c r="G107" s="1886">
        <v>10840980.76</v>
      </c>
      <c r="H107" s="1667"/>
      <c r="I107" s="1886">
        <v>0</v>
      </c>
      <c r="J107" s="1667"/>
      <c r="K107" s="1886">
        <v>0</v>
      </c>
      <c r="L107" s="1667"/>
      <c r="M107" s="2426">
        <f t="shared" si="2"/>
        <v>0</v>
      </c>
      <c r="N107" s="1667"/>
      <c r="O107" s="3444">
        <v>0</v>
      </c>
      <c r="P107" s="1245"/>
    </row>
    <row r="108" spans="2:16" s="985" customFormat="1" ht="15.75">
      <c r="B108" s="2885">
        <v>21001</v>
      </c>
      <c r="C108" s="1235"/>
      <c r="D108" s="1241" t="s">
        <v>867</v>
      </c>
      <c r="E108" s="1237"/>
      <c r="F108" s="1237"/>
      <c r="G108" s="1886">
        <v>0</v>
      </c>
      <c r="H108" s="1667"/>
      <c r="I108" s="1886">
        <v>0</v>
      </c>
      <c r="J108" s="1667"/>
      <c r="K108" s="1886">
        <v>0</v>
      </c>
      <c r="L108" s="1667"/>
      <c r="M108" s="2426">
        <f t="shared" si="2"/>
        <v>0</v>
      </c>
      <c r="N108" s="1667"/>
      <c r="O108" s="3444">
        <v>0</v>
      </c>
      <c r="P108" s="1245"/>
    </row>
    <row r="109" spans="2:16" s="985" customFormat="1" ht="15.75">
      <c r="B109" s="2885">
        <v>21002</v>
      </c>
      <c r="C109" s="1235"/>
      <c r="D109" s="1239" t="s">
        <v>868</v>
      </c>
      <c r="E109" s="1237"/>
      <c r="F109" s="1237"/>
      <c r="G109" s="1886">
        <v>4958553.9800000004</v>
      </c>
      <c r="H109" s="1667"/>
      <c r="I109" s="1886">
        <v>765793.87</v>
      </c>
      <c r="J109" s="1667"/>
      <c r="K109" s="1886">
        <v>0</v>
      </c>
      <c r="L109" s="1667"/>
      <c r="M109" s="2426">
        <f t="shared" si="2"/>
        <v>2240337.61</v>
      </c>
      <c r="N109" s="1667"/>
      <c r="O109" s="3444">
        <v>2240337.61</v>
      </c>
      <c r="P109" s="1245"/>
    </row>
    <row r="110" spans="2:16" s="985" customFormat="1" ht="15.75">
      <c r="B110" s="2885">
        <v>21061</v>
      </c>
      <c r="C110" s="1235"/>
      <c r="D110" s="1239" t="s">
        <v>869</v>
      </c>
      <c r="E110" s="1237"/>
      <c r="F110" s="1237"/>
      <c r="G110" s="1886">
        <v>0</v>
      </c>
      <c r="H110" s="1667"/>
      <c r="I110" s="1886">
        <v>0</v>
      </c>
      <c r="J110" s="1667"/>
      <c r="K110" s="1886">
        <v>0</v>
      </c>
      <c r="L110" s="1667"/>
      <c r="M110" s="2426">
        <f t="shared" si="2"/>
        <v>0</v>
      </c>
      <c r="N110" s="1667"/>
      <c r="O110" s="3444">
        <v>0</v>
      </c>
      <c r="P110" s="1245"/>
    </row>
    <row r="111" spans="2:16" s="985" customFormat="1" ht="15.75">
      <c r="B111" s="2885">
        <v>21065</v>
      </c>
      <c r="C111" s="1235"/>
      <c r="D111" s="1239" t="s">
        <v>870</v>
      </c>
      <c r="E111" s="1237"/>
      <c r="F111" s="1237"/>
      <c r="G111" s="1886">
        <v>2543249.06</v>
      </c>
      <c r="H111" s="1667"/>
      <c r="I111" s="1886">
        <v>0</v>
      </c>
      <c r="J111" s="1667"/>
      <c r="K111" s="1886">
        <v>0</v>
      </c>
      <c r="L111" s="1667"/>
      <c r="M111" s="2426">
        <f t="shared" si="2"/>
        <v>0</v>
      </c>
      <c r="N111" s="1667"/>
      <c r="O111" s="3444">
        <v>0</v>
      </c>
      <c r="P111" s="1245"/>
    </row>
    <row r="112" spans="2:16" s="985" customFormat="1" ht="15.75">
      <c r="B112" s="2885">
        <v>21066</v>
      </c>
      <c r="C112" s="1235"/>
      <c r="D112" s="1236" t="s">
        <v>871</v>
      </c>
      <c r="E112" s="1237"/>
      <c r="F112" s="1237"/>
      <c r="G112" s="1886">
        <v>4685410.72</v>
      </c>
      <c r="H112" s="1667"/>
      <c r="I112" s="1886">
        <v>3987774.28</v>
      </c>
      <c r="J112" s="1667"/>
      <c r="K112" s="1886">
        <v>4124506.6</v>
      </c>
      <c r="L112" s="1667"/>
      <c r="M112" s="2426">
        <f t="shared" si="2"/>
        <v>-440850.38</v>
      </c>
      <c r="N112" s="1667"/>
      <c r="O112" s="3444">
        <v>3683656.22</v>
      </c>
      <c r="P112" s="1245"/>
    </row>
    <row r="113" spans="2:16" s="985" customFormat="1" ht="15.75">
      <c r="B113" s="2885">
        <v>21067</v>
      </c>
      <c r="C113" s="1235"/>
      <c r="D113" s="1236" t="s">
        <v>872</v>
      </c>
      <c r="E113" s="1237"/>
      <c r="F113" s="1237"/>
      <c r="G113" s="1886">
        <v>10314790.140000001</v>
      </c>
      <c r="H113" s="1667"/>
      <c r="I113" s="1886">
        <v>9998179.6600000001</v>
      </c>
      <c r="J113" s="1667"/>
      <c r="K113" s="1886">
        <v>10663502.939999999</v>
      </c>
      <c r="L113" s="1667"/>
      <c r="M113" s="2426">
        <f t="shared" si="2"/>
        <v>-402252.41</v>
      </c>
      <c r="N113" s="1667"/>
      <c r="O113" s="3444">
        <v>10261250.529999999</v>
      </c>
      <c r="P113" s="1245"/>
    </row>
    <row r="114" spans="2:16" s="985" customFormat="1" ht="15.75">
      <c r="B114" s="2885">
        <v>21077</v>
      </c>
      <c r="C114" s="1235"/>
      <c r="D114" s="1239" t="s">
        <v>873</v>
      </c>
      <c r="E114" s="1237"/>
      <c r="F114" s="1237"/>
      <c r="G114" s="1886">
        <v>0</v>
      </c>
      <c r="H114" s="1667"/>
      <c r="I114" s="1886">
        <v>13976.59</v>
      </c>
      <c r="J114" s="1667"/>
      <c r="K114" s="1886">
        <v>506.59</v>
      </c>
      <c r="L114" s="1667"/>
      <c r="M114" s="2426">
        <f t="shared" si="2"/>
        <v>0</v>
      </c>
      <c r="N114" s="1667"/>
      <c r="O114" s="3444">
        <v>506.59</v>
      </c>
      <c r="P114" s="1245"/>
    </row>
    <row r="115" spans="2:16" s="985" customFormat="1" ht="15.75">
      <c r="B115" s="2885">
        <v>21080</v>
      </c>
      <c r="C115" s="1235"/>
      <c r="D115" s="1236" t="s">
        <v>874</v>
      </c>
      <c r="E115" s="1237"/>
      <c r="F115" s="1237"/>
      <c r="G115" s="1886">
        <v>0</v>
      </c>
      <c r="H115" s="1667"/>
      <c r="I115" s="1886">
        <v>0</v>
      </c>
      <c r="J115" s="1667"/>
      <c r="K115" s="1886">
        <v>0</v>
      </c>
      <c r="L115" s="1667"/>
      <c r="M115" s="2426">
        <f t="shared" si="2"/>
        <v>0</v>
      </c>
      <c r="N115" s="1667"/>
      <c r="O115" s="3444">
        <v>0</v>
      </c>
      <c r="P115" s="1719" t="s">
        <v>1567</v>
      </c>
    </row>
    <row r="116" spans="2:16" s="985" customFormat="1" ht="15.75">
      <c r="B116" s="2885">
        <v>21081</v>
      </c>
      <c r="C116" s="1235"/>
      <c r="D116" s="1236" t="s">
        <v>875</v>
      </c>
      <c r="E116" s="1237"/>
      <c r="F116" s="1237"/>
      <c r="G116" s="1886">
        <v>27801669.609999999</v>
      </c>
      <c r="H116" s="1667"/>
      <c r="I116" s="1886">
        <v>28848817.48</v>
      </c>
      <c r="J116" s="1667"/>
      <c r="K116" s="1886">
        <v>28465614.960000001</v>
      </c>
      <c r="L116" s="1667"/>
      <c r="M116" s="2426">
        <f t="shared" si="2"/>
        <v>2069110.88</v>
      </c>
      <c r="N116" s="1667"/>
      <c r="O116" s="3444">
        <v>30534725.84</v>
      </c>
      <c r="P116" s="1245"/>
    </row>
    <row r="117" spans="2:16" s="985" customFormat="1" ht="15.75">
      <c r="B117" s="2885">
        <v>21082</v>
      </c>
      <c r="C117" s="1235"/>
      <c r="D117" s="1239" t="s">
        <v>876</v>
      </c>
      <c r="E117" s="1237"/>
      <c r="F117" s="1237"/>
      <c r="G117" s="1886">
        <v>20417064.469999999</v>
      </c>
      <c r="H117" s="1667"/>
      <c r="I117" s="1886">
        <v>19664316.02</v>
      </c>
      <c r="J117" s="1667"/>
      <c r="K117" s="1886">
        <v>19294891.5</v>
      </c>
      <c r="L117" s="1667"/>
      <c r="M117" s="2426">
        <f t="shared" si="2"/>
        <v>495962.93</v>
      </c>
      <c r="N117" s="1667"/>
      <c r="O117" s="3444">
        <v>19790854.43</v>
      </c>
      <c r="P117" s="1245"/>
    </row>
    <row r="118" spans="2:16" s="985" customFormat="1" ht="15.75">
      <c r="B118" s="2885">
        <v>21084</v>
      </c>
      <c r="C118" s="1235"/>
      <c r="D118" s="1239" t="s">
        <v>877</v>
      </c>
      <c r="E118" s="1237"/>
      <c r="F118" s="1237"/>
      <c r="G118" s="1886">
        <v>0</v>
      </c>
      <c r="H118" s="1667"/>
      <c r="I118" s="1886">
        <v>0</v>
      </c>
      <c r="J118" s="1667"/>
      <c r="K118" s="1886">
        <v>0</v>
      </c>
      <c r="L118" s="1667"/>
      <c r="M118" s="2426">
        <f t="shared" si="2"/>
        <v>0</v>
      </c>
      <c r="N118" s="1667"/>
      <c r="O118" s="3444">
        <v>0</v>
      </c>
      <c r="P118" s="1245"/>
    </row>
    <row r="119" spans="2:16" s="985" customFormat="1" ht="15.75">
      <c r="B119" s="2885">
        <v>21087</v>
      </c>
      <c r="C119" s="1235"/>
      <c r="D119" s="1239" t="s">
        <v>878</v>
      </c>
      <c r="E119" s="1237"/>
      <c r="F119" s="1237"/>
      <c r="G119" s="1886">
        <v>0</v>
      </c>
      <c r="H119" s="1667"/>
      <c r="I119" s="1886">
        <v>0</v>
      </c>
      <c r="J119" s="1667"/>
      <c r="K119" s="1886">
        <v>0</v>
      </c>
      <c r="L119" s="1667"/>
      <c r="M119" s="2426">
        <f t="shared" si="2"/>
        <v>0</v>
      </c>
      <c r="N119" s="1667"/>
      <c r="O119" s="3444">
        <v>0</v>
      </c>
      <c r="P119" s="1245"/>
    </row>
    <row r="120" spans="2:16" s="985" customFormat="1" ht="15.75">
      <c r="B120" s="2885">
        <v>21201</v>
      </c>
      <c r="C120" s="1235"/>
      <c r="D120" s="1239" t="s">
        <v>879</v>
      </c>
      <c r="E120" s="1237"/>
      <c r="F120" s="1237"/>
      <c r="G120" s="1886">
        <v>865171.28</v>
      </c>
      <c r="H120" s="1667"/>
      <c r="I120" s="1886">
        <v>0</v>
      </c>
      <c r="J120" s="1667"/>
      <c r="K120" s="1886">
        <v>41791.910000000003</v>
      </c>
      <c r="L120" s="1667"/>
      <c r="M120" s="2426">
        <f t="shared" si="2"/>
        <v>115233.49</v>
      </c>
      <c r="N120" s="1667"/>
      <c r="O120" s="3444">
        <v>157025.4</v>
      </c>
      <c r="P120" s="1245"/>
    </row>
    <row r="121" spans="2:16" s="985" customFormat="1" ht="15.75">
      <c r="B121" s="2885">
        <v>21202</v>
      </c>
      <c r="C121" s="1235"/>
      <c r="D121" s="1239" t="s">
        <v>880</v>
      </c>
      <c r="E121" s="1237"/>
      <c r="F121" s="1237"/>
      <c r="G121" s="1886">
        <v>278169.53000000003</v>
      </c>
      <c r="H121" s="1667"/>
      <c r="I121" s="1886">
        <v>0</v>
      </c>
      <c r="J121" s="1667"/>
      <c r="K121" s="1886">
        <v>35382.25</v>
      </c>
      <c r="L121" s="1667"/>
      <c r="M121" s="2426">
        <f t="shared" si="2"/>
        <v>13256.32</v>
      </c>
      <c r="N121" s="1667"/>
      <c r="O121" s="3444">
        <v>48638.57</v>
      </c>
      <c r="P121" s="1245"/>
    </row>
    <row r="122" spans="2:16" s="985" customFormat="1" ht="15.75">
      <c r="B122" s="2885">
        <v>21203</v>
      </c>
      <c r="C122" s="1235"/>
      <c r="D122" s="1239" t="s">
        <v>881</v>
      </c>
      <c r="E122" s="1237"/>
      <c r="F122" s="1237"/>
      <c r="G122" s="1886">
        <v>14955751.119999999</v>
      </c>
      <c r="H122" s="1667"/>
      <c r="I122" s="1886">
        <v>0</v>
      </c>
      <c r="J122" s="1667"/>
      <c r="K122" s="1886">
        <v>999524.65</v>
      </c>
      <c r="L122" s="1667"/>
      <c r="M122" s="2426">
        <f t="shared" si="2"/>
        <v>1899630.3</v>
      </c>
      <c r="N122" s="1667"/>
      <c r="O122" s="3444">
        <v>2899154.95</v>
      </c>
      <c r="P122" s="1245"/>
    </row>
    <row r="123" spans="2:16" s="985" customFormat="1" ht="15.75">
      <c r="B123" s="2885">
        <v>21204</v>
      </c>
      <c r="C123" s="1235"/>
      <c r="D123" s="1239" t="s">
        <v>882</v>
      </c>
      <c r="E123" s="1237"/>
      <c r="F123" s="1237"/>
      <c r="G123" s="1886">
        <v>0</v>
      </c>
      <c r="H123" s="1667"/>
      <c r="I123" s="1886">
        <v>0</v>
      </c>
      <c r="J123" s="1667"/>
      <c r="K123" s="1886">
        <v>0</v>
      </c>
      <c r="L123" s="1667"/>
      <c r="M123" s="2426">
        <f t="shared" si="2"/>
        <v>0</v>
      </c>
      <c r="N123" s="1667"/>
      <c r="O123" s="3444">
        <v>0</v>
      </c>
      <c r="P123" s="1245"/>
    </row>
    <row r="124" spans="2:16" s="985" customFormat="1" ht="15.75">
      <c r="B124" s="2885">
        <v>21205</v>
      </c>
      <c r="C124" s="1235"/>
      <c r="D124" s="1239" t="s">
        <v>883</v>
      </c>
      <c r="E124" s="1237"/>
      <c r="F124" s="1237"/>
      <c r="G124" s="1886">
        <v>0</v>
      </c>
      <c r="H124" s="1667"/>
      <c r="I124" s="1886">
        <v>0</v>
      </c>
      <c r="J124" s="1667"/>
      <c r="K124" s="1886">
        <v>0</v>
      </c>
      <c r="L124" s="1667"/>
      <c r="M124" s="2426">
        <f t="shared" si="2"/>
        <v>0</v>
      </c>
      <c r="N124" s="1667"/>
      <c r="O124" s="3444">
        <v>0</v>
      </c>
      <c r="P124" s="1245"/>
    </row>
    <row r="125" spans="2:16" s="985" customFormat="1" ht="15.75">
      <c r="B125" s="2885">
        <v>21401</v>
      </c>
      <c r="C125" s="1235"/>
      <c r="D125" s="1236" t="s">
        <v>884</v>
      </c>
      <c r="E125" s="1237"/>
      <c r="F125" s="1237"/>
      <c r="G125" s="1886">
        <v>23964639.16</v>
      </c>
      <c r="H125" s="1667"/>
      <c r="I125" s="1886">
        <v>9211336.7899999991</v>
      </c>
      <c r="J125" s="1667"/>
      <c r="K125" s="1886">
        <v>4510133.6100000003</v>
      </c>
      <c r="L125" s="1667"/>
      <c r="M125" s="2426">
        <f t="shared" si="2"/>
        <v>1135845.54</v>
      </c>
      <c r="N125" s="1667"/>
      <c r="O125" s="3444">
        <v>5645979.1500000004</v>
      </c>
      <c r="P125" s="1245"/>
    </row>
    <row r="126" spans="2:16" s="985" customFormat="1" ht="15.75">
      <c r="B126" s="2885">
        <v>21402</v>
      </c>
      <c r="C126" s="1235"/>
      <c r="D126" s="1236" t="s">
        <v>885</v>
      </c>
      <c r="E126" s="1237"/>
      <c r="F126" s="1237"/>
      <c r="G126" s="1886">
        <v>313056355.13999999</v>
      </c>
      <c r="H126" s="1667"/>
      <c r="I126" s="1886">
        <v>0</v>
      </c>
      <c r="J126" s="1667"/>
      <c r="K126" s="1886">
        <v>0</v>
      </c>
      <c r="L126" s="1667"/>
      <c r="M126" s="2426">
        <f t="shared" si="2"/>
        <v>0</v>
      </c>
      <c r="N126" s="1667"/>
      <c r="O126" s="3444">
        <v>0</v>
      </c>
      <c r="P126" s="1245"/>
    </row>
    <row r="127" spans="2:16" s="985" customFormat="1" ht="15.75">
      <c r="B127" s="2885">
        <v>21451</v>
      </c>
      <c r="C127" s="1235"/>
      <c r="D127" s="1236" t="s">
        <v>886</v>
      </c>
      <c r="E127" s="1237"/>
      <c r="F127" s="1237"/>
      <c r="G127" s="1886">
        <v>22175969.460000001</v>
      </c>
      <c r="H127" s="1667"/>
      <c r="I127" s="1886">
        <v>19996630.059999999</v>
      </c>
      <c r="J127" s="1667"/>
      <c r="K127" s="1886">
        <v>20427075.27</v>
      </c>
      <c r="L127" s="1667"/>
      <c r="M127" s="2426">
        <f t="shared" si="2"/>
        <v>762404.23</v>
      </c>
      <c r="N127" s="1667"/>
      <c r="O127" s="3444">
        <v>21189479.5</v>
      </c>
      <c r="P127" s="1245"/>
    </row>
    <row r="128" spans="2:16" s="985" customFormat="1" ht="15.75">
      <c r="B128" s="2885">
        <v>21452</v>
      </c>
      <c r="C128" s="1235"/>
      <c r="D128" s="1239" t="s">
        <v>887</v>
      </c>
      <c r="E128" s="1237"/>
      <c r="F128" s="1237"/>
      <c r="G128" s="1886">
        <v>1373281.96</v>
      </c>
      <c r="H128" s="1667"/>
      <c r="I128" s="1886">
        <v>257033.82</v>
      </c>
      <c r="J128" s="1667"/>
      <c r="K128" s="1886">
        <v>0</v>
      </c>
      <c r="L128" s="1667"/>
      <c r="M128" s="2426">
        <f t="shared" si="2"/>
        <v>0</v>
      </c>
      <c r="N128" s="1667"/>
      <c r="O128" s="3444">
        <v>0</v>
      </c>
      <c r="P128" s="1245"/>
    </row>
    <row r="129" spans="2:16" s="985" customFormat="1" ht="15.75">
      <c r="B129" s="2885">
        <v>21902</v>
      </c>
      <c r="C129" s="1235"/>
      <c r="D129" s="1236" t="s">
        <v>1613</v>
      </c>
      <c r="E129" s="1237"/>
      <c r="F129" s="1237"/>
      <c r="G129" s="1886">
        <v>0</v>
      </c>
      <c r="H129" s="1667"/>
      <c r="I129" s="1886">
        <v>0</v>
      </c>
      <c r="J129" s="1667"/>
      <c r="K129" s="1886">
        <v>0</v>
      </c>
      <c r="L129" s="1667"/>
      <c r="M129" s="2426">
        <f t="shared" si="2"/>
        <v>0</v>
      </c>
      <c r="N129" s="1667"/>
      <c r="O129" s="3444">
        <v>0</v>
      </c>
      <c r="P129" s="1245"/>
    </row>
    <row r="130" spans="2:16" s="985" customFormat="1" ht="17.25">
      <c r="B130" s="2885">
        <v>21903</v>
      </c>
      <c r="C130" s="1235"/>
      <c r="D130" s="1681" t="s">
        <v>888</v>
      </c>
      <c r="E130" s="1237"/>
      <c r="F130" s="1237"/>
      <c r="G130" s="1886">
        <v>79815000.569999993</v>
      </c>
      <c r="H130" s="1667"/>
      <c r="I130" s="1886">
        <v>0</v>
      </c>
      <c r="J130" s="1667"/>
      <c r="K130" s="1886">
        <v>321786.21999999997</v>
      </c>
      <c r="L130" s="1667"/>
      <c r="M130" s="2426">
        <f t="shared" si="2"/>
        <v>359768.15</v>
      </c>
      <c r="N130" s="1667"/>
      <c r="O130" s="3444">
        <v>681554.37</v>
      </c>
      <c r="P130" s="1245"/>
    </row>
    <row r="131" spans="2:16" s="985" customFormat="1" ht="15.75">
      <c r="B131" s="2885">
        <v>21907</v>
      </c>
      <c r="C131" s="1235"/>
      <c r="D131" s="1239" t="s">
        <v>889</v>
      </c>
      <c r="E131" s="1237"/>
      <c r="F131" s="1237"/>
      <c r="G131" s="1886">
        <v>0</v>
      </c>
      <c r="H131" s="1667"/>
      <c r="I131" s="1886">
        <v>0</v>
      </c>
      <c r="J131" s="1667"/>
      <c r="K131" s="1886">
        <v>38966818.469999999</v>
      </c>
      <c r="L131" s="1667"/>
      <c r="M131" s="2426">
        <f t="shared" si="2"/>
        <v>-38966818.469999999</v>
      </c>
      <c r="N131" s="1667"/>
      <c r="O131" s="3444">
        <v>0</v>
      </c>
      <c r="P131" s="1245"/>
    </row>
    <row r="132" spans="2:16" s="985" customFormat="1" ht="15.75">
      <c r="B132" s="2885">
        <v>21909</v>
      </c>
      <c r="C132" s="1235"/>
      <c r="D132" s="1239" t="s">
        <v>890</v>
      </c>
      <c r="E132" s="1237"/>
      <c r="F132" s="1237"/>
      <c r="G132" s="1886">
        <v>419724028.04000002</v>
      </c>
      <c r="H132" s="1667"/>
      <c r="I132" s="1886">
        <v>0</v>
      </c>
      <c r="J132" s="1667"/>
      <c r="K132" s="1886">
        <v>0</v>
      </c>
      <c r="L132" s="1667"/>
      <c r="M132" s="2426">
        <f t="shared" si="2"/>
        <v>0</v>
      </c>
      <c r="N132" s="1667"/>
      <c r="O132" s="3444">
        <v>0</v>
      </c>
      <c r="P132" s="1245"/>
    </row>
    <row r="133" spans="2:16" s="985" customFormat="1" ht="15.75">
      <c r="B133" s="2885">
        <v>21911</v>
      </c>
      <c r="C133" s="1235"/>
      <c r="D133" s="1239" t="s">
        <v>891</v>
      </c>
      <c r="E133" s="1237"/>
      <c r="F133" s="1237"/>
      <c r="G133" s="1886">
        <v>344324.03</v>
      </c>
      <c r="H133" s="1667"/>
      <c r="I133" s="1886">
        <v>633149.22</v>
      </c>
      <c r="J133" s="1667"/>
      <c r="K133" s="1886">
        <v>267508.71999999997</v>
      </c>
      <c r="L133" s="1667"/>
      <c r="M133" s="2426">
        <f t="shared" si="2"/>
        <v>105668.26</v>
      </c>
      <c r="N133" s="1667"/>
      <c r="O133" s="3444">
        <v>373176.98</v>
      </c>
      <c r="P133" s="1245"/>
    </row>
    <row r="134" spans="2:16" s="985" customFormat="1" ht="15.75">
      <c r="B134" s="2885">
        <v>21912</v>
      </c>
      <c r="C134" s="1235"/>
      <c r="D134" s="1236" t="s">
        <v>892</v>
      </c>
      <c r="E134" s="1237"/>
      <c r="F134" s="1237"/>
      <c r="G134" s="1886">
        <v>5137243.47</v>
      </c>
      <c r="H134" s="1667"/>
      <c r="I134" s="1886">
        <v>6196080.1600000001</v>
      </c>
      <c r="J134" s="1667"/>
      <c r="K134" s="1886">
        <v>5763318.6699999999</v>
      </c>
      <c r="L134" s="1667"/>
      <c r="M134" s="2426">
        <f t="shared" si="2"/>
        <v>506851.15</v>
      </c>
      <c r="N134" s="1667"/>
      <c r="O134" s="3444">
        <v>6270169.8200000003</v>
      </c>
      <c r="P134" s="1245"/>
    </row>
    <row r="135" spans="2:16" s="985" customFormat="1" ht="15.75">
      <c r="B135" s="2885">
        <v>21913</v>
      </c>
      <c r="C135" s="1235"/>
      <c r="D135" s="1239" t="s">
        <v>1226</v>
      </c>
      <c r="E135" s="1237"/>
      <c r="F135" s="1237"/>
      <c r="G135" s="1886">
        <v>16133410.35</v>
      </c>
      <c r="H135" s="1667"/>
      <c r="I135" s="1886">
        <v>14599802.84</v>
      </c>
      <c r="J135" s="1667"/>
      <c r="K135" s="1886">
        <v>13230746.720000001</v>
      </c>
      <c r="L135" s="1667"/>
      <c r="M135" s="2426">
        <f t="shared" si="2"/>
        <v>518986.63</v>
      </c>
      <c r="N135" s="1667"/>
      <c r="O135" s="3444">
        <v>13749733.35</v>
      </c>
      <c r="P135" s="1245"/>
    </row>
    <row r="136" spans="2:16" s="985" customFormat="1" ht="15.75">
      <c r="B136" s="2885">
        <v>21919</v>
      </c>
      <c r="C136" s="1235"/>
      <c r="D136" s="1236" t="s">
        <v>893</v>
      </c>
      <c r="E136" s="1237"/>
      <c r="F136" s="1237"/>
      <c r="G136" s="1886">
        <v>0</v>
      </c>
      <c r="H136" s="1667"/>
      <c r="I136" s="1886">
        <v>0</v>
      </c>
      <c r="J136" s="1667"/>
      <c r="K136" s="1886">
        <v>0</v>
      </c>
      <c r="L136" s="1667"/>
      <c r="M136" s="2426">
        <f t="shared" si="2"/>
        <v>0</v>
      </c>
      <c r="N136" s="1667"/>
      <c r="O136" s="3444">
        <v>0</v>
      </c>
      <c r="P136" s="1719" t="s">
        <v>1567</v>
      </c>
    </row>
    <row r="137" spans="2:16" s="985" customFormat="1" ht="15.75">
      <c r="B137" s="2885">
        <v>21937</v>
      </c>
      <c r="C137" s="1235"/>
      <c r="D137" s="1239" t="s">
        <v>894</v>
      </c>
      <c r="E137" s="1237"/>
      <c r="F137" s="1237"/>
      <c r="G137" s="1886">
        <v>528556.79</v>
      </c>
      <c r="H137" s="1667"/>
      <c r="I137" s="1886">
        <v>0</v>
      </c>
      <c r="J137" s="1667"/>
      <c r="K137" s="1886">
        <v>2689227.33</v>
      </c>
      <c r="L137" s="1667"/>
      <c r="M137" s="2426">
        <f t="shared" si="2"/>
        <v>-2170383.35</v>
      </c>
      <c r="N137" s="1667"/>
      <c r="O137" s="3444">
        <v>518843.98</v>
      </c>
      <c r="P137" s="1245"/>
    </row>
    <row r="138" spans="2:16" s="985" customFormat="1" ht="15.75">
      <c r="B138" s="2885">
        <v>21943</v>
      </c>
      <c r="C138" s="1235"/>
      <c r="D138" s="1239" t="s">
        <v>895</v>
      </c>
      <c r="E138" s="1237"/>
      <c r="F138" s="1237"/>
      <c r="G138" s="1886">
        <v>16714166.93</v>
      </c>
      <c r="H138" s="1667"/>
      <c r="I138" s="1886">
        <v>4291667.41</v>
      </c>
      <c r="J138" s="1667"/>
      <c r="K138" s="1886">
        <v>8099167.4100000001</v>
      </c>
      <c r="L138" s="1667"/>
      <c r="M138" s="2426">
        <f t="shared" si="2"/>
        <v>0</v>
      </c>
      <c r="N138" s="1667"/>
      <c r="O138" s="3444">
        <v>8099167.4100000001</v>
      </c>
      <c r="P138" s="1245"/>
    </row>
    <row r="139" spans="2:16" s="985" customFormat="1" ht="15.75">
      <c r="B139" s="2885">
        <v>21945</v>
      </c>
      <c r="C139" s="1235"/>
      <c r="D139" s="1236" t="s">
        <v>896</v>
      </c>
      <c r="E139" s="1237"/>
      <c r="F139" s="1237"/>
      <c r="G139" s="1886">
        <v>0</v>
      </c>
      <c r="H139" s="1667"/>
      <c r="I139" s="1886">
        <v>0</v>
      </c>
      <c r="J139" s="1667"/>
      <c r="K139" s="1886">
        <v>0</v>
      </c>
      <c r="L139" s="1667"/>
      <c r="M139" s="2426">
        <f t="shared" si="2"/>
        <v>0</v>
      </c>
      <c r="N139" s="1667"/>
      <c r="O139" s="3444">
        <v>0</v>
      </c>
      <c r="P139" s="1245"/>
    </row>
    <row r="140" spans="2:16" s="985" customFormat="1" ht="15.75">
      <c r="B140" s="2885">
        <v>21950</v>
      </c>
      <c r="C140" s="1235"/>
      <c r="D140" s="1236" t="s">
        <v>1233</v>
      </c>
      <c r="E140" s="1237"/>
      <c r="F140" s="1237"/>
      <c r="G140" s="1886">
        <v>0</v>
      </c>
      <c r="H140" s="1667"/>
      <c r="I140" s="1886">
        <v>0</v>
      </c>
      <c r="J140" s="1667"/>
      <c r="K140" s="1886">
        <v>0</v>
      </c>
      <c r="L140" s="1667"/>
      <c r="M140" s="2426">
        <f t="shared" si="2"/>
        <v>0</v>
      </c>
      <c r="N140" s="1667"/>
      <c r="O140" s="3444">
        <v>0</v>
      </c>
      <c r="P140" s="1245"/>
    </row>
    <row r="141" spans="2:16" s="985" customFormat="1" ht="15.75">
      <c r="B141" s="2885">
        <v>21959</v>
      </c>
      <c r="C141" s="1235"/>
      <c r="D141" s="1239" t="s">
        <v>897</v>
      </c>
      <c r="E141" s="1237"/>
      <c r="F141" s="1237"/>
      <c r="G141" s="1886">
        <v>0</v>
      </c>
      <c r="H141" s="1667"/>
      <c r="I141" s="1886">
        <v>0</v>
      </c>
      <c r="J141" s="1667"/>
      <c r="K141" s="1886">
        <v>0</v>
      </c>
      <c r="L141" s="1667"/>
      <c r="M141" s="2426">
        <f t="shared" si="2"/>
        <v>0</v>
      </c>
      <c r="N141" s="1667"/>
      <c r="O141" s="3444">
        <v>0</v>
      </c>
      <c r="P141" s="1245"/>
    </row>
    <row r="142" spans="2:16" s="985" customFormat="1" ht="15.75">
      <c r="B142" s="2885">
        <v>21962</v>
      </c>
      <c r="C142" s="1235"/>
      <c r="D142" s="1239" t="s">
        <v>898</v>
      </c>
      <c r="E142" s="1237"/>
      <c r="F142" s="1237"/>
      <c r="G142" s="1886">
        <v>16443304.35</v>
      </c>
      <c r="H142" s="1667"/>
      <c r="I142" s="1886">
        <v>14435273.460000001</v>
      </c>
      <c r="J142" s="1667"/>
      <c r="K142" s="1886">
        <v>15276106.93</v>
      </c>
      <c r="L142" s="1667"/>
      <c r="M142" s="2426">
        <f t="shared" si="2"/>
        <v>181762.04</v>
      </c>
      <c r="N142" s="1667"/>
      <c r="O142" s="3444">
        <v>15457868.970000001</v>
      </c>
      <c r="P142" s="1245"/>
    </row>
    <row r="143" spans="2:16" s="985" customFormat="1" ht="15.75">
      <c r="B143" s="2885">
        <v>21964</v>
      </c>
      <c r="C143" s="1235"/>
      <c r="D143" s="1236" t="s">
        <v>899</v>
      </c>
      <c r="E143" s="1237"/>
      <c r="F143" s="1237"/>
      <c r="G143" s="1886">
        <v>0</v>
      </c>
      <c r="H143" s="1667"/>
      <c r="I143" s="1886">
        <v>0</v>
      </c>
      <c r="J143" s="1667"/>
      <c r="K143" s="1886">
        <v>0</v>
      </c>
      <c r="L143" s="1667"/>
      <c r="M143" s="2426">
        <f t="shared" si="2"/>
        <v>0</v>
      </c>
      <c r="N143" s="1667"/>
      <c r="O143" s="3444">
        <v>0</v>
      </c>
      <c r="P143" s="1719" t="s">
        <v>1567</v>
      </c>
    </row>
    <row r="144" spans="2:16" s="985" customFormat="1" ht="15.75">
      <c r="B144" s="2885">
        <v>21978</v>
      </c>
      <c r="C144" s="1235"/>
      <c r="D144" s="1236" t="s">
        <v>900</v>
      </c>
      <c r="E144" s="1237"/>
      <c r="F144" s="1237"/>
      <c r="G144" s="1886">
        <v>2304382.35</v>
      </c>
      <c r="H144" s="1667"/>
      <c r="I144" s="1886">
        <v>0</v>
      </c>
      <c r="J144" s="1667"/>
      <c r="K144" s="1886">
        <v>0</v>
      </c>
      <c r="L144" s="1667"/>
      <c r="M144" s="2426">
        <f t="shared" si="2"/>
        <v>0</v>
      </c>
      <c r="N144" s="1667"/>
      <c r="O144" s="3444">
        <v>0</v>
      </c>
      <c r="P144" s="1245"/>
    </row>
    <row r="145" spans="2:16" s="985" customFormat="1" ht="15.75">
      <c r="B145" s="2885">
        <v>21979</v>
      </c>
      <c r="C145" s="1235"/>
      <c r="D145" s="1236" t="s">
        <v>901</v>
      </c>
      <c r="E145" s="1237"/>
      <c r="F145" s="1237"/>
      <c r="G145" s="1886">
        <v>0</v>
      </c>
      <c r="H145" s="1667"/>
      <c r="I145" s="1886">
        <v>0</v>
      </c>
      <c r="J145" s="1667"/>
      <c r="K145" s="1886">
        <v>0</v>
      </c>
      <c r="L145" s="1667"/>
      <c r="M145" s="2426">
        <f t="shared" si="2"/>
        <v>0</v>
      </c>
      <c r="N145" s="1667"/>
      <c r="O145" s="3444">
        <v>0</v>
      </c>
      <c r="P145" s="1245"/>
    </row>
    <row r="146" spans="2:16" s="985" customFormat="1" ht="15.75">
      <c r="B146" s="2885">
        <v>21989</v>
      </c>
      <c r="C146" s="1235"/>
      <c r="D146" s="1236" t="s">
        <v>902</v>
      </c>
      <c r="E146" s="1237"/>
      <c r="F146" s="1237"/>
      <c r="G146" s="1886">
        <v>954653.51</v>
      </c>
      <c r="H146" s="1667"/>
      <c r="I146" s="1886">
        <v>0</v>
      </c>
      <c r="J146" s="1667"/>
      <c r="K146" s="1886">
        <v>0</v>
      </c>
      <c r="L146" s="1667"/>
      <c r="M146" s="2426">
        <f t="shared" si="2"/>
        <v>0</v>
      </c>
      <c r="N146" s="1667"/>
      <c r="O146" s="3444">
        <v>0</v>
      </c>
      <c r="P146" s="1245"/>
    </row>
    <row r="147" spans="2:16" s="985" customFormat="1" ht="15.75">
      <c r="B147" s="2885">
        <v>22003</v>
      </c>
      <c r="C147" s="1235"/>
      <c r="D147" s="1236" t="s">
        <v>903</v>
      </c>
      <c r="E147" s="1237"/>
      <c r="F147" s="1237"/>
      <c r="G147" s="1886">
        <v>0</v>
      </c>
      <c r="H147" s="1667"/>
      <c r="I147" s="1886">
        <v>0</v>
      </c>
      <c r="J147" s="1667"/>
      <c r="K147" s="1886">
        <v>0</v>
      </c>
      <c r="L147" s="1667"/>
      <c r="M147" s="2426">
        <f t="shared" si="2"/>
        <v>0</v>
      </c>
      <c r="N147" s="1667"/>
      <c r="O147" s="3444">
        <v>0</v>
      </c>
      <c r="P147" s="1245"/>
    </row>
    <row r="148" spans="2:16" s="985" customFormat="1" ht="15.75">
      <c r="B148" s="2885">
        <v>22004</v>
      </c>
      <c r="C148" s="1235"/>
      <c r="D148" s="1239" t="s">
        <v>904</v>
      </c>
      <c r="E148" s="1237"/>
      <c r="F148" s="1237"/>
      <c r="G148" s="1886">
        <v>0</v>
      </c>
      <c r="H148" s="1667"/>
      <c r="I148" s="1886">
        <v>0</v>
      </c>
      <c r="J148" s="1667"/>
      <c r="K148" s="1886">
        <v>0</v>
      </c>
      <c r="L148" s="1667"/>
      <c r="M148" s="2426">
        <f t="shared" si="2"/>
        <v>0</v>
      </c>
      <c r="N148" s="1667"/>
      <c r="O148" s="3444">
        <v>0</v>
      </c>
      <c r="P148" s="1245"/>
    </row>
    <row r="149" spans="2:16" s="985" customFormat="1" ht="15.75">
      <c r="B149" s="2885">
        <v>22006</v>
      </c>
      <c r="C149" s="1235"/>
      <c r="D149" s="1236" t="s">
        <v>905</v>
      </c>
      <c r="E149" s="1237"/>
      <c r="F149" s="1237"/>
      <c r="G149" s="1886">
        <v>436051.09</v>
      </c>
      <c r="H149" s="1667"/>
      <c r="I149" s="1886">
        <v>473012.44</v>
      </c>
      <c r="J149" s="1667"/>
      <c r="K149" s="1886">
        <v>507509.47</v>
      </c>
      <c r="L149" s="1667"/>
      <c r="M149" s="2426">
        <f t="shared" si="2"/>
        <v>5526.76</v>
      </c>
      <c r="N149" s="1667"/>
      <c r="O149" s="3444">
        <v>513036.23</v>
      </c>
      <c r="P149" s="1245"/>
    </row>
    <row r="150" spans="2:16" s="985" customFormat="1" ht="15.75">
      <c r="B150" s="2885">
        <v>22007</v>
      </c>
      <c r="C150" s="1235"/>
      <c r="D150" s="1239" t="s">
        <v>906</v>
      </c>
      <c r="E150" s="1237"/>
      <c r="F150" s="1237"/>
      <c r="G150" s="1886">
        <v>358912.43</v>
      </c>
      <c r="H150" s="1667"/>
      <c r="I150" s="1886">
        <v>802020.44</v>
      </c>
      <c r="J150" s="1667"/>
      <c r="K150" s="1886">
        <v>771841.2</v>
      </c>
      <c r="L150" s="1667"/>
      <c r="M150" s="2426">
        <f t="shared" si="2"/>
        <v>-657418.88</v>
      </c>
      <c r="N150" s="1667"/>
      <c r="O150" s="3444">
        <v>114422.32</v>
      </c>
      <c r="P150" s="1245"/>
    </row>
    <row r="151" spans="2:16" s="985" customFormat="1" ht="15.75">
      <c r="B151" s="2885">
        <v>22009</v>
      </c>
      <c r="C151" s="1235"/>
      <c r="D151" s="1239" t="s">
        <v>907</v>
      </c>
      <c r="E151" s="1237"/>
      <c r="F151" s="1237"/>
      <c r="G151" s="1886">
        <v>116990.84</v>
      </c>
      <c r="H151" s="1667"/>
      <c r="I151" s="1886">
        <v>107024.05</v>
      </c>
      <c r="J151" s="1667"/>
      <c r="K151" s="1886">
        <v>69336.53</v>
      </c>
      <c r="L151" s="1667"/>
      <c r="M151" s="2426">
        <f t="shared" si="2"/>
        <v>57476.3</v>
      </c>
      <c r="N151" s="1667"/>
      <c r="O151" s="3444">
        <v>126812.83</v>
      </c>
      <c r="P151" s="1245"/>
    </row>
    <row r="152" spans="2:16" s="985" customFormat="1" ht="15.75">
      <c r="B152" s="2885">
        <v>22032</v>
      </c>
      <c r="C152" s="1235"/>
      <c r="D152" s="1239" t="s">
        <v>908</v>
      </c>
      <c r="E152" s="1237"/>
      <c r="F152" s="1237"/>
      <c r="G152" s="1886">
        <v>11491219</v>
      </c>
      <c r="H152" s="1667"/>
      <c r="I152" s="1886">
        <v>7255414.1699999999</v>
      </c>
      <c r="J152" s="1667"/>
      <c r="K152" s="1886">
        <v>7868539.3700000001</v>
      </c>
      <c r="L152" s="1667"/>
      <c r="M152" s="2426">
        <f t="shared" si="2"/>
        <v>-688589.4</v>
      </c>
      <c r="N152" s="1667"/>
      <c r="O152" s="3444">
        <v>7179949.9699999997</v>
      </c>
      <c r="P152" s="1245"/>
    </row>
    <row r="153" spans="2:16" s="985" customFormat="1" ht="15.75">
      <c r="B153" s="2885">
        <v>22034</v>
      </c>
      <c r="C153" s="1235"/>
      <c r="D153" s="1239" t="s">
        <v>909</v>
      </c>
      <c r="E153" s="1237"/>
      <c r="F153" s="1237"/>
      <c r="G153" s="1886">
        <v>0</v>
      </c>
      <c r="H153" s="1667"/>
      <c r="I153" s="1886">
        <v>0</v>
      </c>
      <c r="J153" s="1667"/>
      <c r="K153" s="1886">
        <v>0</v>
      </c>
      <c r="L153" s="1667"/>
      <c r="M153" s="2426">
        <f t="shared" si="2"/>
        <v>0</v>
      </c>
      <c r="N153" s="1667"/>
      <c r="O153" s="3444">
        <v>0</v>
      </c>
      <c r="P153" s="1245"/>
    </row>
    <row r="154" spans="2:16" s="985" customFormat="1" ht="15.75">
      <c r="B154" s="2885">
        <v>22036</v>
      </c>
      <c r="C154" s="1235"/>
      <c r="D154" s="1239" t="s">
        <v>910</v>
      </c>
      <c r="E154" s="1237"/>
      <c r="F154" s="1237"/>
      <c r="G154" s="1886">
        <v>0</v>
      </c>
      <c r="H154" s="1667"/>
      <c r="I154" s="1886">
        <v>0</v>
      </c>
      <c r="J154" s="1667"/>
      <c r="K154" s="1886">
        <v>0</v>
      </c>
      <c r="L154" s="1667"/>
      <c r="M154" s="2426">
        <f t="shared" si="2"/>
        <v>0</v>
      </c>
      <c r="N154" s="1667"/>
      <c r="O154" s="3444">
        <v>0</v>
      </c>
      <c r="P154" s="1245"/>
    </row>
    <row r="155" spans="2:16" s="985" customFormat="1" ht="15.75">
      <c r="B155" s="2885">
        <v>22039</v>
      </c>
      <c r="C155" s="1235"/>
      <c r="D155" s="1239" t="s">
        <v>911</v>
      </c>
      <c r="E155" s="1237"/>
      <c r="F155" s="1237"/>
      <c r="G155" s="1886">
        <v>692951.55</v>
      </c>
      <c r="H155" s="1667"/>
      <c r="I155" s="1886">
        <v>858397.95</v>
      </c>
      <c r="J155" s="1667"/>
      <c r="K155" s="1886">
        <v>172789.77</v>
      </c>
      <c r="L155" s="1667"/>
      <c r="M155" s="2426">
        <f t="shared" si="2"/>
        <v>449879.69</v>
      </c>
      <c r="N155" s="1667"/>
      <c r="O155" s="3444">
        <v>622669.46</v>
      </c>
      <c r="P155" s="1245"/>
    </row>
    <row r="156" spans="2:16" s="985" customFormat="1" ht="15.75">
      <c r="B156" s="2885">
        <v>22046</v>
      </c>
      <c r="C156" s="1235"/>
      <c r="D156" s="1239" t="s">
        <v>912</v>
      </c>
      <c r="E156" s="1237"/>
      <c r="F156" s="1237"/>
      <c r="G156" s="1886">
        <v>61359024.280000001</v>
      </c>
      <c r="H156" s="1667"/>
      <c r="I156" s="1886">
        <v>62978418.259999998</v>
      </c>
      <c r="J156" s="1667"/>
      <c r="K156" s="1886">
        <v>63614984.969999999</v>
      </c>
      <c r="L156" s="1667"/>
      <c r="M156" s="2426">
        <f t="shared" si="2"/>
        <v>629444.73</v>
      </c>
      <c r="N156" s="1667"/>
      <c r="O156" s="3444">
        <v>64244429.700000003</v>
      </c>
      <c r="P156" s="1245"/>
    </row>
    <row r="157" spans="2:16" s="985" customFormat="1" ht="15.75">
      <c r="B157" s="2885">
        <v>22053</v>
      </c>
      <c r="C157" s="1235"/>
      <c r="D157" s="1239" t="s">
        <v>913</v>
      </c>
      <c r="E157" s="1237"/>
      <c r="F157" s="1237"/>
      <c r="G157" s="1886">
        <v>6164789.21</v>
      </c>
      <c r="H157" s="1667"/>
      <c r="I157" s="1886">
        <v>2661946.7999999998</v>
      </c>
      <c r="J157" s="1667"/>
      <c r="K157" s="1886">
        <v>2031702.52</v>
      </c>
      <c r="L157" s="1667"/>
      <c r="M157" s="2426">
        <f t="shared" si="2"/>
        <v>-131448.75</v>
      </c>
      <c r="N157" s="1667"/>
      <c r="O157" s="3444">
        <v>1900253.77</v>
      </c>
      <c r="P157" s="1245"/>
    </row>
    <row r="158" spans="2:16" s="985" customFormat="1" ht="15.75">
      <c r="B158" s="2885">
        <v>22054</v>
      </c>
      <c r="C158" s="1235"/>
      <c r="D158" s="1239" t="s">
        <v>914</v>
      </c>
      <c r="E158" s="1237"/>
      <c r="F158" s="1237"/>
      <c r="G158" s="1886">
        <v>1358968.3</v>
      </c>
      <c r="H158" s="1667"/>
      <c r="I158" s="1886">
        <v>0</v>
      </c>
      <c r="J158" s="1667"/>
      <c r="K158" s="1886">
        <v>0</v>
      </c>
      <c r="L158" s="1667"/>
      <c r="M158" s="2426">
        <f t="shared" si="2"/>
        <v>0</v>
      </c>
      <c r="N158" s="1667"/>
      <c r="O158" s="3444">
        <v>0</v>
      </c>
      <c r="P158" s="1245"/>
    </row>
    <row r="159" spans="2:16" s="985" customFormat="1" ht="15.75">
      <c r="B159" s="2885">
        <v>22055</v>
      </c>
      <c r="C159" s="1235"/>
      <c r="D159" s="1239" t="s">
        <v>915</v>
      </c>
      <c r="E159" s="1237"/>
      <c r="F159" s="1237"/>
      <c r="G159" s="1886">
        <v>10284161.74</v>
      </c>
      <c r="H159" s="1667"/>
      <c r="I159" s="1886">
        <v>12778011.279999999</v>
      </c>
      <c r="J159" s="1667"/>
      <c r="K159" s="1886">
        <v>14771741.869999999</v>
      </c>
      <c r="L159" s="1667"/>
      <c r="M159" s="2426">
        <f t="shared" si="2"/>
        <v>-6254857</v>
      </c>
      <c r="N159" s="1667"/>
      <c r="O159" s="3444">
        <v>8516884.8699999992</v>
      </c>
      <c r="P159" s="1245"/>
    </row>
    <row r="160" spans="2:16" s="985" customFormat="1" ht="15.75">
      <c r="B160" s="2885">
        <v>22056</v>
      </c>
      <c r="C160" s="1235"/>
      <c r="D160" s="1239" t="s">
        <v>916</v>
      </c>
      <c r="E160" s="1237"/>
      <c r="F160" s="1237"/>
      <c r="G160" s="1886">
        <v>732750.13</v>
      </c>
      <c r="H160" s="1667"/>
      <c r="I160" s="1886">
        <v>0</v>
      </c>
      <c r="J160" s="1667"/>
      <c r="K160" s="1886">
        <v>43908.28</v>
      </c>
      <c r="L160" s="1667"/>
      <c r="M160" s="2426">
        <f t="shared" si="2"/>
        <v>107218.19</v>
      </c>
      <c r="N160" s="1667"/>
      <c r="O160" s="3444">
        <v>151126.47</v>
      </c>
      <c r="P160" s="1245"/>
    </row>
    <row r="161" spans="2:16" s="985" customFormat="1" ht="15.75">
      <c r="B161" s="2885">
        <v>22062</v>
      </c>
      <c r="C161" s="1235"/>
      <c r="D161" s="1239" t="s">
        <v>917</v>
      </c>
      <c r="E161" s="1237"/>
      <c r="F161" s="1237"/>
      <c r="G161" s="1886">
        <v>0</v>
      </c>
      <c r="H161" s="1667"/>
      <c r="I161" s="1886">
        <v>0</v>
      </c>
      <c r="J161" s="1667"/>
      <c r="K161" s="1886">
        <v>0</v>
      </c>
      <c r="L161" s="1667"/>
      <c r="M161" s="2426">
        <f t="shared" si="2"/>
        <v>0</v>
      </c>
      <c r="N161" s="1667"/>
      <c r="O161" s="3444">
        <v>0</v>
      </c>
      <c r="P161" s="1245"/>
    </row>
    <row r="162" spans="2:16" s="985" customFormat="1" ht="15.75">
      <c r="B162" s="2885">
        <v>22063</v>
      </c>
      <c r="C162" s="1235"/>
      <c r="D162" s="1239" t="s">
        <v>918</v>
      </c>
      <c r="E162" s="1237"/>
      <c r="F162" s="1237"/>
      <c r="G162" s="1886">
        <v>4377799.3600000003</v>
      </c>
      <c r="H162" s="1667"/>
      <c r="I162" s="1886">
        <v>4434911.3099999996</v>
      </c>
      <c r="J162" s="1667"/>
      <c r="K162" s="1886">
        <v>3616562.9</v>
      </c>
      <c r="L162" s="1667"/>
      <c r="M162" s="2426">
        <f t="shared" si="2"/>
        <v>-1106552.82</v>
      </c>
      <c r="N162" s="1667"/>
      <c r="O162" s="3444">
        <v>2510010.08</v>
      </c>
      <c r="P162" s="1245"/>
    </row>
    <row r="163" spans="2:16" s="985" customFormat="1" ht="15.75">
      <c r="B163" s="2885">
        <v>22078</v>
      </c>
      <c r="C163" s="1235"/>
      <c r="D163" s="1239" t="s">
        <v>919</v>
      </c>
      <c r="E163" s="1237"/>
      <c r="F163" s="1237"/>
      <c r="G163" s="1886">
        <v>0</v>
      </c>
      <c r="H163" s="1667"/>
      <c r="I163" s="1886">
        <v>0</v>
      </c>
      <c r="J163" s="1667"/>
      <c r="K163" s="1886">
        <v>0</v>
      </c>
      <c r="L163" s="1667"/>
      <c r="M163" s="2426">
        <f t="shared" ref="M163:M183" si="3">ROUND(SUM(O163)-SUM(K163),2)</f>
        <v>0</v>
      </c>
      <c r="N163" s="1667"/>
      <c r="O163" s="3444">
        <v>0</v>
      </c>
      <c r="P163" s="1245"/>
    </row>
    <row r="164" spans="2:16" s="985" customFormat="1" ht="15.75">
      <c r="B164" s="2885">
        <v>22085</v>
      </c>
      <c r="C164" s="1235"/>
      <c r="D164" s="1239" t="s">
        <v>920</v>
      </c>
      <c r="E164" s="1237"/>
      <c r="F164" s="1237"/>
      <c r="G164" s="1886">
        <v>4462903.53</v>
      </c>
      <c r="H164" s="1667"/>
      <c r="I164" s="1886">
        <v>3682440.27</v>
      </c>
      <c r="J164" s="1667"/>
      <c r="K164" s="1886">
        <v>4071932.28</v>
      </c>
      <c r="L164" s="1667"/>
      <c r="M164" s="2426">
        <f t="shared" si="3"/>
        <v>340757.76000000001</v>
      </c>
      <c r="N164" s="1667"/>
      <c r="O164" s="3444">
        <v>4412690.04</v>
      </c>
      <c r="P164" s="1245"/>
    </row>
    <row r="165" spans="2:16" s="985" customFormat="1" ht="15.75">
      <c r="B165" s="2885">
        <v>22087</v>
      </c>
      <c r="C165" s="1235"/>
      <c r="D165" s="1236" t="s">
        <v>921</v>
      </c>
      <c r="E165" s="1237"/>
      <c r="F165" s="1237"/>
      <c r="G165" s="1886">
        <v>0</v>
      </c>
      <c r="H165" s="1667"/>
      <c r="I165" s="1886">
        <v>0</v>
      </c>
      <c r="J165" s="1667"/>
      <c r="K165" s="1886">
        <v>0</v>
      </c>
      <c r="L165" s="1667"/>
      <c r="M165" s="2426">
        <f t="shared" si="3"/>
        <v>0</v>
      </c>
      <c r="N165" s="1667"/>
      <c r="O165" s="3444">
        <v>0</v>
      </c>
      <c r="P165" s="1245"/>
    </row>
    <row r="166" spans="2:16" s="985" customFormat="1" ht="15.75">
      <c r="B166" s="2885">
        <v>22090</v>
      </c>
      <c r="C166" s="1235"/>
      <c r="D166" s="1239" t="s">
        <v>922</v>
      </c>
      <c r="E166" s="1237"/>
      <c r="F166" s="1237"/>
      <c r="G166" s="1886">
        <v>5778014.4000000004</v>
      </c>
      <c r="H166" s="1667"/>
      <c r="I166" s="1886">
        <v>5475530.5499999998</v>
      </c>
      <c r="J166" s="1667"/>
      <c r="K166" s="1886">
        <v>1663377.08</v>
      </c>
      <c r="L166" s="1667"/>
      <c r="M166" s="2426">
        <f t="shared" si="3"/>
        <v>212249.3</v>
      </c>
      <c r="N166" s="1667"/>
      <c r="O166" s="3444">
        <v>1875626.38</v>
      </c>
      <c r="P166" s="1245"/>
    </row>
    <row r="167" spans="2:16" s="985" customFormat="1" ht="15.75">
      <c r="B167" s="2885">
        <v>22094</v>
      </c>
      <c r="C167" s="1235"/>
      <c r="D167" s="1239" t="s">
        <v>923</v>
      </c>
      <c r="E167" s="1237"/>
      <c r="F167" s="1237"/>
      <c r="G167" s="1886">
        <v>0</v>
      </c>
      <c r="H167" s="1667"/>
      <c r="I167" s="1886">
        <v>0</v>
      </c>
      <c r="J167" s="1667"/>
      <c r="K167" s="1886">
        <v>0</v>
      </c>
      <c r="L167" s="1667"/>
      <c r="M167" s="2426">
        <f t="shared" si="3"/>
        <v>0</v>
      </c>
      <c r="N167" s="1667"/>
      <c r="O167" s="3444">
        <v>0</v>
      </c>
      <c r="P167" s="1245"/>
    </row>
    <row r="168" spans="2:16" s="985" customFormat="1" ht="15.75">
      <c r="B168" s="2885">
        <v>22100</v>
      </c>
      <c r="C168" s="1235"/>
      <c r="D168" s="1239" t="s">
        <v>924</v>
      </c>
      <c r="E168" s="1237"/>
      <c r="F168" s="1237"/>
      <c r="G168" s="1886">
        <v>0</v>
      </c>
      <c r="H168" s="1667"/>
      <c r="I168" s="1886">
        <v>0</v>
      </c>
      <c r="J168" s="1667"/>
      <c r="K168" s="1886">
        <v>0</v>
      </c>
      <c r="L168" s="1667"/>
      <c r="M168" s="2426">
        <f t="shared" si="3"/>
        <v>0</v>
      </c>
      <c r="N168" s="1667"/>
      <c r="O168" s="3444">
        <v>0</v>
      </c>
      <c r="P168" s="1245"/>
    </row>
    <row r="169" spans="2:16" s="985" customFormat="1" ht="15.75">
      <c r="B169" s="2885">
        <v>22130</v>
      </c>
      <c r="C169" s="1235"/>
      <c r="D169" s="1236" t="s">
        <v>925</v>
      </c>
      <c r="E169" s="1237"/>
      <c r="F169" s="1237"/>
      <c r="G169" s="1886">
        <v>0</v>
      </c>
      <c r="H169" s="1667"/>
      <c r="I169" s="1886">
        <v>0</v>
      </c>
      <c r="J169" s="1667"/>
      <c r="K169" s="1886">
        <v>0</v>
      </c>
      <c r="L169" s="1667"/>
      <c r="M169" s="2426">
        <f t="shared" si="3"/>
        <v>0</v>
      </c>
      <c r="N169" s="1667"/>
      <c r="O169" s="3444">
        <v>0</v>
      </c>
      <c r="P169" s="1245"/>
    </row>
    <row r="170" spans="2:16" s="985" customFormat="1" ht="15.75">
      <c r="B170" s="2885">
        <v>22135</v>
      </c>
      <c r="C170" s="1235"/>
      <c r="D170" s="1236" t="s">
        <v>926</v>
      </c>
      <c r="E170" s="1237"/>
      <c r="F170" s="1237"/>
      <c r="G170" s="1886">
        <v>0</v>
      </c>
      <c r="H170" s="1667"/>
      <c r="I170" s="1886">
        <v>0</v>
      </c>
      <c r="J170" s="1667"/>
      <c r="K170" s="1886">
        <v>0</v>
      </c>
      <c r="L170" s="1667"/>
      <c r="M170" s="2426">
        <f t="shared" si="3"/>
        <v>0</v>
      </c>
      <c r="N170" s="1667"/>
      <c r="O170" s="3444">
        <v>0</v>
      </c>
      <c r="P170" s="1245"/>
    </row>
    <row r="171" spans="2:16" s="985" customFormat="1" ht="15.75">
      <c r="B171" s="2885">
        <v>22144</v>
      </c>
      <c r="C171" s="1235"/>
      <c r="D171" s="1239" t="s">
        <v>927</v>
      </c>
      <c r="E171" s="1237"/>
      <c r="F171" s="1237"/>
      <c r="G171" s="1886">
        <v>0</v>
      </c>
      <c r="H171" s="1667"/>
      <c r="I171" s="1886">
        <v>0</v>
      </c>
      <c r="J171" s="1667"/>
      <c r="K171" s="1886">
        <v>0</v>
      </c>
      <c r="L171" s="1667"/>
      <c r="M171" s="2426">
        <f t="shared" si="3"/>
        <v>0</v>
      </c>
      <c r="N171" s="1667"/>
      <c r="O171" s="3444">
        <v>0</v>
      </c>
      <c r="P171" s="1245"/>
    </row>
    <row r="172" spans="2:16" s="985" customFormat="1" ht="15.75">
      <c r="B172" s="2885">
        <v>22151</v>
      </c>
      <c r="C172" s="1235"/>
      <c r="D172" s="1236" t="s">
        <v>928</v>
      </c>
      <c r="E172" s="1237"/>
      <c r="F172" s="1237"/>
      <c r="G172" s="1886">
        <v>29911.62</v>
      </c>
      <c r="H172" s="1667"/>
      <c r="I172" s="1886">
        <v>56213.58</v>
      </c>
      <c r="J172" s="1667"/>
      <c r="K172" s="1886">
        <v>75268.990000000005</v>
      </c>
      <c r="L172" s="1667"/>
      <c r="M172" s="2426">
        <f t="shared" si="3"/>
        <v>58453.84</v>
      </c>
      <c r="N172" s="1667"/>
      <c r="O172" s="3444">
        <v>133722.82999999999</v>
      </c>
      <c r="P172" s="1245"/>
    </row>
    <row r="173" spans="2:16" s="985" customFormat="1" ht="15.75">
      <c r="B173" s="2885">
        <v>22156</v>
      </c>
      <c r="C173" s="1235"/>
      <c r="D173" s="1236" t="s">
        <v>929</v>
      </c>
      <c r="E173" s="1237"/>
      <c r="F173" s="1237"/>
      <c r="G173" s="1886">
        <v>13269846.640000001</v>
      </c>
      <c r="H173" s="1667"/>
      <c r="I173" s="1886">
        <v>4614974.29</v>
      </c>
      <c r="J173" s="1667"/>
      <c r="K173" s="1886">
        <v>0</v>
      </c>
      <c r="L173" s="1667"/>
      <c r="M173" s="2426">
        <f t="shared" si="3"/>
        <v>800325.85</v>
      </c>
      <c r="N173" s="1667"/>
      <c r="O173" s="3444">
        <v>800325.85</v>
      </c>
      <c r="P173" s="1245"/>
    </row>
    <row r="174" spans="2:16" s="985" customFormat="1" ht="15.75">
      <c r="B174" s="2885">
        <v>22158</v>
      </c>
      <c r="C174" s="1235"/>
      <c r="D174" s="1239" t="s">
        <v>930</v>
      </c>
      <c r="E174" s="1237"/>
      <c r="F174" s="1237"/>
      <c r="G174" s="1886">
        <v>486313.55</v>
      </c>
      <c r="H174" s="1667"/>
      <c r="I174" s="1886">
        <v>610143.5</v>
      </c>
      <c r="J174" s="1667"/>
      <c r="K174" s="1886">
        <v>641029.69999999995</v>
      </c>
      <c r="L174" s="1667"/>
      <c r="M174" s="2426">
        <f t="shared" si="3"/>
        <v>240369.07</v>
      </c>
      <c r="N174" s="1667"/>
      <c r="O174" s="3444">
        <v>881398.77</v>
      </c>
      <c r="P174" s="1245"/>
    </row>
    <row r="175" spans="2:16" s="985" customFormat="1" ht="15.75">
      <c r="B175" s="2885">
        <v>22168</v>
      </c>
      <c r="C175" s="1235"/>
      <c r="D175" s="1239" t="s">
        <v>931</v>
      </c>
      <c r="E175" s="1237"/>
      <c r="F175" s="1237"/>
      <c r="G175" s="1886">
        <v>0</v>
      </c>
      <c r="H175" s="1667"/>
      <c r="I175" s="1886">
        <v>0</v>
      </c>
      <c r="J175" s="1667"/>
      <c r="K175" s="1886">
        <v>0</v>
      </c>
      <c r="L175" s="1667"/>
      <c r="M175" s="2426">
        <f t="shared" si="3"/>
        <v>0</v>
      </c>
      <c r="N175" s="1667"/>
      <c r="O175" s="3444">
        <v>0</v>
      </c>
      <c r="P175" s="1245"/>
    </row>
    <row r="176" spans="2:16" s="985" customFormat="1" ht="15.75">
      <c r="B176" s="2885">
        <v>22654</v>
      </c>
      <c r="C176" s="1235"/>
      <c r="D176" s="1236" t="s">
        <v>932</v>
      </c>
      <c r="E176" s="1237"/>
      <c r="F176" s="1237"/>
      <c r="G176" s="1886">
        <v>27713192.25</v>
      </c>
      <c r="H176" s="1667"/>
      <c r="I176" s="1886">
        <v>19397721.969999999</v>
      </c>
      <c r="J176" s="1667"/>
      <c r="K176" s="1886">
        <v>19400563.98</v>
      </c>
      <c r="L176" s="1667"/>
      <c r="M176" s="2426">
        <f t="shared" si="3"/>
        <v>1787.37</v>
      </c>
      <c r="N176" s="1667"/>
      <c r="O176" s="3444">
        <v>19402351.350000001</v>
      </c>
      <c r="P176" s="1245"/>
    </row>
    <row r="177" spans="2:16" s="985" customFormat="1" ht="15.75">
      <c r="B177" s="2885">
        <v>22802</v>
      </c>
      <c r="C177" s="1235"/>
      <c r="D177" s="1239" t="s">
        <v>933</v>
      </c>
      <c r="E177" s="1237"/>
      <c r="F177" s="1237"/>
      <c r="G177" s="1886">
        <v>0</v>
      </c>
      <c r="H177" s="1667"/>
      <c r="I177" s="1886">
        <v>0</v>
      </c>
      <c r="J177" s="1667"/>
      <c r="K177" s="1886">
        <v>0</v>
      </c>
      <c r="L177" s="1667"/>
      <c r="M177" s="2426">
        <f t="shared" si="3"/>
        <v>0</v>
      </c>
      <c r="N177" s="1667"/>
      <c r="O177" s="3444">
        <v>0</v>
      </c>
      <c r="P177" s="1245"/>
    </row>
    <row r="178" spans="2:16" s="985" customFormat="1" ht="15.75">
      <c r="B178" s="2885">
        <v>23001</v>
      </c>
      <c r="C178" s="1235"/>
      <c r="D178" s="1236" t="s">
        <v>934</v>
      </c>
      <c r="E178" s="1237"/>
      <c r="F178" s="1237"/>
      <c r="G178" s="1886">
        <v>6493641.9400000004</v>
      </c>
      <c r="H178" s="1667"/>
      <c r="I178" s="1886">
        <v>6416277.3700000001</v>
      </c>
      <c r="J178" s="1667"/>
      <c r="K178" s="1886">
        <v>6670976.6299999999</v>
      </c>
      <c r="L178" s="1667"/>
      <c r="M178" s="2426">
        <f t="shared" si="3"/>
        <v>263591.96999999997</v>
      </c>
      <c r="N178" s="1667"/>
      <c r="O178" s="3444">
        <v>6934568.5999999996</v>
      </c>
      <c r="P178" s="1245"/>
    </row>
    <row r="179" spans="2:16" s="985" customFormat="1" ht="15.75">
      <c r="B179" s="2885">
        <v>23101</v>
      </c>
      <c r="C179" s="1235"/>
      <c r="D179" s="1239" t="s">
        <v>935</v>
      </c>
      <c r="E179" s="1237"/>
      <c r="F179" s="1237"/>
      <c r="G179" s="1886">
        <v>0</v>
      </c>
      <c r="H179" s="1667"/>
      <c r="I179" s="1886">
        <v>0</v>
      </c>
      <c r="J179" s="1667"/>
      <c r="K179" s="1886">
        <v>0</v>
      </c>
      <c r="L179" s="1667"/>
      <c r="M179" s="2426">
        <f t="shared" si="3"/>
        <v>0</v>
      </c>
      <c r="N179" s="1667"/>
      <c r="O179" s="3444">
        <v>0</v>
      </c>
      <c r="P179" s="1245"/>
    </row>
    <row r="180" spans="2:16" s="985" customFormat="1" ht="15.75">
      <c r="B180" s="2885">
        <v>23102</v>
      </c>
      <c r="C180" s="1235"/>
      <c r="D180" s="1239" t="s">
        <v>936</v>
      </c>
      <c r="E180" s="1237"/>
      <c r="F180" s="1237"/>
      <c r="G180" s="1886">
        <v>9272870.1199999992</v>
      </c>
      <c r="H180" s="1667"/>
      <c r="I180" s="1886">
        <v>5515806.6399999997</v>
      </c>
      <c r="J180" s="1667"/>
      <c r="K180" s="1886">
        <v>6188667.3200000003</v>
      </c>
      <c r="L180" s="1667"/>
      <c r="M180" s="2426">
        <f t="shared" si="3"/>
        <v>306244.21000000002</v>
      </c>
      <c r="N180" s="1667"/>
      <c r="O180" s="3444">
        <v>6494911.5300000003</v>
      </c>
      <c r="P180" s="1245"/>
    </row>
    <row r="181" spans="2:16" s="985" customFormat="1" ht="15.75">
      <c r="B181" s="2885">
        <v>23151</v>
      </c>
      <c r="C181" s="1235"/>
      <c r="D181" s="1236" t="s">
        <v>937</v>
      </c>
      <c r="E181" s="1237"/>
      <c r="F181" s="1237"/>
      <c r="G181" s="1886">
        <v>47463778.380000003</v>
      </c>
      <c r="H181" s="1667"/>
      <c r="I181" s="1886">
        <v>50130112.030000001</v>
      </c>
      <c r="J181" s="1667"/>
      <c r="K181" s="1886">
        <v>22539915.77</v>
      </c>
      <c r="L181" s="1667"/>
      <c r="M181" s="2426">
        <f t="shared" si="3"/>
        <v>5471976.2599999998</v>
      </c>
      <c r="N181" s="1667"/>
      <c r="O181" s="3444">
        <v>28011892.030000001</v>
      </c>
      <c r="P181" s="1245"/>
    </row>
    <row r="182" spans="2:16" s="985" customFormat="1" ht="15.75">
      <c r="B182" s="1227">
        <v>23701</v>
      </c>
      <c r="C182" s="1235"/>
      <c r="D182" s="1236" t="s">
        <v>1199</v>
      </c>
      <c r="E182" s="1237"/>
      <c r="F182" s="1237"/>
      <c r="G182" s="1886">
        <v>0</v>
      </c>
      <c r="H182" s="1667"/>
      <c r="I182" s="1886">
        <v>0</v>
      </c>
      <c r="J182" s="1667"/>
      <c r="K182" s="1886">
        <v>0</v>
      </c>
      <c r="L182" s="1667"/>
      <c r="M182" s="2426">
        <f t="shared" si="3"/>
        <v>0</v>
      </c>
      <c r="N182" s="1667"/>
      <c r="O182" s="3444">
        <v>0</v>
      </c>
      <c r="P182" s="1245"/>
    </row>
    <row r="183" spans="2:16" s="985" customFormat="1" ht="15.75">
      <c r="B183" s="1227">
        <v>23702</v>
      </c>
      <c r="C183" s="1235"/>
      <c r="D183" s="1239" t="s">
        <v>1200</v>
      </c>
      <c r="E183" s="1237"/>
      <c r="F183" s="1237"/>
      <c r="G183" s="1886">
        <v>6577481.79</v>
      </c>
      <c r="H183" s="1667"/>
      <c r="I183" s="1886">
        <v>1992511.42</v>
      </c>
      <c r="J183" s="1667"/>
      <c r="K183" s="1886">
        <v>2097597.04</v>
      </c>
      <c r="L183" s="1667"/>
      <c r="M183" s="2426">
        <f t="shared" si="3"/>
        <v>1264581.57</v>
      </c>
      <c r="N183" s="1667"/>
      <c r="O183" s="3444">
        <v>3362178.61</v>
      </c>
      <c r="P183" s="1245"/>
    </row>
    <row r="184" spans="2:16" s="985" customFormat="1" ht="16.5" thickBot="1">
      <c r="B184" s="1669"/>
      <c r="C184" s="1311"/>
      <c r="D184" s="1231" t="s">
        <v>938</v>
      </c>
      <c r="E184" s="1308"/>
      <c r="F184" s="1308"/>
      <c r="G184" s="2428">
        <f>ROUND(SUM(G100:G183),2)</f>
        <v>1827637951.1300001</v>
      </c>
      <c r="H184" s="2890"/>
      <c r="I184" s="2428">
        <f>ROUND(SUM(I100:I183),2)</f>
        <v>323140719.98000002</v>
      </c>
      <c r="J184" s="2890"/>
      <c r="K184" s="2428">
        <f>ROUND(SUM(K100:K183),2)</f>
        <v>346640060.60000002</v>
      </c>
      <c r="L184" s="2890"/>
      <c r="M184" s="2428">
        <f>ROUND(SUM(M100:M183),2)</f>
        <v>4484100.3600000003</v>
      </c>
      <c r="N184" s="2890"/>
      <c r="O184" s="3445">
        <v>351124160.95999998</v>
      </c>
      <c r="P184" s="1245"/>
    </row>
    <row r="185" spans="2:16" s="985" customFormat="1" ht="16.5" thickTop="1">
      <c r="B185" s="1682"/>
      <c r="C185" s="1671"/>
      <c r="D185" s="1683"/>
      <c r="E185" s="1235"/>
      <c r="F185" s="1235"/>
      <c r="G185" s="1886"/>
      <c r="H185" s="1667"/>
      <c r="I185" s="1886"/>
      <c r="J185" s="1667"/>
      <c r="K185" s="1886"/>
      <c r="L185" s="1667"/>
      <c r="M185" s="2426"/>
      <c r="N185" s="1606"/>
      <c r="O185" s="1886"/>
      <c r="P185" s="1245"/>
    </row>
    <row r="186" spans="2:16" s="985" customFormat="1" ht="15.75">
      <c r="B186" s="1682"/>
      <c r="C186" s="1311"/>
      <c r="D186" s="1231" t="s">
        <v>939</v>
      </c>
      <c r="E186" s="1308"/>
      <c r="F186" s="1308"/>
      <c r="G186" s="1886"/>
      <c r="H186" s="1667"/>
      <c r="I186" s="1886"/>
      <c r="J186" s="1667"/>
      <c r="K186" s="1886"/>
      <c r="L186" s="1667"/>
      <c r="M186" s="2427"/>
      <c r="N186" s="1678"/>
      <c r="O186" s="1886"/>
      <c r="P186" s="1245"/>
    </row>
    <row r="187" spans="2:16" s="985" customFormat="1" ht="15.75">
      <c r="B187" s="1684" t="s">
        <v>940</v>
      </c>
      <c r="C187" s="1685"/>
      <c r="D187" s="1236" t="s">
        <v>941</v>
      </c>
      <c r="E187" s="1686"/>
      <c r="F187" s="1686"/>
      <c r="G187" s="1886">
        <v>37184698.32</v>
      </c>
      <c r="H187" s="1886"/>
      <c r="I187" s="1886">
        <v>5541178.5899999999</v>
      </c>
      <c r="J187" s="1886"/>
      <c r="K187" s="1886">
        <v>44391190.900000006</v>
      </c>
      <c r="L187" s="1886"/>
      <c r="M187" s="2426">
        <f t="shared" ref="M187:M196" si="4">ROUND(SUM(O187)-SUM(K187),2)</f>
        <v>-24750354.359999999</v>
      </c>
      <c r="N187" s="1886"/>
      <c r="O187" s="3444">
        <v>19640836.539999999</v>
      </c>
      <c r="P187" s="1245"/>
    </row>
    <row r="188" spans="2:16" s="985" customFormat="1" ht="15.75">
      <c r="B188" s="1684" t="s">
        <v>942</v>
      </c>
      <c r="C188" s="1685"/>
      <c r="D188" s="1236" t="s">
        <v>943</v>
      </c>
      <c r="E188" s="1686"/>
      <c r="F188" s="1686"/>
      <c r="G188" s="1886">
        <v>245599603.78999999</v>
      </c>
      <c r="H188" s="1886"/>
      <c r="I188" s="1886">
        <v>21945618.98</v>
      </c>
      <c r="J188" s="1886"/>
      <c r="K188" s="1886">
        <v>953794423.79000008</v>
      </c>
      <c r="L188" s="1886"/>
      <c r="M188" s="2426">
        <f t="shared" si="4"/>
        <v>-770476334.72000003</v>
      </c>
      <c r="N188" s="1886"/>
      <c r="O188" s="3444">
        <v>183318089.06999999</v>
      </c>
      <c r="P188" s="1245"/>
    </row>
    <row r="189" spans="2:16" s="985" customFormat="1" ht="15.75">
      <c r="B189" s="1684" t="s">
        <v>944</v>
      </c>
      <c r="C189" s="1685"/>
      <c r="D189" s="1239" t="s">
        <v>945</v>
      </c>
      <c r="E189" s="1686"/>
      <c r="F189" s="1686"/>
      <c r="G189" s="1886">
        <v>36202417.670000002</v>
      </c>
      <c r="H189" s="1886"/>
      <c r="I189" s="1886">
        <v>1155454.6000000001</v>
      </c>
      <c r="J189" s="1886"/>
      <c r="K189" s="1886">
        <v>17575027.100000001</v>
      </c>
      <c r="L189" s="1886"/>
      <c r="M189" s="2426">
        <f t="shared" si="4"/>
        <v>-1717231.94</v>
      </c>
      <c r="N189" s="1886"/>
      <c r="O189" s="3444">
        <v>15857795.16</v>
      </c>
      <c r="P189" s="1245"/>
    </row>
    <row r="190" spans="2:16" s="985" customFormat="1" ht="15.75">
      <c r="B190" s="1684" t="s">
        <v>946</v>
      </c>
      <c r="C190" s="1239"/>
      <c r="D190" s="1236" t="s">
        <v>947</v>
      </c>
      <c r="E190" s="1686"/>
      <c r="F190" s="1686"/>
      <c r="G190" s="1886">
        <v>299610853.49000001</v>
      </c>
      <c r="H190" s="1886"/>
      <c r="I190" s="1886">
        <v>256916852.47</v>
      </c>
      <c r="J190" s="1886"/>
      <c r="K190" s="1886">
        <v>376275648.30000001</v>
      </c>
      <c r="L190" s="1886"/>
      <c r="M190" s="2426">
        <f t="shared" si="4"/>
        <v>-72256056.219999999</v>
      </c>
      <c r="N190" s="1886"/>
      <c r="O190" s="3444">
        <v>304019592.07999998</v>
      </c>
      <c r="P190" s="1245"/>
    </row>
    <row r="191" spans="2:16" s="985" customFormat="1" ht="15.75">
      <c r="B191" s="2885">
        <v>31351</v>
      </c>
      <c r="C191" s="1239"/>
      <c r="D191" s="1242" t="s">
        <v>948</v>
      </c>
      <c r="E191" s="1686"/>
      <c r="F191" s="1686"/>
      <c r="G191" s="1886">
        <v>6834152.75</v>
      </c>
      <c r="H191" s="1886"/>
      <c r="I191" s="1886">
        <v>6834152.75</v>
      </c>
      <c r="J191" s="1886"/>
      <c r="K191" s="1886">
        <v>6834152.75</v>
      </c>
      <c r="L191" s="1886"/>
      <c r="M191" s="2426">
        <f t="shared" si="4"/>
        <v>-3552</v>
      </c>
      <c r="N191" s="1886"/>
      <c r="O191" s="3444">
        <v>6830600.75</v>
      </c>
      <c r="P191" s="1319"/>
    </row>
    <row r="192" spans="2:16" s="985" customFormat="1" ht="15.75">
      <c r="B192" s="2688">
        <v>31354</v>
      </c>
      <c r="C192" s="1687"/>
      <c r="D192" s="1228" t="s">
        <v>949</v>
      </c>
      <c r="E192" s="1686"/>
      <c r="F192" s="1686"/>
      <c r="G192" s="1886">
        <v>362052141.98000002</v>
      </c>
      <c r="H192" s="1886"/>
      <c r="I192" s="1886">
        <v>352640639.56999999</v>
      </c>
      <c r="J192" s="1886"/>
      <c r="K192" s="1886">
        <v>349946238.25</v>
      </c>
      <c r="L192" s="1886"/>
      <c r="M192" s="2426">
        <f t="shared" si="4"/>
        <v>34783629.859999999</v>
      </c>
      <c r="N192" s="1886"/>
      <c r="O192" s="3444">
        <v>384729868.11000001</v>
      </c>
      <c r="P192" s="1310" t="s">
        <v>118</v>
      </c>
    </row>
    <row r="193" spans="2:16" s="985" customFormat="1" ht="15.75">
      <c r="B193" s="1321" t="s">
        <v>950</v>
      </c>
      <c r="C193" s="1235"/>
      <c r="D193" s="1242" t="s">
        <v>951</v>
      </c>
      <c r="E193" s="1686"/>
      <c r="F193" s="1686"/>
      <c r="G193" s="1886">
        <v>15109003.43</v>
      </c>
      <c r="H193" s="1886"/>
      <c r="I193" s="1886">
        <v>33538184.52</v>
      </c>
      <c r="J193" s="1886"/>
      <c r="K193" s="1886">
        <v>36071587.060000002</v>
      </c>
      <c r="L193" s="1886"/>
      <c r="M193" s="2426">
        <f t="shared" si="4"/>
        <v>9431437.5600000005</v>
      </c>
      <c r="N193" s="1886"/>
      <c r="O193" s="3444">
        <v>45503024.619999997</v>
      </c>
      <c r="P193" s="1310"/>
    </row>
    <row r="194" spans="2:16" s="985" customFormat="1" ht="15.75">
      <c r="B194" s="1688" t="s">
        <v>1201</v>
      </c>
      <c r="C194" s="1232"/>
      <c r="D194" s="1242" t="s">
        <v>1202</v>
      </c>
      <c r="E194" s="1229"/>
      <c r="F194" s="1229"/>
      <c r="G194" s="1886">
        <v>1243510.76</v>
      </c>
      <c r="H194" s="1886"/>
      <c r="I194" s="1886">
        <v>35965117.75</v>
      </c>
      <c r="J194" s="1886"/>
      <c r="K194" s="1886">
        <v>1232096.5</v>
      </c>
      <c r="L194" s="1886"/>
      <c r="M194" s="2426">
        <f t="shared" si="4"/>
        <v>15803184.15</v>
      </c>
      <c r="N194" s="1886"/>
      <c r="O194" s="3444">
        <v>17035280.649999999</v>
      </c>
      <c r="P194" s="1320"/>
    </row>
    <row r="195" spans="2:16" s="985" customFormat="1" ht="15.75">
      <c r="B195" s="2886">
        <v>25950</v>
      </c>
      <c r="C195" s="1232"/>
      <c r="D195" s="1242" t="s">
        <v>952</v>
      </c>
      <c r="E195" s="1243"/>
      <c r="F195" s="1243"/>
      <c r="G195" s="1886">
        <v>0</v>
      </c>
      <c r="H195" s="1886"/>
      <c r="I195" s="1886">
        <v>0</v>
      </c>
      <c r="J195" s="1886"/>
      <c r="K195" s="1886">
        <v>0</v>
      </c>
      <c r="L195" s="1886"/>
      <c r="M195" s="2426">
        <f t="shared" si="4"/>
        <v>0</v>
      </c>
      <c r="N195" s="1886"/>
      <c r="O195" s="3444">
        <v>0</v>
      </c>
      <c r="P195" s="1320"/>
    </row>
    <row r="196" spans="2:16" s="985" customFormat="1" ht="15.75">
      <c r="B196" s="1688" t="s">
        <v>1612</v>
      </c>
      <c r="C196" s="1232"/>
      <c r="D196" s="1240" t="s">
        <v>1203</v>
      </c>
      <c r="E196" s="1229"/>
      <c r="F196" s="1229"/>
      <c r="G196" s="1886">
        <v>686183.49</v>
      </c>
      <c r="H196" s="1886"/>
      <c r="I196" s="1886">
        <v>4201899</v>
      </c>
      <c r="J196" s="1886"/>
      <c r="K196" s="1886">
        <v>1281101.26</v>
      </c>
      <c r="L196" s="1886"/>
      <c r="M196" s="2426">
        <f t="shared" si="4"/>
        <v>-836160.87</v>
      </c>
      <c r="N196" s="1886"/>
      <c r="O196" s="3444">
        <v>444940.39</v>
      </c>
      <c r="P196" s="1320"/>
    </row>
    <row r="197" spans="2:16" s="985" customFormat="1" ht="16.5" thickBot="1">
      <c r="B197" s="1322"/>
      <c r="C197" s="1315"/>
      <c r="D197" s="1231" t="s">
        <v>953</v>
      </c>
      <c r="E197" s="1233"/>
      <c r="F197" s="1233"/>
      <c r="G197" s="2428">
        <f>ROUND(SUM(G187:G196),2)</f>
        <v>1004522565.6799999</v>
      </c>
      <c r="H197" s="1720"/>
      <c r="I197" s="2428">
        <f>ROUND(SUM(I187:I196),2)</f>
        <v>718739098.23000002</v>
      </c>
      <c r="J197" s="1720"/>
      <c r="K197" s="2428">
        <f>ROUND(SUM(K187:K196),2)</f>
        <v>1787401465.9100001</v>
      </c>
      <c r="L197" s="1720"/>
      <c r="M197" s="2428">
        <f>ROUND(SUM(M187:M196),2)</f>
        <v>-810021438.53999996</v>
      </c>
      <c r="N197" s="1720"/>
      <c r="O197" s="3446">
        <v>977380027.37</v>
      </c>
      <c r="P197" s="1865" t="s">
        <v>1094</v>
      </c>
    </row>
    <row r="198" spans="2:16" s="985" customFormat="1" ht="16.5" thickTop="1">
      <c r="B198" s="1669"/>
      <c r="C198" s="1315"/>
      <c r="D198" s="1244"/>
      <c r="E198" s="1233"/>
      <c r="F198" s="1233"/>
      <c r="G198" s="2429"/>
      <c r="H198" s="1690"/>
      <c r="I198" s="2429"/>
      <c r="J198" s="1690"/>
      <c r="K198" s="2429"/>
      <c r="L198" s="1690"/>
      <c r="M198" s="2427"/>
      <c r="N198" s="1678"/>
      <c r="O198" s="2429"/>
      <c r="P198" s="1321"/>
    </row>
    <row r="199" spans="2:16" s="985" customFormat="1" ht="15.75">
      <c r="B199" s="1682"/>
      <c r="C199" s="1315"/>
      <c r="D199" s="1226" t="s">
        <v>954</v>
      </c>
      <c r="E199" s="1233"/>
      <c r="F199" s="1233"/>
      <c r="G199" s="1886"/>
      <c r="H199" s="1667"/>
      <c r="I199" s="1886"/>
      <c r="J199" s="1667"/>
      <c r="K199" s="1886"/>
      <c r="L199" s="1667"/>
      <c r="M199" s="2427"/>
      <c r="N199" s="1678"/>
      <c r="O199" s="1886"/>
      <c r="P199" s="1254"/>
    </row>
    <row r="200" spans="2:16" s="985" customFormat="1" ht="15.75">
      <c r="B200" s="2887">
        <v>60201</v>
      </c>
      <c r="C200" s="1311"/>
      <c r="D200" s="1236" t="s">
        <v>955</v>
      </c>
      <c r="E200" s="1233"/>
      <c r="F200" s="1233"/>
      <c r="G200" s="1886">
        <v>0</v>
      </c>
      <c r="H200" s="1667"/>
      <c r="I200" s="1886">
        <v>0</v>
      </c>
      <c r="J200" s="1667"/>
      <c r="K200" s="1886">
        <v>0</v>
      </c>
      <c r="L200" s="1667"/>
      <c r="M200" s="2426">
        <f>ROUND(SUM(O200)-SUM(K200),2)</f>
        <v>0</v>
      </c>
      <c r="N200" s="1667"/>
      <c r="O200" s="1886">
        <v>0</v>
      </c>
      <c r="P200" s="1254"/>
    </row>
    <row r="201" spans="2:16" s="985" customFormat="1" ht="15.75">
      <c r="B201" s="2885">
        <v>60901</v>
      </c>
      <c r="C201" s="1235"/>
      <c r="D201" s="1239" t="s">
        <v>1234</v>
      </c>
      <c r="E201" s="1237"/>
      <c r="F201" s="1237"/>
      <c r="G201" s="1886">
        <v>0</v>
      </c>
      <c r="H201" s="1667"/>
      <c r="I201" s="1886">
        <v>0</v>
      </c>
      <c r="J201" s="1667"/>
      <c r="K201" s="1886">
        <v>0</v>
      </c>
      <c r="L201" s="1667"/>
      <c r="M201" s="2426">
        <f>ROUND(SUM(O201)-SUM(K201),2)</f>
        <v>0</v>
      </c>
      <c r="N201" s="1667"/>
      <c r="O201" s="1886">
        <v>0</v>
      </c>
      <c r="P201" s="1254"/>
    </row>
    <row r="202" spans="2:16" s="985" customFormat="1" ht="16.5" thickBot="1">
      <c r="B202" s="1227"/>
      <c r="C202" s="1311"/>
      <c r="D202" s="1226" t="s">
        <v>956</v>
      </c>
      <c r="E202" s="1233"/>
      <c r="F202" s="1233"/>
      <c r="G202" s="2428">
        <f>ROUND(SUM(G200:G201),2)</f>
        <v>0</v>
      </c>
      <c r="H202" s="1720"/>
      <c r="I202" s="2428">
        <f>ROUND(SUM(I200:I201),2)</f>
        <v>0</v>
      </c>
      <c r="J202" s="1720"/>
      <c r="K202" s="2428">
        <f>ROUND(SUM(K200:K201),2)</f>
        <v>0</v>
      </c>
      <c r="L202" s="1720"/>
      <c r="M202" s="2428">
        <f>ROUND(SUM(M200:M201),2)</f>
        <v>0</v>
      </c>
      <c r="N202" s="1720"/>
      <c r="O202" s="2428">
        <f>ROUND(SUM(O200:O201),2)</f>
        <v>0</v>
      </c>
      <c r="P202" s="1245"/>
    </row>
    <row r="203" spans="2:16" s="985" customFormat="1" ht="16.5" thickTop="1">
      <c r="B203" s="1227"/>
      <c r="C203" s="1323"/>
      <c r="D203" s="1323"/>
      <c r="E203" s="1324"/>
      <c r="F203" s="1324"/>
      <c r="G203" s="1886"/>
      <c r="H203" s="1667"/>
      <c r="I203" s="1886"/>
      <c r="J203" s="1667"/>
      <c r="K203" s="1886"/>
      <c r="L203" s="1667"/>
      <c r="M203" s="2426"/>
      <c r="N203" s="1606"/>
      <c r="O203" s="1886"/>
      <c r="P203" s="1230"/>
    </row>
    <row r="204" spans="2:16" s="985" customFormat="1" ht="15.75">
      <c r="B204" s="1227"/>
      <c r="C204" s="1670"/>
      <c r="D204" s="1226" t="s">
        <v>957</v>
      </c>
      <c r="E204" s="1677"/>
      <c r="F204" s="1677"/>
      <c r="G204" s="1886"/>
      <c r="H204" s="1667"/>
      <c r="I204" s="1886"/>
      <c r="J204" s="1667"/>
      <c r="K204" s="1886"/>
      <c r="L204" s="1667"/>
      <c r="M204" s="2430"/>
      <c r="N204" s="1316"/>
      <c r="O204" s="1886"/>
      <c r="P204" s="1321"/>
    </row>
    <row r="205" spans="2:16" s="985" customFormat="1" ht="15.75">
      <c r="B205" s="2885">
        <v>50318</v>
      </c>
      <c r="C205" s="1671"/>
      <c r="D205" s="1240" t="s">
        <v>958</v>
      </c>
      <c r="E205" s="1313"/>
      <c r="F205" s="1313"/>
      <c r="G205" s="1673">
        <v>0</v>
      </c>
      <c r="H205" s="1691"/>
      <c r="I205" s="1886">
        <v>0</v>
      </c>
      <c r="J205" s="1691"/>
      <c r="K205" s="1886">
        <v>0</v>
      </c>
      <c r="L205" s="1691"/>
      <c r="M205" s="1674">
        <f>ROUND(SUM(O205)-SUM(K205),2)</f>
        <v>0</v>
      </c>
      <c r="N205" s="1691"/>
      <c r="O205" s="1886">
        <v>0</v>
      </c>
      <c r="P205" s="1254"/>
    </row>
    <row r="206" spans="2:16" s="985" customFormat="1" ht="16.5" thickBot="1">
      <c r="B206" s="1238"/>
      <c r="C206" s="1311"/>
      <c r="D206" s="1231" t="s">
        <v>959</v>
      </c>
      <c r="E206" s="1308"/>
      <c r="F206" s="1308"/>
      <c r="G206" s="1689">
        <f>ROUND(SUM(G205),2)</f>
        <v>0</v>
      </c>
      <c r="H206" s="1720"/>
      <c r="I206" s="1689">
        <f>ROUND(SUM(I205),2)</f>
        <v>0</v>
      </c>
      <c r="J206" s="1720"/>
      <c r="K206" s="1689">
        <f>ROUND(SUM(K205),2)</f>
        <v>0</v>
      </c>
      <c r="L206" s="1720"/>
      <c r="M206" s="2944">
        <f>ROUND(SUM(M205),2)</f>
        <v>0</v>
      </c>
      <c r="N206" s="1720"/>
      <c r="O206" s="1689">
        <f>ROUND(SUM(O205),2)</f>
        <v>0</v>
      </c>
      <c r="P206" s="1319"/>
    </row>
    <row r="207" spans="2:16" s="985" customFormat="1" ht="16.5" thickTop="1">
      <c r="B207" s="1671"/>
      <c r="C207" s="1671"/>
      <c r="D207" s="1692"/>
      <c r="E207" s="1313"/>
      <c r="F207" s="1313"/>
      <c r="G207" s="1679"/>
      <c r="H207" s="1679"/>
      <c r="I207" s="1679"/>
      <c r="J207" s="1679"/>
      <c r="K207" s="1679"/>
      <c r="L207" s="1679"/>
      <c r="M207" s="2945"/>
      <c r="N207" s="1693"/>
      <c r="O207" s="1679"/>
      <c r="P207" s="1322"/>
    </row>
    <row r="208" spans="2:16" s="985" customFormat="1" ht="15.75">
      <c r="B208" s="1412"/>
      <c r="C208" s="1311"/>
      <c r="D208" s="1226" t="s">
        <v>229</v>
      </c>
      <c r="E208" s="1308"/>
      <c r="F208" s="1308"/>
      <c r="G208" s="1667"/>
      <c r="H208" s="1667"/>
      <c r="I208" s="1667"/>
      <c r="J208" s="1667"/>
      <c r="K208" s="1667"/>
      <c r="L208" s="1667"/>
      <c r="M208" s="2943"/>
      <c r="N208" s="1678"/>
      <c r="O208" s="1667"/>
      <c r="P208" s="1313"/>
    </row>
    <row r="209" spans="2:16" s="985" customFormat="1" ht="15.75">
      <c r="B209" s="2885">
        <v>55001</v>
      </c>
      <c r="C209" s="1671"/>
      <c r="D209" s="1240" t="s">
        <v>960</v>
      </c>
      <c r="E209" s="1313"/>
      <c r="F209" s="1313"/>
      <c r="G209" s="1886">
        <v>105321.78</v>
      </c>
      <c r="H209" s="1886"/>
      <c r="I209" s="1886">
        <v>35832.49</v>
      </c>
      <c r="J209" s="1886"/>
      <c r="K209" s="1886">
        <v>0</v>
      </c>
      <c r="L209" s="1886"/>
      <c r="M209" s="2426">
        <f t="shared" ref="M209:M253" si="5">ROUND(SUM(O209)-SUM(K209),2)</f>
        <v>0</v>
      </c>
      <c r="N209" s="1886"/>
      <c r="O209" s="3444">
        <v>0</v>
      </c>
      <c r="P209" s="1318"/>
    </row>
    <row r="210" spans="2:16" s="985" customFormat="1" ht="15.75">
      <c r="B210" s="2885">
        <v>55002</v>
      </c>
      <c r="C210" s="1235"/>
      <c r="D210" s="1239" t="s">
        <v>961</v>
      </c>
      <c r="E210" s="1237"/>
      <c r="F210" s="1237"/>
      <c r="G210" s="1886">
        <v>0</v>
      </c>
      <c r="H210" s="1886"/>
      <c r="I210" s="1886">
        <v>0</v>
      </c>
      <c r="J210" s="1886"/>
      <c r="K210" s="1886">
        <v>0</v>
      </c>
      <c r="L210" s="1886"/>
      <c r="M210" s="2426">
        <f t="shared" si="5"/>
        <v>0</v>
      </c>
      <c r="N210" s="1886"/>
      <c r="O210" s="3444">
        <v>0</v>
      </c>
      <c r="P210" s="1245"/>
    </row>
    <row r="211" spans="2:16" s="985" customFormat="1" ht="15.75">
      <c r="B211" s="2885">
        <v>55003</v>
      </c>
      <c r="C211" s="1235"/>
      <c r="D211" s="1240" t="s">
        <v>962</v>
      </c>
      <c r="E211" s="1237"/>
      <c r="F211" s="1237"/>
      <c r="G211" s="1886">
        <v>3532041.72</v>
      </c>
      <c r="H211" s="1886"/>
      <c r="I211" s="1886">
        <v>3546536.6</v>
      </c>
      <c r="J211" s="1886"/>
      <c r="K211" s="1886">
        <v>3480606.94</v>
      </c>
      <c r="L211" s="1886"/>
      <c r="M211" s="2426">
        <f t="shared" si="5"/>
        <v>-87908.479999999996</v>
      </c>
      <c r="N211" s="1886"/>
      <c r="O211" s="3444">
        <v>3392698.46</v>
      </c>
      <c r="P211" s="1245"/>
    </row>
    <row r="212" spans="2:16" s="985" customFormat="1" ht="15.75">
      <c r="B212" s="2885">
        <v>55004</v>
      </c>
      <c r="C212" s="1232"/>
      <c r="D212" s="1694" t="s">
        <v>963</v>
      </c>
      <c r="E212" s="1244"/>
      <c r="F212" s="1244"/>
      <c r="G212" s="1886">
        <v>223850.1</v>
      </c>
      <c r="H212" s="1886"/>
      <c r="I212" s="1886">
        <v>163462.87</v>
      </c>
      <c r="J212" s="1886"/>
      <c r="K212" s="1886">
        <v>196535.76</v>
      </c>
      <c r="L212" s="1886"/>
      <c r="M212" s="2426">
        <f t="shared" si="5"/>
        <v>-196535.76</v>
      </c>
      <c r="N212" s="1886"/>
      <c r="O212" s="3444">
        <v>0</v>
      </c>
      <c r="P212" s="1245"/>
    </row>
    <row r="213" spans="2:16" s="985" customFormat="1" ht="15.75">
      <c r="B213" s="2885">
        <v>55005</v>
      </c>
      <c r="C213" s="1235"/>
      <c r="D213" s="1240" t="s">
        <v>964</v>
      </c>
      <c r="E213" s="1237"/>
      <c r="F213" s="1237"/>
      <c r="G213" s="1886">
        <v>0</v>
      </c>
      <c r="H213" s="1886"/>
      <c r="I213" s="1886">
        <v>334857.96999999997</v>
      </c>
      <c r="J213" s="1886"/>
      <c r="K213" s="1886">
        <v>630128.62</v>
      </c>
      <c r="L213" s="1886"/>
      <c r="M213" s="2426">
        <f t="shared" si="5"/>
        <v>-298083.13</v>
      </c>
      <c r="N213" s="1886"/>
      <c r="O213" s="3444">
        <v>332045.49</v>
      </c>
      <c r="P213" s="1245"/>
    </row>
    <row r="214" spans="2:16" s="985" customFormat="1" ht="15.75">
      <c r="B214" s="2885">
        <v>55006</v>
      </c>
      <c r="C214" s="1232"/>
      <c r="D214" s="1240" t="s">
        <v>965</v>
      </c>
      <c r="E214" s="1244"/>
      <c r="F214" s="1244"/>
      <c r="G214" s="1886">
        <v>0</v>
      </c>
      <c r="H214" s="1886"/>
      <c r="I214" s="1886">
        <v>0</v>
      </c>
      <c r="J214" s="1886"/>
      <c r="K214" s="1886">
        <v>0</v>
      </c>
      <c r="L214" s="1886"/>
      <c r="M214" s="2426">
        <f t="shared" si="5"/>
        <v>0</v>
      </c>
      <c r="N214" s="1886"/>
      <c r="O214" s="3444">
        <v>0</v>
      </c>
      <c r="P214" s="1245"/>
    </row>
    <row r="215" spans="2:16" s="985" customFormat="1" ht="15.75">
      <c r="B215" s="2885">
        <v>55007</v>
      </c>
      <c r="C215" s="1680"/>
      <c r="D215" s="1228" t="s">
        <v>966</v>
      </c>
      <c r="E215" s="1668"/>
      <c r="F215" s="1668"/>
      <c r="G215" s="1886">
        <v>3704283.94</v>
      </c>
      <c r="H215" s="1886"/>
      <c r="I215" s="1886">
        <v>1403544.35</v>
      </c>
      <c r="J215" s="1886"/>
      <c r="K215" s="1886">
        <v>1532701.2</v>
      </c>
      <c r="L215" s="1886"/>
      <c r="M215" s="2426">
        <f t="shared" si="5"/>
        <v>335853.53</v>
      </c>
      <c r="N215" s="1886"/>
      <c r="O215" s="3444">
        <v>1868554.73</v>
      </c>
      <c r="P215" s="1318"/>
    </row>
    <row r="216" spans="2:16" s="985" customFormat="1" ht="15.75">
      <c r="B216" s="2885">
        <v>55008</v>
      </c>
      <c r="C216" s="1235"/>
      <c r="D216" s="1242" t="s">
        <v>967</v>
      </c>
      <c r="E216" s="1237"/>
      <c r="F216" s="1237"/>
      <c r="G216" s="1886">
        <v>21665536.27</v>
      </c>
      <c r="H216" s="1886"/>
      <c r="I216" s="1886">
        <v>24591180.84</v>
      </c>
      <c r="J216" s="1886"/>
      <c r="K216" s="1886">
        <v>31189721.559999999</v>
      </c>
      <c r="L216" s="1886"/>
      <c r="M216" s="2426">
        <f t="shared" si="5"/>
        <v>-16739669.43</v>
      </c>
      <c r="N216" s="1886"/>
      <c r="O216" s="3444">
        <v>14450052.130000001</v>
      </c>
      <c r="P216" s="1319"/>
    </row>
    <row r="217" spans="2:16" s="985" customFormat="1" ht="15.75">
      <c r="B217" s="2688">
        <v>55009</v>
      </c>
      <c r="C217" s="1680"/>
      <c r="D217" s="1228" t="s">
        <v>968</v>
      </c>
      <c r="E217" s="1668"/>
      <c r="F217" s="1668"/>
      <c r="G217" s="1886">
        <v>0</v>
      </c>
      <c r="H217" s="1886"/>
      <c r="I217" s="1886">
        <v>0</v>
      </c>
      <c r="J217" s="1886"/>
      <c r="K217" s="1886">
        <v>0</v>
      </c>
      <c r="L217" s="1886"/>
      <c r="M217" s="2426">
        <f t="shared" si="5"/>
        <v>0</v>
      </c>
      <c r="N217" s="1886"/>
      <c r="O217" s="3444">
        <v>0</v>
      </c>
      <c r="P217" s="1313"/>
    </row>
    <row r="218" spans="2:16" s="985" customFormat="1" ht="15.75">
      <c r="B218" s="2688">
        <v>55010</v>
      </c>
      <c r="C218" s="1235"/>
      <c r="D218" s="1240" t="s">
        <v>1235</v>
      </c>
      <c r="E218" s="1237"/>
      <c r="F218" s="1237"/>
      <c r="G218" s="1886">
        <v>7052312.5</v>
      </c>
      <c r="H218" s="1886"/>
      <c r="I218" s="1886">
        <v>4054793.55</v>
      </c>
      <c r="J218" s="1886"/>
      <c r="K218" s="1886">
        <v>4605333.17</v>
      </c>
      <c r="L218" s="1886"/>
      <c r="M218" s="2426">
        <f t="shared" si="5"/>
        <v>-4605333.17</v>
      </c>
      <c r="N218" s="1886"/>
      <c r="O218" s="3444">
        <v>0</v>
      </c>
      <c r="P218" s="1313"/>
    </row>
    <row r="219" spans="2:16" s="985" customFormat="1" ht="15.75">
      <c r="B219" s="2885">
        <v>55011</v>
      </c>
      <c r="C219" s="1680"/>
      <c r="D219" s="1228" t="s">
        <v>969</v>
      </c>
      <c r="E219" s="1668"/>
      <c r="F219" s="1668"/>
      <c r="G219" s="1886">
        <v>1537786.06</v>
      </c>
      <c r="H219" s="1886"/>
      <c r="I219" s="1886">
        <v>1826408.81</v>
      </c>
      <c r="J219" s="1886"/>
      <c r="K219" s="1886">
        <v>2060379.17</v>
      </c>
      <c r="L219" s="1886"/>
      <c r="M219" s="2426">
        <f t="shared" si="5"/>
        <v>158618.26999999999</v>
      </c>
      <c r="N219" s="1886"/>
      <c r="O219" s="3444">
        <v>2218997.44</v>
      </c>
      <c r="P219" s="1245"/>
    </row>
    <row r="220" spans="2:16" s="985" customFormat="1" ht="15.75">
      <c r="B220" s="2885">
        <v>55012</v>
      </c>
      <c r="C220" s="1235"/>
      <c r="D220" s="1236" t="s">
        <v>970</v>
      </c>
      <c r="E220" s="1237"/>
      <c r="F220" s="1237"/>
      <c r="G220" s="1886">
        <v>0</v>
      </c>
      <c r="H220" s="1886"/>
      <c r="I220" s="1886">
        <v>0</v>
      </c>
      <c r="J220" s="1886"/>
      <c r="K220" s="1886">
        <v>33852.14</v>
      </c>
      <c r="L220" s="1886"/>
      <c r="M220" s="2426">
        <f t="shared" si="5"/>
        <v>48156.69</v>
      </c>
      <c r="N220" s="1886"/>
      <c r="O220" s="3444">
        <v>82008.83</v>
      </c>
      <c r="P220" s="1245"/>
    </row>
    <row r="221" spans="2:16" s="985" customFormat="1" ht="15.75">
      <c r="B221" s="2885">
        <v>55013</v>
      </c>
      <c r="C221" s="1235"/>
      <c r="D221" s="1239" t="s">
        <v>971</v>
      </c>
      <c r="E221" s="1237"/>
      <c r="F221" s="1237"/>
      <c r="G221" s="1886">
        <v>0</v>
      </c>
      <c r="H221" s="1886"/>
      <c r="I221" s="1886">
        <v>0</v>
      </c>
      <c r="J221" s="1886"/>
      <c r="K221" s="1886">
        <v>0</v>
      </c>
      <c r="L221" s="1886"/>
      <c r="M221" s="2426">
        <f t="shared" si="5"/>
        <v>0</v>
      </c>
      <c r="N221" s="1886"/>
      <c r="O221" s="3444">
        <v>0</v>
      </c>
      <c r="P221" s="1245"/>
    </row>
    <row r="222" spans="2:16" s="985" customFormat="1" ht="15.75">
      <c r="B222" s="2885">
        <v>55014</v>
      </c>
      <c r="C222" s="1235"/>
      <c r="D222" s="1236" t="s">
        <v>972</v>
      </c>
      <c r="E222" s="1237"/>
      <c r="F222" s="1237"/>
      <c r="G222" s="1886">
        <v>0</v>
      </c>
      <c r="H222" s="1886"/>
      <c r="I222" s="1886">
        <v>0</v>
      </c>
      <c r="J222" s="1886"/>
      <c r="K222" s="1886">
        <v>0</v>
      </c>
      <c r="L222" s="1886"/>
      <c r="M222" s="2426">
        <f t="shared" si="5"/>
        <v>0</v>
      </c>
      <c r="N222" s="1886"/>
      <c r="O222" s="3444">
        <v>0</v>
      </c>
      <c r="P222" s="1245"/>
    </row>
    <row r="223" spans="2:16" s="985" customFormat="1" ht="15.75">
      <c r="B223" s="2885">
        <v>55015</v>
      </c>
      <c r="C223" s="1235"/>
      <c r="D223" s="1239" t="s">
        <v>973</v>
      </c>
      <c r="E223" s="1237"/>
      <c r="F223" s="1237"/>
      <c r="G223" s="1886">
        <v>0</v>
      </c>
      <c r="H223" s="1886"/>
      <c r="I223" s="1886">
        <v>0</v>
      </c>
      <c r="J223" s="1886"/>
      <c r="K223" s="1886">
        <v>0</v>
      </c>
      <c r="L223" s="1886"/>
      <c r="M223" s="2426">
        <f t="shared" si="5"/>
        <v>0</v>
      </c>
      <c r="N223" s="1886"/>
      <c r="O223" s="3444">
        <v>0</v>
      </c>
      <c r="P223" s="1245"/>
    </row>
    <row r="224" spans="2:16" s="985" customFormat="1" ht="15.75">
      <c r="B224" s="2885">
        <v>55016</v>
      </c>
      <c r="C224" s="1235"/>
      <c r="D224" s="1239" t="s">
        <v>974</v>
      </c>
      <c r="E224" s="1237"/>
      <c r="F224" s="1237"/>
      <c r="G224" s="1886">
        <v>26961.54</v>
      </c>
      <c r="H224" s="1886"/>
      <c r="I224" s="1886">
        <v>26961.54</v>
      </c>
      <c r="J224" s="1886"/>
      <c r="K224" s="1886">
        <v>26961.54</v>
      </c>
      <c r="L224" s="1886"/>
      <c r="M224" s="2426">
        <f t="shared" si="5"/>
        <v>0</v>
      </c>
      <c r="N224" s="1886"/>
      <c r="O224" s="3444">
        <v>26961.54</v>
      </c>
      <c r="P224" s="1245"/>
    </row>
    <row r="225" spans="2:16" s="985" customFormat="1" ht="15.75">
      <c r="B225" s="2885">
        <v>55017</v>
      </c>
      <c r="C225" s="1235"/>
      <c r="D225" s="1239" t="s">
        <v>975</v>
      </c>
      <c r="E225" s="1237"/>
      <c r="F225" s="1237"/>
      <c r="G225" s="1886">
        <v>533302.43999999994</v>
      </c>
      <c r="H225" s="1886"/>
      <c r="I225" s="1886">
        <v>241987.19</v>
      </c>
      <c r="J225" s="1886"/>
      <c r="K225" s="1886">
        <v>66930.679999999993</v>
      </c>
      <c r="L225" s="1886"/>
      <c r="M225" s="2426">
        <f t="shared" si="5"/>
        <v>-37908.949999999997</v>
      </c>
      <c r="N225" s="1886"/>
      <c r="O225" s="3444">
        <v>29021.73</v>
      </c>
      <c r="P225" s="1245"/>
    </row>
    <row r="226" spans="2:16" s="985" customFormat="1" ht="15.75">
      <c r="B226" s="2885">
        <v>55018</v>
      </c>
      <c r="C226" s="1235"/>
      <c r="D226" s="1239" t="s">
        <v>976</v>
      </c>
      <c r="E226" s="1237"/>
      <c r="F226" s="1237"/>
      <c r="G226" s="1886">
        <v>0</v>
      </c>
      <c r="H226" s="1886"/>
      <c r="I226" s="1886">
        <v>0</v>
      </c>
      <c r="J226" s="1886"/>
      <c r="K226" s="1886">
        <v>0</v>
      </c>
      <c r="L226" s="1886"/>
      <c r="M226" s="2426">
        <f t="shared" si="5"/>
        <v>0</v>
      </c>
      <c r="N226" s="1886"/>
      <c r="O226" s="3444">
        <v>0</v>
      </c>
      <c r="P226" s="1245"/>
    </row>
    <row r="227" spans="2:16" s="985" customFormat="1" ht="15.75">
      <c r="B227" s="2885">
        <v>55019</v>
      </c>
      <c r="C227" s="1235"/>
      <c r="D227" s="1239" t="s">
        <v>977</v>
      </c>
      <c r="E227" s="1237"/>
      <c r="F227" s="1237"/>
      <c r="G227" s="1886">
        <v>0</v>
      </c>
      <c r="H227" s="1886"/>
      <c r="I227" s="1886">
        <v>0</v>
      </c>
      <c r="J227" s="1886"/>
      <c r="K227" s="1886">
        <v>0</v>
      </c>
      <c r="L227" s="1886"/>
      <c r="M227" s="2426">
        <f t="shared" si="5"/>
        <v>0</v>
      </c>
      <c r="N227" s="1886"/>
      <c r="O227" s="3444">
        <v>0</v>
      </c>
      <c r="P227" s="1245"/>
    </row>
    <row r="228" spans="2:16" s="985" customFormat="1" ht="15.75">
      <c r="B228" s="2885">
        <v>55020</v>
      </c>
      <c r="C228" s="1235"/>
      <c r="D228" s="1239" t="s">
        <v>978</v>
      </c>
      <c r="E228" s="1237"/>
      <c r="F228" s="1237"/>
      <c r="G228" s="1886">
        <v>91057763.390000001</v>
      </c>
      <c r="H228" s="1886"/>
      <c r="I228" s="1886">
        <v>70576060.870000005</v>
      </c>
      <c r="J228" s="1886"/>
      <c r="K228" s="1886">
        <v>74838818.329999998</v>
      </c>
      <c r="L228" s="1886"/>
      <c r="M228" s="2426">
        <f t="shared" si="5"/>
        <v>-1193983.54</v>
      </c>
      <c r="N228" s="1886"/>
      <c r="O228" s="3444">
        <v>73644834.790000007</v>
      </c>
      <c r="P228" s="1245"/>
    </row>
    <row r="229" spans="2:16" s="985" customFormat="1" ht="15.75">
      <c r="B229" s="2885">
        <v>55021</v>
      </c>
      <c r="C229" s="1235"/>
      <c r="D229" s="1239" t="s">
        <v>979</v>
      </c>
      <c r="E229" s="1237"/>
      <c r="F229" s="1237"/>
      <c r="G229" s="1886">
        <v>3054358.18</v>
      </c>
      <c r="H229" s="1886"/>
      <c r="I229" s="1886">
        <v>2519465.67</v>
      </c>
      <c r="J229" s="1886"/>
      <c r="K229" s="1886">
        <v>2700957.32</v>
      </c>
      <c r="L229" s="1886"/>
      <c r="M229" s="2426">
        <f t="shared" si="5"/>
        <v>168230.19</v>
      </c>
      <c r="N229" s="1886"/>
      <c r="O229" s="3444">
        <v>2869187.51</v>
      </c>
      <c r="P229" s="1245"/>
    </row>
    <row r="230" spans="2:16" s="985" customFormat="1" ht="15.75">
      <c r="B230" s="2885">
        <v>55022</v>
      </c>
      <c r="C230" s="1235"/>
      <c r="D230" s="1236" t="s">
        <v>980</v>
      </c>
      <c r="E230" s="1237"/>
      <c r="F230" s="1237"/>
      <c r="G230" s="1886">
        <v>1572623.53</v>
      </c>
      <c r="H230" s="1886"/>
      <c r="I230" s="1886">
        <v>0</v>
      </c>
      <c r="J230" s="1886"/>
      <c r="K230" s="1886">
        <v>142068.34</v>
      </c>
      <c r="L230" s="1886"/>
      <c r="M230" s="2426">
        <f t="shared" si="5"/>
        <v>12911.58</v>
      </c>
      <c r="N230" s="1886"/>
      <c r="O230" s="3444">
        <v>154979.92000000001</v>
      </c>
      <c r="P230" s="1245"/>
    </row>
    <row r="231" spans="2:16" s="985" customFormat="1" ht="15.75">
      <c r="B231" s="2885">
        <v>55052</v>
      </c>
      <c r="C231" s="1235"/>
      <c r="D231" s="1236" t="s">
        <v>981</v>
      </c>
      <c r="E231" s="1237"/>
      <c r="F231" s="1237"/>
      <c r="G231" s="1886">
        <v>0</v>
      </c>
      <c r="H231" s="1886"/>
      <c r="I231" s="1886">
        <v>0</v>
      </c>
      <c r="J231" s="1886"/>
      <c r="K231" s="1886">
        <v>0</v>
      </c>
      <c r="L231" s="1886"/>
      <c r="M231" s="2426">
        <f t="shared" si="5"/>
        <v>0</v>
      </c>
      <c r="N231" s="1886"/>
      <c r="O231" s="3444">
        <v>0</v>
      </c>
      <c r="P231" s="1245"/>
    </row>
    <row r="232" spans="2:16" s="985" customFormat="1" ht="15.75">
      <c r="B232" s="2885">
        <v>55053</v>
      </c>
      <c r="C232" s="1235"/>
      <c r="D232" s="1239" t="s">
        <v>982</v>
      </c>
      <c r="E232" s="1237"/>
      <c r="F232" s="1237"/>
      <c r="G232" s="1886">
        <v>0</v>
      </c>
      <c r="H232" s="1886"/>
      <c r="I232" s="1886">
        <v>0</v>
      </c>
      <c r="J232" s="1886"/>
      <c r="K232" s="1886">
        <v>0</v>
      </c>
      <c r="L232" s="1886"/>
      <c r="M232" s="2426">
        <f t="shared" si="5"/>
        <v>0</v>
      </c>
      <c r="N232" s="1886"/>
      <c r="O232" s="3444">
        <v>0</v>
      </c>
      <c r="P232" s="1245"/>
    </row>
    <row r="233" spans="2:16" s="985" customFormat="1" ht="15.75">
      <c r="B233" s="2885">
        <v>55055</v>
      </c>
      <c r="C233" s="1235"/>
      <c r="D233" s="1239" t="s">
        <v>983</v>
      </c>
      <c r="E233" s="1237"/>
      <c r="F233" s="1237"/>
      <c r="G233" s="1886">
        <v>0</v>
      </c>
      <c r="H233" s="1886"/>
      <c r="I233" s="1886">
        <v>0</v>
      </c>
      <c r="J233" s="1886"/>
      <c r="K233" s="1886">
        <v>0</v>
      </c>
      <c r="L233" s="1886"/>
      <c r="M233" s="2426">
        <f t="shared" si="5"/>
        <v>0</v>
      </c>
      <c r="N233" s="1886"/>
      <c r="O233" s="3444">
        <v>0</v>
      </c>
      <c r="P233" s="1245"/>
    </row>
    <row r="234" spans="2:16" s="985" customFormat="1" ht="15.75">
      <c r="B234" s="2885">
        <v>55056</v>
      </c>
      <c r="C234" s="1235"/>
      <c r="D234" s="1239" t="s">
        <v>984</v>
      </c>
      <c r="E234" s="1237"/>
      <c r="F234" s="1237"/>
      <c r="G234" s="1886">
        <v>0</v>
      </c>
      <c r="H234" s="1886"/>
      <c r="I234" s="1886">
        <v>0</v>
      </c>
      <c r="J234" s="1886"/>
      <c r="K234" s="1886">
        <v>0</v>
      </c>
      <c r="L234" s="1886"/>
      <c r="M234" s="2426">
        <f t="shared" si="5"/>
        <v>0</v>
      </c>
      <c r="N234" s="1886"/>
      <c r="O234" s="3444">
        <v>0</v>
      </c>
      <c r="P234" s="1245"/>
    </row>
    <row r="235" spans="2:16" s="985" customFormat="1" ht="15.75">
      <c r="B235" s="2885">
        <v>55057</v>
      </c>
      <c r="C235" s="1235"/>
      <c r="D235" s="1239" t="s">
        <v>985</v>
      </c>
      <c r="E235" s="1237"/>
      <c r="F235" s="1237"/>
      <c r="G235" s="1886">
        <v>80562.649999999994</v>
      </c>
      <c r="H235" s="1886"/>
      <c r="I235" s="1886">
        <v>0</v>
      </c>
      <c r="J235" s="1886"/>
      <c r="K235" s="1886">
        <v>132522.39000000001</v>
      </c>
      <c r="L235" s="1886"/>
      <c r="M235" s="2426">
        <f t="shared" si="5"/>
        <v>98512.320000000007</v>
      </c>
      <c r="N235" s="1886"/>
      <c r="O235" s="3444">
        <v>231034.71</v>
      </c>
      <c r="P235" s="1245"/>
    </row>
    <row r="236" spans="2:16" s="985" customFormat="1" ht="15.75">
      <c r="B236" s="2885">
        <v>55058</v>
      </c>
      <c r="C236" s="1235"/>
      <c r="D236" s="1239" t="s">
        <v>986</v>
      </c>
      <c r="E236" s="1237"/>
      <c r="F236" s="1237"/>
      <c r="G236" s="1886">
        <v>1867524.03</v>
      </c>
      <c r="H236" s="1886"/>
      <c r="I236" s="1886">
        <v>3000098.62</v>
      </c>
      <c r="J236" s="1886"/>
      <c r="K236" s="1886">
        <v>2411728.4900000002</v>
      </c>
      <c r="L236" s="1886"/>
      <c r="M236" s="2426">
        <f t="shared" si="5"/>
        <v>173679.19</v>
      </c>
      <c r="N236" s="1886"/>
      <c r="O236" s="3444">
        <v>2585407.6800000002</v>
      </c>
      <c r="P236" s="1245"/>
    </row>
    <row r="237" spans="2:16" s="985" customFormat="1" ht="15.75">
      <c r="B237" s="2885">
        <v>55059</v>
      </c>
      <c r="C237" s="1235"/>
      <c r="D237" s="1239" t="s">
        <v>987</v>
      </c>
      <c r="E237" s="1237"/>
      <c r="F237" s="1237"/>
      <c r="G237" s="1886">
        <v>10509218.42</v>
      </c>
      <c r="H237" s="1886"/>
      <c r="I237" s="1886">
        <v>9754666.0399999991</v>
      </c>
      <c r="J237" s="1886"/>
      <c r="K237" s="1886">
        <v>10387053.52</v>
      </c>
      <c r="L237" s="1886"/>
      <c r="M237" s="2426">
        <f t="shared" si="5"/>
        <v>225446.52</v>
      </c>
      <c r="N237" s="1886"/>
      <c r="O237" s="3444">
        <v>10612500.039999999</v>
      </c>
      <c r="P237" s="1245"/>
    </row>
    <row r="238" spans="2:16" s="985" customFormat="1" ht="15.75">
      <c r="B238" s="2885">
        <v>55060</v>
      </c>
      <c r="C238" s="1235"/>
      <c r="D238" s="1236" t="s">
        <v>988</v>
      </c>
      <c r="E238" s="1237"/>
      <c r="F238" s="1237"/>
      <c r="G238" s="1886">
        <v>0</v>
      </c>
      <c r="H238" s="1886"/>
      <c r="I238" s="1886">
        <v>0</v>
      </c>
      <c r="J238" s="1886"/>
      <c r="K238" s="1886">
        <v>0</v>
      </c>
      <c r="L238" s="1886"/>
      <c r="M238" s="2426">
        <f t="shared" si="5"/>
        <v>0</v>
      </c>
      <c r="N238" s="1886"/>
      <c r="O238" s="3444">
        <v>0</v>
      </c>
      <c r="P238" s="1245"/>
    </row>
    <row r="239" spans="2:16" s="985" customFormat="1" ht="15.75">
      <c r="B239" s="2885">
        <v>55061</v>
      </c>
      <c r="C239" s="1235"/>
      <c r="D239" s="1236" t="s">
        <v>989</v>
      </c>
      <c r="E239" s="1237"/>
      <c r="F239" s="1237"/>
      <c r="G239" s="1886">
        <v>9714139.3000000007</v>
      </c>
      <c r="H239" s="1886"/>
      <c r="I239" s="1886">
        <v>4517172.4800000004</v>
      </c>
      <c r="J239" s="1886"/>
      <c r="K239" s="1886">
        <v>4818658.9000000004</v>
      </c>
      <c r="L239" s="1886"/>
      <c r="M239" s="2426">
        <f t="shared" si="5"/>
        <v>4835.74</v>
      </c>
      <c r="N239" s="1886"/>
      <c r="O239" s="3444">
        <v>4823494.6399999997</v>
      </c>
      <c r="P239" s="1245"/>
    </row>
    <row r="240" spans="2:16" s="985" customFormat="1" ht="15.75">
      <c r="B240" s="2885">
        <v>55062</v>
      </c>
      <c r="C240" s="1235"/>
      <c r="D240" s="1239" t="s">
        <v>990</v>
      </c>
      <c r="E240" s="1237"/>
      <c r="F240" s="1237"/>
      <c r="G240" s="1886">
        <v>50025841.920000002</v>
      </c>
      <c r="H240" s="1886"/>
      <c r="I240" s="1886">
        <v>44030235.329999998</v>
      </c>
      <c r="J240" s="1886"/>
      <c r="K240" s="1886">
        <v>44030354.25</v>
      </c>
      <c r="L240" s="1886"/>
      <c r="M240" s="2426">
        <f t="shared" si="5"/>
        <v>1676944.93</v>
      </c>
      <c r="N240" s="1886"/>
      <c r="O240" s="3444">
        <v>45707299.18</v>
      </c>
      <c r="P240" s="1245"/>
    </row>
    <row r="241" spans="2:16" s="985" customFormat="1" ht="15.75">
      <c r="B241" s="2885">
        <v>55063</v>
      </c>
      <c r="C241" s="1235"/>
      <c r="D241" s="1236" t="s">
        <v>991</v>
      </c>
      <c r="E241" s="1237"/>
      <c r="F241" s="1237"/>
      <c r="G241" s="1886">
        <v>0</v>
      </c>
      <c r="H241" s="1886"/>
      <c r="I241" s="1886">
        <v>0</v>
      </c>
      <c r="J241" s="1886"/>
      <c r="K241" s="1886">
        <v>0</v>
      </c>
      <c r="L241" s="1886"/>
      <c r="M241" s="2426">
        <f t="shared" si="5"/>
        <v>0</v>
      </c>
      <c r="N241" s="1886"/>
      <c r="O241" s="3444">
        <v>0</v>
      </c>
      <c r="P241" s="1719" t="s">
        <v>1567</v>
      </c>
    </row>
    <row r="242" spans="2:16" s="985" customFormat="1" ht="15.75">
      <c r="B242" s="2885">
        <v>55066</v>
      </c>
      <c r="C242" s="1235"/>
      <c r="D242" s="1239" t="s">
        <v>992</v>
      </c>
      <c r="E242" s="1237"/>
      <c r="F242" s="1237"/>
      <c r="G242" s="1886">
        <v>1548430.48</v>
      </c>
      <c r="H242" s="1886"/>
      <c r="I242" s="1886">
        <v>1481019.57</v>
      </c>
      <c r="J242" s="1886"/>
      <c r="K242" s="1886">
        <v>1481019.57</v>
      </c>
      <c r="L242" s="1886"/>
      <c r="M242" s="2426">
        <f t="shared" si="5"/>
        <v>-9762.5499999999993</v>
      </c>
      <c r="N242" s="1886"/>
      <c r="O242" s="3444">
        <v>1471257.02</v>
      </c>
      <c r="P242" s="1245"/>
    </row>
    <row r="243" spans="2:16" s="985" customFormat="1" ht="15.75">
      <c r="B243" s="2885">
        <v>55067</v>
      </c>
      <c r="C243" s="1235"/>
      <c r="D243" s="1239" t="s">
        <v>993</v>
      </c>
      <c r="E243" s="1237"/>
      <c r="F243" s="1237"/>
      <c r="G243" s="1886">
        <v>194485.37</v>
      </c>
      <c r="H243" s="1886"/>
      <c r="I243" s="1886">
        <v>195896.1</v>
      </c>
      <c r="J243" s="1886"/>
      <c r="K243" s="1886">
        <v>242751.98</v>
      </c>
      <c r="L243" s="1886"/>
      <c r="M243" s="2426">
        <f t="shared" si="5"/>
        <v>-133579.68</v>
      </c>
      <c r="N243" s="1886"/>
      <c r="O243" s="3444">
        <v>109172.3</v>
      </c>
      <c r="P243" s="1245"/>
    </row>
    <row r="244" spans="2:16" s="985" customFormat="1" ht="15.75">
      <c r="B244" s="2885">
        <v>55069</v>
      </c>
      <c r="C244" s="1235"/>
      <c r="D244" s="1239" t="s">
        <v>994</v>
      </c>
      <c r="E244" s="1237"/>
      <c r="F244" s="1237"/>
      <c r="G244" s="1886">
        <v>49376016.469999999</v>
      </c>
      <c r="H244" s="1886"/>
      <c r="I244" s="1886">
        <v>31749031.690000001</v>
      </c>
      <c r="J244" s="1886"/>
      <c r="K244" s="1886">
        <v>43755891.159999996</v>
      </c>
      <c r="L244" s="1886"/>
      <c r="M244" s="2426">
        <f t="shared" si="5"/>
        <v>13555143.83</v>
      </c>
      <c r="N244" s="1886"/>
      <c r="O244" s="3444">
        <v>57311034.990000002</v>
      </c>
      <c r="P244" s="1245"/>
    </row>
    <row r="245" spans="2:16" s="985" customFormat="1" ht="15.75">
      <c r="B245" s="1227">
        <v>55071</v>
      </c>
      <c r="C245" s="1235"/>
      <c r="D245" s="1239" t="s">
        <v>1204</v>
      </c>
      <c r="E245" s="1237"/>
      <c r="F245" s="1237"/>
      <c r="G245" s="1886">
        <v>601108.77</v>
      </c>
      <c r="H245" s="1886"/>
      <c r="I245" s="1886">
        <v>231191.57</v>
      </c>
      <c r="J245" s="1886"/>
      <c r="K245" s="1886">
        <v>346692.87</v>
      </c>
      <c r="L245" s="1886"/>
      <c r="M245" s="2426">
        <f t="shared" si="5"/>
        <v>187995.73</v>
      </c>
      <c r="N245" s="1886"/>
      <c r="O245" s="3444">
        <v>534688.6</v>
      </c>
      <c r="P245" s="1245"/>
    </row>
    <row r="246" spans="2:16" s="985" customFormat="1" ht="15.75">
      <c r="B246" s="2885">
        <v>55072</v>
      </c>
      <c r="C246" s="1235"/>
      <c r="D246" s="1239" t="s">
        <v>1205</v>
      </c>
      <c r="E246" s="1237"/>
      <c r="F246" s="1237"/>
      <c r="G246" s="1886">
        <v>121292.64</v>
      </c>
      <c r="H246" s="1886"/>
      <c r="I246" s="1886">
        <v>0</v>
      </c>
      <c r="J246" s="1886"/>
      <c r="K246" s="1886">
        <v>0</v>
      </c>
      <c r="L246" s="1886"/>
      <c r="M246" s="2426">
        <f t="shared" si="5"/>
        <v>381607.45</v>
      </c>
      <c r="N246" s="1886"/>
      <c r="O246" s="3444">
        <v>381607.45</v>
      </c>
      <c r="P246" s="1245"/>
    </row>
    <row r="247" spans="2:16" s="985" customFormat="1" ht="15.75">
      <c r="B247" s="1227">
        <v>55073</v>
      </c>
      <c r="C247" s="1235"/>
      <c r="D247" s="1239" t="s">
        <v>1206</v>
      </c>
      <c r="E247" s="1237"/>
      <c r="F247" s="1237"/>
      <c r="G247" s="1886">
        <v>0</v>
      </c>
      <c r="H247" s="1886"/>
      <c r="I247" s="1886">
        <v>0</v>
      </c>
      <c r="J247" s="1886"/>
      <c r="K247" s="1886">
        <v>0</v>
      </c>
      <c r="L247" s="1886"/>
      <c r="M247" s="2426">
        <f t="shared" si="5"/>
        <v>0</v>
      </c>
      <c r="N247" s="1886"/>
      <c r="O247" s="3444">
        <v>0</v>
      </c>
      <c r="P247" s="1245"/>
    </row>
    <row r="248" spans="2:16" s="985" customFormat="1" ht="15.75">
      <c r="B248" s="2885">
        <v>55201</v>
      </c>
      <c r="C248" s="1235"/>
      <c r="D248" s="1236" t="s">
        <v>995</v>
      </c>
      <c r="E248" s="1237"/>
      <c r="F248" s="1237"/>
      <c r="G248" s="1886">
        <v>0</v>
      </c>
      <c r="H248" s="1886"/>
      <c r="I248" s="1886">
        <v>0</v>
      </c>
      <c r="J248" s="1886"/>
      <c r="K248" s="1886">
        <v>0</v>
      </c>
      <c r="L248" s="1886"/>
      <c r="M248" s="2426">
        <f t="shared" si="5"/>
        <v>0</v>
      </c>
      <c r="N248" s="1886"/>
      <c r="O248" s="3444">
        <v>0</v>
      </c>
      <c r="P248" s="1719" t="s">
        <v>1567</v>
      </c>
    </row>
    <row r="249" spans="2:16" s="985" customFormat="1" ht="15.75">
      <c r="B249" s="2885">
        <v>55251</v>
      </c>
      <c r="C249" s="1235"/>
      <c r="D249" s="1236" t="s">
        <v>996</v>
      </c>
      <c r="E249" s="1237"/>
      <c r="F249" s="1237"/>
      <c r="G249" s="1886">
        <v>4244359.6100000003</v>
      </c>
      <c r="H249" s="1886"/>
      <c r="I249" s="1886">
        <v>2288456.5299999998</v>
      </c>
      <c r="J249" s="1886"/>
      <c r="K249" s="1886">
        <v>2468423.73</v>
      </c>
      <c r="L249" s="1886"/>
      <c r="M249" s="2426">
        <f t="shared" si="5"/>
        <v>435230.11</v>
      </c>
      <c r="N249" s="1886"/>
      <c r="O249" s="3444">
        <v>2903653.84</v>
      </c>
      <c r="P249" s="1245"/>
    </row>
    <row r="250" spans="2:16" s="985" customFormat="1" ht="15.75">
      <c r="B250" s="2885">
        <v>55252</v>
      </c>
      <c r="C250" s="1235"/>
      <c r="D250" s="1239" t="s">
        <v>997</v>
      </c>
      <c r="E250" s="1237"/>
      <c r="F250" s="1237"/>
      <c r="G250" s="1886">
        <v>0</v>
      </c>
      <c r="H250" s="1886"/>
      <c r="I250" s="1886">
        <v>0</v>
      </c>
      <c r="J250" s="1886"/>
      <c r="K250" s="1886">
        <v>0</v>
      </c>
      <c r="L250" s="1886"/>
      <c r="M250" s="2426">
        <f t="shared" si="5"/>
        <v>0</v>
      </c>
      <c r="N250" s="1886"/>
      <c r="O250" s="3444">
        <v>0</v>
      </c>
      <c r="P250" s="1245"/>
    </row>
    <row r="251" spans="2:16" s="985" customFormat="1" ht="15.75">
      <c r="B251" s="2885">
        <v>55300</v>
      </c>
      <c r="C251" s="1235"/>
      <c r="D251" s="1236" t="s">
        <v>998</v>
      </c>
      <c r="E251" s="1237"/>
      <c r="F251" s="1237"/>
      <c r="G251" s="1886">
        <v>12216558.949999999</v>
      </c>
      <c r="H251" s="1886"/>
      <c r="I251" s="1886">
        <v>7956090.46</v>
      </c>
      <c r="J251" s="1886"/>
      <c r="K251" s="1886">
        <v>8446973.9199999999</v>
      </c>
      <c r="L251" s="1886"/>
      <c r="M251" s="2426">
        <f t="shared" si="5"/>
        <v>699676.63</v>
      </c>
      <c r="N251" s="1886"/>
      <c r="O251" s="3444">
        <v>9146650.5500000007</v>
      </c>
      <c r="P251" s="1245"/>
    </row>
    <row r="252" spans="2:16" s="985" customFormat="1" ht="15.75">
      <c r="B252" s="2885">
        <v>55301</v>
      </c>
      <c r="C252" s="1235"/>
      <c r="D252" s="1236" t="s">
        <v>999</v>
      </c>
      <c r="E252" s="1237"/>
      <c r="F252" s="1237"/>
      <c r="G252" s="1886">
        <v>2981470.8</v>
      </c>
      <c r="H252" s="1886"/>
      <c r="I252" s="1886">
        <v>3672418.48</v>
      </c>
      <c r="J252" s="1886"/>
      <c r="K252" s="1886">
        <v>3787591.67</v>
      </c>
      <c r="L252" s="1886"/>
      <c r="M252" s="2426">
        <f t="shared" si="5"/>
        <v>278595.77</v>
      </c>
      <c r="N252" s="1886"/>
      <c r="O252" s="3444">
        <v>4066187.44</v>
      </c>
      <c r="P252" s="1245"/>
    </row>
    <row r="253" spans="2:16" s="985" customFormat="1" ht="15.75">
      <c r="B253" s="2885">
        <v>55350</v>
      </c>
      <c r="C253" s="1671"/>
      <c r="D253" s="1236" t="s">
        <v>1000</v>
      </c>
      <c r="E253" s="1313"/>
      <c r="F253" s="1313"/>
      <c r="G253" s="1886">
        <v>28639814.789999999</v>
      </c>
      <c r="H253" s="1886"/>
      <c r="I253" s="1886">
        <v>15457569.75</v>
      </c>
      <c r="J253" s="1886"/>
      <c r="K253" s="1886">
        <v>16420108.289999999</v>
      </c>
      <c r="L253" s="1886"/>
      <c r="M253" s="2426">
        <f t="shared" si="5"/>
        <v>2653550.39</v>
      </c>
      <c r="N253" s="1886"/>
      <c r="O253" s="3444">
        <v>19073658.68</v>
      </c>
      <c r="P253" s="1245"/>
    </row>
    <row r="254" spans="2:16" s="985" customFormat="1" ht="16.5" thickBot="1">
      <c r="B254" s="1695"/>
      <c r="C254" s="1311"/>
      <c r="D254" s="1226" t="s">
        <v>1001</v>
      </c>
      <c r="E254" s="1308"/>
      <c r="F254" s="1308"/>
      <c r="G254" s="2428">
        <f>ROUND(SUM(G209:G253),2)</f>
        <v>306186965.64999998</v>
      </c>
      <c r="H254" s="1720"/>
      <c r="I254" s="2428">
        <f>ROUND(SUM(I209:I253),2)</f>
        <v>233654939.37</v>
      </c>
      <c r="J254" s="1720"/>
      <c r="K254" s="2428">
        <f>ROUND(SUM(K209:K253),2)</f>
        <v>260234765.50999999</v>
      </c>
      <c r="L254" s="1720"/>
      <c r="M254" s="2428">
        <f>ROUND(SUM(M209:M253),2)</f>
        <v>-2207775.8199999998</v>
      </c>
      <c r="N254" s="1720"/>
      <c r="O254" s="3445">
        <v>258026989.69</v>
      </c>
      <c r="P254" s="1245"/>
    </row>
    <row r="255" spans="2:16" s="985" customFormat="1" ht="16.5" thickTop="1">
      <c r="B255" s="1682"/>
      <c r="C255" s="1671"/>
      <c r="D255" s="1696"/>
      <c r="E255" s="1313"/>
      <c r="F255" s="1313"/>
      <c r="G255" s="1886"/>
      <c r="H255" s="1667"/>
      <c r="I255" s="1886"/>
      <c r="J255" s="1667"/>
      <c r="K255" s="1886"/>
      <c r="L255" s="1667"/>
      <c r="M255" s="2426"/>
      <c r="N255" s="1606"/>
      <c r="O255" s="1886"/>
      <c r="P255" s="1245"/>
    </row>
    <row r="256" spans="2:16" s="985" customFormat="1" ht="16.5" thickBot="1">
      <c r="B256" s="1682"/>
      <c r="C256" s="1671"/>
      <c r="D256" s="1696"/>
      <c r="E256" s="1313"/>
      <c r="F256" s="1313"/>
      <c r="G256" s="1886"/>
      <c r="H256" s="1667"/>
      <c r="I256" s="1886"/>
      <c r="J256" s="1667"/>
      <c r="K256" s="1886"/>
      <c r="L256" s="1667"/>
      <c r="M256" s="2426"/>
      <c r="N256" s="1606"/>
      <c r="O256" s="1886"/>
      <c r="P256" s="1245"/>
    </row>
    <row r="257" spans="2:16" s="985" customFormat="1" ht="16.5" thickBot="1">
      <c r="B257" s="1695"/>
      <c r="C257" s="1697"/>
      <c r="D257" s="1246" t="s">
        <v>1002</v>
      </c>
      <c r="E257" s="1308"/>
      <c r="F257" s="1698"/>
      <c r="G257" s="2891">
        <f>ROUND(SUM(G11+G97+G184+G197+G202+G206+G254),2)</f>
        <v>4666944617.8299999</v>
      </c>
      <c r="H257" s="2892"/>
      <c r="I257" s="2891">
        <f>ROUND(SUM(I11+I97+I184+I197+I202+I206+I254),2)</f>
        <v>2304764163.1799998</v>
      </c>
      <c r="J257" s="2892"/>
      <c r="K257" s="2891">
        <f>ROUND(SUM(K11+K97+K184+K197+K202+K206+K254),2)</f>
        <v>3496432696.9899998</v>
      </c>
      <c r="L257" s="2892"/>
      <c r="M257" s="2891">
        <f>ROUND(SUM(M11+M97+M184+M197+M202+M206+M254),2)</f>
        <v>-711201861.02999997</v>
      </c>
      <c r="N257" s="2892"/>
      <c r="O257" s="2891">
        <f>ROUND(SUM(O11+O97+O184+O197+O202+O206+O254),2)</f>
        <v>2785230835.96</v>
      </c>
      <c r="P257" s="1245"/>
    </row>
    <row r="258" spans="2:16" s="985" customFormat="1" ht="15.75">
      <c r="B258" s="1682"/>
      <c r="C258" s="1671"/>
      <c r="D258" s="1696"/>
      <c r="E258" s="1313"/>
      <c r="F258" s="1313"/>
      <c r="G258" s="2427"/>
      <c r="H258" s="1678"/>
      <c r="I258" s="2427"/>
      <c r="J258" s="1678"/>
      <c r="K258" s="2427"/>
      <c r="L258" s="1678"/>
      <c r="M258" s="2431"/>
      <c r="N258" s="1671"/>
      <c r="O258" s="2431"/>
      <c r="P258" s="1245"/>
    </row>
    <row r="259" spans="2:16" s="985" customFormat="1" ht="15.75">
      <c r="B259" s="3254" t="s">
        <v>1095</v>
      </c>
      <c r="C259" s="3255" t="s">
        <v>1557</v>
      </c>
      <c r="D259" s="1828"/>
      <c r="E259" s="1712"/>
      <c r="F259" s="1712"/>
      <c r="G259" s="2432"/>
      <c r="H259" s="3256"/>
      <c r="I259" s="2433"/>
      <c r="J259" s="3257"/>
      <c r="K259" s="2433"/>
      <c r="L259" s="1312"/>
      <c r="M259" s="2433"/>
      <c r="N259" s="1312"/>
      <c r="O259" s="2433"/>
      <c r="P259" s="1245"/>
    </row>
    <row r="260" spans="2:16" s="985" customFormat="1" ht="15.75">
      <c r="B260" s="1699"/>
      <c r="C260" s="1327" t="s">
        <v>1003</v>
      </c>
      <c r="D260" s="1826"/>
      <c r="E260" s="1327"/>
      <c r="F260" s="1327"/>
      <c r="G260" s="2432"/>
      <c r="H260" s="1326"/>
      <c r="I260" s="2433"/>
      <c r="J260" s="1312"/>
      <c r="K260" s="2433"/>
      <c r="L260" s="1312"/>
      <c r="M260" s="2433"/>
      <c r="N260" s="1312"/>
      <c r="O260" s="2433"/>
      <c r="P260" s="1245"/>
    </row>
    <row r="261" spans="2:16" s="985" customFormat="1" ht="15.75">
      <c r="B261" s="1699"/>
      <c r="C261" s="1327" t="s">
        <v>1004</v>
      </c>
      <c r="D261" s="1825"/>
      <c r="E261" s="1327"/>
      <c r="F261" s="1327"/>
      <c r="G261" s="2432"/>
      <c r="H261" s="1326"/>
      <c r="I261" s="2434"/>
      <c r="J261" s="1317"/>
      <c r="K261" s="2434"/>
      <c r="L261" s="1317"/>
      <c r="M261" s="2434"/>
      <c r="N261" s="1317"/>
      <c r="O261" s="2434"/>
      <c r="P261" s="1245"/>
    </row>
    <row r="262" spans="2:16" s="985" customFormat="1" ht="15.75">
      <c r="B262" s="1699"/>
      <c r="C262" s="1327" t="s">
        <v>1005</v>
      </c>
      <c r="D262" s="1825"/>
      <c r="E262" s="1327"/>
      <c r="F262" s="1327"/>
      <c r="G262" s="2432"/>
      <c r="H262" s="1326"/>
      <c r="I262" s="2434"/>
      <c r="J262" s="1317"/>
      <c r="K262" s="2434"/>
      <c r="L262" s="1317"/>
      <c r="M262" s="2434"/>
      <c r="N262" s="1317"/>
      <c r="O262" s="2434"/>
      <c r="P262" s="1245"/>
    </row>
    <row r="263" spans="2:16" s="985" customFormat="1" ht="15.75">
      <c r="B263" s="1699"/>
      <c r="C263" s="1327" t="s">
        <v>1006</v>
      </c>
      <c r="D263" s="1825"/>
      <c r="E263" s="1327"/>
      <c r="F263" s="1327"/>
      <c r="G263" s="2432"/>
      <c r="H263" s="1326"/>
      <c r="I263" s="2435"/>
      <c r="J263" s="1700"/>
      <c r="K263" s="2435"/>
      <c r="L263" s="1700"/>
      <c r="M263" s="2435"/>
      <c r="N263" s="1700"/>
      <c r="O263" s="2435"/>
      <c r="P263" s="1245"/>
    </row>
    <row r="264" spans="2:16" s="985" customFormat="1" ht="15.75">
      <c r="B264" s="1247"/>
      <c r="C264" s="1327" t="s">
        <v>1096</v>
      </c>
      <c r="D264" s="1825"/>
      <c r="E264" s="1327"/>
      <c r="F264" s="1327"/>
      <c r="G264" s="2432"/>
      <c r="H264" s="1326"/>
      <c r="I264" s="2435"/>
      <c r="J264" s="1700"/>
      <c r="K264" s="2435"/>
      <c r="L264" s="1700"/>
      <c r="M264" s="2435"/>
      <c r="N264" s="1700"/>
      <c r="O264" s="2435"/>
      <c r="P264" s="1318"/>
    </row>
    <row r="265" spans="2:16" s="985" customFormat="1" ht="15.75">
      <c r="B265" s="1247"/>
      <c r="C265" s="1326" t="s">
        <v>1097</v>
      </c>
      <c r="D265" s="1827"/>
      <c r="E265" s="1326"/>
      <c r="F265" s="1326"/>
      <c r="G265" s="2432"/>
      <c r="H265" s="1326"/>
      <c r="I265" s="2435"/>
      <c r="J265" s="1700"/>
      <c r="K265" s="2435"/>
      <c r="L265" s="1700"/>
      <c r="M265" s="2435"/>
      <c r="N265" s="1700"/>
      <c r="O265" s="2435"/>
      <c r="P265" s="1245"/>
    </row>
    <row r="266" spans="2:16" s="3253" customFormat="1" ht="15.75">
      <c r="B266" s="3246" t="s">
        <v>118</v>
      </c>
      <c r="C266" s="1712" t="s">
        <v>1532</v>
      </c>
      <c r="D266" s="1828"/>
      <c r="E266" s="1712"/>
      <c r="F266" s="1712"/>
      <c r="G266" s="3247"/>
      <c r="H266" s="3247"/>
      <c r="I266" s="3248"/>
      <c r="J266" s="3249"/>
      <c r="K266" s="3247"/>
      <c r="L266" s="3250"/>
      <c r="M266" s="3251"/>
      <c r="N266" s="3252"/>
      <c r="O266" s="3247"/>
      <c r="P266" s="1309"/>
    </row>
    <row r="267" spans="2:16" s="985" customFormat="1" ht="15.75">
      <c r="B267" s="1701" t="s">
        <v>1094</v>
      </c>
      <c r="C267" s="1712" t="s">
        <v>1207</v>
      </c>
      <c r="D267" s="1828"/>
      <c r="E267" s="1326"/>
      <c r="F267" s="1326"/>
      <c r="G267" s="1326"/>
      <c r="H267" s="1326"/>
      <c r="I267" s="1706"/>
      <c r="J267" s="1707"/>
      <c r="K267" s="1708"/>
      <c r="L267" s="1709"/>
      <c r="M267" s="1710"/>
      <c r="N267" s="1711"/>
      <c r="O267" s="1708"/>
      <c r="P267" s="1313"/>
    </row>
    <row r="268" spans="2:16" s="985" customFormat="1" ht="15.75">
      <c r="B268" s="1718"/>
      <c r="C268" s="1708" t="s">
        <v>1454</v>
      </c>
      <c r="D268" s="1201"/>
      <c r="E268" s="1326"/>
      <c r="F268" s="1326"/>
      <c r="G268" s="1326"/>
      <c r="H268" s="1326"/>
      <c r="I268" s="1706"/>
      <c r="J268" s="1707"/>
      <c r="K268" s="1708"/>
      <c r="L268" s="1709"/>
      <c r="M268" s="1710"/>
      <c r="N268" s="1711"/>
      <c r="O268" s="1708"/>
      <c r="P268" s="1310"/>
    </row>
    <row r="269" spans="2:16" s="985" customFormat="1" ht="15.75">
      <c r="B269" s="1719" t="s">
        <v>1093</v>
      </c>
      <c r="C269" s="1247" t="s">
        <v>1236</v>
      </c>
      <c r="D269" s="1201"/>
      <c r="E269" s="1713"/>
      <c r="F269" s="1714"/>
      <c r="G269" s="1702"/>
      <c r="H269" s="1715"/>
      <c r="I269" s="1703"/>
      <c r="J269" s="1716"/>
      <c r="K269" s="1702"/>
      <c r="L269" s="1715"/>
      <c r="M269" s="1704"/>
      <c r="N269" s="1717"/>
      <c r="O269" s="1702"/>
      <c r="P269" s="1309"/>
    </row>
    <row r="270" spans="2:16" s="985" customFormat="1" ht="15.75">
      <c r="B270" s="1719" t="s">
        <v>1567</v>
      </c>
      <c r="C270" s="1247" t="s">
        <v>1568</v>
      </c>
      <c r="D270" s="3265"/>
      <c r="E270" s="3266"/>
      <c r="F270" s="3266"/>
      <c r="G270" s="3265"/>
      <c r="H270" s="3265"/>
      <c r="I270" s="3267"/>
      <c r="J270" s="3267"/>
      <c r="K270" s="3267"/>
      <c r="L270" s="3267"/>
      <c r="M270" s="3267"/>
      <c r="N270" s="3267"/>
      <c r="O270" s="3267"/>
      <c r="P270" s="1326"/>
    </row>
    <row r="271" spans="2:16" s="985" customFormat="1" ht="15.75">
      <c r="E271" s="1713"/>
      <c r="F271" s="1713"/>
      <c r="G271" s="1708"/>
      <c r="H271" s="1709"/>
      <c r="I271" s="1706"/>
      <c r="J271" s="1707"/>
      <c r="K271" s="1708"/>
      <c r="L271" s="1709"/>
      <c r="M271" s="1310"/>
      <c r="N271" s="1317"/>
      <c r="O271" s="1705"/>
      <c r="P271" s="1326"/>
    </row>
    <row r="272" spans="2:16" s="985" customFormat="1" ht="15.75">
      <c r="B272" s="1329"/>
      <c r="C272" s="1248"/>
      <c r="D272" s="1412"/>
      <c r="E272" s="1327"/>
      <c r="F272" s="1327"/>
      <c r="G272" s="1412"/>
      <c r="H272" s="1412"/>
      <c r="I272" s="1412"/>
      <c r="J272" s="1412"/>
      <c r="K272" s="1412"/>
      <c r="L272" s="1412"/>
      <c r="M272" s="1412"/>
      <c r="N272" s="1412"/>
      <c r="O272" s="1412"/>
      <c r="P272" s="1326"/>
    </row>
    <row r="273" spans="2:16" s="985" customFormat="1" ht="15.75">
      <c r="C273" s="1248"/>
      <c r="D273" s="1310"/>
      <c r="E273" s="1325"/>
      <c r="F273" s="1325"/>
      <c r="G273" s="1310"/>
      <c r="H273" s="1317"/>
      <c r="I273" s="1310"/>
      <c r="J273" s="1317"/>
      <c r="K273" s="1310"/>
      <c r="L273" s="1317"/>
      <c r="M273" s="1310"/>
      <c r="N273" s="1317"/>
      <c r="O273" s="1310"/>
      <c r="P273" s="1326"/>
    </row>
    <row r="274" spans="2:16" s="985" customFormat="1" ht="15.75">
      <c r="C274" s="1248"/>
      <c r="D274" s="1310"/>
      <c r="E274" s="1327"/>
      <c r="F274" s="1327"/>
      <c r="G274" s="1249"/>
      <c r="H274" s="1249"/>
      <c r="I274" s="1249"/>
      <c r="J274" s="1249"/>
      <c r="K274" s="1249"/>
      <c r="L274" s="1249"/>
      <c r="M274" s="1310"/>
      <c r="N274" s="1317"/>
      <c r="O274" s="1310"/>
      <c r="P274" s="1326"/>
    </row>
    <row r="275" spans="2:16" s="985" customFormat="1" ht="15.75">
      <c r="B275" s="1248"/>
      <c r="C275" s="1248"/>
      <c r="D275" s="1310"/>
      <c r="E275" s="1327"/>
      <c r="F275" s="1327"/>
      <c r="G275" s="1249"/>
      <c r="H275" s="1249"/>
      <c r="I275" s="1249"/>
      <c r="J275" s="1249"/>
      <c r="K275" s="1249"/>
      <c r="L275" s="1249"/>
      <c r="M275" s="1310"/>
      <c r="N275" s="1317"/>
      <c r="O275" s="1310"/>
      <c r="P275" s="1326"/>
    </row>
    <row r="276" spans="2:16" s="985" customFormat="1" ht="15.75">
      <c r="B276" s="1248"/>
      <c r="C276" s="1248"/>
      <c r="D276" s="1310"/>
      <c r="E276" s="1327"/>
      <c r="F276" s="1327"/>
      <c r="G276" s="1249"/>
      <c r="H276" s="1249"/>
      <c r="I276" s="1249"/>
      <c r="J276" s="1249"/>
      <c r="K276" s="1249"/>
      <c r="L276" s="1249"/>
      <c r="M276" s="1310"/>
      <c r="N276" s="1317"/>
      <c r="O276" s="1310"/>
      <c r="P276" s="1326"/>
    </row>
    <row r="277" spans="2:16" s="985" customFormat="1" ht="15.75">
      <c r="B277" s="1328"/>
      <c r="C277" s="1326"/>
      <c r="D277" s="1310"/>
      <c r="E277" s="1327"/>
      <c r="F277" s="1327"/>
      <c r="G277" s="1329"/>
      <c r="H277" s="1330"/>
      <c r="I277" s="1310"/>
      <c r="J277" s="1330"/>
      <c r="K277" s="1326"/>
      <c r="L277" s="1317"/>
      <c r="M277" s="1310"/>
      <c r="N277" s="1317"/>
      <c r="O277" s="1310"/>
      <c r="P277" s="1329"/>
    </row>
    <row r="278" spans="2:16" s="985" customFormat="1" ht="15.75">
      <c r="B278" s="1250"/>
      <c r="C278" s="1326"/>
      <c r="D278" s="1310"/>
      <c r="E278" s="1327"/>
      <c r="F278" s="1327"/>
      <c r="G278" s="1329"/>
      <c r="H278" s="1330"/>
      <c r="I278" s="1310"/>
      <c r="J278" s="1330"/>
      <c r="K278" s="1326"/>
      <c r="L278" s="1317"/>
      <c r="M278" s="1310"/>
      <c r="N278" s="1317"/>
      <c r="O278" s="1310"/>
      <c r="P278" s="1329"/>
    </row>
    <row r="279" spans="2:16" s="985" customFormat="1" ht="15.75">
      <c r="B279" s="1250"/>
      <c r="C279" s="1326"/>
      <c r="D279" s="1310"/>
      <c r="E279" s="1327"/>
      <c r="F279" s="1327"/>
      <c r="G279" s="1329"/>
      <c r="H279" s="1330"/>
      <c r="I279" s="1310"/>
      <c r="J279" s="1330"/>
      <c r="K279" s="1326"/>
      <c r="L279" s="1317"/>
      <c r="M279" s="1201"/>
      <c r="N279" s="1312"/>
      <c r="O279" s="1201"/>
      <c r="P279" s="1329"/>
    </row>
    <row r="280" spans="2:16" s="985" customFormat="1" ht="15.75">
      <c r="B280" s="1329"/>
      <c r="C280" s="1326"/>
      <c r="D280" s="1310"/>
      <c r="E280"/>
      <c r="F280" s="1330"/>
      <c r="G280" s="1329"/>
      <c r="H280" s="1330"/>
      <c r="I280" s="1310"/>
      <c r="J280" s="1330"/>
      <c r="K280" s="1326"/>
      <c r="L280" s="1312"/>
      <c r="M280" s="1201"/>
      <c r="N280" s="1312"/>
      <c r="O280" s="1201"/>
      <c r="P280" s="1329"/>
    </row>
    <row r="281" spans="2:16" s="985" customFormat="1" ht="15.75">
      <c r="B281" s="1329"/>
      <c r="C281" s="1326"/>
      <c r="D281" s="1310"/>
      <c r="E281"/>
      <c r="F281" s="1330"/>
      <c r="G281" s="1329"/>
      <c r="H281" s="1330"/>
      <c r="I281" s="1310"/>
      <c r="J281" s="1330"/>
      <c r="K281" s="1326"/>
      <c r="L281" s="1312"/>
      <c r="M281" s="1251"/>
      <c r="N281" s="1331"/>
      <c r="O281" s="1251"/>
      <c r="P281" s="1329"/>
    </row>
    <row r="282" spans="2:16" ht="15.75">
      <c r="B282" s="1329"/>
      <c r="C282" s="1326"/>
      <c r="D282" s="1310"/>
      <c r="E282"/>
      <c r="F282" s="1330"/>
      <c r="G282" s="1329"/>
      <c r="H282" s="1330"/>
      <c r="I282" s="1310"/>
      <c r="J282" s="1330"/>
      <c r="K282" s="1326"/>
      <c r="L282" s="1312"/>
      <c r="M282" s="1201"/>
      <c r="N282" s="1312"/>
      <c r="O282" s="1201"/>
      <c r="P282" s="1329"/>
    </row>
    <row r="288" spans="2:16" ht="15.75">
      <c r="C288" s="2421"/>
      <c r="D288" s="1885"/>
      <c r="E288" s="2421"/>
      <c r="F288" s="2422"/>
      <c r="G288" s="2437"/>
      <c r="H288" s="2438"/>
      <c r="I288" s="2437"/>
      <c r="J288" s="2438"/>
      <c r="K288" s="2437"/>
      <c r="L288" s="2438"/>
    </row>
    <row r="289" spans="3:12" ht="15.75">
      <c r="C289" s="2421"/>
      <c r="D289" s="1885"/>
      <c r="E289" s="2421"/>
      <c r="F289" s="2422"/>
      <c r="G289" s="2437"/>
      <c r="H289" s="2438"/>
      <c r="I289" s="2437"/>
      <c r="J289" s="2438"/>
      <c r="K289" s="2437"/>
      <c r="L289" s="2438"/>
    </row>
    <row r="290" spans="3:12" ht="15.75">
      <c r="C290" s="2421"/>
      <c r="D290" s="1885"/>
      <c r="E290" s="2421"/>
      <c r="F290" s="2422"/>
      <c r="G290" s="2437"/>
      <c r="H290" s="2438"/>
      <c r="I290" s="2437"/>
      <c r="J290" s="2438"/>
      <c r="K290" s="2437"/>
      <c r="L290" s="2438"/>
    </row>
    <row r="291" spans="3:12" ht="15.75">
      <c r="C291" s="2421"/>
      <c r="D291" s="1885"/>
      <c r="E291" s="2421"/>
      <c r="F291" s="2422"/>
      <c r="G291" s="2437"/>
      <c r="H291" s="2438"/>
      <c r="I291" s="2437"/>
      <c r="J291" s="2438"/>
      <c r="K291" s="2437"/>
      <c r="L291" s="2438"/>
    </row>
    <row r="292" spans="3:12" ht="15.75">
      <c r="C292" s="2421"/>
      <c r="D292" s="1885"/>
      <c r="E292" s="2421"/>
      <c r="F292" s="2422"/>
      <c r="G292" s="2437"/>
      <c r="H292" s="2438"/>
      <c r="I292" s="2437"/>
      <c r="J292" s="2438"/>
      <c r="K292" s="2437"/>
      <c r="L292" s="2438"/>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5"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5:J186 J184 L184 N184 J198:J199 J197 L197 N197 J203:J204 J200 N200 J201 N201 J202 L202 N202 J207:J208 J205 N205 J206 L206 N206 J255:J256 J254 L254 N254 J257 L257 N257 L12:N13 L98:O99 L185:O186 L198:O199 L203:O204 L200:M200 L201:M201 L207:O208 L205:M205 L255:O256" unlockedFormula="1"/>
  </ignoredError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5" customWidth="1"/>
    <col min="19" max="19" width="11.88671875" style="233" customWidth="1"/>
    <col min="20" max="20" width="0.77734375" style="305" customWidth="1"/>
    <col min="21" max="21" width="10.88671875" style="233" customWidth="1"/>
    <col min="22" max="22" width="0.44140625" style="305" customWidth="1"/>
    <col min="23" max="16384" width="8.88671875" style="233"/>
  </cols>
  <sheetData>
    <row r="1" spans="1:254">
      <c r="A1" s="1190" t="s">
        <v>1231</v>
      </c>
    </row>
    <row r="2" spans="1:254">
      <c r="A2" s="1738"/>
    </row>
    <row r="3" spans="1:254" s="226" customFormat="1" ht="18" customHeight="1">
      <c r="A3" s="221" t="s">
        <v>0</v>
      </c>
      <c r="B3" s="221"/>
      <c r="C3" s="221"/>
      <c r="D3" s="221"/>
      <c r="E3" s="221"/>
      <c r="F3" s="222"/>
      <c r="G3" s="222"/>
      <c r="H3" s="221"/>
      <c r="I3" s="221"/>
      <c r="J3" s="221"/>
      <c r="K3" s="221"/>
      <c r="L3" s="221"/>
      <c r="M3" s="221"/>
      <c r="N3" s="797"/>
      <c r="O3" s="3505"/>
      <c r="P3" s="3505"/>
      <c r="Q3" s="2640"/>
      <c r="R3" s="2640"/>
      <c r="S3" s="223"/>
      <c r="T3" s="225"/>
      <c r="U3" s="3506" t="s">
        <v>64</v>
      </c>
      <c r="V3" s="3506"/>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364</v>
      </c>
      <c r="B4" s="221"/>
      <c r="C4" s="221"/>
      <c r="D4" s="221"/>
      <c r="E4" s="221"/>
      <c r="F4" s="222"/>
      <c r="G4" s="222"/>
      <c r="H4" s="221"/>
      <c r="I4" s="221"/>
      <c r="J4" s="221"/>
      <c r="K4" s="221"/>
      <c r="L4" s="221"/>
      <c r="M4" s="221"/>
      <c r="N4" s="221"/>
      <c r="O4" s="221"/>
      <c r="P4" s="221"/>
      <c r="Q4" s="221"/>
      <c r="R4" s="479"/>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641" t="s">
        <v>1121</v>
      </c>
      <c r="B5" s="221"/>
      <c r="C5" s="221"/>
      <c r="D5" s="221"/>
      <c r="E5" s="221"/>
      <c r="F5" s="222"/>
      <c r="G5" s="222"/>
      <c r="H5" s="221"/>
      <c r="I5" s="221"/>
      <c r="J5" s="221"/>
      <c r="K5" s="221"/>
      <c r="L5" s="221"/>
      <c r="M5" s="221"/>
      <c r="N5" s="221"/>
      <c r="O5" s="221"/>
      <c r="P5" s="221" t="s">
        <v>16</v>
      </c>
      <c r="Q5" s="221"/>
      <c r="R5" s="479"/>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1116</v>
      </c>
      <c r="B6" s="221"/>
      <c r="C6" s="221"/>
      <c r="D6" s="221"/>
      <c r="E6" s="221"/>
      <c r="F6" s="222"/>
      <c r="G6" s="222"/>
      <c r="H6" s="221"/>
      <c r="I6" s="221"/>
      <c r="J6" s="221"/>
      <c r="K6" s="221"/>
      <c r="L6" s="221"/>
      <c r="M6" s="221"/>
      <c r="N6" s="221"/>
      <c r="O6" s="221"/>
      <c r="P6" s="221"/>
      <c r="Q6" s="221"/>
      <c r="R6" s="479"/>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9"/>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9"/>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9"/>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9"/>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505"/>
      <c r="L11" s="2657"/>
      <c r="M11" s="415"/>
      <c r="N11" s="1505"/>
      <c r="O11" s="1505"/>
      <c r="P11" s="1505"/>
      <c r="Q11" s="1505"/>
      <c r="R11" s="1533"/>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505"/>
      <c r="C12" s="1505" t="s">
        <v>65</v>
      </c>
      <c r="D12" s="1505"/>
      <c r="E12" s="221"/>
      <c r="F12" s="1505"/>
      <c r="G12" s="1505" t="s">
        <v>66</v>
      </c>
      <c r="H12" s="1505"/>
      <c r="I12" s="221"/>
      <c r="J12" s="1505"/>
      <c r="K12" s="1505"/>
      <c r="L12" s="2657"/>
      <c r="M12" s="1505" t="s">
        <v>67</v>
      </c>
      <c r="N12" s="1505"/>
      <c r="O12" s="1505"/>
      <c r="P12" s="1505"/>
      <c r="Q12" s="1505"/>
      <c r="R12" s="1533"/>
      <c r="S12" s="1978" t="s">
        <v>1369</v>
      </c>
      <c r="T12" s="1976"/>
      <c r="U12" s="1977"/>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2005"/>
      <c r="S13" s="230"/>
      <c r="T13" s="236"/>
      <c r="U13" s="232"/>
      <c r="V13" s="236"/>
      <c r="W13" s="232"/>
      <c r="X13" s="232"/>
    </row>
    <row r="14" spans="1:254" ht="15.95" customHeight="1">
      <c r="A14" s="223"/>
      <c r="B14" s="1505" t="s">
        <v>7</v>
      </c>
      <c r="C14" s="221"/>
      <c r="D14" s="1505" t="s">
        <v>1595</v>
      </c>
      <c r="E14" s="221"/>
      <c r="F14" s="1505" t="s">
        <v>7</v>
      </c>
      <c r="G14" s="413"/>
      <c r="H14" s="1505" t="str">
        <f>D14</f>
        <v>2 MOS. ENDED</v>
      </c>
      <c r="I14" s="221"/>
      <c r="J14" s="1505" t="s">
        <v>7</v>
      </c>
      <c r="K14" s="221"/>
      <c r="L14" s="1505" t="str">
        <f>D14</f>
        <v>2 MOS. ENDED</v>
      </c>
      <c r="M14" s="221"/>
      <c r="N14" s="1505" t="s">
        <v>7</v>
      </c>
      <c r="O14" s="221"/>
      <c r="P14" s="1505" t="str">
        <f>H14</f>
        <v>2 MOS. ENDED</v>
      </c>
      <c r="Q14" s="1505"/>
      <c r="R14" s="2008"/>
      <c r="S14" s="1523" t="s">
        <v>8</v>
      </c>
      <c r="T14" s="414"/>
      <c r="U14" s="1524" t="s">
        <v>9</v>
      </c>
      <c r="V14" s="236"/>
      <c r="W14" s="232"/>
      <c r="X14" s="232"/>
    </row>
    <row r="15" spans="1:254" ht="15.95" customHeight="1">
      <c r="A15" s="223"/>
      <c r="B15" s="1506" t="s">
        <v>1594</v>
      </c>
      <c r="C15" s="221"/>
      <c r="D15" s="1507" t="s">
        <v>1596</v>
      </c>
      <c r="E15" s="221"/>
      <c r="F15" s="1505" t="str">
        <f>B15</f>
        <v>MAY 2015</v>
      </c>
      <c r="G15" s="221"/>
      <c r="H15" s="1505" t="str">
        <f>D15</f>
        <v>MAY 31, 2015</v>
      </c>
      <c r="I15" s="221"/>
      <c r="J15" s="1505" t="str">
        <f>B15</f>
        <v>MAY 2015</v>
      </c>
      <c r="K15" s="221"/>
      <c r="L15" s="1505" t="str">
        <f>D15</f>
        <v>MAY 31, 2015</v>
      </c>
      <c r="M15" s="221"/>
      <c r="N15" s="3468" t="s">
        <v>1598</v>
      </c>
      <c r="O15" s="221"/>
      <c r="P15" s="3465" t="s">
        <v>1599</v>
      </c>
      <c r="Q15" s="1504"/>
      <c r="R15" s="2009"/>
      <c r="S15" s="1529" t="s">
        <v>13</v>
      </c>
      <c r="T15" s="413"/>
      <c r="U15" s="1530" t="s">
        <v>14</v>
      </c>
      <c r="V15" s="236"/>
      <c r="W15" s="232"/>
      <c r="X15" s="232"/>
    </row>
    <row r="16" spans="1:254" ht="12.95" customHeight="1">
      <c r="A16" s="223"/>
      <c r="B16" s="234"/>
      <c r="C16" s="223"/>
      <c r="D16" s="234" t="s">
        <v>16</v>
      </c>
      <c r="E16" s="223"/>
      <c r="F16" s="234"/>
      <c r="G16" s="223"/>
      <c r="H16" s="235" t="s">
        <v>16</v>
      </c>
      <c r="I16" s="237"/>
      <c r="J16" s="238"/>
      <c r="K16" s="223"/>
      <c r="L16" s="234"/>
      <c r="M16" s="237"/>
      <c r="N16" s="228"/>
      <c r="O16" s="223"/>
      <c r="P16" s="228"/>
      <c r="Q16" s="228"/>
      <c r="R16" s="2005"/>
      <c r="S16" s="230"/>
      <c r="T16" s="228"/>
      <c r="U16" s="232"/>
      <c r="V16" s="228"/>
      <c r="W16" s="232"/>
      <c r="X16" s="232"/>
    </row>
    <row r="17" spans="1:247" ht="15.95" customHeight="1">
      <c r="A17" s="221" t="s">
        <v>15</v>
      </c>
      <c r="B17" s="239"/>
      <c r="C17" s="239"/>
      <c r="D17" s="239"/>
      <c r="E17" s="239"/>
      <c r="F17" s="239"/>
      <c r="G17" s="239"/>
      <c r="H17" s="239"/>
      <c r="I17" s="240"/>
      <c r="J17" s="240"/>
      <c r="K17" s="239"/>
      <c r="L17" s="239"/>
      <c r="M17" s="240"/>
      <c r="N17" s="241"/>
      <c r="O17" s="239"/>
      <c r="P17" s="241"/>
      <c r="Q17" s="241"/>
      <c r="R17" s="2010"/>
      <c r="S17" s="230"/>
      <c r="T17" s="241"/>
      <c r="U17" s="232"/>
      <c r="V17" s="241"/>
      <c r="W17" s="232"/>
      <c r="X17" s="232"/>
    </row>
    <row r="18" spans="1:247" ht="15.95" customHeight="1">
      <c r="A18" s="223" t="s">
        <v>21</v>
      </c>
      <c r="B18" s="1258">
        <f>'Exhibit J'!E19</f>
        <v>4.5</v>
      </c>
      <c r="C18" s="1258"/>
      <c r="D18" s="1988">
        <f>+'Exhibit J'!AB19</f>
        <v>9.1</v>
      </c>
      <c r="E18" s="1258"/>
      <c r="F18" s="1988">
        <f>'Exhibit K'!D17</f>
        <v>40.6</v>
      </c>
      <c r="G18" s="1258"/>
      <c r="H18" s="1988">
        <f>+'Exhibit K'!AA17</f>
        <v>56.6</v>
      </c>
      <c r="I18" s="2419"/>
      <c r="J18" s="2419">
        <f>ROUND(SUM(B18)+SUM(F18),1)</f>
        <v>45.1</v>
      </c>
      <c r="K18" s="1258"/>
      <c r="L18" s="2741">
        <f>ROUND(SUM(D18)+SUM(H18),1)</f>
        <v>65.7</v>
      </c>
      <c r="M18" s="2419"/>
      <c r="N18" s="1988">
        <v>41.4</v>
      </c>
      <c r="O18" s="1988"/>
      <c r="P18" s="1988">
        <v>68.5</v>
      </c>
      <c r="Q18" s="1988"/>
      <c r="R18" s="2742"/>
      <c r="S18" s="1258">
        <f>ROUND(SUM(L18-P18),1)</f>
        <v>-2.8</v>
      </c>
      <c r="T18" s="2392"/>
      <c r="U18" s="2834">
        <f>ROUND(+S18/P18,3)</f>
        <v>-4.1000000000000002E-2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5" customHeight="1">
      <c r="A19" s="1727" t="s">
        <v>68</v>
      </c>
      <c r="B19" s="1177">
        <f>'Exhibit J'!E20</f>
        <v>2.1</v>
      </c>
      <c r="C19" s="1177"/>
      <c r="D19" s="1921">
        <f>+'Exhibit J'!AB20</f>
        <v>4.5999999999999996</v>
      </c>
      <c r="E19" s="1177"/>
      <c r="F19" s="1259">
        <v>0</v>
      </c>
      <c r="G19" s="1177"/>
      <c r="H19" s="1259">
        <v>0</v>
      </c>
      <c r="I19" s="2744"/>
      <c r="J19" s="2745">
        <f>ROUND(SUM(B19)+SUM(F19),1)</f>
        <v>2.1</v>
      </c>
      <c r="K19" s="1275"/>
      <c r="L19" s="1921">
        <f>ROUND(SUM(D19)+SUM(H19),1)</f>
        <v>4.5999999999999996</v>
      </c>
      <c r="M19" s="2746"/>
      <c r="N19" s="1921">
        <v>2.8</v>
      </c>
      <c r="O19" s="1921"/>
      <c r="P19" s="1921">
        <v>12</v>
      </c>
      <c r="Q19" s="1921"/>
      <c r="R19" s="2747"/>
      <c r="S19" s="1177">
        <f>ROUND(SUM(L19-P19),1)</f>
        <v>-7.4</v>
      </c>
      <c r="T19" s="2748"/>
      <c r="U19" s="3161">
        <f>ROUND(+S19/P19,3)</f>
        <v>-0.61699999999999999</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5" customHeight="1">
      <c r="A20" s="223" t="s">
        <v>69</v>
      </c>
      <c r="B20" s="1177">
        <f>'Exhibit J'!E21</f>
        <v>161.1</v>
      </c>
      <c r="C20" s="1177"/>
      <c r="D20" s="1921">
        <f>+'Exhibit J'!AB21</f>
        <v>384</v>
      </c>
      <c r="E20" s="1177"/>
      <c r="F20" s="1259">
        <v>0</v>
      </c>
      <c r="G20" s="1177"/>
      <c r="H20" s="1259">
        <v>0</v>
      </c>
      <c r="I20" s="2744"/>
      <c r="J20" s="2749">
        <f>ROUND(SUM(B20+F20),1)</f>
        <v>161.1</v>
      </c>
      <c r="K20" s="1275"/>
      <c r="L20" s="1921">
        <f>ROUND(SUM(D20)+SUM(H20),1)</f>
        <v>384</v>
      </c>
      <c r="M20" s="2746"/>
      <c r="N20" s="1921">
        <v>185.9</v>
      </c>
      <c r="O20" s="2380"/>
      <c r="P20" s="1921">
        <v>430.7</v>
      </c>
      <c r="Q20" s="1921"/>
      <c r="R20" s="2747"/>
      <c r="S20" s="1177">
        <f>ROUND(SUM(L20-P20),1)</f>
        <v>-46.7</v>
      </c>
      <c r="T20" s="2748"/>
      <c r="U20" s="2834">
        <f>ROUND(+S20/P20,3)</f>
        <v>-0.108</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75">
      <c r="A21" s="221" t="s">
        <v>23</v>
      </c>
      <c r="B21" s="256">
        <f>ROUND(SUM(B18:B20),1)</f>
        <v>167.7</v>
      </c>
      <c r="C21" s="1899"/>
      <c r="D21" s="256">
        <f>ROUND(SUM(D18:D20),1)</f>
        <v>397.7</v>
      </c>
      <c r="E21" s="1899"/>
      <c r="F21" s="256">
        <f>ROUND(SUM(F18:F20),1)</f>
        <v>40.6</v>
      </c>
      <c r="G21" s="1899"/>
      <c r="H21" s="256">
        <f>ROUND(SUM(H18:H20),1)</f>
        <v>56.6</v>
      </c>
      <c r="I21" s="258"/>
      <c r="J21" s="256">
        <f>SUM(J18:J20)</f>
        <v>208.3</v>
      </c>
      <c r="K21" s="1899"/>
      <c r="L21" s="256">
        <f>SUM(L18:L20)</f>
        <v>454.3</v>
      </c>
      <c r="M21" s="259"/>
      <c r="N21" s="256">
        <f>ROUND(SUM(N18:N20),1)</f>
        <v>230.1</v>
      </c>
      <c r="O21" s="1899"/>
      <c r="P21" s="256">
        <f>ROUND(SUM(P18:P20),1)</f>
        <v>511.2</v>
      </c>
      <c r="Q21" s="273"/>
      <c r="R21" s="659"/>
      <c r="S21" s="256">
        <f>ROUND(SUM(S18:S20),1)</f>
        <v>-56.9</v>
      </c>
      <c r="T21" s="1273"/>
      <c r="U21" s="2835">
        <f>ROUND(+S21/P21,3)</f>
        <v>-0.111</v>
      </c>
      <c r="V21" s="253"/>
      <c r="W21" s="232"/>
      <c r="X21" s="232"/>
    </row>
    <row r="22" spans="1:247" ht="15.75">
      <c r="A22" s="221"/>
      <c r="B22" s="1177"/>
      <c r="C22" s="1177"/>
      <c r="D22" s="1177"/>
      <c r="E22" s="1177"/>
      <c r="F22" s="1177"/>
      <c r="G22" s="1177"/>
      <c r="H22" s="1177"/>
      <c r="I22" s="2745"/>
      <c r="J22" s="2745"/>
      <c r="K22" s="1177"/>
      <c r="L22" s="1177"/>
      <c r="M22" s="2745"/>
      <c r="N22" s="1921"/>
      <c r="O22" s="1177"/>
      <c r="P22" s="1921"/>
      <c r="Q22" s="1921"/>
      <c r="R22" s="2747"/>
      <c r="S22" s="1895"/>
      <c r="T22" s="2750"/>
      <c r="U22" s="2836"/>
      <c r="V22" s="241"/>
      <c r="W22" s="232"/>
      <c r="X22" s="232"/>
    </row>
    <row r="23" spans="1:247" ht="15.95" customHeight="1">
      <c r="A23" s="221" t="s">
        <v>24</v>
      </c>
      <c r="B23" s="1177"/>
      <c r="C23" s="1177"/>
      <c r="D23" s="1177"/>
      <c r="E23" s="1177"/>
      <c r="F23" s="1177"/>
      <c r="G23" s="1177"/>
      <c r="H23" s="1177"/>
      <c r="I23" s="2745"/>
      <c r="J23" s="2745"/>
      <c r="K23" s="1177"/>
      <c r="L23" s="1177"/>
      <c r="M23" s="2745"/>
      <c r="N23" s="1921"/>
      <c r="O23" s="1177"/>
      <c r="P23" s="1921"/>
      <c r="Q23" s="1921"/>
      <c r="R23" s="2747"/>
      <c r="S23" s="1895"/>
      <c r="T23" s="2750"/>
      <c r="U23" s="2836"/>
      <c r="V23" s="241"/>
      <c r="W23" s="232"/>
      <c r="X23" s="232"/>
    </row>
    <row r="24" spans="1:247" ht="15.95" customHeight="1">
      <c r="A24" s="223" t="s">
        <v>37</v>
      </c>
      <c r="B24" s="1177"/>
      <c r="C24" s="1177"/>
      <c r="D24" s="1177"/>
      <c r="E24" s="1177"/>
      <c r="F24" s="1177"/>
      <c r="G24" s="1177"/>
      <c r="H24" s="1177"/>
      <c r="I24" s="2745"/>
      <c r="J24" s="2745"/>
      <c r="K24" s="1177"/>
      <c r="L24" s="1177"/>
      <c r="M24" s="2745"/>
      <c r="N24" s="1921"/>
      <c r="O24" s="1177"/>
      <c r="P24" s="1921"/>
      <c r="Q24" s="1921"/>
      <c r="R24" s="2747"/>
      <c r="S24" s="1895"/>
      <c r="T24" s="2750"/>
      <c r="U24" s="2836"/>
      <c r="V24" s="241"/>
      <c r="W24" s="232"/>
      <c r="X24" s="232"/>
    </row>
    <row r="25" spans="1:247" ht="15.95" customHeight="1">
      <c r="A25" s="223" t="s">
        <v>70</v>
      </c>
      <c r="B25" s="1177">
        <f>'Exhibit J'!E29</f>
        <v>0.3</v>
      </c>
      <c r="C25" s="1177"/>
      <c r="D25" s="1921">
        <f>+'Exhibit J'!AB29</f>
        <v>0.7</v>
      </c>
      <c r="E25" s="1177"/>
      <c r="F25" s="1177">
        <f>'Exhibit K'!D25</f>
        <v>6.6</v>
      </c>
      <c r="G25" s="1177"/>
      <c r="H25" s="1177">
        <f>+'Exhibit K'!AA25</f>
        <v>14</v>
      </c>
      <c r="I25" s="2745"/>
      <c r="J25" s="2745">
        <f>ROUND(SUM(B25)+SUM(F25),1)</f>
        <v>6.9</v>
      </c>
      <c r="K25" s="1177"/>
      <c r="L25" s="1921">
        <f>ROUND(SUM(D25)+SUM(H25),1)</f>
        <v>14.7</v>
      </c>
      <c r="M25" s="2745"/>
      <c r="N25" s="1921">
        <v>7.5</v>
      </c>
      <c r="O25" s="2058"/>
      <c r="P25" s="1921">
        <v>14.6</v>
      </c>
      <c r="Q25" s="1921"/>
      <c r="R25" s="2747"/>
      <c r="S25" s="1177">
        <f>ROUND(SUM(L25-P25),1)</f>
        <v>0.1</v>
      </c>
      <c r="T25" s="1273"/>
      <c r="U25" s="2834">
        <f>ROUND(+S25/P25,3)</f>
        <v>7.0000000000000001E-3</v>
      </c>
      <c r="V25" s="241"/>
      <c r="W25" s="232"/>
      <c r="X25" s="232"/>
    </row>
    <row r="26" spans="1:247" ht="15.95" customHeight="1">
      <c r="A26" s="223" t="s">
        <v>71</v>
      </c>
      <c r="B26" s="1177">
        <f>'Exhibit J'!E30</f>
        <v>4.0999999999999996</v>
      </c>
      <c r="C26" s="1177"/>
      <c r="D26" s="1921">
        <f>+'Exhibit J'!AB30</f>
        <v>6.6</v>
      </c>
      <c r="E26" s="1177"/>
      <c r="F26" s="1177">
        <f>'Exhibit K'!D26</f>
        <v>25.8</v>
      </c>
      <c r="G26" s="1177"/>
      <c r="H26" s="1177">
        <f>+'Exhibit K'!AA26</f>
        <v>65.599999999999994</v>
      </c>
      <c r="I26" s="2745"/>
      <c r="J26" s="2745">
        <f>ROUND(SUM(B26)+SUM(F26),1)</f>
        <v>29.9</v>
      </c>
      <c r="K26" s="1177"/>
      <c r="L26" s="1921">
        <f>ROUND(SUM(D26)+SUM(H26),1)</f>
        <v>72.2</v>
      </c>
      <c r="M26" s="2745"/>
      <c r="N26" s="1921">
        <v>60</v>
      </c>
      <c r="O26" s="2058"/>
      <c r="P26" s="1921">
        <v>93</v>
      </c>
      <c r="Q26" s="1921"/>
      <c r="R26" s="2747"/>
      <c r="S26" s="1177">
        <f>ROUND(SUM(L26-P26),1)</f>
        <v>-20.8</v>
      </c>
      <c r="T26" s="1273"/>
      <c r="U26" s="2834">
        <f>ROUND(+S26/P26,3)</f>
        <v>-0.224</v>
      </c>
      <c r="V26" s="241"/>
      <c r="W26" s="232"/>
      <c r="X26" s="232"/>
    </row>
    <row r="27" spans="1:247" ht="15.95" customHeight="1">
      <c r="A27" s="223" t="s">
        <v>72</v>
      </c>
      <c r="B27" s="1177">
        <f>'Exhibit J'!E31</f>
        <v>0</v>
      </c>
      <c r="C27" s="1177"/>
      <c r="D27" s="1921">
        <f>+'Exhibit J'!AB31</f>
        <v>0</v>
      </c>
      <c r="E27" s="1921"/>
      <c r="F27" s="1177">
        <f>'Exhibit K'!D27</f>
        <v>3.4</v>
      </c>
      <c r="G27" s="1177"/>
      <c r="H27" s="2751">
        <f>+'Exhibit K'!AA27</f>
        <v>4.4000000000000004</v>
      </c>
      <c r="I27" s="1921"/>
      <c r="J27" s="2745">
        <f>ROUND(SUM(B27)+SUM(F27),1)</f>
        <v>3.4</v>
      </c>
      <c r="K27" s="1177"/>
      <c r="L27" s="1921">
        <f>ROUND(SUM(D27)+SUM(H27),1)</f>
        <v>4.4000000000000004</v>
      </c>
      <c r="M27" s="2745"/>
      <c r="N27" s="2752">
        <v>5.0999999999999996</v>
      </c>
      <c r="O27" s="2069"/>
      <c r="P27" s="1921">
        <v>7.1</v>
      </c>
      <c r="Q27" s="1921"/>
      <c r="R27" s="2747"/>
      <c r="S27" s="1177">
        <f>ROUND(SUM(L27-P27),1)</f>
        <v>-2.7</v>
      </c>
      <c r="T27" s="1273"/>
      <c r="U27" s="2834">
        <f>ROUND(+S27/P27,3)</f>
        <v>-0.38</v>
      </c>
      <c r="V27" s="241"/>
      <c r="W27" s="232"/>
      <c r="X27" s="232"/>
    </row>
    <row r="28" spans="1:247" ht="15.75" customHeight="1">
      <c r="A28" s="1727" t="s">
        <v>73</v>
      </c>
      <c r="B28" s="1177">
        <f>'Exhibit J'!E32</f>
        <v>162.5</v>
      </c>
      <c r="C28" s="1177"/>
      <c r="D28" s="1921">
        <f>+'Exhibit J'!AB32</f>
        <v>363.1</v>
      </c>
      <c r="E28" s="1177"/>
      <c r="F28" s="1925">
        <v>0</v>
      </c>
      <c r="G28" s="1177"/>
      <c r="H28" s="2753">
        <v>0</v>
      </c>
      <c r="I28" s="1921"/>
      <c r="J28" s="2745">
        <f>ROUND(SUM(B28)+SUM(F28),1)</f>
        <v>162.5</v>
      </c>
      <c r="K28" s="2380"/>
      <c r="L28" s="1921">
        <f>ROUND(SUM(D28)+SUM(H28),1)</f>
        <v>363.1</v>
      </c>
      <c r="M28" s="2754"/>
      <c r="N28" s="2755">
        <v>180.4</v>
      </c>
      <c r="O28" s="2065"/>
      <c r="P28" s="2755">
        <v>411.6</v>
      </c>
      <c r="Q28" s="1991"/>
      <c r="R28" s="2756"/>
      <c r="S28" s="1177">
        <f>ROUND(SUM(L28-P28),1)</f>
        <v>-48.5</v>
      </c>
      <c r="T28" s="1273"/>
      <c r="U28" s="2834">
        <f>ROUND(+S28/P28,3)</f>
        <v>-0.11799999999999999</v>
      </c>
      <c r="V28" s="253"/>
      <c r="W28" s="232"/>
      <c r="X28" s="232"/>
    </row>
    <row r="29" spans="1:247" ht="15.75">
      <c r="A29" s="221" t="s">
        <v>60</v>
      </c>
      <c r="B29" s="256">
        <f>ROUND(SUM(B25:B28),1)</f>
        <v>166.9</v>
      </c>
      <c r="C29" s="1899"/>
      <c r="D29" s="256">
        <f>ROUND(SUM(D25:D28),1)</f>
        <v>370.4</v>
      </c>
      <c r="E29" s="1899"/>
      <c r="F29" s="256">
        <f>ROUND(SUM(F24:F28),1)</f>
        <v>35.799999999999997</v>
      </c>
      <c r="G29" s="1899"/>
      <c r="H29" s="256">
        <f>ROUND(SUM(H25:H28),1)</f>
        <v>84</v>
      </c>
      <c r="I29" s="258"/>
      <c r="J29" s="268">
        <f>ROUND(SUM(J25:J28),1)</f>
        <v>202.7</v>
      </c>
      <c r="K29" s="1899"/>
      <c r="L29" s="269">
        <f>ROUND(SUM(L25:L28),1)</f>
        <v>454.4</v>
      </c>
      <c r="M29" s="259"/>
      <c r="N29" s="256">
        <f>ROUND(SUM(N25:N28),1)</f>
        <v>253</v>
      </c>
      <c r="O29" s="1899"/>
      <c r="P29" s="256">
        <f>ROUND(SUM(P25:P28),1)</f>
        <v>526.29999999999995</v>
      </c>
      <c r="Q29" s="273"/>
      <c r="R29" s="659"/>
      <c r="S29" s="256">
        <f>ROUND(SUM(S25:S28),1)</f>
        <v>-71.900000000000006</v>
      </c>
      <c r="T29" s="1273"/>
      <c r="U29" s="2837">
        <f>ROUND(+S29/P29,3)</f>
        <v>-0.13700000000000001</v>
      </c>
      <c r="V29" s="253"/>
      <c r="W29" s="232"/>
      <c r="X29" s="232"/>
    </row>
    <row r="30" spans="1:247" ht="15.75">
      <c r="A30" s="221"/>
      <c r="B30" s="1177"/>
      <c r="C30" s="1177"/>
      <c r="D30" s="1177"/>
      <c r="E30" s="1177"/>
      <c r="F30" s="1177"/>
      <c r="G30" s="1177"/>
      <c r="H30" s="1177"/>
      <c r="I30" s="2745"/>
      <c r="J30" s="2745"/>
      <c r="K30" s="1177"/>
      <c r="L30" s="1177"/>
      <c r="M30" s="2745"/>
      <c r="N30" s="1921"/>
      <c r="O30" s="1177"/>
      <c r="P30" s="1921"/>
      <c r="Q30" s="1921"/>
      <c r="R30" s="2747"/>
      <c r="S30" s="1895"/>
      <c r="T30" s="2750"/>
      <c r="U30" s="2836"/>
      <c r="V30" s="241"/>
      <c r="W30" s="232"/>
      <c r="X30" s="232"/>
    </row>
    <row r="31" spans="1:247" ht="15.95" customHeight="1">
      <c r="A31" s="221" t="s">
        <v>45</v>
      </c>
      <c r="B31" s="1177"/>
      <c r="C31" s="1177"/>
      <c r="D31" s="1177"/>
      <c r="E31" s="1177"/>
      <c r="F31" s="1177"/>
      <c r="G31" s="1177"/>
      <c r="H31" s="1177"/>
      <c r="I31" s="2745"/>
      <c r="J31" s="2745"/>
      <c r="K31" s="1177"/>
      <c r="L31" s="1177"/>
      <c r="M31" s="2745"/>
      <c r="N31" s="1921"/>
      <c r="O31" s="1177"/>
      <c r="P31" s="1921"/>
      <c r="Q31" s="1921"/>
      <c r="R31" s="2747"/>
      <c r="S31" s="1895"/>
      <c r="T31" s="2750"/>
      <c r="U31" s="2836"/>
      <c r="V31" s="241"/>
      <c r="W31" s="232"/>
      <c r="X31" s="232"/>
    </row>
    <row r="32" spans="1:247" ht="15.75">
      <c r="A32" s="221" t="s">
        <v>74</v>
      </c>
      <c r="B32" s="270">
        <f>ROUND(SUM(B21-B29),1)</f>
        <v>0.8</v>
      </c>
      <c r="C32" s="1899"/>
      <c r="D32" s="271">
        <f>ROUND(SUM(D21-D29),1)</f>
        <v>27.3</v>
      </c>
      <c r="E32" s="1899"/>
      <c r="F32" s="271">
        <f>ROUND(SUM(F21-F29),1)</f>
        <v>4.8</v>
      </c>
      <c r="G32" s="1899"/>
      <c r="H32" s="271">
        <f>ROUND(SUM(H21-H29),1)</f>
        <v>-27.4</v>
      </c>
      <c r="I32" s="259"/>
      <c r="J32" s="272">
        <f>ROUND(SUM(J21-J29),1)</f>
        <v>5.6</v>
      </c>
      <c r="K32" s="1899"/>
      <c r="L32" s="271">
        <f>ROUND(SUM(L21-L29),1)</f>
        <v>-0.1</v>
      </c>
      <c r="M32" s="259"/>
      <c r="N32" s="271">
        <f>ROUND(SUM(N21-N29),1)</f>
        <v>-22.9</v>
      </c>
      <c r="O32" s="273"/>
      <c r="P32" s="271">
        <f>ROUND(SUM(P21-P29),1)</f>
        <v>-15.1</v>
      </c>
      <c r="Q32" s="273"/>
      <c r="R32" s="659"/>
      <c r="S32" s="271">
        <f>ROUND(SUM(S21-S29),1)</f>
        <v>15</v>
      </c>
      <c r="T32" s="2750"/>
      <c r="U32" s="2838">
        <f>-ROUND(+S32/P32,3)</f>
        <v>0.99299999999999999</v>
      </c>
      <c r="V32" s="241"/>
      <c r="W32" s="232"/>
      <c r="X32" s="232"/>
    </row>
    <row r="33" spans="1:247">
      <c r="A33" s="223"/>
      <c r="B33" s="1177"/>
      <c r="C33" s="1177"/>
      <c r="D33" s="1177"/>
      <c r="E33" s="1177"/>
      <c r="F33" s="1177"/>
      <c r="G33" s="1177"/>
      <c r="H33" s="1177"/>
      <c r="I33" s="2745"/>
      <c r="J33" s="2745"/>
      <c r="K33" s="1177"/>
      <c r="L33" s="1177"/>
      <c r="M33" s="2745"/>
      <c r="N33" s="1921"/>
      <c r="O33" s="1177"/>
      <c r="P33" s="1921"/>
      <c r="Q33" s="1921"/>
      <c r="R33" s="2747"/>
      <c r="S33" s="1895"/>
      <c r="T33" s="2750"/>
      <c r="U33" s="2836"/>
      <c r="V33" s="241"/>
      <c r="W33" s="232"/>
      <c r="X33" s="232"/>
    </row>
    <row r="34" spans="1:247" ht="15.95" customHeight="1">
      <c r="A34" s="221" t="s">
        <v>47</v>
      </c>
      <c r="B34" s="1177"/>
      <c r="C34" s="1177"/>
      <c r="D34" s="1177"/>
      <c r="E34" s="1177"/>
      <c r="F34" s="1177"/>
      <c r="G34" s="1177"/>
      <c r="H34" s="1177"/>
      <c r="I34" s="2745"/>
      <c r="J34" s="2745"/>
      <c r="K34" s="1177"/>
      <c r="L34" s="1177"/>
      <c r="M34" s="2745"/>
      <c r="N34" s="1921"/>
      <c r="O34" s="1177"/>
      <c r="P34" s="1921"/>
      <c r="Q34" s="1921"/>
      <c r="R34" s="2747"/>
      <c r="S34" s="1895"/>
      <c r="T34" s="2750"/>
      <c r="U34" s="2836"/>
      <c r="V34" s="241"/>
      <c r="W34" s="232"/>
      <c r="X34" s="232"/>
    </row>
    <row r="35" spans="1:247" ht="15.95" customHeight="1">
      <c r="A35" s="223" t="s">
        <v>49</v>
      </c>
      <c r="B35" s="1925">
        <f>+'Exhibit J'!E44</f>
        <v>0</v>
      </c>
      <c r="C35" s="1177"/>
      <c r="D35" s="1925">
        <f>+'Exhibit J'!AB44</f>
        <v>0</v>
      </c>
      <c r="E35" s="1177"/>
      <c r="F35" s="1177">
        <f>'Exhibit K'!D39</f>
        <v>3</v>
      </c>
      <c r="G35" s="1333"/>
      <c r="H35" s="2757">
        <f>+'Exhibit K'!AA39</f>
        <v>6</v>
      </c>
      <c r="I35" s="2745"/>
      <c r="J35" s="2745">
        <f>ROUND(SUM(B35)+SUM(F35),1)</f>
        <v>3</v>
      </c>
      <c r="K35" s="1333"/>
      <c r="L35" s="2751">
        <f>ROUND(SUM(D35)+SUM(H35),1)</f>
        <v>6</v>
      </c>
      <c r="M35" s="1921"/>
      <c r="N35" s="2752">
        <v>1.4</v>
      </c>
      <c r="O35" s="1921"/>
      <c r="P35" s="2752">
        <v>5</v>
      </c>
      <c r="Q35" s="2752"/>
      <c r="R35" s="2758"/>
      <c r="S35" s="1177">
        <f>ROUND(SUM(L35-P35),1)</f>
        <v>1</v>
      </c>
      <c r="T35" s="1273"/>
      <c r="U35" s="2739">
        <f>ROUND(IF(S35=0,0,S35/(P35)),3)</f>
        <v>0.2</v>
      </c>
      <c r="V35" s="278"/>
      <c r="W35" s="232"/>
      <c r="X35" s="232"/>
    </row>
    <row r="36" spans="1:247" ht="15.95" customHeight="1">
      <c r="A36" s="223" t="s">
        <v>75</v>
      </c>
      <c r="B36" s="2759">
        <f>+'Exhibit J'!E45</f>
        <v>0</v>
      </c>
      <c r="C36" s="1842"/>
      <c r="D36" s="2760">
        <f>+'Exhibit J'!AB45</f>
        <v>0</v>
      </c>
      <c r="E36" s="1177"/>
      <c r="F36" s="1177">
        <f>'Exhibit K'!D40</f>
        <v>0</v>
      </c>
      <c r="G36" s="1177"/>
      <c r="H36" s="2757">
        <f>+'Exhibit K'!AA40</f>
        <v>0</v>
      </c>
      <c r="I36" s="2761"/>
      <c r="J36" s="2745">
        <f>ROUND(SUM(B36)+SUM(F36),1)</f>
        <v>0</v>
      </c>
      <c r="K36" s="1177"/>
      <c r="L36" s="1921">
        <f>ROUND(SUM(D36)+SUM(H36),1)</f>
        <v>0</v>
      </c>
      <c r="M36" s="2745"/>
      <c r="N36" s="1907">
        <v>0</v>
      </c>
      <c r="O36" s="2380"/>
      <c r="P36" s="2762">
        <v>0</v>
      </c>
      <c r="Q36" s="2752"/>
      <c r="R36" s="2758"/>
      <c r="S36" s="2839">
        <f>ROUND(SUM(L36-P36),1)*-1</f>
        <v>0</v>
      </c>
      <c r="T36" s="1273"/>
      <c r="U36" s="2739">
        <f>ROUND(IF(S36=0,0,S36/(P36)),3)</f>
        <v>0</v>
      </c>
      <c r="V36" s="277"/>
      <c r="W36" s="232"/>
      <c r="X36" s="232"/>
    </row>
    <row r="37" spans="1:247" ht="15.75">
      <c r="A37" s="221" t="s">
        <v>51</v>
      </c>
      <c r="B37" s="281">
        <f>ROUND(SUM(B35:B36),1)</f>
        <v>0</v>
      </c>
      <c r="C37" s="282"/>
      <c r="D37" s="281">
        <f>ROUND(SUM(D35:D36),1)</f>
        <v>0</v>
      </c>
      <c r="E37" s="1899"/>
      <c r="F37" s="283">
        <f>ROUND(SUM(F35:F36),1)</f>
        <v>3</v>
      </c>
      <c r="G37" s="284"/>
      <c r="H37" s="285">
        <f>ROUND(SUM(H35:H36),1)</f>
        <v>6</v>
      </c>
      <c r="I37" s="273"/>
      <c r="J37" s="286">
        <f>ROUND(SUM(J35:J36),1)</f>
        <v>3</v>
      </c>
      <c r="K37" s="284"/>
      <c r="L37" s="285">
        <f>ROUND(SUM(L35:L36),1)</f>
        <v>6</v>
      </c>
      <c r="M37" s="259"/>
      <c r="N37" s="287">
        <f>ROUND(SUM(N35:N36),1)</f>
        <v>1.4</v>
      </c>
      <c r="O37" s="1899"/>
      <c r="P37" s="287">
        <f>ROUND(SUM(P35:P36),1)</f>
        <v>5</v>
      </c>
      <c r="Q37" s="2001"/>
      <c r="R37" s="2011"/>
      <c r="S37" s="283">
        <f>ROUND(SUM(S35-S36),1)</f>
        <v>1</v>
      </c>
      <c r="T37" s="2763"/>
      <c r="U37" s="529">
        <f>ROUND(SUM(S37/P37),3)</f>
        <v>0.2</v>
      </c>
      <c r="V37" s="288"/>
      <c r="W37" s="232"/>
      <c r="X37" s="232"/>
    </row>
    <row r="38" spans="1:247" ht="15.75">
      <c r="A38" s="221"/>
      <c r="B38" s="1363"/>
      <c r="C38" s="1177"/>
      <c r="D38" s="1363"/>
      <c r="E38" s="1177"/>
      <c r="F38" s="1921"/>
      <c r="G38" s="1177"/>
      <c r="H38" s="1921"/>
      <c r="I38" s="2745"/>
      <c r="J38" s="2745"/>
      <c r="K38" s="1177"/>
      <c r="L38" s="1363"/>
      <c r="M38" s="2745"/>
      <c r="N38" s="1921"/>
      <c r="O38" s="1177"/>
      <c r="P38" s="1921"/>
      <c r="Q38" s="1921"/>
      <c r="R38" s="2747"/>
      <c r="S38" s="1895"/>
      <c r="T38" s="2750"/>
      <c r="U38" s="1738"/>
      <c r="V38" s="241"/>
      <c r="W38" s="232"/>
      <c r="X38" s="232"/>
    </row>
    <row r="39" spans="1:247" ht="15.75" customHeight="1">
      <c r="A39" s="221" t="s">
        <v>45</v>
      </c>
      <c r="B39" s="1177"/>
      <c r="C39" s="1177"/>
      <c r="D39" s="1177"/>
      <c r="E39" s="1177"/>
      <c r="F39" s="1177"/>
      <c r="G39" s="1177"/>
      <c r="H39" s="1177"/>
      <c r="I39" s="2745"/>
      <c r="J39" s="2745"/>
      <c r="K39" s="1177"/>
      <c r="L39" s="1177"/>
      <c r="M39" s="2745"/>
      <c r="N39" s="1921"/>
      <c r="O39" s="1177"/>
      <c r="P39" s="1921"/>
      <c r="Q39" s="1921"/>
      <c r="R39" s="2747"/>
      <c r="S39" s="1895"/>
      <c r="T39" s="2750"/>
      <c r="U39" s="1738"/>
      <c r="V39" s="241"/>
      <c r="W39" s="232"/>
      <c r="X39" s="232"/>
    </row>
    <row r="40" spans="1:247" ht="15.75" customHeight="1">
      <c r="A40" s="221" t="s">
        <v>76</v>
      </c>
      <c r="B40" s="1177"/>
      <c r="C40" s="1177"/>
      <c r="D40" s="1177"/>
      <c r="E40" s="1177"/>
      <c r="F40" s="1177"/>
      <c r="G40" s="1177"/>
      <c r="H40" s="1177"/>
      <c r="I40" s="2745"/>
      <c r="J40" s="2745"/>
      <c r="K40" s="1177"/>
      <c r="L40" s="1177"/>
      <c r="M40" s="2745"/>
      <c r="N40" s="1921"/>
      <c r="O40" s="1177"/>
      <c r="P40" s="1921"/>
      <c r="Q40" s="1921"/>
      <c r="R40" s="2747"/>
      <c r="S40" s="1895"/>
      <c r="T40" s="2750"/>
      <c r="U40" s="1738"/>
      <c r="V40" s="241"/>
      <c r="W40" s="232"/>
      <c r="X40" s="232"/>
    </row>
    <row r="41" spans="1:247" ht="15.75" customHeight="1">
      <c r="A41" s="221" t="s">
        <v>77</v>
      </c>
      <c r="B41" s="1177"/>
      <c r="C41" s="1177"/>
      <c r="D41" s="1177"/>
      <c r="E41" s="1177"/>
      <c r="F41" s="1177"/>
      <c r="G41" s="1177"/>
      <c r="H41" s="1177"/>
      <c r="I41" s="2745"/>
      <c r="J41" s="2745"/>
      <c r="K41" s="1177"/>
      <c r="L41" s="1177"/>
      <c r="M41" s="2745"/>
      <c r="N41" s="1921"/>
      <c r="O41" s="1177"/>
      <c r="P41" s="1921"/>
      <c r="Q41" s="1921"/>
      <c r="R41" s="2747"/>
      <c r="S41" s="1895"/>
      <c r="T41" s="2750"/>
      <c r="U41" s="1738"/>
      <c r="V41" s="241"/>
      <c r="W41" s="232"/>
      <c r="X41" s="232"/>
    </row>
    <row r="42" spans="1:247" ht="15.75" customHeight="1">
      <c r="A42" s="221" t="s">
        <v>78</v>
      </c>
      <c r="B42" s="290">
        <f>ROUND(SUM(B32,B37),1)</f>
        <v>0.8</v>
      </c>
      <c r="C42" s="1899"/>
      <c r="D42" s="290">
        <f>ROUND(SUM(D32,D37),1)</f>
        <v>27.3</v>
      </c>
      <c r="E42" s="1899"/>
      <c r="F42" s="290">
        <f>ROUND(SUM(F32,F37),1)</f>
        <v>7.8</v>
      </c>
      <c r="G42" s="1899"/>
      <c r="H42" s="290">
        <f>ROUND(SUM(H32,H37),1)</f>
        <v>-21.4</v>
      </c>
      <c r="I42" s="291"/>
      <c r="J42" s="290">
        <f>ROUND(SUM(J32,J37),1)</f>
        <v>8.6</v>
      </c>
      <c r="K42" s="1899"/>
      <c r="L42" s="290">
        <f>ROUND(SUM(L32,L37),1)</f>
        <v>5.9</v>
      </c>
      <c r="M42" s="259"/>
      <c r="N42" s="290">
        <f>ROUND(SUM(N32,N37),1)</f>
        <v>-21.5</v>
      </c>
      <c r="O42" s="1899"/>
      <c r="P42" s="290">
        <f>ROUND(SUM(P32,P37),1)</f>
        <v>-10.1</v>
      </c>
      <c r="Q42" s="290"/>
      <c r="R42" s="2012"/>
      <c r="S42" s="290">
        <f>ROUND(SUM(S32,S37),1)</f>
        <v>16</v>
      </c>
      <c r="T42" s="292"/>
      <c r="U42" s="1979">
        <f>-ROUND(S42/P42,3)</f>
        <v>1.5840000000000001</v>
      </c>
      <c r="V42" s="241"/>
      <c r="W42" s="232"/>
      <c r="X42" s="232"/>
    </row>
    <row r="43" spans="1:247" ht="15.75">
      <c r="A43" s="221"/>
      <c r="B43" s="1177"/>
      <c r="C43" s="1177"/>
      <c r="D43" s="1177"/>
      <c r="E43" s="1177"/>
      <c r="F43" s="1177"/>
      <c r="G43" s="1177"/>
      <c r="H43" s="1177"/>
      <c r="I43" s="2745"/>
      <c r="J43" s="2745"/>
      <c r="K43" s="1177"/>
      <c r="L43" s="1177"/>
      <c r="M43" s="2745"/>
      <c r="N43" s="1921"/>
      <c r="O43" s="1177"/>
      <c r="P43" s="1921"/>
      <c r="Q43" s="1921"/>
      <c r="R43" s="2747"/>
      <c r="S43" s="1895"/>
      <c r="T43" s="2750"/>
      <c r="U43" s="1895"/>
      <c r="V43" s="241"/>
      <c r="W43" s="232"/>
      <c r="X43" s="232"/>
    </row>
    <row r="44" spans="1:247" s="260" customFormat="1" ht="15.75">
      <c r="A44" s="221" t="s">
        <v>79</v>
      </c>
      <c r="B44" s="1899">
        <f>+'Exhibit J'!E16</f>
        <v>77.099999999999994</v>
      </c>
      <c r="C44" s="1899"/>
      <c r="D44" s="1899">
        <f>+'Exhibit J'!AB16</f>
        <v>50.6</v>
      </c>
      <c r="E44" s="1899"/>
      <c r="F44" s="1899">
        <f>+'Exhibit K'!B50</f>
        <v>-225.9</v>
      </c>
      <c r="G44" s="1899"/>
      <c r="H44" s="1899">
        <f>+'Exhibit K'!AA14</f>
        <v>-196.7</v>
      </c>
      <c r="I44" s="259"/>
      <c r="J44" s="259">
        <f>ROUND(SUM(B44)+SUM(F44),1)</f>
        <v>-148.80000000000001</v>
      </c>
      <c r="K44" s="1899"/>
      <c r="L44" s="1899">
        <f>ROUND(SUM(D44)+SUM(H44),1)</f>
        <v>-146.1</v>
      </c>
      <c r="M44" s="259"/>
      <c r="N44" s="271">
        <v>1.2</v>
      </c>
      <c r="O44" s="1899"/>
      <c r="P44" s="271">
        <f>+'Exhibit J'!AE16+'Exhibit K'!AD14</f>
        <v>-10.200000000000003</v>
      </c>
      <c r="Q44" s="273"/>
      <c r="R44" s="659"/>
      <c r="S44" s="1899">
        <f>ROUND(SUM(L44-P44),1)</f>
        <v>-135.9</v>
      </c>
      <c r="T44" s="292"/>
      <c r="U44" s="3044">
        <f>-ROUND(SUM(S44/P44),3)</f>
        <v>-13.324</v>
      </c>
      <c r="V44" s="292"/>
      <c r="W44" s="293"/>
      <c r="X44" s="293"/>
    </row>
    <row r="45" spans="1:247" ht="16.5" thickBot="1">
      <c r="A45" s="221" t="s">
        <v>80</v>
      </c>
      <c r="B45" s="294">
        <f>ROUND(SUM(B42+B44),1)</f>
        <v>77.900000000000006</v>
      </c>
      <c r="C45" s="295"/>
      <c r="D45" s="294">
        <f>ROUND(SUM(D42+D44),1)</f>
        <v>77.900000000000006</v>
      </c>
      <c r="E45" s="295"/>
      <c r="F45" s="294">
        <f>ROUND(SUM(F42+F44),1)</f>
        <v>-218.1</v>
      </c>
      <c r="G45" s="295"/>
      <c r="H45" s="294">
        <f>ROUND(SUM(H42+H44),1)</f>
        <v>-218.1</v>
      </c>
      <c r="I45" s="296"/>
      <c r="J45" s="297">
        <f>ROUND(SUM(J42+J44),1)</f>
        <v>-140.19999999999999</v>
      </c>
      <c r="K45" s="295"/>
      <c r="L45" s="298">
        <f>ROUND(SUM(L42+L44),1)</f>
        <v>-140.19999999999999</v>
      </c>
      <c r="M45" s="296"/>
      <c r="N45" s="299">
        <f>ROUND(SUM(N42+N44),1)</f>
        <v>-20.3</v>
      </c>
      <c r="O45" s="295"/>
      <c r="P45" s="299">
        <f>ROUND(SUM(P42+P44),1)</f>
        <v>-20.3</v>
      </c>
      <c r="Q45" s="425"/>
      <c r="R45" s="650"/>
      <c r="S45" s="299">
        <f>ROUND(SUM(S42+S44),1)</f>
        <v>-119.9</v>
      </c>
      <c r="T45" s="2392"/>
      <c r="U45" s="2901">
        <f>ROUND(SUM(S45/P45),3)*-1</f>
        <v>-5.9059999999999997</v>
      </c>
      <c r="V45" s="245"/>
      <c r="W45" s="232"/>
      <c r="X45" s="232"/>
    </row>
    <row r="46" spans="1:247" ht="3.95" customHeight="1" thickTop="1">
      <c r="A46" s="223"/>
      <c r="B46" s="2764"/>
      <c r="C46" s="1904"/>
      <c r="D46" s="2764"/>
      <c r="E46" s="1904"/>
      <c r="F46" s="2764"/>
      <c r="G46" s="1904"/>
      <c r="H46" s="2764"/>
      <c r="I46" s="1904"/>
      <c r="J46" s="2764"/>
      <c r="K46" s="1904"/>
      <c r="L46" s="2764"/>
      <c r="M46" s="1904"/>
      <c r="N46" s="2392"/>
      <c r="O46" s="1904"/>
      <c r="P46" s="2392"/>
      <c r="Q46" s="2392"/>
      <c r="R46" s="2392"/>
      <c r="S46" s="1904"/>
      <c r="T46" s="2765"/>
      <c r="U46" s="2766"/>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65"/>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89"/>
      <c r="R48" s="2002"/>
    </row>
    <row r="49" spans="1:21">
      <c r="A49" s="1365"/>
      <c r="B49" s="230"/>
      <c r="C49" s="230"/>
      <c r="D49" s="230"/>
      <c r="E49" s="230"/>
      <c r="F49" s="230"/>
      <c r="G49" s="230"/>
      <c r="H49" s="230"/>
      <c r="I49" s="230"/>
      <c r="J49" s="230"/>
      <c r="K49" s="230"/>
      <c r="L49" s="230"/>
      <c r="M49" s="230"/>
      <c r="N49" s="230"/>
      <c r="O49" s="230"/>
      <c r="P49" s="230"/>
      <c r="Q49" s="230"/>
      <c r="R49" s="304"/>
      <c r="S49" s="230"/>
      <c r="T49" s="304"/>
      <c r="U49" s="230"/>
    </row>
    <row r="50" spans="1:21">
      <c r="A50" s="1365"/>
      <c r="B50" s="230"/>
      <c r="C50" s="230"/>
      <c r="D50" s="230"/>
      <c r="E50" s="230"/>
      <c r="F50" s="230"/>
      <c r="G50" s="230"/>
      <c r="H50" s="230"/>
      <c r="I50" s="230"/>
      <c r="J50" s="230"/>
      <c r="K50" s="230"/>
      <c r="L50" s="230"/>
      <c r="M50" s="230"/>
      <c r="N50" s="230"/>
      <c r="O50" s="230"/>
      <c r="P50" s="230"/>
      <c r="Q50" s="230"/>
      <c r="R50" s="304"/>
      <c r="S50" s="230"/>
      <c r="T50" s="304"/>
      <c r="U50" s="230"/>
    </row>
    <row r="51" spans="1:21">
      <c r="A51" s="1365"/>
      <c r="B51" s="230"/>
      <c r="C51" s="230"/>
      <c r="D51" s="230"/>
      <c r="E51" s="230"/>
      <c r="F51" s="230"/>
      <c r="G51" s="230"/>
      <c r="H51" s="230"/>
      <c r="I51" s="230"/>
      <c r="J51" s="230"/>
      <c r="K51" s="230"/>
      <c r="L51" s="230"/>
      <c r="M51" s="230"/>
      <c r="N51" s="230"/>
      <c r="O51" s="230"/>
      <c r="P51" s="230"/>
      <c r="Q51" s="230"/>
      <c r="R51" s="304"/>
      <c r="S51" s="230"/>
      <c r="T51" s="304"/>
      <c r="U51" s="230"/>
    </row>
    <row r="52" spans="1:21">
      <c r="A52" s="1365"/>
      <c r="B52" s="230"/>
      <c r="C52" s="230"/>
      <c r="D52" s="230"/>
      <c r="E52" s="230"/>
      <c r="F52" s="230"/>
      <c r="G52" s="230"/>
      <c r="H52" s="230"/>
      <c r="I52" s="230"/>
      <c r="J52" s="230"/>
      <c r="K52" s="230"/>
      <c r="L52" s="230"/>
      <c r="M52" s="230"/>
      <c r="N52" s="230"/>
      <c r="O52" s="230"/>
      <c r="P52" s="230"/>
      <c r="Q52" s="230"/>
      <c r="R52" s="304"/>
      <c r="S52" s="230"/>
      <c r="T52" s="304"/>
      <c r="U52" s="230"/>
    </row>
    <row r="53" spans="1:21">
      <c r="A53" s="1895"/>
    </row>
    <row r="54" spans="1:21">
      <c r="A54" s="1895"/>
    </row>
    <row r="55" spans="1:21">
      <c r="A55" s="1895"/>
    </row>
    <row r="56" spans="1:21">
      <c r="A56" s="1895"/>
    </row>
    <row r="57" spans="1:21">
      <c r="A57" s="189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33" customWidth="1"/>
    <col min="2" max="2" width="13.77734375" style="1833" customWidth="1"/>
    <col min="3" max="3" width="1.77734375" style="1833" customWidth="1"/>
    <col min="4" max="4" width="13.77734375" style="1833" customWidth="1"/>
    <col min="5" max="5" width="2.44140625" style="1833" customWidth="1"/>
    <col min="6" max="6" width="13.77734375" style="1833" customWidth="1"/>
    <col min="7" max="7" width="1.6640625" style="1833" customWidth="1"/>
    <col min="8" max="8" width="13.77734375" style="1833" customWidth="1"/>
    <col min="9" max="9" width="1.77734375" style="1833" customWidth="1"/>
    <col min="10" max="10" width="13.77734375" style="1833" customWidth="1"/>
    <col min="11" max="11" width="1.6640625" style="1833" customWidth="1"/>
    <col min="12" max="12" width="13.77734375" style="1833" customWidth="1"/>
    <col min="13" max="13" width="0.5546875" style="1833" customWidth="1"/>
    <col min="14" max="14" width="13.77734375" style="1833" customWidth="1"/>
    <col min="15" max="15" width="2.5546875" style="1833" customWidth="1"/>
    <col min="16" max="16" width="13.77734375" style="1833" customWidth="1"/>
    <col min="17" max="17" width="1.5546875" style="1833" customWidth="1"/>
    <col min="18" max="18" width="2.109375" style="2024" customWidth="1"/>
    <col min="19" max="19" width="9.6640625" style="1833" customWidth="1"/>
    <col min="20" max="20" width="2.44140625" style="2024" customWidth="1"/>
    <col min="21" max="16384" width="8.88671875" style="1833"/>
  </cols>
  <sheetData>
    <row r="1" spans="1:252">
      <c r="A1" s="1190" t="s">
        <v>1231</v>
      </c>
    </row>
    <row r="2" spans="1:252">
      <c r="A2" s="1739"/>
    </row>
    <row r="3" spans="1:252" s="2025" customFormat="1" ht="15.75">
      <c r="A3" s="306" t="s">
        <v>0</v>
      </c>
      <c r="B3" s="306"/>
      <c r="C3" s="306"/>
      <c r="D3" s="306"/>
      <c r="E3" s="306"/>
      <c r="F3" s="1833"/>
      <c r="G3" s="1833"/>
      <c r="H3" s="306"/>
      <c r="I3" s="306"/>
      <c r="J3" s="306"/>
      <c r="K3" s="306"/>
      <c r="L3" s="306"/>
      <c r="M3" s="306"/>
      <c r="N3" s="795"/>
      <c r="P3" s="2026"/>
      <c r="Q3" s="2027"/>
      <c r="R3" s="2028"/>
      <c r="S3" s="1739"/>
      <c r="T3" s="2028"/>
      <c r="U3" s="1998" t="s">
        <v>81</v>
      </c>
      <c r="V3" s="1739"/>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c r="AT3" s="1833"/>
      <c r="AU3" s="1833"/>
      <c r="AV3" s="1833"/>
      <c r="AW3" s="1833"/>
      <c r="AX3" s="1833"/>
      <c r="AY3" s="1833"/>
      <c r="AZ3" s="1833"/>
      <c r="BA3" s="1833"/>
      <c r="BB3" s="1833"/>
      <c r="BC3" s="1833"/>
      <c r="BD3" s="1833"/>
      <c r="BE3" s="1833"/>
      <c r="BF3" s="1833"/>
      <c r="BG3" s="1833"/>
      <c r="BH3" s="1833"/>
      <c r="BI3" s="1833"/>
      <c r="BJ3" s="1833"/>
      <c r="BK3" s="1833"/>
      <c r="BL3" s="1833"/>
      <c r="BM3" s="1833"/>
      <c r="BN3" s="1833"/>
      <c r="BO3" s="1833"/>
      <c r="BP3" s="1833"/>
      <c r="BQ3" s="1833"/>
      <c r="BR3" s="1833"/>
      <c r="BS3" s="1833"/>
      <c r="BT3" s="1833"/>
      <c r="BU3" s="1833"/>
      <c r="BV3" s="1833"/>
      <c r="BW3" s="1833"/>
      <c r="BX3" s="1833"/>
      <c r="BY3" s="1833"/>
      <c r="BZ3" s="1833"/>
      <c r="CA3" s="1833"/>
      <c r="CB3" s="1833"/>
      <c r="CC3" s="1833"/>
      <c r="CD3" s="1833"/>
      <c r="CE3" s="1833"/>
      <c r="CF3" s="1833"/>
      <c r="CG3" s="1833"/>
      <c r="CH3" s="1833"/>
      <c r="CI3" s="1833"/>
      <c r="CJ3" s="1833"/>
      <c r="CK3" s="1833"/>
      <c r="CL3" s="1833"/>
      <c r="CM3" s="1833"/>
      <c r="CN3" s="1833"/>
      <c r="CO3" s="1833"/>
      <c r="CP3" s="1833"/>
      <c r="CQ3" s="1833"/>
      <c r="CR3" s="1833"/>
      <c r="CS3" s="1833"/>
      <c r="CT3" s="1833"/>
      <c r="CU3" s="1833"/>
      <c r="CV3" s="1833"/>
      <c r="CW3" s="1833"/>
      <c r="CX3" s="1833"/>
      <c r="CY3" s="1833"/>
      <c r="CZ3" s="1833"/>
      <c r="DA3" s="1833"/>
      <c r="DB3" s="1833"/>
      <c r="DC3" s="1833"/>
      <c r="DD3" s="1833"/>
      <c r="DE3" s="1833"/>
      <c r="DF3" s="1833"/>
      <c r="DG3" s="1833"/>
      <c r="DH3" s="1833"/>
      <c r="DI3" s="1833"/>
      <c r="DJ3" s="1833"/>
      <c r="DK3" s="1833"/>
      <c r="DL3" s="1833"/>
      <c r="DM3" s="1833"/>
      <c r="DN3" s="1833"/>
      <c r="DO3" s="1833"/>
      <c r="DP3" s="1833"/>
      <c r="DQ3" s="1833"/>
      <c r="DR3" s="1833"/>
      <c r="DS3" s="1833"/>
      <c r="DT3" s="1833"/>
      <c r="DU3" s="1833"/>
      <c r="DV3" s="1833"/>
      <c r="DW3" s="1833"/>
      <c r="DX3" s="1833"/>
      <c r="DY3" s="1833"/>
      <c r="DZ3" s="1833"/>
      <c r="EA3" s="1833"/>
      <c r="EB3" s="1833"/>
      <c r="EC3" s="1833"/>
      <c r="ED3" s="1833"/>
      <c r="EE3" s="1833"/>
      <c r="EF3" s="1833"/>
      <c r="EG3" s="1833"/>
      <c r="EH3" s="1833"/>
      <c r="EI3" s="1833"/>
      <c r="EJ3" s="1833"/>
      <c r="EK3" s="1833"/>
      <c r="EL3" s="1833"/>
      <c r="EM3" s="1833"/>
      <c r="EN3" s="1833"/>
      <c r="EO3" s="1833"/>
      <c r="EP3" s="1833"/>
      <c r="EQ3" s="1833"/>
      <c r="ER3" s="1833"/>
      <c r="ES3" s="1833"/>
      <c r="ET3" s="1833"/>
      <c r="EU3" s="1833"/>
      <c r="EV3" s="1833"/>
      <c r="EW3" s="1833"/>
      <c r="EX3" s="1833"/>
      <c r="EY3" s="1833"/>
      <c r="EZ3" s="1833"/>
      <c r="FA3" s="1833"/>
      <c r="FB3" s="1833"/>
      <c r="FC3" s="1833"/>
      <c r="FD3" s="1833"/>
      <c r="FE3" s="1833"/>
      <c r="FF3" s="1833"/>
      <c r="FG3" s="1833"/>
      <c r="FH3" s="1833"/>
      <c r="FI3" s="1833"/>
      <c r="FJ3" s="1833"/>
      <c r="FK3" s="1833"/>
      <c r="FL3" s="1833"/>
      <c r="FM3" s="1833"/>
      <c r="FN3" s="1833"/>
      <c r="FO3" s="1833"/>
      <c r="FP3" s="1833"/>
      <c r="FQ3" s="1833"/>
      <c r="FR3" s="1833"/>
      <c r="FS3" s="1833"/>
      <c r="FT3" s="1833"/>
      <c r="FU3" s="1833"/>
      <c r="FV3" s="1833"/>
      <c r="FW3" s="1833"/>
      <c r="FX3" s="1833"/>
      <c r="FY3" s="1833"/>
      <c r="FZ3" s="1833"/>
      <c r="GA3" s="1833"/>
      <c r="GB3" s="1833"/>
      <c r="GC3" s="1833"/>
      <c r="GD3" s="1833"/>
      <c r="GE3" s="1833"/>
      <c r="GF3" s="1833"/>
      <c r="GG3" s="1833"/>
      <c r="GH3" s="1833"/>
      <c r="GI3" s="1833"/>
      <c r="GJ3" s="1833"/>
      <c r="GK3" s="1833"/>
      <c r="GL3" s="1833"/>
      <c r="GM3" s="1833"/>
      <c r="GN3" s="1833"/>
      <c r="GO3" s="1833"/>
      <c r="GP3" s="1833"/>
      <c r="GQ3" s="1833"/>
      <c r="GR3" s="1833"/>
      <c r="GS3" s="1833"/>
      <c r="GT3" s="1833"/>
      <c r="GU3" s="1833"/>
      <c r="GV3" s="1833"/>
      <c r="GW3" s="1833"/>
      <c r="GX3" s="1833"/>
      <c r="GY3" s="1833"/>
      <c r="GZ3" s="1833"/>
      <c r="HA3" s="1833"/>
      <c r="HB3" s="1833"/>
      <c r="HC3" s="1833"/>
      <c r="HD3" s="1833"/>
      <c r="HE3" s="1833"/>
      <c r="HF3" s="1833"/>
      <c r="HG3" s="1833"/>
      <c r="HH3" s="1833"/>
      <c r="HI3" s="1833"/>
      <c r="HJ3" s="1833"/>
      <c r="HK3" s="1833"/>
      <c r="HL3" s="1833"/>
      <c r="HM3" s="1833"/>
      <c r="HN3" s="1833"/>
      <c r="HO3" s="1833"/>
      <c r="HP3" s="1833"/>
      <c r="HQ3" s="1833"/>
      <c r="HR3" s="1833"/>
      <c r="HS3" s="1833"/>
      <c r="HT3" s="1833"/>
      <c r="HU3" s="1833"/>
      <c r="HV3" s="1833"/>
      <c r="HW3" s="1833"/>
      <c r="HX3" s="1833"/>
      <c r="HY3" s="1833"/>
      <c r="HZ3" s="1833"/>
      <c r="IA3" s="1833"/>
      <c r="IB3" s="1833"/>
      <c r="IC3" s="1833"/>
      <c r="ID3" s="1833"/>
      <c r="IE3" s="1833"/>
      <c r="IF3" s="1833"/>
      <c r="IG3" s="1833"/>
      <c r="IH3" s="1833"/>
      <c r="II3" s="1833"/>
      <c r="IJ3" s="1833"/>
      <c r="IK3" s="1833"/>
      <c r="IL3" s="1833"/>
      <c r="IM3" s="1833"/>
      <c r="IN3" s="1833"/>
      <c r="IO3" s="1833"/>
      <c r="IP3" s="1833"/>
      <c r="IQ3" s="1833"/>
      <c r="IR3" s="1833"/>
    </row>
    <row r="4" spans="1:252" s="2025" customFormat="1" ht="15.75">
      <c r="A4" s="306" t="s">
        <v>1122</v>
      </c>
      <c r="B4" s="306"/>
      <c r="C4" s="306"/>
      <c r="D4" s="306"/>
      <c r="E4" s="306"/>
      <c r="F4" s="1833"/>
      <c r="G4" s="1833"/>
      <c r="H4" s="306"/>
      <c r="I4" s="306"/>
      <c r="J4" s="306"/>
      <c r="K4" s="306"/>
      <c r="L4" s="306"/>
      <c r="M4" s="306"/>
      <c r="N4" s="306"/>
      <c r="O4" s="306"/>
      <c r="P4" s="306"/>
      <c r="Q4" s="2027"/>
      <c r="R4" s="2028"/>
      <c r="S4" s="1739"/>
      <c r="T4" s="2028"/>
      <c r="U4" s="1739"/>
      <c r="V4" s="1739"/>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c r="AT4" s="1833"/>
      <c r="AU4" s="1833"/>
      <c r="AV4" s="1833"/>
      <c r="AW4" s="1833"/>
      <c r="AX4" s="1833"/>
      <c r="AY4" s="1833"/>
      <c r="AZ4" s="1833"/>
      <c r="BA4" s="1833"/>
      <c r="BB4" s="1833"/>
      <c r="BC4" s="1833"/>
      <c r="BD4" s="1833"/>
      <c r="BE4" s="1833"/>
      <c r="BF4" s="1833"/>
      <c r="BG4" s="1833"/>
      <c r="BH4" s="1833"/>
      <c r="BI4" s="1833"/>
      <c r="BJ4" s="1833"/>
      <c r="BK4" s="1833"/>
      <c r="BL4" s="1833"/>
      <c r="BM4" s="1833"/>
      <c r="BN4" s="1833"/>
      <c r="BO4" s="1833"/>
      <c r="BP4" s="1833"/>
      <c r="BQ4" s="1833"/>
      <c r="BR4" s="1833"/>
      <c r="BS4" s="1833"/>
      <c r="BT4" s="1833"/>
      <c r="BU4" s="1833"/>
      <c r="BV4" s="1833"/>
      <c r="BW4" s="1833"/>
      <c r="BX4" s="1833"/>
      <c r="BY4" s="1833"/>
      <c r="BZ4" s="1833"/>
      <c r="CA4" s="1833"/>
      <c r="CB4" s="1833"/>
      <c r="CC4" s="1833"/>
      <c r="CD4" s="1833"/>
      <c r="CE4" s="1833"/>
      <c r="CF4" s="1833"/>
      <c r="CG4" s="1833"/>
      <c r="CH4" s="1833"/>
      <c r="CI4" s="1833"/>
      <c r="CJ4" s="1833"/>
      <c r="CK4" s="1833"/>
      <c r="CL4" s="1833"/>
      <c r="CM4" s="1833"/>
      <c r="CN4" s="1833"/>
      <c r="CO4" s="1833"/>
      <c r="CP4" s="1833"/>
      <c r="CQ4" s="1833"/>
      <c r="CR4" s="1833"/>
      <c r="CS4" s="1833"/>
      <c r="CT4" s="1833"/>
      <c r="CU4" s="1833"/>
      <c r="CV4" s="1833"/>
      <c r="CW4" s="1833"/>
      <c r="CX4" s="1833"/>
      <c r="CY4" s="1833"/>
      <c r="CZ4" s="1833"/>
      <c r="DA4" s="1833"/>
      <c r="DB4" s="1833"/>
      <c r="DC4" s="1833"/>
      <c r="DD4" s="1833"/>
      <c r="DE4" s="1833"/>
      <c r="DF4" s="1833"/>
      <c r="DG4" s="1833"/>
      <c r="DH4" s="1833"/>
      <c r="DI4" s="1833"/>
      <c r="DJ4" s="1833"/>
      <c r="DK4" s="1833"/>
      <c r="DL4" s="1833"/>
      <c r="DM4" s="1833"/>
      <c r="DN4" s="1833"/>
      <c r="DO4" s="1833"/>
      <c r="DP4" s="1833"/>
      <c r="DQ4" s="1833"/>
      <c r="DR4" s="1833"/>
      <c r="DS4" s="1833"/>
      <c r="DT4" s="1833"/>
      <c r="DU4" s="1833"/>
      <c r="DV4" s="1833"/>
      <c r="DW4" s="1833"/>
      <c r="DX4" s="1833"/>
      <c r="DY4" s="1833"/>
      <c r="DZ4" s="1833"/>
      <c r="EA4" s="1833"/>
      <c r="EB4" s="1833"/>
      <c r="EC4" s="1833"/>
      <c r="ED4" s="1833"/>
      <c r="EE4" s="1833"/>
      <c r="EF4" s="1833"/>
      <c r="EG4" s="1833"/>
      <c r="EH4" s="1833"/>
      <c r="EI4" s="1833"/>
      <c r="EJ4" s="1833"/>
      <c r="EK4" s="1833"/>
      <c r="EL4" s="1833"/>
      <c r="EM4" s="1833"/>
      <c r="EN4" s="1833"/>
      <c r="EO4" s="1833"/>
      <c r="EP4" s="1833"/>
      <c r="EQ4" s="1833"/>
      <c r="ER4" s="1833"/>
      <c r="ES4" s="1833"/>
      <c r="ET4" s="1833"/>
      <c r="EU4" s="1833"/>
      <c r="EV4" s="1833"/>
      <c r="EW4" s="1833"/>
      <c r="EX4" s="1833"/>
      <c r="EY4" s="1833"/>
      <c r="EZ4" s="1833"/>
      <c r="FA4" s="1833"/>
      <c r="FB4" s="1833"/>
      <c r="FC4" s="1833"/>
      <c r="FD4" s="1833"/>
      <c r="FE4" s="1833"/>
      <c r="FF4" s="1833"/>
      <c r="FG4" s="1833"/>
      <c r="FH4" s="1833"/>
      <c r="FI4" s="1833"/>
      <c r="FJ4" s="1833"/>
      <c r="FK4" s="1833"/>
      <c r="FL4" s="1833"/>
      <c r="FM4" s="1833"/>
      <c r="FN4" s="1833"/>
      <c r="FO4" s="1833"/>
      <c r="FP4" s="1833"/>
      <c r="FQ4" s="1833"/>
      <c r="FR4" s="1833"/>
      <c r="FS4" s="1833"/>
      <c r="FT4" s="1833"/>
      <c r="FU4" s="1833"/>
      <c r="FV4" s="1833"/>
      <c r="FW4" s="1833"/>
      <c r="FX4" s="1833"/>
      <c r="FY4" s="1833"/>
      <c r="FZ4" s="1833"/>
      <c r="GA4" s="1833"/>
      <c r="GB4" s="1833"/>
      <c r="GC4" s="1833"/>
      <c r="GD4" s="1833"/>
      <c r="GE4" s="1833"/>
      <c r="GF4" s="1833"/>
      <c r="GG4" s="1833"/>
      <c r="GH4" s="1833"/>
      <c r="GI4" s="1833"/>
      <c r="GJ4" s="1833"/>
      <c r="GK4" s="1833"/>
      <c r="GL4" s="1833"/>
      <c r="GM4" s="1833"/>
      <c r="GN4" s="1833"/>
      <c r="GO4" s="1833"/>
      <c r="GP4" s="1833"/>
      <c r="GQ4" s="1833"/>
      <c r="GR4" s="1833"/>
      <c r="GS4" s="1833"/>
      <c r="GT4" s="1833"/>
      <c r="GU4" s="1833"/>
      <c r="GV4" s="1833"/>
      <c r="GW4" s="1833"/>
      <c r="GX4" s="1833"/>
      <c r="GY4" s="1833"/>
      <c r="GZ4" s="1833"/>
      <c r="HA4" s="1833"/>
      <c r="HB4" s="1833"/>
      <c r="HC4" s="1833"/>
      <c r="HD4" s="1833"/>
      <c r="HE4" s="1833"/>
      <c r="HF4" s="1833"/>
      <c r="HG4" s="1833"/>
      <c r="HH4" s="1833"/>
      <c r="HI4" s="1833"/>
      <c r="HJ4" s="1833"/>
      <c r="HK4" s="1833"/>
      <c r="HL4" s="1833"/>
      <c r="HM4" s="1833"/>
      <c r="HN4" s="1833"/>
      <c r="HO4" s="1833"/>
      <c r="HP4" s="1833"/>
      <c r="HQ4" s="1833"/>
      <c r="HR4" s="1833"/>
      <c r="HS4" s="1833"/>
      <c r="HT4" s="1833"/>
      <c r="HU4" s="1833"/>
      <c r="HV4" s="1833"/>
      <c r="HW4" s="1833"/>
      <c r="HX4" s="1833"/>
      <c r="HY4" s="1833"/>
      <c r="HZ4" s="1833"/>
      <c r="IA4" s="1833"/>
      <c r="IB4" s="1833"/>
      <c r="IC4" s="1833"/>
      <c r="ID4" s="1833"/>
      <c r="IE4" s="1833"/>
      <c r="IF4" s="1833"/>
      <c r="IG4" s="1833"/>
      <c r="IH4" s="1833"/>
      <c r="II4" s="1833"/>
      <c r="IJ4" s="1833"/>
      <c r="IK4" s="1833"/>
      <c r="IL4" s="1833"/>
      <c r="IM4" s="1833"/>
      <c r="IN4" s="1833"/>
      <c r="IO4" s="1833"/>
      <c r="IP4" s="1833"/>
      <c r="IQ4" s="1833"/>
      <c r="IR4" s="1833"/>
    </row>
    <row r="5" spans="1:252" s="2025" customFormat="1" ht="15.75">
      <c r="A5" s="491" t="s">
        <v>1123</v>
      </c>
      <c r="B5" s="306"/>
      <c r="C5" s="306"/>
      <c r="D5" s="306"/>
      <c r="E5" s="306"/>
      <c r="F5" s="1833"/>
      <c r="G5" s="1833"/>
      <c r="H5" s="306"/>
      <c r="I5" s="306"/>
      <c r="J5" s="306"/>
      <c r="K5" s="306"/>
      <c r="L5" s="306"/>
      <c r="M5" s="306"/>
      <c r="N5" s="306"/>
      <c r="O5" s="306"/>
      <c r="P5" s="306" t="s">
        <v>16</v>
      </c>
      <c r="Q5" s="2027"/>
      <c r="R5" s="2028"/>
      <c r="S5" s="1739"/>
      <c r="T5" s="2028"/>
      <c r="U5" s="1739"/>
      <c r="V5" s="1739"/>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c r="BP5" s="1833"/>
      <c r="BQ5" s="1833"/>
      <c r="BR5" s="1833"/>
      <c r="BS5" s="1833"/>
      <c r="BT5" s="1833"/>
      <c r="BU5" s="1833"/>
      <c r="BV5" s="1833"/>
      <c r="BW5" s="1833"/>
      <c r="BX5" s="1833"/>
      <c r="BY5" s="1833"/>
      <c r="BZ5" s="1833"/>
      <c r="CA5" s="1833"/>
      <c r="CB5" s="1833"/>
      <c r="CC5" s="1833"/>
      <c r="CD5" s="1833"/>
      <c r="CE5" s="1833"/>
      <c r="CF5" s="1833"/>
      <c r="CG5" s="1833"/>
      <c r="CH5" s="1833"/>
      <c r="CI5" s="1833"/>
      <c r="CJ5" s="1833"/>
      <c r="CK5" s="1833"/>
      <c r="CL5" s="1833"/>
      <c r="CM5" s="1833"/>
      <c r="CN5" s="1833"/>
      <c r="CO5" s="1833"/>
      <c r="CP5" s="1833"/>
      <c r="CQ5" s="1833"/>
      <c r="CR5" s="1833"/>
      <c r="CS5" s="1833"/>
      <c r="CT5" s="1833"/>
      <c r="CU5" s="1833"/>
      <c r="CV5" s="1833"/>
      <c r="CW5" s="1833"/>
      <c r="CX5" s="1833"/>
      <c r="CY5" s="1833"/>
      <c r="CZ5" s="1833"/>
      <c r="DA5" s="1833"/>
      <c r="DB5" s="1833"/>
      <c r="DC5" s="1833"/>
      <c r="DD5" s="1833"/>
      <c r="DE5" s="1833"/>
      <c r="DF5" s="1833"/>
      <c r="DG5" s="1833"/>
      <c r="DH5" s="1833"/>
      <c r="DI5" s="1833"/>
      <c r="DJ5" s="1833"/>
      <c r="DK5" s="1833"/>
      <c r="DL5" s="1833"/>
      <c r="DM5" s="1833"/>
      <c r="DN5" s="1833"/>
      <c r="DO5" s="1833"/>
      <c r="DP5" s="1833"/>
      <c r="DQ5" s="1833"/>
      <c r="DR5" s="1833"/>
      <c r="DS5" s="1833"/>
      <c r="DT5" s="1833"/>
      <c r="DU5" s="1833"/>
      <c r="DV5" s="1833"/>
      <c r="DW5" s="1833"/>
      <c r="DX5" s="1833"/>
      <c r="DY5" s="1833"/>
      <c r="DZ5" s="1833"/>
      <c r="EA5" s="1833"/>
      <c r="EB5" s="1833"/>
      <c r="EC5" s="1833"/>
      <c r="ED5" s="1833"/>
      <c r="EE5" s="1833"/>
      <c r="EF5" s="1833"/>
      <c r="EG5" s="1833"/>
      <c r="EH5" s="1833"/>
      <c r="EI5" s="1833"/>
      <c r="EJ5" s="1833"/>
      <c r="EK5" s="1833"/>
      <c r="EL5" s="1833"/>
      <c r="EM5" s="1833"/>
      <c r="EN5" s="1833"/>
      <c r="EO5" s="1833"/>
      <c r="EP5" s="1833"/>
      <c r="EQ5" s="1833"/>
      <c r="ER5" s="1833"/>
      <c r="ES5" s="1833"/>
      <c r="ET5" s="1833"/>
      <c r="EU5" s="1833"/>
      <c r="EV5" s="1833"/>
      <c r="EW5" s="1833"/>
      <c r="EX5" s="1833"/>
      <c r="EY5" s="1833"/>
      <c r="EZ5" s="1833"/>
      <c r="FA5" s="1833"/>
      <c r="FB5" s="1833"/>
      <c r="FC5" s="1833"/>
      <c r="FD5" s="1833"/>
      <c r="FE5" s="1833"/>
      <c r="FF5" s="1833"/>
      <c r="FG5" s="1833"/>
      <c r="FH5" s="1833"/>
      <c r="FI5" s="1833"/>
      <c r="FJ5" s="1833"/>
      <c r="FK5" s="1833"/>
      <c r="FL5" s="1833"/>
      <c r="FM5" s="1833"/>
      <c r="FN5" s="1833"/>
      <c r="FO5" s="1833"/>
      <c r="FP5" s="1833"/>
      <c r="FQ5" s="1833"/>
      <c r="FR5" s="1833"/>
      <c r="FS5" s="1833"/>
      <c r="FT5" s="1833"/>
      <c r="FU5" s="1833"/>
      <c r="FV5" s="1833"/>
      <c r="FW5" s="1833"/>
      <c r="FX5" s="1833"/>
      <c r="FY5" s="1833"/>
      <c r="FZ5" s="1833"/>
      <c r="GA5" s="1833"/>
      <c r="GB5" s="1833"/>
      <c r="GC5" s="1833"/>
      <c r="GD5" s="1833"/>
      <c r="GE5" s="1833"/>
      <c r="GF5" s="1833"/>
      <c r="GG5" s="1833"/>
      <c r="GH5" s="1833"/>
      <c r="GI5" s="1833"/>
      <c r="GJ5" s="1833"/>
      <c r="GK5" s="1833"/>
      <c r="GL5" s="1833"/>
      <c r="GM5" s="1833"/>
      <c r="GN5" s="1833"/>
      <c r="GO5" s="1833"/>
      <c r="GP5" s="1833"/>
      <c r="GQ5" s="1833"/>
      <c r="GR5" s="1833"/>
      <c r="GS5" s="1833"/>
      <c r="GT5" s="1833"/>
      <c r="GU5" s="1833"/>
      <c r="GV5" s="1833"/>
      <c r="GW5" s="1833"/>
      <c r="GX5" s="1833"/>
      <c r="GY5" s="1833"/>
      <c r="GZ5" s="1833"/>
      <c r="HA5" s="1833"/>
      <c r="HB5" s="1833"/>
      <c r="HC5" s="1833"/>
      <c r="HD5" s="1833"/>
      <c r="HE5" s="1833"/>
      <c r="HF5" s="1833"/>
      <c r="HG5" s="1833"/>
      <c r="HH5" s="1833"/>
      <c r="HI5" s="1833"/>
      <c r="HJ5" s="1833"/>
      <c r="HK5" s="1833"/>
      <c r="HL5" s="1833"/>
      <c r="HM5" s="1833"/>
      <c r="HN5" s="1833"/>
      <c r="HO5" s="1833"/>
      <c r="HP5" s="1833"/>
      <c r="HQ5" s="1833"/>
      <c r="HR5" s="1833"/>
      <c r="HS5" s="1833"/>
      <c r="HT5" s="1833"/>
      <c r="HU5" s="1833"/>
      <c r="HV5" s="1833"/>
      <c r="HW5" s="1833"/>
      <c r="HX5" s="1833"/>
      <c r="HY5" s="1833"/>
      <c r="HZ5" s="1833"/>
      <c r="IA5" s="1833"/>
      <c r="IB5" s="1833"/>
      <c r="IC5" s="1833"/>
      <c r="ID5" s="1833"/>
      <c r="IE5" s="1833"/>
      <c r="IF5" s="1833"/>
      <c r="IG5" s="1833"/>
      <c r="IH5" s="1833"/>
      <c r="II5" s="1833"/>
      <c r="IJ5" s="1833"/>
      <c r="IK5" s="1833"/>
      <c r="IL5" s="1833"/>
      <c r="IM5" s="1833"/>
      <c r="IN5" s="1833"/>
      <c r="IO5" s="1833"/>
      <c r="IP5" s="1833"/>
      <c r="IQ5" s="1833"/>
      <c r="IR5" s="1833"/>
    </row>
    <row r="6" spans="1:252" s="2025" customFormat="1" ht="15.75">
      <c r="A6" s="306" t="s">
        <v>1116</v>
      </c>
      <c r="B6" s="306"/>
      <c r="C6" s="306"/>
      <c r="D6" s="306"/>
      <c r="E6" s="306"/>
      <c r="F6" s="1833"/>
      <c r="G6" s="1833"/>
      <c r="H6" s="306"/>
      <c r="I6" s="306"/>
      <c r="J6" s="306"/>
      <c r="K6" s="306"/>
      <c r="L6" s="306"/>
      <c r="M6" s="306"/>
      <c r="N6" s="306"/>
      <c r="O6" s="306"/>
      <c r="P6" s="306"/>
      <c r="Q6" s="2027"/>
      <c r="R6" s="2028"/>
      <c r="S6" s="1739"/>
      <c r="T6" s="2028"/>
      <c r="U6" s="1739"/>
      <c r="V6" s="1739"/>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1833"/>
      <c r="BS6" s="1833"/>
      <c r="BT6" s="1833"/>
      <c r="BU6" s="1833"/>
      <c r="BV6" s="1833"/>
      <c r="BW6" s="1833"/>
      <c r="BX6" s="1833"/>
      <c r="BY6" s="1833"/>
      <c r="BZ6" s="1833"/>
      <c r="CA6" s="1833"/>
      <c r="CB6" s="1833"/>
      <c r="CC6" s="1833"/>
      <c r="CD6" s="1833"/>
      <c r="CE6" s="1833"/>
      <c r="CF6" s="1833"/>
      <c r="CG6" s="1833"/>
      <c r="CH6" s="1833"/>
      <c r="CI6" s="1833"/>
      <c r="CJ6" s="1833"/>
      <c r="CK6" s="1833"/>
      <c r="CL6" s="1833"/>
      <c r="CM6" s="1833"/>
      <c r="CN6" s="1833"/>
      <c r="CO6" s="1833"/>
      <c r="CP6" s="1833"/>
      <c r="CQ6" s="1833"/>
      <c r="CR6" s="1833"/>
      <c r="CS6" s="1833"/>
      <c r="CT6" s="1833"/>
      <c r="CU6" s="1833"/>
      <c r="CV6" s="1833"/>
      <c r="CW6" s="1833"/>
      <c r="CX6" s="1833"/>
      <c r="CY6" s="1833"/>
      <c r="CZ6" s="1833"/>
      <c r="DA6" s="1833"/>
      <c r="DB6" s="1833"/>
      <c r="DC6" s="1833"/>
      <c r="DD6" s="1833"/>
      <c r="DE6" s="1833"/>
      <c r="DF6" s="1833"/>
      <c r="DG6" s="1833"/>
      <c r="DH6" s="1833"/>
      <c r="DI6" s="1833"/>
      <c r="DJ6" s="1833"/>
      <c r="DK6" s="1833"/>
      <c r="DL6" s="1833"/>
      <c r="DM6" s="1833"/>
      <c r="DN6" s="1833"/>
      <c r="DO6" s="1833"/>
      <c r="DP6" s="1833"/>
      <c r="DQ6" s="1833"/>
      <c r="DR6" s="1833"/>
      <c r="DS6" s="1833"/>
      <c r="DT6" s="1833"/>
      <c r="DU6" s="1833"/>
      <c r="DV6" s="1833"/>
      <c r="DW6" s="1833"/>
      <c r="DX6" s="1833"/>
      <c r="DY6" s="1833"/>
      <c r="DZ6" s="1833"/>
      <c r="EA6" s="1833"/>
      <c r="EB6" s="1833"/>
      <c r="EC6" s="1833"/>
      <c r="ED6" s="1833"/>
      <c r="EE6" s="1833"/>
      <c r="EF6" s="1833"/>
      <c r="EG6" s="1833"/>
      <c r="EH6" s="1833"/>
      <c r="EI6" s="1833"/>
      <c r="EJ6" s="1833"/>
      <c r="EK6" s="1833"/>
      <c r="EL6" s="1833"/>
      <c r="EM6" s="1833"/>
      <c r="EN6" s="1833"/>
      <c r="EO6" s="1833"/>
      <c r="EP6" s="1833"/>
      <c r="EQ6" s="1833"/>
      <c r="ER6" s="1833"/>
      <c r="ES6" s="1833"/>
      <c r="ET6" s="1833"/>
      <c r="EU6" s="1833"/>
      <c r="EV6" s="1833"/>
      <c r="EW6" s="1833"/>
      <c r="EX6" s="1833"/>
      <c r="EY6" s="1833"/>
      <c r="EZ6" s="1833"/>
      <c r="FA6" s="1833"/>
      <c r="FB6" s="1833"/>
      <c r="FC6" s="1833"/>
      <c r="FD6" s="1833"/>
      <c r="FE6" s="1833"/>
      <c r="FF6" s="1833"/>
      <c r="FG6" s="1833"/>
      <c r="FH6" s="1833"/>
      <c r="FI6" s="1833"/>
      <c r="FJ6" s="1833"/>
      <c r="FK6" s="1833"/>
      <c r="FL6" s="1833"/>
      <c r="FM6" s="1833"/>
      <c r="FN6" s="1833"/>
      <c r="FO6" s="1833"/>
      <c r="FP6" s="1833"/>
      <c r="FQ6" s="1833"/>
      <c r="FR6" s="1833"/>
      <c r="FS6" s="1833"/>
      <c r="FT6" s="1833"/>
      <c r="FU6" s="1833"/>
      <c r="FV6" s="1833"/>
      <c r="FW6" s="1833"/>
      <c r="FX6" s="1833"/>
      <c r="FY6" s="1833"/>
      <c r="FZ6" s="1833"/>
      <c r="GA6" s="1833"/>
      <c r="GB6" s="1833"/>
      <c r="GC6" s="1833"/>
      <c r="GD6" s="1833"/>
      <c r="GE6" s="1833"/>
      <c r="GF6" s="1833"/>
      <c r="GG6" s="1833"/>
      <c r="GH6" s="1833"/>
      <c r="GI6" s="1833"/>
      <c r="GJ6" s="1833"/>
      <c r="GK6" s="1833"/>
      <c r="GL6" s="1833"/>
      <c r="GM6" s="1833"/>
      <c r="GN6" s="1833"/>
      <c r="GO6" s="1833"/>
      <c r="GP6" s="1833"/>
      <c r="GQ6" s="1833"/>
      <c r="GR6" s="1833"/>
      <c r="GS6" s="1833"/>
      <c r="GT6" s="1833"/>
      <c r="GU6" s="1833"/>
      <c r="GV6" s="1833"/>
      <c r="GW6" s="1833"/>
      <c r="GX6" s="1833"/>
      <c r="GY6" s="1833"/>
      <c r="GZ6" s="1833"/>
      <c r="HA6" s="1833"/>
      <c r="HB6" s="1833"/>
      <c r="HC6" s="1833"/>
      <c r="HD6" s="1833"/>
      <c r="HE6" s="1833"/>
      <c r="HF6" s="1833"/>
      <c r="HG6" s="1833"/>
      <c r="HH6" s="1833"/>
      <c r="HI6" s="1833"/>
      <c r="HJ6" s="1833"/>
      <c r="HK6" s="1833"/>
      <c r="HL6" s="1833"/>
      <c r="HM6" s="1833"/>
      <c r="HN6" s="1833"/>
      <c r="HO6" s="1833"/>
      <c r="HP6" s="1833"/>
      <c r="HQ6" s="1833"/>
      <c r="HR6" s="1833"/>
      <c r="HS6" s="1833"/>
      <c r="HT6" s="1833"/>
      <c r="HU6" s="1833"/>
      <c r="HV6" s="1833"/>
      <c r="HW6" s="1833"/>
      <c r="HX6" s="1833"/>
      <c r="HY6" s="1833"/>
      <c r="HZ6" s="1833"/>
      <c r="IA6" s="1833"/>
      <c r="IB6" s="1833"/>
      <c r="IC6" s="1833"/>
      <c r="ID6" s="1833"/>
      <c r="IE6" s="1833"/>
      <c r="IF6" s="1833"/>
      <c r="IG6" s="1833"/>
      <c r="IH6" s="1833"/>
      <c r="II6" s="1833"/>
      <c r="IJ6" s="1833"/>
      <c r="IK6" s="1833"/>
      <c r="IL6" s="1833"/>
      <c r="IM6" s="1833"/>
      <c r="IN6" s="1833"/>
      <c r="IO6" s="1833"/>
      <c r="IP6" s="1833"/>
      <c r="IQ6" s="1833"/>
      <c r="IR6" s="1833"/>
    </row>
    <row r="7" spans="1:252" s="2025" customFormat="1" ht="15.75">
      <c r="A7" s="309"/>
      <c r="B7" s="306"/>
      <c r="C7" s="306"/>
      <c r="D7" s="306"/>
      <c r="E7" s="306"/>
      <c r="F7" s="1833"/>
      <c r="G7" s="1833"/>
      <c r="H7" s="306"/>
      <c r="I7" s="306"/>
      <c r="J7" s="306"/>
      <c r="K7" s="306"/>
      <c r="L7" s="306"/>
      <c r="M7" s="306"/>
      <c r="N7" s="306"/>
      <c r="O7" s="306"/>
      <c r="P7" s="306"/>
      <c r="Q7" s="2027"/>
      <c r="R7" s="2028"/>
      <c r="S7" s="1739"/>
      <c r="T7" s="2028"/>
      <c r="U7" s="1739"/>
      <c r="V7" s="1739"/>
      <c r="W7" s="1833"/>
      <c r="X7" s="1833"/>
      <c r="Y7" s="1833"/>
      <c r="Z7" s="1833"/>
      <c r="AA7" s="1833"/>
      <c r="AB7" s="1833"/>
      <c r="AC7" s="1833"/>
      <c r="AD7" s="1833"/>
      <c r="AE7" s="1833"/>
      <c r="AF7" s="1833"/>
      <c r="AG7" s="1833"/>
      <c r="AH7" s="1833"/>
      <c r="AI7" s="1833"/>
      <c r="AJ7" s="1833"/>
      <c r="AK7" s="1833"/>
      <c r="AL7" s="1833"/>
      <c r="AM7" s="1833"/>
      <c r="AN7" s="1833"/>
      <c r="AO7" s="1833"/>
      <c r="AP7" s="1833"/>
      <c r="AQ7" s="1833"/>
      <c r="AR7" s="1833"/>
      <c r="AS7" s="1833"/>
      <c r="AT7" s="1833"/>
      <c r="AU7" s="1833"/>
      <c r="AV7" s="1833"/>
      <c r="AW7" s="1833"/>
      <c r="AX7" s="1833"/>
      <c r="AY7" s="1833"/>
      <c r="AZ7" s="1833"/>
      <c r="BA7" s="1833"/>
      <c r="BB7" s="1833"/>
      <c r="BC7" s="1833"/>
      <c r="BD7" s="1833"/>
      <c r="BE7" s="1833"/>
      <c r="BF7" s="1833"/>
      <c r="BG7" s="1833"/>
      <c r="BH7" s="1833"/>
      <c r="BI7" s="1833"/>
      <c r="BJ7" s="1833"/>
      <c r="BK7" s="1833"/>
      <c r="BL7" s="1833"/>
      <c r="BM7" s="1833"/>
      <c r="BN7" s="1833"/>
      <c r="BO7" s="1833"/>
      <c r="BP7" s="1833"/>
      <c r="BQ7" s="1833"/>
      <c r="BR7" s="1833"/>
      <c r="BS7" s="1833"/>
      <c r="BT7" s="1833"/>
      <c r="BU7" s="1833"/>
      <c r="BV7" s="1833"/>
      <c r="BW7" s="1833"/>
      <c r="BX7" s="1833"/>
      <c r="BY7" s="1833"/>
      <c r="BZ7" s="1833"/>
      <c r="CA7" s="1833"/>
      <c r="CB7" s="1833"/>
      <c r="CC7" s="1833"/>
      <c r="CD7" s="1833"/>
      <c r="CE7" s="1833"/>
      <c r="CF7" s="1833"/>
      <c r="CG7" s="1833"/>
      <c r="CH7" s="1833"/>
      <c r="CI7" s="1833"/>
      <c r="CJ7" s="1833"/>
      <c r="CK7" s="1833"/>
      <c r="CL7" s="1833"/>
      <c r="CM7" s="1833"/>
      <c r="CN7" s="1833"/>
      <c r="CO7" s="1833"/>
      <c r="CP7" s="1833"/>
      <c r="CQ7" s="1833"/>
      <c r="CR7" s="1833"/>
      <c r="CS7" s="1833"/>
      <c r="CT7" s="1833"/>
      <c r="CU7" s="1833"/>
      <c r="CV7" s="1833"/>
      <c r="CW7" s="1833"/>
      <c r="CX7" s="1833"/>
      <c r="CY7" s="1833"/>
      <c r="CZ7" s="1833"/>
      <c r="DA7" s="1833"/>
      <c r="DB7" s="1833"/>
      <c r="DC7" s="1833"/>
      <c r="DD7" s="1833"/>
      <c r="DE7" s="1833"/>
      <c r="DF7" s="1833"/>
      <c r="DG7" s="1833"/>
      <c r="DH7" s="1833"/>
      <c r="DI7" s="1833"/>
      <c r="DJ7" s="1833"/>
      <c r="DK7" s="1833"/>
      <c r="DL7" s="1833"/>
      <c r="DM7" s="1833"/>
      <c r="DN7" s="1833"/>
      <c r="DO7" s="1833"/>
      <c r="DP7" s="1833"/>
      <c r="DQ7" s="1833"/>
      <c r="DR7" s="1833"/>
      <c r="DS7" s="1833"/>
      <c r="DT7" s="1833"/>
      <c r="DU7" s="1833"/>
      <c r="DV7" s="1833"/>
      <c r="DW7" s="1833"/>
      <c r="DX7" s="1833"/>
      <c r="DY7" s="1833"/>
      <c r="DZ7" s="1833"/>
      <c r="EA7" s="1833"/>
      <c r="EB7" s="1833"/>
      <c r="EC7" s="1833"/>
      <c r="ED7" s="1833"/>
      <c r="EE7" s="1833"/>
      <c r="EF7" s="1833"/>
      <c r="EG7" s="1833"/>
      <c r="EH7" s="1833"/>
      <c r="EI7" s="1833"/>
      <c r="EJ7" s="1833"/>
      <c r="EK7" s="1833"/>
      <c r="EL7" s="1833"/>
      <c r="EM7" s="1833"/>
      <c r="EN7" s="1833"/>
      <c r="EO7" s="1833"/>
      <c r="EP7" s="1833"/>
      <c r="EQ7" s="1833"/>
      <c r="ER7" s="1833"/>
      <c r="ES7" s="1833"/>
      <c r="ET7" s="1833"/>
      <c r="EU7" s="1833"/>
      <c r="EV7" s="1833"/>
      <c r="EW7" s="1833"/>
      <c r="EX7" s="1833"/>
      <c r="EY7" s="1833"/>
      <c r="EZ7" s="1833"/>
      <c r="FA7" s="1833"/>
      <c r="FB7" s="1833"/>
      <c r="FC7" s="1833"/>
      <c r="FD7" s="1833"/>
      <c r="FE7" s="1833"/>
      <c r="FF7" s="1833"/>
      <c r="FG7" s="1833"/>
      <c r="FH7" s="1833"/>
      <c r="FI7" s="1833"/>
      <c r="FJ7" s="1833"/>
      <c r="FK7" s="1833"/>
      <c r="FL7" s="1833"/>
      <c r="FM7" s="1833"/>
      <c r="FN7" s="1833"/>
      <c r="FO7" s="1833"/>
      <c r="FP7" s="1833"/>
      <c r="FQ7" s="1833"/>
      <c r="FR7" s="1833"/>
      <c r="FS7" s="1833"/>
      <c r="FT7" s="1833"/>
      <c r="FU7" s="1833"/>
      <c r="FV7" s="1833"/>
      <c r="FW7" s="1833"/>
      <c r="FX7" s="1833"/>
      <c r="FY7" s="1833"/>
      <c r="FZ7" s="1833"/>
      <c r="GA7" s="1833"/>
      <c r="GB7" s="1833"/>
      <c r="GC7" s="1833"/>
      <c r="GD7" s="1833"/>
      <c r="GE7" s="1833"/>
      <c r="GF7" s="1833"/>
      <c r="GG7" s="1833"/>
      <c r="GH7" s="1833"/>
      <c r="GI7" s="1833"/>
      <c r="GJ7" s="1833"/>
      <c r="GK7" s="1833"/>
      <c r="GL7" s="1833"/>
      <c r="GM7" s="1833"/>
      <c r="GN7" s="1833"/>
      <c r="GO7" s="1833"/>
      <c r="GP7" s="1833"/>
      <c r="GQ7" s="1833"/>
      <c r="GR7" s="1833"/>
      <c r="GS7" s="1833"/>
      <c r="GT7" s="1833"/>
      <c r="GU7" s="1833"/>
      <c r="GV7" s="1833"/>
      <c r="GW7" s="1833"/>
      <c r="GX7" s="1833"/>
      <c r="GY7" s="1833"/>
      <c r="GZ7" s="1833"/>
      <c r="HA7" s="1833"/>
      <c r="HB7" s="1833"/>
      <c r="HC7" s="1833"/>
      <c r="HD7" s="1833"/>
      <c r="HE7" s="1833"/>
      <c r="HF7" s="1833"/>
      <c r="HG7" s="1833"/>
      <c r="HH7" s="1833"/>
      <c r="HI7" s="1833"/>
      <c r="HJ7" s="1833"/>
      <c r="HK7" s="1833"/>
      <c r="HL7" s="1833"/>
      <c r="HM7" s="1833"/>
      <c r="HN7" s="1833"/>
      <c r="HO7" s="1833"/>
      <c r="HP7" s="1833"/>
      <c r="HQ7" s="1833"/>
      <c r="HR7" s="1833"/>
      <c r="HS7" s="1833"/>
      <c r="HT7" s="1833"/>
      <c r="HU7" s="1833"/>
      <c r="HV7" s="1833"/>
      <c r="HW7" s="1833"/>
      <c r="HX7" s="1833"/>
      <c r="HY7" s="1833"/>
      <c r="HZ7" s="1833"/>
      <c r="IA7" s="1833"/>
      <c r="IB7" s="1833"/>
      <c r="IC7" s="1833"/>
      <c r="ID7" s="1833"/>
      <c r="IE7" s="1833"/>
      <c r="IF7" s="1833"/>
      <c r="IG7" s="1833"/>
      <c r="IH7" s="1833"/>
      <c r="II7" s="1833"/>
      <c r="IJ7" s="1833"/>
      <c r="IK7" s="1833"/>
      <c r="IL7" s="1833"/>
      <c r="IM7" s="1833"/>
      <c r="IN7" s="1833"/>
      <c r="IO7" s="1833"/>
      <c r="IP7" s="1833"/>
      <c r="IQ7" s="1833"/>
      <c r="IR7" s="1833"/>
    </row>
    <row r="8" spans="1:252" s="2025" customFormat="1" ht="15.75">
      <c r="B8" s="306"/>
      <c r="C8" s="306"/>
      <c r="D8" s="306"/>
      <c r="E8" s="306"/>
      <c r="F8" s="1833"/>
      <c r="G8" s="1833"/>
      <c r="H8" s="306"/>
      <c r="I8" s="306"/>
      <c r="J8" s="306"/>
      <c r="K8" s="306"/>
      <c r="L8" s="306"/>
      <c r="M8" s="306"/>
      <c r="N8" s="306"/>
      <c r="O8" s="306"/>
      <c r="P8" s="306"/>
      <c r="Q8" s="2027"/>
      <c r="R8" s="2028"/>
      <c r="S8" s="1739"/>
      <c r="T8" s="2028"/>
      <c r="U8" s="1739"/>
      <c r="V8" s="1739"/>
      <c r="W8" s="1833"/>
      <c r="X8" s="1833"/>
      <c r="Y8" s="1833"/>
      <c r="Z8" s="1833"/>
      <c r="AA8" s="1833"/>
      <c r="AB8" s="1833"/>
      <c r="AC8" s="1833"/>
      <c r="AD8" s="1833"/>
      <c r="AE8" s="1833"/>
      <c r="AF8" s="1833"/>
      <c r="AG8" s="1833"/>
      <c r="AH8" s="1833"/>
      <c r="AI8" s="1833"/>
      <c r="AJ8" s="1833"/>
      <c r="AK8" s="1833"/>
      <c r="AL8" s="1833"/>
      <c r="AM8" s="1833"/>
      <c r="AN8" s="1833"/>
      <c r="AO8" s="1833"/>
      <c r="AP8" s="1833"/>
      <c r="AQ8" s="1833"/>
      <c r="AR8" s="1833"/>
      <c r="AS8" s="1833"/>
      <c r="AT8" s="1833"/>
      <c r="AU8" s="1833"/>
      <c r="AV8" s="1833"/>
      <c r="AW8" s="1833"/>
      <c r="AX8" s="1833"/>
      <c r="AY8" s="1833"/>
      <c r="AZ8" s="1833"/>
      <c r="BA8" s="1833"/>
      <c r="BB8" s="1833"/>
      <c r="BC8" s="1833"/>
      <c r="BD8" s="1833"/>
      <c r="BE8" s="1833"/>
      <c r="BF8" s="1833"/>
      <c r="BG8" s="1833"/>
      <c r="BH8" s="1833"/>
      <c r="BI8" s="1833"/>
      <c r="BJ8" s="1833"/>
      <c r="BK8" s="1833"/>
      <c r="BL8" s="1833"/>
      <c r="BM8" s="1833"/>
      <c r="BN8" s="1833"/>
      <c r="BO8" s="1833"/>
      <c r="BP8" s="1833"/>
      <c r="BQ8" s="1833"/>
      <c r="BR8" s="1833"/>
      <c r="BS8" s="1833"/>
      <c r="BT8" s="1833"/>
      <c r="BU8" s="1833"/>
      <c r="BV8" s="1833"/>
      <c r="BW8" s="1833"/>
      <c r="BX8" s="1833"/>
      <c r="BY8" s="1833"/>
      <c r="BZ8" s="1833"/>
      <c r="CA8" s="1833"/>
      <c r="CB8" s="1833"/>
      <c r="CC8" s="1833"/>
      <c r="CD8" s="1833"/>
      <c r="CE8" s="1833"/>
      <c r="CF8" s="1833"/>
      <c r="CG8" s="1833"/>
      <c r="CH8" s="1833"/>
      <c r="CI8" s="1833"/>
      <c r="CJ8" s="1833"/>
      <c r="CK8" s="1833"/>
      <c r="CL8" s="1833"/>
      <c r="CM8" s="1833"/>
      <c r="CN8" s="1833"/>
      <c r="CO8" s="1833"/>
      <c r="CP8" s="1833"/>
      <c r="CQ8" s="1833"/>
      <c r="CR8" s="1833"/>
      <c r="CS8" s="1833"/>
      <c r="CT8" s="1833"/>
      <c r="CU8" s="1833"/>
      <c r="CV8" s="1833"/>
      <c r="CW8" s="1833"/>
      <c r="CX8" s="1833"/>
      <c r="CY8" s="1833"/>
      <c r="CZ8" s="1833"/>
      <c r="DA8" s="1833"/>
      <c r="DB8" s="1833"/>
      <c r="DC8" s="1833"/>
      <c r="DD8" s="1833"/>
      <c r="DE8" s="1833"/>
      <c r="DF8" s="1833"/>
      <c r="DG8" s="1833"/>
      <c r="DH8" s="1833"/>
      <c r="DI8" s="1833"/>
      <c r="DJ8" s="1833"/>
      <c r="DK8" s="1833"/>
      <c r="DL8" s="1833"/>
      <c r="DM8" s="1833"/>
      <c r="DN8" s="1833"/>
      <c r="DO8" s="1833"/>
      <c r="DP8" s="1833"/>
      <c r="DQ8" s="1833"/>
      <c r="DR8" s="1833"/>
      <c r="DS8" s="1833"/>
      <c r="DT8" s="1833"/>
      <c r="DU8" s="1833"/>
      <c r="DV8" s="1833"/>
      <c r="DW8" s="1833"/>
      <c r="DX8" s="1833"/>
      <c r="DY8" s="1833"/>
      <c r="DZ8" s="1833"/>
      <c r="EA8" s="1833"/>
      <c r="EB8" s="1833"/>
      <c r="EC8" s="1833"/>
      <c r="ED8" s="1833"/>
      <c r="EE8" s="1833"/>
      <c r="EF8" s="1833"/>
      <c r="EG8" s="1833"/>
      <c r="EH8" s="1833"/>
      <c r="EI8" s="1833"/>
      <c r="EJ8" s="1833"/>
      <c r="EK8" s="1833"/>
      <c r="EL8" s="1833"/>
      <c r="EM8" s="1833"/>
      <c r="EN8" s="1833"/>
      <c r="EO8" s="1833"/>
      <c r="EP8" s="1833"/>
      <c r="EQ8" s="1833"/>
      <c r="ER8" s="1833"/>
      <c r="ES8" s="1833"/>
      <c r="ET8" s="1833"/>
      <c r="EU8" s="1833"/>
      <c r="EV8" s="1833"/>
      <c r="EW8" s="1833"/>
      <c r="EX8" s="1833"/>
      <c r="EY8" s="1833"/>
      <c r="EZ8" s="1833"/>
      <c r="FA8" s="1833"/>
      <c r="FB8" s="1833"/>
      <c r="FC8" s="1833"/>
      <c r="FD8" s="1833"/>
      <c r="FE8" s="1833"/>
      <c r="FF8" s="1833"/>
      <c r="FG8" s="1833"/>
      <c r="FH8" s="1833"/>
      <c r="FI8" s="1833"/>
      <c r="FJ8" s="1833"/>
      <c r="FK8" s="1833"/>
      <c r="FL8" s="1833"/>
      <c r="FM8" s="1833"/>
      <c r="FN8" s="1833"/>
      <c r="FO8" s="1833"/>
      <c r="FP8" s="1833"/>
      <c r="FQ8" s="1833"/>
      <c r="FR8" s="1833"/>
      <c r="FS8" s="1833"/>
      <c r="FT8" s="1833"/>
      <c r="FU8" s="1833"/>
      <c r="FV8" s="1833"/>
      <c r="FW8" s="1833"/>
      <c r="FX8" s="1833"/>
      <c r="FY8" s="1833"/>
      <c r="FZ8" s="1833"/>
      <c r="GA8" s="1833"/>
      <c r="GB8" s="1833"/>
      <c r="GC8" s="1833"/>
      <c r="GD8" s="1833"/>
      <c r="GE8" s="1833"/>
      <c r="GF8" s="1833"/>
      <c r="GG8" s="1833"/>
      <c r="GH8" s="1833"/>
      <c r="GI8" s="1833"/>
      <c r="GJ8" s="1833"/>
      <c r="GK8" s="1833"/>
      <c r="GL8" s="1833"/>
      <c r="GM8" s="1833"/>
      <c r="GN8" s="1833"/>
      <c r="GO8" s="1833"/>
      <c r="GP8" s="1833"/>
      <c r="GQ8" s="1833"/>
      <c r="GR8" s="1833"/>
      <c r="GS8" s="1833"/>
      <c r="GT8" s="1833"/>
      <c r="GU8" s="1833"/>
      <c r="GV8" s="1833"/>
      <c r="GW8" s="1833"/>
      <c r="GX8" s="1833"/>
      <c r="GY8" s="1833"/>
      <c r="GZ8" s="1833"/>
      <c r="HA8" s="1833"/>
      <c r="HB8" s="1833"/>
      <c r="HC8" s="1833"/>
      <c r="HD8" s="1833"/>
      <c r="HE8" s="1833"/>
      <c r="HF8" s="1833"/>
      <c r="HG8" s="1833"/>
      <c r="HH8" s="1833"/>
      <c r="HI8" s="1833"/>
      <c r="HJ8" s="1833"/>
      <c r="HK8" s="1833"/>
      <c r="HL8" s="1833"/>
      <c r="HM8" s="1833"/>
      <c r="HN8" s="1833"/>
      <c r="HO8" s="1833"/>
      <c r="HP8" s="1833"/>
      <c r="HQ8" s="1833"/>
      <c r="HR8" s="1833"/>
      <c r="HS8" s="1833"/>
      <c r="HT8" s="1833"/>
      <c r="HU8" s="1833"/>
      <c r="HV8" s="1833"/>
      <c r="HW8" s="1833"/>
      <c r="HX8" s="1833"/>
      <c r="HY8" s="1833"/>
      <c r="HZ8" s="1833"/>
      <c r="IA8" s="1833"/>
      <c r="IB8" s="1833"/>
      <c r="IC8" s="1833"/>
      <c r="ID8" s="1833"/>
      <c r="IE8" s="1833"/>
      <c r="IF8" s="1833"/>
      <c r="IG8" s="1833"/>
      <c r="IH8" s="1833"/>
      <c r="II8" s="1833"/>
      <c r="IJ8" s="1833"/>
      <c r="IK8" s="1833"/>
      <c r="IL8" s="1833"/>
      <c r="IM8" s="1833"/>
      <c r="IN8" s="1833"/>
      <c r="IO8" s="1833"/>
      <c r="IP8" s="1833"/>
      <c r="IQ8" s="1833"/>
      <c r="IR8" s="1833"/>
    </row>
    <row r="9" spans="1:252" s="2025" customFormat="1" ht="8.1" customHeight="1">
      <c r="A9" s="2027"/>
      <c r="B9" s="306"/>
      <c r="C9" s="306"/>
      <c r="D9" s="306"/>
      <c r="E9" s="306"/>
      <c r="F9" s="306"/>
      <c r="G9" s="1833"/>
      <c r="H9" s="306"/>
      <c r="I9" s="306"/>
      <c r="J9" s="306"/>
      <c r="K9" s="306"/>
      <c r="L9" s="306"/>
      <c r="M9" s="306"/>
      <c r="N9" s="306"/>
      <c r="O9" s="306"/>
      <c r="P9" s="306"/>
      <c r="Q9" s="2027"/>
      <c r="R9" s="2029"/>
      <c r="S9" s="2027"/>
      <c r="T9" s="2024"/>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33"/>
      <c r="BP9" s="1833"/>
      <c r="BQ9" s="1833"/>
      <c r="BR9" s="1833"/>
      <c r="BS9" s="1833"/>
      <c r="BT9" s="1833"/>
      <c r="BU9" s="1833"/>
      <c r="BV9" s="1833"/>
      <c r="BW9" s="1833"/>
      <c r="BX9" s="1833"/>
      <c r="BY9" s="1833"/>
      <c r="BZ9" s="1833"/>
      <c r="CA9" s="1833"/>
      <c r="CB9" s="1833"/>
      <c r="CC9" s="1833"/>
      <c r="CD9" s="1833"/>
      <c r="CE9" s="1833"/>
      <c r="CF9" s="1833"/>
      <c r="CG9" s="1833"/>
      <c r="CH9" s="1833"/>
      <c r="CI9" s="1833"/>
      <c r="CJ9" s="1833"/>
      <c r="CK9" s="1833"/>
      <c r="CL9" s="1833"/>
      <c r="CM9" s="1833"/>
      <c r="CN9" s="1833"/>
      <c r="CO9" s="1833"/>
      <c r="CP9" s="1833"/>
      <c r="CQ9" s="1833"/>
      <c r="CR9" s="1833"/>
      <c r="CS9" s="1833"/>
      <c r="CT9" s="1833"/>
      <c r="CU9" s="1833"/>
      <c r="CV9" s="1833"/>
      <c r="CW9" s="1833"/>
      <c r="CX9" s="1833"/>
      <c r="CY9" s="1833"/>
      <c r="CZ9" s="1833"/>
      <c r="DA9" s="1833"/>
      <c r="DB9" s="1833"/>
      <c r="DC9" s="1833"/>
      <c r="DD9" s="1833"/>
      <c r="DE9" s="1833"/>
      <c r="DF9" s="1833"/>
      <c r="DG9" s="1833"/>
      <c r="DH9" s="1833"/>
      <c r="DI9" s="1833"/>
      <c r="DJ9" s="1833"/>
      <c r="DK9" s="1833"/>
      <c r="DL9" s="1833"/>
      <c r="DM9" s="1833"/>
      <c r="DN9" s="1833"/>
      <c r="DO9" s="1833"/>
      <c r="DP9" s="1833"/>
      <c r="DQ9" s="1833"/>
      <c r="DR9" s="1833"/>
      <c r="DS9" s="1833"/>
      <c r="DT9" s="1833"/>
      <c r="DU9" s="1833"/>
      <c r="DV9" s="1833"/>
      <c r="DW9" s="1833"/>
      <c r="DX9" s="1833"/>
      <c r="DY9" s="1833"/>
      <c r="DZ9" s="1833"/>
      <c r="EA9" s="1833"/>
      <c r="EB9" s="1833"/>
      <c r="EC9" s="1833"/>
      <c r="ED9" s="1833"/>
      <c r="EE9" s="1833"/>
      <c r="EF9" s="1833"/>
      <c r="EG9" s="1833"/>
      <c r="EH9" s="1833"/>
      <c r="EI9" s="1833"/>
      <c r="EJ9" s="1833"/>
      <c r="EK9" s="1833"/>
      <c r="EL9" s="1833"/>
      <c r="EM9" s="1833"/>
      <c r="EN9" s="1833"/>
      <c r="EO9" s="1833"/>
      <c r="EP9" s="1833"/>
      <c r="EQ9" s="1833"/>
      <c r="ER9" s="1833"/>
      <c r="ES9" s="1833"/>
      <c r="ET9" s="1833"/>
      <c r="EU9" s="1833"/>
      <c r="EV9" s="1833"/>
      <c r="EW9" s="1833"/>
      <c r="EX9" s="1833"/>
      <c r="EY9" s="1833"/>
      <c r="EZ9" s="1833"/>
      <c r="FA9" s="1833"/>
      <c r="FB9" s="1833"/>
      <c r="FC9" s="1833"/>
      <c r="FD9" s="1833"/>
      <c r="FE9" s="1833"/>
      <c r="FF9" s="1833"/>
      <c r="FG9" s="1833"/>
      <c r="FH9" s="1833"/>
      <c r="FI9" s="1833"/>
      <c r="FJ9" s="1833"/>
      <c r="FK9" s="1833"/>
      <c r="FL9" s="1833"/>
      <c r="FM9" s="1833"/>
      <c r="FN9" s="1833"/>
      <c r="FO9" s="1833"/>
      <c r="FP9" s="1833"/>
      <c r="FQ9" s="1833"/>
      <c r="FR9" s="1833"/>
      <c r="FS9" s="1833"/>
      <c r="FT9" s="1833"/>
      <c r="FU9" s="1833"/>
      <c r="FV9" s="1833"/>
      <c r="FW9" s="1833"/>
      <c r="FX9" s="1833"/>
      <c r="FY9" s="1833"/>
      <c r="FZ9" s="1833"/>
      <c r="GA9" s="1833"/>
      <c r="GB9" s="1833"/>
      <c r="GC9" s="1833"/>
      <c r="GD9" s="1833"/>
      <c r="GE9" s="1833"/>
      <c r="GF9" s="1833"/>
      <c r="GG9" s="1833"/>
      <c r="GH9" s="1833"/>
      <c r="GI9" s="1833"/>
      <c r="GJ9" s="1833"/>
      <c r="GK9" s="1833"/>
      <c r="GL9" s="1833"/>
      <c r="GM9" s="1833"/>
      <c r="GN9" s="1833"/>
      <c r="GO9" s="1833"/>
      <c r="GP9" s="1833"/>
      <c r="GQ9" s="1833"/>
      <c r="GR9" s="1833"/>
      <c r="GS9" s="1833"/>
      <c r="GT9" s="1833"/>
      <c r="GU9" s="1833"/>
      <c r="GV9" s="1833"/>
      <c r="GW9" s="1833"/>
      <c r="GX9" s="1833"/>
      <c r="GY9" s="1833"/>
      <c r="GZ9" s="1833"/>
      <c r="HA9" s="1833"/>
      <c r="HB9" s="1833"/>
      <c r="HC9" s="1833"/>
      <c r="HD9" s="1833"/>
      <c r="HE9" s="1833"/>
      <c r="HF9" s="1833"/>
      <c r="HG9" s="1833"/>
      <c r="HH9" s="1833"/>
      <c r="HI9" s="1833"/>
      <c r="HJ9" s="1833"/>
      <c r="HK9" s="1833"/>
      <c r="HL9" s="1833"/>
      <c r="HM9" s="1833"/>
      <c r="HN9" s="1833"/>
      <c r="HO9" s="1833"/>
      <c r="HP9" s="1833"/>
      <c r="HQ9" s="1833"/>
      <c r="HR9" s="1833"/>
      <c r="HS9" s="1833"/>
      <c r="HT9" s="1833"/>
      <c r="HU9" s="1833"/>
      <c r="HV9" s="1833"/>
      <c r="HW9" s="1833"/>
      <c r="HX9" s="1833"/>
      <c r="HY9" s="1833"/>
      <c r="HZ9" s="1833"/>
      <c r="IA9" s="1833"/>
      <c r="IB9" s="1833"/>
      <c r="IC9" s="1833"/>
      <c r="ID9" s="1833"/>
      <c r="IE9" s="1833"/>
      <c r="IF9" s="1833"/>
      <c r="IG9" s="1833"/>
      <c r="IH9" s="1833"/>
      <c r="II9" s="1833"/>
      <c r="IJ9" s="1833"/>
      <c r="IK9" s="1833"/>
      <c r="IL9" s="1833"/>
      <c r="IM9" s="1833"/>
      <c r="IN9" s="1833"/>
      <c r="IO9" s="1833"/>
      <c r="IP9" s="1833"/>
      <c r="IQ9" s="1833"/>
      <c r="IR9" s="1833"/>
    </row>
    <row r="10" spans="1:252" s="2025" customFormat="1" ht="15.75">
      <c r="A10" s="2027"/>
      <c r="B10" s="306"/>
      <c r="C10" s="306"/>
      <c r="D10" s="306"/>
      <c r="E10" s="306"/>
      <c r="F10" s="306"/>
      <c r="G10" s="1833"/>
      <c r="H10" s="306"/>
      <c r="I10" s="306"/>
      <c r="J10" s="306"/>
      <c r="K10" s="306"/>
      <c r="L10" s="306"/>
      <c r="M10" s="306"/>
      <c r="N10" s="306"/>
      <c r="O10" s="306"/>
      <c r="P10" s="306"/>
      <c r="Q10" s="2027"/>
      <c r="R10" s="2028"/>
      <c r="S10" s="1739"/>
      <c r="T10" s="2028"/>
      <c r="U10" s="1739"/>
      <c r="V10" s="1739"/>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833"/>
      <c r="AV10" s="1833"/>
      <c r="AW10" s="1833"/>
      <c r="AX10" s="1833"/>
      <c r="AY10" s="1833"/>
      <c r="AZ10" s="1833"/>
      <c r="BA10" s="1833"/>
      <c r="BB10" s="1833"/>
      <c r="BC10" s="1833"/>
      <c r="BD10" s="1833"/>
      <c r="BE10" s="1833"/>
      <c r="BF10" s="1833"/>
      <c r="BG10" s="1833"/>
      <c r="BH10" s="1833"/>
      <c r="BI10" s="1833"/>
      <c r="BJ10" s="1833"/>
      <c r="BK10" s="1833"/>
      <c r="BL10" s="1833"/>
      <c r="BM10" s="1833"/>
      <c r="BN10" s="1833"/>
      <c r="BO10" s="1833"/>
      <c r="BP10" s="1833"/>
      <c r="BQ10" s="1833"/>
      <c r="BR10" s="1833"/>
      <c r="BS10" s="1833"/>
      <c r="BT10" s="1833"/>
      <c r="BU10" s="1833"/>
      <c r="BV10" s="1833"/>
      <c r="BW10" s="1833"/>
      <c r="BX10" s="1833"/>
      <c r="BY10" s="1833"/>
      <c r="BZ10" s="1833"/>
      <c r="CA10" s="1833"/>
      <c r="CB10" s="1833"/>
      <c r="CC10" s="1833"/>
      <c r="CD10" s="1833"/>
      <c r="CE10" s="1833"/>
      <c r="CF10" s="1833"/>
      <c r="CG10" s="1833"/>
      <c r="CH10" s="1833"/>
      <c r="CI10" s="1833"/>
      <c r="CJ10" s="1833"/>
      <c r="CK10" s="1833"/>
      <c r="CL10" s="1833"/>
      <c r="CM10" s="1833"/>
      <c r="CN10" s="1833"/>
      <c r="CO10" s="1833"/>
      <c r="CP10" s="1833"/>
      <c r="CQ10" s="1833"/>
      <c r="CR10" s="1833"/>
      <c r="CS10" s="1833"/>
      <c r="CT10" s="1833"/>
      <c r="CU10" s="1833"/>
      <c r="CV10" s="1833"/>
      <c r="CW10" s="1833"/>
      <c r="CX10" s="1833"/>
      <c r="CY10" s="1833"/>
      <c r="CZ10" s="1833"/>
      <c r="DA10" s="1833"/>
      <c r="DB10" s="1833"/>
      <c r="DC10" s="1833"/>
      <c r="DD10" s="1833"/>
      <c r="DE10" s="1833"/>
      <c r="DF10" s="1833"/>
      <c r="DG10" s="1833"/>
      <c r="DH10" s="1833"/>
      <c r="DI10" s="1833"/>
      <c r="DJ10" s="1833"/>
      <c r="DK10" s="1833"/>
      <c r="DL10" s="1833"/>
      <c r="DM10" s="1833"/>
      <c r="DN10" s="1833"/>
      <c r="DO10" s="1833"/>
      <c r="DP10" s="1833"/>
      <c r="DQ10" s="1833"/>
      <c r="DR10" s="1833"/>
      <c r="DS10" s="1833"/>
      <c r="DT10" s="1833"/>
      <c r="DU10" s="1833"/>
      <c r="DV10" s="1833"/>
      <c r="DW10" s="1833"/>
      <c r="DX10" s="1833"/>
      <c r="DY10" s="1833"/>
      <c r="DZ10" s="1833"/>
      <c r="EA10" s="1833"/>
      <c r="EB10" s="1833"/>
      <c r="EC10" s="1833"/>
      <c r="ED10" s="1833"/>
      <c r="EE10" s="1833"/>
      <c r="EF10" s="1833"/>
      <c r="EG10" s="1833"/>
      <c r="EH10" s="1833"/>
      <c r="EI10" s="1833"/>
      <c r="EJ10" s="1833"/>
      <c r="EK10" s="1833"/>
      <c r="EL10" s="1833"/>
      <c r="EM10" s="1833"/>
      <c r="EN10" s="1833"/>
      <c r="EO10" s="1833"/>
      <c r="EP10" s="1833"/>
      <c r="EQ10" s="1833"/>
      <c r="ER10" s="1833"/>
      <c r="ES10" s="1833"/>
      <c r="ET10" s="1833"/>
      <c r="EU10" s="1833"/>
      <c r="EV10" s="1833"/>
      <c r="EW10" s="1833"/>
      <c r="EX10" s="1833"/>
      <c r="EY10" s="1833"/>
      <c r="EZ10" s="1833"/>
      <c r="FA10" s="1833"/>
      <c r="FB10" s="1833"/>
      <c r="FC10" s="1833"/>
      <c r="FD10" s="1833"/>
      <c r="FE10" s="1833"/>
      <c r="FF10" s="1833"/>
      <c r="FG10" s="1833"/>
      <c r="FH10" s="1833"/>
      <c r="FI10" s="1833"/>
      <c r="FJ10" s="1833"/>
      <c r="FK10" s="1833"/>
      <c r="FL10" s="1833"/>
      <c r="FM10" s="1833"/>
      <c r="FN10" s="1833"/>
      <c r="FO10" s="1833"/>
      <c r="FP10" s="1833"/>
      <c r="FQ10" s="1833"/>
      <c r="FR10" s="1833"/>
      <c r="FS10" s="1833"/>
      <c r="FT10" s="1833"/>
      <c r="FU10" s="1833"/>
      <c r="FV10" s="1833"/>
      <c r="FW10" s="1833"/>
      <c r="FX10" s="1833"/>
      <c r="FY10" s="1833"/>
      <c r="FZ10" s="1833"/>
      <c r="GA10" s="1833"/>
      <c r="GB10" s="1833"/>
      <c r="GC10" s="1833"/>
      <c r="GD10" s="1833"/>
      <c r="GE10" s="1833"/>
      <c r="GF10" s="1833"/>
      <c r="GG10" s="1833"/>
      <c r="GH10" s="1833"/>
      <c r="GI10" s="1833"/>
      <c r="GJ10" s="1833"/>
      <c r="GK10" s="1833"/>
      <c r="GL10" s="1833"/>
      <c r="GM10" s="1833"/>
      <c r="GN10" s="1833"/>
      <c r="GO10" s="1833"/>
      <c r="GP10" s="1833"/>
      <c r="GQ10" s="1833"/>
      <c r="GR10" s="1833"/>
      <c r="GS10" s="1833"/>
      <c r="GT10" s="1833"/>
      <c r="GU10" s="1833"/>
      <c r="GV10" s="1833"/>
      <c r="GW10" s="1833"/>
      <c r="GX10" s="1833"/>
      <c r="GY10" s="1833"/>
      <c r="GZ10" s="1833"/>
      <c r="HA10" s="1833"/>
      <c r="HB10" s="1833"/>
      <c r="HC10" s="1833"/>
      <c r="HD10" s="1833"/>
      <c r="HE10" s="1833"/>
      <c r="HF10" s="1833"/>
      <c r="HG10" s="1833"/>
      <c r="HH10" s="1833"/>
      <c r="HI10" s="1833"/>
      <c r="HJ10" s="1833"/>
      <c r="HK10" s="1833"/>
      <c r="HL10" s="1833"/>
      <c r="HM10" s="1833"/>
      <c r="HN10" s="1833"/>
      <c r="HO10" s="1833"/>
      <c r="HP10" s="1833"/>
      <c r="HQ10" s="1833"/>
      <c r="HR10" s="1833"/>
      <c r="HS10" s="1833"/>
      <c r="HT10" s="1833"/>
      <c r="HU10" s="1833"/>
      <c r="HV10" s="1833"/>
      <c r="HW10" s="1833"/>
      <c r="HX10" s="1833"/>
      <c r="HY10" s="1833"/>
      <c r="HZ10" s="1833"/>
      <c r="IA10" s="1833"/>
      <c r="IB10" s="1833"/>
      <c r="IC10" s="1833"/>
      <c r="ID10" s="1833"/>
      <c r="IE10" s="1833"/>
      <c r="IF10" s="1833"/>
      <c r="IG10" s="1833"/>
      <c r="IH10" s="1833"/>
      <c r="II10" s="1833"/>
      <c r="IJ10" s="1833"/>
      <c r="IK10" s="1833"/>
      <c r="IL10" s="1833"/>
      <c r="IM10" s="1833"/>
      <c r="IN10" s="1833"/>
      <c r="IO10" s="1833"/>
      <c r="IP10" s="1833"/>
      <c r="IQ10" s="1833"/>
      <c r="IR10" s="1833"/>
    </row>
    <row r="11" spans="1:252" s="2025" customFormat="1" ht="15.75">
      <c r="A11" s="2027"/>
      <c r="B11" s="306"/>
      <c r="C11" s="306"/>
      <c r="D11" s="306"/>
      <c r="E11" s="306"/>
      <c r="F11" s="306"/>
      <c r="G11" s="1833"/>
      <c r="H11" s="306"/>
      <c r="I11" s="306"/>
      <c r="K11" s="311"/>
      <c r="L11" s="1834"/>
      <c r="M11" s="1834"/>
      <c r="N11" s="311"/>
      <c r="O11" s="311"/>
      <c r="P11" s="311"/>
      <c r="Q11" s="2027"/>
      <c r="R11" s="2028"/>
      <c r="S11" s="1739"/>
      <c r="T11" s="2028"/>
      <c r="U11" s="1739"/>
      <c r="V11" s="1739"/>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833"/>
      <c r="AV11" s="1833"/>
      <c r="AW11" s="1833"/>
      <c r="AX11" s="1833"/>
      <c r="AY11" s="1833"/>
      <c r="AZ11" s="1833"/>
      <c r="BA11" s="1833"/>
      <c r="BB11" s="1833"/>
      <c r="BC11" s="1833"/>
      <c r="BD11" s="1833"/>
      <c r="BE11" s="1833"/>
      <c r="BF11" s="1833"/>
      <c r="BG11" s="1833"/>
      <c r="BH11" s="1833"/>
      <c r="BI11" s="1833"/>
      <c r="BJ11" s="1833"/>
      <c r="BK11" s="1833"/>
      <c r="BL11" s="1833"/>
      <c r="BM11" s="1833"/>
      <c r="BN11" s="1833"/>
      <c r="BO11" s="1833"/>
      <c r="BP11" s="1833"/>
      <c r="BQ11" s="1833"/>
      <c r="BR11" s="1833"/>
      <c r="BS11" s="1833"/>
      <c r="BT11" s="1833"/>
      <c r="BU11" s="1833"/>
      <c r="BV11" s="1833"/>
      <c r="BW11" s="1833"/>
      <c r="BX11" s="1833"/>
      <c r="BY11" s="1833"/>
      <c r="BZ11" s="1833"/>
      <c r="CA11" s="1833"/>
      <c r="CB11" s="1833"/>
      <c r="CC11" s="1833"/>
      <c r="CD11" s="1833"/>
      <c r="CE11" s="1833"/>
      <c r="CF11" s="1833"/>
      <c r="CG11" s="1833"/>
      <c r="CH11" s="1833"/>
      <c r="CI11" s="1833"/>
      <c r="CJ11" s="1833"/>
      <c r="CK11" s="1833"/>
      <c r="CL11" s="1833"/>
      <c r="CM11" s="1833"/>
      <c r="CN11" s="1833"/>
      <c r="CO11" s="1833"/>
      <c r="CP11" s="1833"/>
      <c r="CQ11" s="1833"/>
      <c r="CR11" s="1833"/>
      <c r="CS11" s="1833"/>
      <c r="CT11" s="1833"/>
      <c r="CU11" s="1833"/>
      <c r="CV11" s="1833"/>
      <c r="CW11" s="1833"/>
      <c r="CX11" s="1833"/>
      <c r="CY11" s="1833"/>
      <c r="CZ11" s="1833"/>
      <c r="DA11" s="1833"/>
      <c r="DB11" s="1833"/>
      <c r="DC11" s="1833"/>
      <c r="DD11" s="1833"/>
      <c r="DE11" s="1833"/>
      <c r="DF11" s="1833"/>
      <c r="DG11" s="1833"/>
      <c r="DH11" s="1833"/>
      <c r="DI11" s="1833"/>
      <c r="DJ11" s="1833"/>
      <c r="DK11" s="1833"/>
      <c r="DL11" s="1833"/>
      <c r="DM11" s="1833"/>
      <c r="DN11" s="1833"/>
      <c r="DO11" s="1833"/>
      <c r="DP11" s="1833"/>
      <c r="DQ11" s="1833"/>
      <c r="DR11" s="1833"/>
      <c r="DS11" s="1833"/>
      <c r="DT11" s="1833"/>
      <c r="DU11" s="1833"/>
      <c r="DV11" s="1833"/>
      <c r="DW11" s="1833"/>
      <c r="DX11" s="1833"/>
      <c r="DY11" s="1833"/>
      <c r="DZ11" s="1833"/>
      <c r="EA11" s="1833"/>
      <c r="EB11" s="1833"/>
      <c r="EC11" s="1833"/>
      <c r="ED11" s="1833"/>
      <c r="EE11" s="1833"/>
      <c r="EF11" s="1833"/>
      <c r="EG11" s="1833"/>
      <c r="EH11" s="1833"/>
      <c r="EI11" s="1833"/>
      <c r="EJ11" s="1833"/>
      <c r="EK11" s="1833"/>
      <c r="EL11" s="1833"/>
      <c r="EM11" s="1833"/>
      <c r="EN11" s="1833"/>
      <c r="EO11" s="1833"/>
      <c r="EP11" s="1833"/>
      <c r="EQ11" s="1833"/>
      <c r="ER11" s="1833"/>
      <c r="ES11" s="1833"/>
      <c r="ET11" s="1833"/>
      <c r="EU11" s="1833"/>
      <c r="EV11" s="1833"/>
      <c r="EW11" s="1833"/>
      <c r="EX11" s="1833"/>
      <c r="EY11" s="1833"/>
      <c r="EZ11" s="1833"/>
      <c r="FA11" s="1833"/>
      <c r="FB11" s="1833"/>
      <c r="FC11" s="1833"/>
      <c r="FD11" s="1833"/>
      <c r="FE11" s="1833"/>
      <c r="FF11" s="1833"/>
      <c r="FG11" s="1833"/>
      <c r="FH11" s="1833"/>
      <c r="FI11" s="1833"/>
      <c r="FJ11" s="1833"/>
      <c r="FK11" s="1833"/>
      <c r="FL11" s="1833"/>
      <c r="FM11" s="1833"/>
      <c r="FN11" s="1833"/>
      <c r="FO11" s="1833"/>
      <c r="FP11" s="1833"/>
      <c r="FQ11" s="1833"/>
      <c r="FR11" s="1833"/>
      <c r="FS11" s="1833"/>
      <c r="FT11" s="1833"/>
      <c r="FU11" s="1833"/>
      <c r="FV11" s="1833"/>
      <c r="FW11" s="1833"/>
      <c r="FX11" s="1833"/>
      <c r="FY11" s="1833"/>
      <c r="FZ11" s="1833"/>
      <c r="GA11" s="1833"/>
      <c r="GB11" s="1833"/>
      <c r="GC11" s="1833"/>
      <c r="GD11" s="1833"/>
      <c r="GE11" s="1833"/>
      <c r="GF11" s="1833"/>
      <c r="GG11" s="1833"/>
      <c r="GH11" s="1833"/>
      <c r="GI11" s="1833"/>
      <c r="GJ11" s="1833"/>
      <c r="GK11" s="1833"/>
      <c r="GL11" s="1833"/>
      <c r="GM11" s="1833"/>
      <c r="GN11" s="1833"/>
      <c r="GO11" s="1833"/>
      <c r="GP11" s="1833"/>
      <c r="GQ11" s="1833"/>
      <c r="GR11" s="1833"/>
      <c r="GS11" s="1833"/>
      <c r="GT11" s="1833"/>
      <c r="GU11" s="1833"/>
      <c r="GV11" s="1833"/>
      <c r="GW11" s="1833"/>
      <c r="GX11" s="1833"/>
      <c r="GY11" s="1833"/>
      <c r="GZ11" s="1833"/>
      <c r="HA11" s="1833"/>
      <c r="HB11" s="1833"/>
      <c r="HC11" s="1833"/>
      <c r="HD11" s="1833"/>
      <c r="HE11" s="1833"/>
      <c r="HF11" s="1833"/>
      <c r="HG11" s="1833"/>
      <c r="HH11" s="1833"/>
      <c r="HI11" s="1833"/>
      <c r="HJ11" s="1833"/>
      <c r="HK11" s="1833"/>
      <c r="HL11" s="1833"/>
      <c r="HM11" s="1833"/>
      <c r="HN11" s="1833"/>
      <c r="HO11" s="1833"/>
      <c r="HP11" s="1833"/>
      <c r="HQ11" s="1833"/>
      <c r="HR11" s="1833"/>
      <c r="HS11" s="1833"/>
      <c r="HT11" s="1833"/>
      <c r="HU11" s="1833"/>
      <c r="HV11" s="1833"/>
      <c r="HW11" s="1833"/>
      <c r="HX11" s="1833"/>
      <c r="HY11" s="1833"/>
      <c r="HZ11" s="1833"/>
      <c r="IA11" s="1833"/>
      <c r="IB11" s="1833"/>
      <c r="IC11" s="1833"/>
      <c r="ID11" s="1833"/>
      <c r="IE11" s="1833"/>
      <c r="IF11" s="1833"/>
      <c r="IG11" s="1833"/>
      <c r="IH11" s="1833"/>
      <c r="II11" s="1833"/>
      <c r="IJ11" s="1833"/>
      <c r="IK11" s="1833"/>
      <c r="IL11" s="1833"/>
      <c r="IM11" s="1833"/>
      <c r="IN11" s="1833"/>
      <c r="IO11" s="1833"/>
      <c r="IP11" s="1833"/>
      <c r="IQ11" s="1833"/>
      <c r="IR11" s="1833"/>
    </row>
    <row r="12" spans="1:252" ht="15.95" customHeight="1">
      <c r="A12" s="2027"/>
      <c r="B12" s="311" t="s">
        <v>82</v>
      </c>
      <c r="C12" s="2030"/>
      <c r="D12" s="311"/>
      <c r="E12" s="306"/>
      <c r="F12" s="311" t="s">
        <v>83</v>
      </c>
      <c r="G12" s="2030"/>
      <c r="H12" s="311"/>
      <c r="I12" s="306"/>
      <c r="J12" s="311" t="s">
        <v>84</v>
      </c>
      <c r="K12" s="311"/>
      <c r="L12" s="1834"/>
      <c r="M12" s="311"/>
      <c r="N12" s="311"/>
      <c r="O12" s="311"/>
      <c r="P12" s="311"/>
      <c r="Q12" s="2027"/>
      <c r="R12" s="2031"/>
      <c r="S12" s="3507" t="s">
        <v>1149</v>
      </c>
      <c r="T12" s="3507"/>
      <c r="U12" s="3507"/>
      <c r="V12" s="1739"/>
    </row>
    <row r="13" spans="1:252" ht="12.95" customHeight="1">
      <c r="A13" s="2027"/>
      <c r="B13" s="2032"/>
      <c r="C13" s="2032"/>
      <c r="D13" s="2032"/>
      <c r="E13" s="2027"/>
      <c r="F13" s="2032"/>
      <c r="G13" s="2033"/>
      <c r="H13" s="2032"/>
      <c r="I13" s="2027"/>
      <c r="J13" s="2032"/>
      <c r="K13" s="2032"/>
      <c r="L13" s="2032"/>
      <c r="M13" s="2032"/>
      <c r="N13" s="2032"/>
      <c r="O13" s="2032"/>
      <c r="P13" s="2032"/>
      <c r="Q13" s="2027"/>
      <c r="R13" s="2034"/>
      <c r="S13" s="1365"/>
      <c r="T13" s="2035"/>
      <c r="U13" s="1738"/>
      <c r="V13" s="1739"/>
    </row>
    <row r="14" spans="1:252" ht="15.95" customHeight="1">
      <c r="A14" s="2027"/>
      <c r="B14" s="1508" t="s">
        <v>7</v>
      </c>
      <c r="C14" s="306"/>
      <c r="D14" s="1509" t="s">
        <v>1595</v>
      </c>
      <c r="E14" s="306"/>
      <c r="F14" s="1508" t="s">
        <v>7</v>
      </c>
      <c r="G14" s="1510"/>
      <c r="H14" s="1508" t="str">
        <f>D14</f>
        <v>2 MOS. ENDED</v>
      </c>
      <c r="I14" s="306"/>
      <c r="J14" s="1508" t="s">
        <v>7</v>
      </c>
      <c r="K14" s="306"/>
      <c r="L14" s="1508" t="str">
        <f>D14</f>
        <v>2 MOS. ENDED</v>
      </c>
      <c r="M14" s="306"/>
      <c r="N14" s="1508" t="s">
        <v>7</v>
      </c>
      <c r="O14" s="306"/>
      <c r="P14" s="1508" t="str">
        <f>H14</f>
        <v>2 MOS. ENDED</v>
      </c>
      <c r="Q14" s="2027"/>
      <c r="R14" s="2034"/>
      <c r="S14" s="1523" t="s">
        <v>8</v>
      </c>
      <c r="T14" s="414"/>
      <c r="U14" s="1524" t="s">
        <v>9</v>
      </c>
      <c r="V14" s="1739"/>
    </row>
    <row r="15" spans="1:252" ht="15.95" customHeight="1">
      <c r="A15" s="2027"/>
      <c r="B15" s="1856" t="s">
        <v>1594</v>
      </c>
      <c r="C15" s="306"/>
      <c r="D15" s="1856" t="s">
        <v>1596</v>
      </c>
      <c r="E15" s="306"/>
      <c r="F15" s="1511" t="str">
        <f>+B15</f>
        <v>MAY 2015</v>
      </c>
      <c r="G15" s="306"/>
      <c r="H15" s="1512" t="str">
        <f>D15</f>
        <v>MAY 31, 2015</v>
      </c>
      <c r="I15" s="306"/>
      <c r="J15" s="1511" t="str">
        <f>+F15</f>
        <v>MAY 2015</v>
      </c>
      <c r="K15" s="306"/>
      <c r="L15" s="1512" t="str">
        <f>D15</f>
        <v>MAY 31, 2015</v>
      </c>
      <c r="M15" s="306"/>
      <c r="N15" s="1513" t="s">
        <v>1598</v>
      </c>
      <c r="O15" s="306"/>
      <c r="P15" s="1856" t="s">
        <v>1599</v>
      </c>
      <c r="Q15" s="2027"/>
      <c r="R15" s="2034"/>
      <c r="S15" s="1529" t="s">
        <v>13</v>
      </c>
      <c r="T15" s="413"/>
      <c r="U15" s="1530" t="s">
        <v>14</v>
      </c>
      <c r="V15" s="1739"/>
    </row>
    <row r="16" spans="1:252" ht="12.95" customHeight="1">
      <c r="A16" s="2027"/>
      <c r="B16" s="2029"/>
      <c r="C16" s="2027"/>
      <c r="D16" s="2029" t="s">
        <v>16</v>
      </c>
      <c r="E16" s="2027"/>
      <c r="F16" s="2032"/>
      <c r="G16" s="2027"/>
      <c r="H16" s="2036" t="s">
        <v>16</v>
      </c>
      <c r="I16" s="2029"/>
      <c r="J16" s="2037"/>
      <c r="K16" s="2027"/>
      <c r="L16" s="2038"/>
      <c r="M16" s="2029"/>
      <c r="N16" s="2029"/>
      <c r="O16" s="2027"/>
      <c r="P16" s="2029"/>
      <c r="Q16" s="2027"/>
      <c r="R16" s="2039"/>
      <c r="S16" s="1739"/>
      <c r="T16" s="2029"/>
      <c r="U16" s="1739"/>
      <c r="V16" s="1739"/>
    </row>
    <row r="17" spans="1:245" ht="15.95" customHeight="1">
      <c r="A17" s="306" t="s">
        <v>15</v>
      </c>
      <c r="B17" s="2040"/>
      <c r="C17" s="2040"/>
      <c r="D17" s="2040"/>
      <c r="E17" s="2040"/>
      <c r="F17" s="2041"/>
      <c r="G17" s="2040"/>
      <c r="H17" s="2042"/>
      <c r="I17" s="2041"/>
      <c r="J17" s="2043"/>
      <c r="K17" s="2040"/>
      <c r="L17" s="2042"/>
      <c r="M17" s="2041"/>
      <c r="N17" s="2041"/>
      <c r="O17" s="2040"/>
      <c r="P17" s="2041"/>
      <c r="Q17" s="2027"/>
      <c r="R17" s="2044"/>
      <c r="S17" s="1739"/>
      <c r="T17" s="2041"/>
      <c r="U17" s="1739"/>
      <c r="V17" s="1739"/>
    </row>
    <row r="18" spans="1:245" ht="15.95" customHeight="1">
      <c r="A18" s="2027" t="s">
        <v>21</v>
      </c>
      <c r="B18" s="2045">
        <f>+'EXHIBIT L'!D16</f>
        <v>4.8</v>
      </c>
      <c r="C18" s="1839"/>
      <c r="D18" s="1838">
        <f>+'EXHIBIT L'!AA16</f>
        <v>26.7</v>
      </c>
      <c r="E18" s="1839"/>
      <c r="F18" s="2046">
        <f>+'EXHIBIT M'!D16</f>
        <v>0</v>
      </c>
      <c r="G18" s="1839"/>
      <c r="H18" s="2047">
        <f>+'EXHIBIT M'!AA16</f>
        <v>-0.3</v>
      </c>
      <c r="I18" s="2048"/>
      <c r="J18" s="2049">
        <f>SUM(B18)+SUM(F18)</f>
        <v>4.8</v>
      </c>
      <c r="K18" s="1839"/>
      <c r="L18" s="2047">
        <f>D18+SUM(H18)</f>
        <v>26.4</v>
      </c>
      <c r="M18" s="2048"/>
      <c r="N18" s="2050">
        <v>14.8</v>
      </c>
      <c r="O18" s="1839"/>
      <c r="P18" s="2050">
        <v>19.7</v>
      </c>
      <c r="Q18" s="2051"/>
      <c r="R18" s="2052"/>
      <c r="S18" s="2262">
        <f>ROUND(SUM(L18-P18),1)</f>
        <v>6.7</v>
      </c>
      <c r="T18" s="2053"/>
      <c r="U18" s="2739">
        <f>ROUND(IF(S18=0,0,S18/(P18)),3)</f>
        <v>0.34</v>
      </c>
      <c r="V18" s="2054"/>
      <c r="W18" s="2055"/>
      <c r="X18" s="2055"/>
      <c r="Y18" s="2055"/>
      <c r="Z18" s="2055"/>
      <c r="AA18" s="2055"/>
      <c r="AB18" s="2055"/>
      <c r="AC18" s="2055"/>
      <c r="AD18" s="2055"/>
      <c r="AE18" s="2055"/>
      <c r="AF18" s="2055"/>
      <c r="AG18" s="2055"/>
      <c r="AH18" s="2055"/>
      <c r="AI18" s="2055"/>
      <c r="AJ18" s="2055"/>
      <c r="AK18" s="2055"/>
      <c r="AL18" s="2055"/>
      <c r="AM18" s="2055"/>
      <c r="AN18" s="2055"/>
      <c r="AO18" s="2055"/>
      <c r="AP18" s="2055"/>
      <c r="AQ18" s="2055"/>
      <c r="AR18" s="2055"/>
      <c r="AS18" s="2055"/>
      <c r="AT18" s="2055"/>
      <c r="AU18" s="2055"/>
      <c r="AV18" s="2055"/>
      <c r="AW18" s="2055"/>
      <c r="AX18" s="2055"/>
      <c r="AY18" s="2055"/>
      <c r="AZ18" s="2055"/>
      <c r="BA18" s="2055"/>
      <c r="BB18" s="2055"/>
      <c r="BC18" s="2055"/>
      <c r="BD18" s="2055"/>
      <c r="BE18" s="2055"/>
      <c r="BF18" s="2055"/>
      <c r="BG18" s="2055"/>
      <c r="BH18" s="2055"/>
      <c r="BI18" s="2055"/>
      <c r="BJ18" s="2055"/>
      <c r="BK18" s="2055"/>
      <c r="BL18" s="2055"/>
      <c r="BM18" s="2055"/>
      <c r="BN18" s="2055"/>
      <c r="BO18" s="2055"/>
      <c r="BP18" s="2055"/>
      <c r="BQ18" s="2055"/>
      <c r="BR18" s="2055"/>
      <c r="BS18" s="2055"/>
      <c r="BT18" s="2055"/>
      <c r="BU18" s="2055"/>
      <c r="BV18" s="2055"/>
      <c r="BW18" s="2055"/>
      <c r="BX18" s="2055"/>
      <c r="BY18" s="2055"/>
      <c r="BZ18" s="2055"/>
      <c r="CA18" s="2055"/>
      <c r="CB18" s="2055"/>
      <c r="CC18" s="2055"/>
      <c r="CD18" s="2055"/>
      <c r="CE18" s="2055"/>
      <c r="CF18" s="2055"/>
      <c r="CG18" s="2055"/>
      <c r="CH18" s="2055"/>
      <c r="CI18" s="2055"/>
      <c r="CJ18" s="2055"/>
      <c r="CK18" s="2055"/>
      <c r="CL18" s="2055"/>
      <c r="CM18" s="2055"/>
      <c r="CN18" s="2055"/>
      <c r="CO18" s="2055"/>
      <c r="CP18" s="2055"/>
      <c r="CQ18" s="2055"/>
      <c r="CR18" s="2055"/>
      <c r="CS18" s="2055"/>
      <c r="CT18" s="2055"/>
      <c r="CU18" s="2055"/>
      <c r="CV18" s="2055"/>
      <c r="CW18" s="2055"/>
      <c r="CX18" s="2055"/>
      <c r="CY18" s="2055"/>
      <c r="CZ18" s="2055"/>
      <c r="DA18" s="2055"/>
      <c r="DB18" s="2055"/>
      <c r="DC18" s="2055"/>
      <c r="DD18" s="2055"/>
      <c r="DE18" s="2055"/>
      <c r="DF18" s="2055"/>
      <c r="DG18" s="2055"/>
      <c r="DH18" s="2055"/>
      <c r="DI18" s="2055"/>
      <c r="DJ18" s="2055"/>
      <c r="DK18" s="2055"/>
      <c r="DL18" s="2055"/>
      <c r="DM18" s="2055"/>
      <c r="DN18" s="2055"/>
      <c r="DO18" s="2055"/>
      <c r="DP18" s="2055"/>
      <c r="DQ18" s="2055"/>
      <c r="DR18" s="2055"/>
      <c r="DS18" s="2055"/>
      <c r="DT18" s="2055"/>
      <c r="DU18" s="2055"/>
      <c r="DV18" s="2055"/>
      <c r="DW18" s="2055"/>
      <c r="DX18" s="2055"/>
      <c r="DY18" s="2055"/>
      <c r="DZ18" s="2055"/>
      <c r="EA18" s="2055"/>
      <c r="EB18" s="2055"/>
      <c r="EC18" s="2055"/>
      <c r="ED18" s="2055"/>
      <c r="EE18" s="2055"/>
      <c r="EF18" s="2055"/>
      <c r="EG18" s="2055"/>
      <c r="EH18" s="2055"/>
      <c r="EI18" s="2055"/>
      <c r="EJ18" s="2055"/>
      <c r="EK18" s="2055"/>
      <c r="EL18" s="2055"/>
      <c r="EM18" s="2055"/>
      <c r="EN18" s="2055"/>
      <c r="EO18" s="2055"/>
      <c r="EP18" s="2055"/>
      <c r="EQ18" s="2055"/>
      <c r="ER18" s="2055"/>
      <c r="ES18" s="2055"/>
      <c r="ET18" s="2055"/>
      <c r="EU18" s="2055"/>
      <c r="EV18" s="2055"/>
      <c r="EW18" s="2055"/>
      <c r="EX18" s="2055"/>
      <c r="EY18" s="2055"/>
      <c r="EZ18" s="2055"/>
      <c r="FA18" s="2055"/>
      <c r="FB18" s="2055"/>
      <c r="FC18" s="2055"/>
      <c r="FD18" s="2055"/>
      <c r="FE18" s="2055"/>
      <c r="FF18" s="2055"/>
      <c r="FG18" s="2055"/>
      <c r="FH18" s="2055"/>
      <c r="FI18" s="2055"/>
      <c r="FJ18" s="2055"/>
      <c r="FK18" s="2055"/>
      <c r="FL18" s="2055"/>
      <c r="FM18" s="2055"/>
      <c r="FN18" s="2055"/>
      <c r="FO18" s="2055"/>
      <c r="FP18" s="2055"/>
      <c r="FQ18" s="2055"/>
      <c r="FR18" s="2055"/>
      <c r="FS18" s="2055"/>
      <c r="FT18" s="2055"/>
      <c r="FU18" s="2055"/>
      <c r="FV18" s="2055"/>
      <c r="FW18" s="2055"/>
      <c r="FX18" s="2055"/>
      <c r="FY18" s="2055"/>
      <c r="FZ18" s="2055"/>
      <c r="GA18" s="2055"/>
      <c r="GB18" s="2055"/>
      <c r="GC18" s="2055"/>
      <c r="GD18" s="2055"/>
      <c r="GE18" s="2055"/>
      <c r="GF18" s="2055"/>
      <c r="GG18" s="2055"/>
      <c r="GH18" s="2055"/>
      <c r="GI18" s="2055"/>
      <c r="GJ18" s="2055"/>
      <c r="GK18" s="2055"/>
      <c r="GL18" s="2055"/>
      <c r="GM18" s="2055"/>
      <c r="GN18" s="2055"/>
      <c r="GO18" s="2055"/>
      <c r="GP18" s="2055"/>
      <c r="GQ18" s="2055"/>
      <c r="GR18" s="2055"/>
      <c r="GS18" s="2055"/>
      <c r="GT18" s="2055"/>
      <c r="GU18" s="2055"/>
      <c r="GV18" s="2055"/>
      <c r="GW18" s="2055"/>
      <c r="GX18" s="2055"/>
      <c r="GY18" s="2055"/>
      <c r="GZ18" s="2055"/>
      <c r="HA18" s="2055"/>
      <c r="HB18" s="2055"/>
      <c r="HC18" s="2055"/>
      <c r="HD18" s="2055"/>
      <c r="HE18" s="2055"/>
      <c r="HF18" s="2055"/>
      <c r="HG18" s="2055"/>
      <c r="HH18" s="2055"/>
      <c r="HI18" s="2055"/>
      <c r="HJ18" s="2055"/>
      <c r="HK18" s="2055"/>
      <c r="HL18" s="2055"/>
      <c r="HM18" s="2055"/>
      <c r="HN18" s="2055"/>
      <c r="HO18" s="2055"/>
      <c r="HP18" s="2055"/>
      <c r="HQ18" s="2055"/>
      <c r="HR18" s="2055"/>
      <c r="HS18" s="2055"/>
      <c r="HT18" s="2055"/>
      <c r="HU18" s="2055"/>
      <c r="HV18" s="2055"/>
      <c r="HW18" s="2055"/>
      <c r="HX18" s="2055"/>
      <c r="HY18" s="2055"/>
      <c r="HZ18" s="2055"/>
      <c r="IA18" s="2055"/>
      <c r="IB18" s="2055"/>
      <c r="IC18" s="2055"/>
      <c r="ID18" s="2055"/>
      <c r="IE18" s="2055"/>
      <c r="IF18" s="2055"/>
      <c r="IG18" s="2055"/>
      <c r="IH18" s="2055"/>
      <c r="II18" s="2055"/>
      <c r="IJ18" s="2055"/>
      <c r="IK18" s="2055"/>
    </row>
    <row r="19" spans="1:245" ht="15.75">
      <c r="A19" s="306" t="s">
        <v>23</v>
      </c>
      <c r="B19" s="312">
        <f>ROUND(SUM(B18),1)</f>
        <v>4.8</v>
      </c>
      <c r="C19" s="313"/>
      <c r="D19" s="312">
        <f>ROUND(SUM(D18),1)</f>
        <v>26.7</v>
      </c>
      <c r="E19" s="313"/>
      <c r="F19" s="314">
        <f>ROUND(SUM(F18),1)</f>
        <v>0</v>
      </c>
      <c r="G19" s="313"/>
      <c r="H19" s="315">
        <f>ROUND(SUM(H18),1)</f>
        <v>-0.3</v>
      </c>
      <c r="I19" s="316"/>
      <c r="J19" s="317">
        <f>ROUND(SUM(J18),1)</f>
        <v>4.8</v>
      </c>
      <c r="K19" s="313"/>
      <c r="L19" s="315">
        <f>ROUND(SUM(L18),1)</f>
        <v>26.4</v>
      </c>
      <c r="M19" s="316"/>
      <c r="N19" s="312">
        <f>ROUND(SUM(N18),1)</f>
        <v>14.8</v>
      </c>
      <c r="O19" s="313"/>
      <c r="P19" s="312">
        <f>ROUND(SUM(P18),1)</f>
        <v>19.7</v>
      </c>
      <c r="Q19" s="1510"/>
      <c r="R19" s="2056"/>
      <c r="S19" s="2085">
        <f>ROUND(SUM(S18),3)</f>
        <v>6.7</v>
      </c>
      <c r="T19" s="1205"/>
      <c r="U19" s="2086">
        <f>ROUND(+S19/P19,3)</f>
        <v>0.34</v>
      </c>
      <c r="V19" s="1739"/>
    </row>
    <row r="20" spans="1:245" ht="15.75">
      <c r="A20" s="306"/>
      <c r="B20" s="1840"/>
      <c r="C20" s="1840"/>
      <c r="D20" s="1840"/>
      <c r="E20" s="1840"/>
      <c r="F20" s="1840"/>
      <c r="G20" s="1840"/>
      <c r="H20" s="2057"/>
      <c r="I20" s="2058"/>
      <c r="J20" s="2059"/>
      <c r="K20" s="1840"/>
      <c r="L20" s="2060"/>
      <c r="M20" s="2058"/>
      <c r="N20" s="2058"/>
      <c r="O20" s="1840"/>
      <c r="P20" s="2058"/>
      <c r="R20" s="2044"/>
      <c r="S20" s="2084"/>
      <c r="T20" s="2041"/>
      <c r="U20" s="1739"/>
      <c r="V20" s="1739"/>
    </row>
    <row r="21" spans="1:245" ht="15.95" customHeight="1">
      <c r="A21" s="306" t="s">
        <v>24</v>
      </c>
      <c r="B21" s="1840"/>
      <c r="C21" s="1840"/>
      <c r="D21" s="1840"/>
      <c r="E21" s="1840"/>
      <c r="F21" s="1840"/>
      <c r="G21" s="1840"/>
      <c r="H21" s="2060"/>
      <c r="I21" s="2058"/>
      <c r="J21" s="2059"/>
      <c r="K21" s="1840"/>
      <c r="L21" s="2060"/>
      <c r="M21" s="2058"/>
      <c r="N21" s="2058"/>
      <c r="O21" s="1840"/>
      <c r="P21" s="2058"/>
      <c r="R21" s="2044"/>
      <c r="S21" s="2084"/>
      <c r="T21" s="2041"/>
      <c r="U21" s="1739"/>
      <c r="V21" s="1739"/>
    </row>
    <row r="22" spans="1:245" ht="15.95" customHeight="1">
      <c r="A22" s="2027" t="s">
        <v>37</v>
      </c>
      <c r="B22" s="1840"/>
      <c r="C22" s="1840"/>
      <c r="D22" s="1840"/>
      <c r="E22" s="1840"/>
      <c r="F22" s="1840"/>
      <c r="G22" s="1840"/>
      <c r="H22" s="2060"/>
      <c r="I22" s="2058"/>
      <c r="J22" s="2059"/>
      <c r="K22" s="1840"/>
      <c r="L22" s="2060"/>
      <c r="M22" s="2058"/>
      <c r="N22" s="2058"/>
      <c r="O22" s="1840"/>
      <c r="P22" s="2058"/>
      <c r="R22" s="2044"/>
      <c r="S22" s="2084"/>
      <c r="T22" s="2041"/>
      <c r="U22" s="1739"/>
      <c r="V22" s="1739"/>
    </row>
    <row r="23" spans="1:245" ht="15.95" customHeight="1">
      <c r="A23" s="2027" t="s">
        <v>70</v>
      </c>
      <c r="B23" s="1358">
        <f>+'EXHIBIT L'!D22</f>
        <v>4.8</v>
      </c>
      <c r="C23" s="1840"/>
      <c r="D23" s="1358">
        <f>+'EXHIBIT L'!AA22</f>
        <v>9.6999999999999993</v>
      </c>
      <c r="E23" s="1840"/>
      <c r="F23" s="2061">
        <f>+'EXHIBIT M'!D22</f>
        <v>0</v>
      </c>
      <c r="G23" s="1840"/>
      <c r="H23" s="2062">
        <f>+'EXHIBIT M'!AA22</f>
        <v>0</v>
      </c>
      <c r="I23" s="2058"/>
      <c r="J23" s="2063">
        <f>SUM(B23)+SUM(F23)</f>
        <v>4.8</v>
      </c>
      <c r="K23" s="1840"/>
      <c r="L23" s="2064">
        <f>SUM(D23)+SUM(H23)</f>
        <v>9.6999999999999993</v>
      </c>
      <c r="M23" s="2058"/>
      <c r="N23" s="2065">
        <v>4.5</v>
      </c>
      <c r="O23" s="1840"/>
      <c r="P23" s="2065">
        <v>9.3000000000000007</v>
      </c>
      <c r="R23" s="2044"/>
      <c r="S23" s="2084">
        <f>ROUND(SUM(L23-P23),1)</f>
        <v>0.4</v>
      </c>
      <c r="T23" s="2041"/>
      <c r="U23" s="2739">
        <f>ROUND(IF(S23=0,0,S23/(P23)),3)</f>
        <v>4.2999999999999997E-2</v>
      </c>
      <c r="V23" s="1739"/>
    </row>
    <row r="24" spans="1:245" ht="15.95" customHeight="1">
      <c r="A24" s="2027" t="s">
        <v>71</v>
      </c>
      <c r="B24" s="1358">
        <f>+'EXHIBIT L'!D23</f>
        <v>0.9</v>
      </c>
      <c r="C24" s="1840"/>
      <c r="D24" s="2065">
        <f>+'EXHIBIT L'!AA23</f>
        <v>1.4</v>
      </c>
      <c r="E24" s="1840"/>
      <c r="F24" s="2061">
        <f>+'EXHIBIT M'!D23</f>
        <v>0</v>
      </c>
      <c r="G24" s="1840"/>
      <c r="H24" s="2062">
        <f>+'EXHIBIT M'!AA23</f>
        <v>0</v>
      </c>
      <c r="I24" s="2058"/>
      <c r="J24" s="2063">
        <f>SUM(B24)+SUM(F24)</f>
        <v>0.9</v>
      </c>
      <c r="K24" s="1840"/>
      <c r="L24" s="2064">
        <f>SUM(D24)+SUM(H24)</f>
        <v>1.4</v>
      </c>
      <c r="M24" s="2058"/>
      <c r="N24" s="2066">
        <v>1</v>
      </c>
      <c r="O24" s="2058"/>
      <c r="P24" s="2065">
        <v>1.5</v>
      </c>
      <c r="R24" s="2044"/>
      <c r="S24" s="2084">
        <f>ROUND(SUM(L24-P24),1)</f>
        <v>-0.1</v>
      </c>
      <c r="T24" s="2041"/>
      <c r="U24" s="2739">
        <f>ROUND(IF(S24=0,0,S24/(P24)),3)</f>
        <v>-6.7000000000000004E-2</v>
      </c>
      <c r="V24" s="1739"/>
    </row>
    <row r="25" spans="1:245" ht="15.95" customHeight="1">
      <c r="A25" s="2027" t="s">
        <v>72</v>
      </c>
      <c r="B25" s="1358">
        <f>+'EXHIBIT L'!D24</f>
        <v>6.3</v>
      </c>
      <c r="C25" s="1840"/>
      <c r="D25" s="2066">
        <f>+'EXHIBIT L'!AA24</f>
        <v>6.3</v>
      </c>
      <c r="E25" s="1840"/>
      <c r="F25" s="2061">
        <f>+'EXHIBIT M'!D24</f>
        <v>0</v>
      </c>
      <c r="G25" s="1840"/>
      <c r="H25" s="2067">
        <f>+'EXHIBIT M'!AA24</f>
        <v>0</v>
      </c>
      <c r="I25" s="2058"/>
      <c r="J25" s="2063">
        <f>SUM(B25)+SUM(F25)</f>
        <v>6.3</v>
      </c>
      <c r="K25" s="1840"/>
      <c r="L25" s="2068">
        <f>SUM(D25)+SUM(H25)</f>
        <v>6.3</v>
      </c>
      <c r="M25" s="2058"/>
      <c r="N25" s="2066">
        <v>5</v>
      </c>
      <c r="O25" s="2069"/>
      <c r="P25" s="2065">
        <v>5</v>
      </c>
      <c r="R25" s="2044"/>
      <c r="S25" s="2084">
        <f>ROUND(SUM(L25-P25),1)</f>
        <v>1.3</v>
      </c>
      <c r="T25" s="2041"/>
      <c r="U25" s="2790">
        <f>ROUND(IF(P25=0,0,S25/(P25)),3)</f>
        <v>0.26</v>
      </c>
      <c r="V25" s="1739"/>
    </row>
    <row r="26" spans="1:245" ht="15.75">
      <c r="A26" s="306" t="s">
        <v>60</v>
      </c>
      <c r="B26" s="312">
        <f>ROUND(SUM(B23:B25),1)</f>
        <v>12</v>
      </c>
      <c r="C26" s="313"/>
      <c r="D26" s="312">
        <f>ROUND(SUM(D23:D25),1)</f>
        <v>17.399999999999999</v>
      </c>
      <c r="E26" s="313"/>
      <c r="F26" s="312">
        <f>ROUND(SUM(F23:F25),1)</f>
        <v>0</v>
      </c>
      <c r="G26" s="313"/>
      <c r="H26" s="315">
        <f>ROUND(SUM(H23:H25),1)</f>
        <v>0</v>
      </c>
      <c r="I26" s="316"/>
      <c r="J26" s="317">
        <f>ROUND(SUM(J23:J25),1)</f>
        <v>12</v>
      </c>
      <c r="K26" s="313"/>
      <c r="L26" s="315">
        <f>ROUND(SUM(L23:L25),1)</f>
        <v>17.399999999999999</v>
      </c>
      <c r="M26" s="316"/>
      <c r="N26" s="312">
        <f>ROUND(SUM(N23:N25),1)</f>
        <v>10.5</v>
      </c>
      <c r="O26" s="313"/>
      <c r="P26" s="312">
        <f>ROUND(SUM(P23:P25),1)</f>
        <v>15.8</v>
      </c>
      <c r="Q26" s="1510"/>
      <c r="R26" s="2022"/>
      <c r="S26" s="2085">
        <f>ROUND(SUM(S23:S25),3)</f>
        <v>1.6</v>
      </c>
      <c r="T26" s="1205"/>
      <c r="U26" s="2840">
        <f>ROUND(S26/P26,3)</f>
        <v>0.10100000000000001</v>
      </c>
      <c r="V26" s="1739"/>
    </row>
    <row r="27" spans="1:245" ht="15.75">
      <c r="A27" s="306"/>
      <c r="B27" s="1840"/>
      <c r="C27" s="1840"/>
      <c r="D27" s="1840"/>
      <c r="E27" s="1840"/>
      <c r="F27" s="1840"/>
      <c r="G27" s="1840"/>
      <c r="H27" s="2060"/>
      <c r="I27" s="2058"/>
      <c r="J27" s="2059"/>
      <c r="K27" s="1840"/>
      <c r="L27" s="2060"/>
      <c r="M27" s="2058"/>
      <c r="N27" s="2058"/>
      <c r="O27" s="1840"/>
      <c r="P27" s="2058"/>
      <c r="R27" s="2044"/>
      <c r="S27" s="2084"/>
      <c r="T27" s="2041"/>
      <c r="U27" s="1739"/>
      <c r="V27" s="1739"/>
    </row>
    <row r="28" spans="1:245" ht="15.95" customHeight="1">
      <c r="A28" s="306" t="s">
        <v>45</v>
      </c>
      <c r="B28" s="1840"/>
      <c r="C28" s="1840"/>
      <c r="D28" s="1840"/>
      <c r="E28" s="1840"/>
      <c r="F28" s="1840"/>
      <c r="G28" s="1840"/>
      <c r="H28" s="2060"/>
      <c r="I28" s="2058"/>
      <c r="J28" s="2059"/>
      <c r="K28" s="1840"/>
      <c r="L28" s="2060"/>
      <c r="M28" s="2058"/>
      <c r="N28" s="2058"/>
      <c r="O28" s="1840"/>
      <c r="P28" s="2058"/>
      <c r="R28" s="2044"/>
      <c r="S28" s="2084"/>
      <c r="T28" s="2041"/>
      <c r="U28" s="1739"/>
      <c r="V28" s="1739"/>
    </row>
    <row r="29" spans="1:245" ht="15.75">
      <c r="A29" s="306" t="s">
        <v>74</v>
      </c>
      <c r="B29" s="322">
        <f>ROUND(SUM(B19-B26),1)</f>
        <v>-7.2</v>
      </c>
      <c r="C29" s="313"/>
      <c r="D29" s="322">
        <f>ROUND(SUM(D19-D26),1)</f>
        <v>9.3000000000000007</v>
      </c>
      <c r="E29" s="313"/>
      <c r="F29" s="322">
        <f>ROUND(SUM(F19-F26),1)</f>
        <v>0</v>
      </c>
      <c r="G29" s="313"/>
      <c r="H29" s="323">
        <f>ROUND(SUM(H19-H26),1)</f>
        <v>-0.3</v>
      </c>
      <c r="I29" s="316"/>
      <c r="J29" s="324">
        <f>ROUND(SUM(J19-J26),1)</f>
        <v>-7.2</v>
      </c>
      <c r="K29" s="316"/>
      <c r="L29" s="323">
        <f>ROUND(SUM(L19-L26),1)</f>
        <v>9</v>
      </c>
      <c r="M29" s="316"/>
      <c r="N29" s="322">
        <f>ROUND(SUM(N19-N26),1)</f>
        <v>4.3</v>
      </c>
      <c r="O29" s="316"/>
      <c r="P29" s="322">
        <f>ROUND(SUM(P19-P26),1)</f>
        <v>3.9</v>
      </c>
      <c r="Q29" s="1510"/>
      <c r="R29" s="2044"/>
      <c r="S29" s="3488">
        <f>ROUND(SUM(L29-P29),1)</f>
        <v>5.0999999999999996</v>
      </c>
      <c r="T29" s="2041"/>
      <c r="U29" s="2740">
        <f>ROUND(IF(P29=0,0,S29/(P29)),3)</f>
        <v>1.3080000000000001</v>
      </c>
      <c r="V29" s="1739"/>
    </row>
    <row r="30" spans="1:245">
      <c r="A30" s="2027"/>
      <c r="B30" s="1840"/>
      <c r="C30" s="1840"/>
      <c r="D30" s="1840"/>
      <c r="E30" s="1840"/>
      <c r="F30" s="1840"/>
      <c r="G30" s="1840"/>
      <c r="H30" s="2060"/>
      <c r="I30" s="2058"/>
      <c r="J30" s="2059"/>
      <c r="K30" s="1840"/>
      <c r="L30" s="2060"/>
      <c r="M30" s="2058"/>
      <c r="N30" s="2058"/>
      <c r="O30" s="1840"/>
      <c r="P30" s="2058"/>
      <c r="R30" s="2044"/>
      <c r="S30" s="2084"/>
      <c r="T30" s="2041"/>
      <c r="U30" s="1739"/>
      <c r="V30" s="1739"/>
    </row>
    <row r="31" spans="1:245" ht="15.95" customHeight="1">
      <c r="A31" s="306" t="s">
        <v>47</v>
      </c>
      <c r="B31" s="1840"/>
      <c r="C31" s="1840"/>
      <c r="D31" s="1840"/>
      <c r="E31" s="1840"/>
      <c r="F31" s="1840"/>
      <c r="G31" s="1840"/>
      <c r="H31" s="2060"/>
      <c r="I31" s="2058"/>
      <c r="J31" s="2059"/>
      <c r="K31" s="1840"/>
      <c r="L31" s="2060"/>
      <c r="M31" s="2058"/>
      <c r="N31" s="2058"/>
      <c r="O31" s="1840"/>
      <c r="P31" s="2058"/>
      <c r="R31" s="2044"/>
      <c r="S31" s="2084"/>
      <c r="T31" s="2041"/>
      <c r="U31" s="1739"/>
      <c r="V31" s="1739"/>
    </row>
    <row r="32" spans="1:245" ht="15.95" customHeight="1">
      <c r="A32" s="2027" t="s">
        <v>49</v>
      </c>
      <c r="B32" s="2061">
        <f>+'EXHIBIT L'!D31</f>
        <v>0</v>
      </c>
      <c r="C32" s="1840"/>
      <c r="D32" s="2061">
        <f>+'EXHIBIT L'!AA31</f>
        <v>0</v>
      </c>
      <c r="E32" s="1840"/>
      <c r="F32" s="2061">
        <f>+'EXHIBIT M'!D31</f>
        <v>0</v>
      </c>
      <c r="G32" s="1358"/>
      <c r="H32" s="2070">
        <f>+'EXHIBIT M'!AA31</f>
        <v>0</v>
      </c>
      <c r="I32" s="2058"/>
      <c r="J32" s="2071">
        <f>SUM(B32)+SUM(F32)</f>
        <v>0</v>
      </c>
      <c r="K32" s="1840"/>
      <c r="L32" s="2062">
        <f>SUM(D32)+SUM(H32)</f>
        <v>0</v>
      </c>
      <c r="M32" s="2058"/>
      <c r="N32" s="2066">
        <v>0</v>
      </c>
      <c r="O32" s="2058"/>
      <c r="P32" s="2066">
        <f>+'EXHIBIT L'!AD31+'EXHIBIT M'!AD31</f>
        <v>0</v>
      </c>
      <c r="R32" s="2072"/>
      <c r="S32" s="2084">
        <f>ROUND(SUM(L32-P32),1)</f>
        <v>0</v>
      </c>
      <c r="T32" s="1273"/>
      <c r="U32" s="2739">
        <f>ROUND(IF(S32=0,0,S32/(P32)),3)</f>
        <v>0</v>
      </c>
      <c r="V32" s="1739"/>
    </row>
    <row r="33" spans="1:245" ht="15.95" customHeight="1">
      <c r="A33" s="2027" t="s">
        <v>75</v>
      </c>
      <c r="B33" s="2061">
        <f>+'EXHIBIT L'!D32</f>
        <v>0</v>
      </c>
      <c r="C33" s="1840"/>
      <c r="D33" s="2073">
        <f>+'EXHIBIT L'!AA32</f>
        <v>0</v>
      </c>
      <c r="E33" s="1840"/>
      <c r="F33" s="2061">
        <f>+'EXHIBIT M'!D32</f>
        <v>0</v>
      </c>
      <c r="G33" s="1840"/>
      <c r="H33" s="2070">
        <f>+'EXHIBIT M'!AA32</f>
        <v>0</v>
      </c>
      <c r="I33" s="2058"/>
      <c r="J33" s="2071">
        <f>SUM(B33)+SUM(F33)</f>
        <v>0</v>
      </c>
      <c r="K33" s="1840"/>
      <c r="L33" s="2074">
        <f>SUM(D33)+SUM(H33)</f>
        <v>0</v>
      </c>
      <c r="M33" s="2058"/>
      <c r="N33" s="2075">
        <v>0</v>
      </c>
      <c r="O33" s="2069"/>
      <c r="P33" s="2075">
        <f>+'EXHIBIT L'!AD32+'EXHIBIT M'!AD32</f>
        <v>0</v>
      </c>
      <c r="R33" s="2076"/>
      <c r="S33" s="2084">
        <f>ROUND(SUM(L33-P33),1)</f>
        <v>0</v>
      </c>
      <c r="T33" s="1273"/>
      <c r="U33" s="2739">
        <f>ROUND(IF(S33=0,0,S33/(P33)),3)</f>
        <v>0</v>
      </c>
      <c r="V33" s="1739"/>
    </row>
    <row r="34" spans="1:245" ht="15.75">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77"/>
      <c r="S34" s="283">
        <f>ROUND(SUM(S32-S33),3)</f>
        <v>0</v>
      </c>
      <c r="T34" s="2763"/>
      <c r="U34" s="2140">
        <f>ROUND(IF(P34=0,0,S34/(P34)),3)</f>
        <v>0</v>
      </c>
      <c r="V34" s="1739"/>
    </row>
    <row r="35" spans="1:245" ht="15.75">
      <c r="A35" s="306"/>
      <c r="B35" s="2078"/>
      <c r="C35" s="1840"/>
      <c r="D35" s="2078"/>
      <c r="E35" s="1840"/>
      <c r="F35" s="2058"/>
      <c r="G35" s="1840"/>
      <c r="H35" s="2060"/>
      <c r="I35" s="2058"/>
      <c r="J35" s="2059"/>
      <c r="K35" s="1840"/>
      <c r="L35" s="2079"/>
      <c r="M35" s="2058"/>
      <c r="N35" s="2058"/>
      <c r="O35" s="1840"/>
      <c r="P35" s="2058"/>
      <c r="R35" s="2044"/>
      <c r="S35" s="2084"/>
      <c r="T35" s="2041"/>
      <c r="U35" s="1739"/>
      <c r="V35" s="1739"/>
    </row>
    <row r="36" spans="1:245" ht="15.75" customHeight="1">
      <c r="A36" s="306" t="s">
        <v>45</v>
      </c>
      <c r="B36" s="1840"/>
      <c r="C36" s="1840"/>
      <c r="D36" s="1840"/>
      <c r="E36" s="1840"/>
      <c r="F36" s="1840"/>
      <c r="G36" s="1840"/>
      <c r="H36" s="2060"/>
      <c r="I36" s="2058"/>
      <c r="J36" s="2059"/>
      <c r="K36" s="1840"/>
      <c r="L36" s="2060"/>
      <c r="M36" s="2058"/>
      <c r="N36" s="2058"/>
      <c r="O36" s="1840"/>
      <c r="P36" s="2058"/>
      <c r="R36" s="2044"/>
      <c r="S36" s="2084"/>
      <c r="T36" s="2041"/>
      <c r="U36" s="1739"/>
      <c r="V36" s="1739"/>
    </row>
    <row r="37" spans="1:245" ht="15.75" customHeight="1">
      <c r="A37" s="306" t="s">
        <v>76</v>
      </c>
      <c r="B37" s="1840"/>
      <c r="C37" s="1840"/>
      <c r="D37" s="1840"/>
      <c r="E37" s="1840"/>
      <c r="F37" s="1840"/>
      <c r="G37" s="1840"/>
      <c r="H37" s="2060"/>
      <c r="I37" s="2058"/>
      <c r="J37" s="2059"/>
      <c r="K37" s="1840"/>
      <c r="L37" s="2060"/>
      <c r="M37" s="2058"/>
      <c r="N37" s="2058"/>
      <c r="O37" s="1840"/>
      <c r="P37" s="2058"/>
      <c r="R37" s="2044"/>
      <c r="S37" s="2084"/>
      <c r="T37" s="2041"/>
      <c r="U37" s="1739"/>
      <c r="V37" s="1739"/>
    </row>
    <row r="38" spans="1:245" ht="15.75" customHeight="1">
      <c r="A38" s="306" t="s">
        <v>77</v>
      </c>
      <c r="B38" s="1840"/>
      <c r="C38" s="1840"/>
      <c r="D38" s="1840"/>
      <c r="E38" s="1840"/>
      <c r="F38" s="2080"/>
      <c r="G38" s="1840"/>
      <c r="H38" s="2060"/>
      <c r="I38" s="2058"/>
      <c r="J38" s="2059"/>
      <c r="K38" s="1840"/>
      <c r="L38" s="2060"/>
      <c r="M38" s="2058"/>
      <c r="N38" s="2058"/>
      <c r="O38" s="1840"/>
      <c r="P38" s="2058"/>
      <c r="R38" s="2044"/>
      <c r="S38" s="2084"/>
      <c r="T38" s="2041"/>
      <c r="U38" s="1739"/>
      <c r="V38" s="1739"/>
    </row>
    <row r="39" spans="1:245" ht="15.75" customHeight="1">
      <c r="A39" s="306" t="s">
        <v>78</v>
      </c>
      <c r="B39" s="330">
        <f>ROUND(SUM(B29+B34),1)</f>
        <v>-7.2</v>
      </c>
      <c r="C39" s="313"/>
      <c r="D39" s="330">
        <f>ROUND(SUM(D29+D34),1)</f>
        <v>9.3000000000000007</v>
      </c>
      <c r="E39" s="313"/>
      <c r="F39" s="330">
        <f>ROUND(SUM(F29+F34),1)</f>
        <v>0</v>
      </c>
      <c r="G39" s="313"/>
      <c r="H39" s="331">
        <f>ROUND(SUM(H29+H34),1)</f>
        <v>-0.3</v>
      </c>
      <c r="I39" s="316"/>
      <c r="J39" s="332">
        <f>ROUND(SUM(J29+J34),1)</f>
        <v>-7.2</v>
      </c>
      <c r="K39" s="313"/>
      <c r="L39" s="331">
        <f>ROUND(SUM(L29+L34),1)</f>
        <v>9</v>
      </c>
      <c r="M39" s="316"/>
      <c r="N39" s="330">
        <f>ROUND(SUM(N29+N34),1)</f>
        <v>4.3</v>
      </c>
      <c r="O39" s="316"/>
      <c r="P39" s="330">
        <f>ROUND(SUM(P29+P34),1)</f>
        <v>3.9</v>
      </c>
      <c r="Q39" s="1510"/>
      <c r="R39" s="2044"/>
      <c r="S39" s="2876">
        <f>ROUND(SUM(L39-P39),1)</f>
        <v>5.0999999999999996</v>
      </c>
      <c r="T39" s="2041"/>
      <c r="U39" s="3467">
        <f>ROUND(IF(P39=0,0,S39/(P39)),3)</f>
        <v>1.3080000000000001</v>
      </c>
      <c r="V39" s="1739"/>
    </row>
    <row r="40" spans="1:245" ht="15.75">
      <c r="A40" s="306"/>
      <c r="B40" s="1840"/>
      <c r="C40" s="1840"/>
      <c r="D40" s="1840"/>
      <c r="E40" s="1840"/>
      <c r="F40" s="1840"/>
      <c r="G40" s="1840"/>
      <c r="H40" s="2060"/>
      <c r="I40" s="2058"/>
      <c r="J40" s="2059"/>
      <c r="K40" s="1840"/>
      <c r="L40" s="2060"/>
      <c r="M40" s="2058"/>
      <c r="N40" s="2058"/>
      <c r="O40" s="1840"/>
      <c r="P40" s="2058"/>
      <c r="R40" s="2044"/>
      <c r="S40" s="1895"/>
      <c r="T40" s="2750"/>
      <c r="U40" s="1895"/>
      <c r="V40" s="1739"/>
    </row>
    <row r="41" spans="1:245" s="1510" customFormat="1" ht="15.75">
      <c r="A41" s="306" t="s">
        <v>54</v>
      </c>
      <c r="B41" s="333">
        <f>+'EXHIBIT L'!B38</f>
        <v>-0.4</v>
      </c>
      <c r="C41" s="313"/>
      <c r="D41" s="333">
        <f>+'EXHIBIT L'!AA13</f>
        <v>-16.899999999999999</v>
      </c>
      <c r="E41" s="313"/>
      <c r="F41" s="333">
        <f>+'EXHIBIT M'!B38</f>
        <v>11.2</v>
      </c>
      <c r="G41" s="313"/>
      <c r="H41" s="334">
        <f>+'EXHIBIT M'!AA13</f>
        <v>11.5</v>
      </c>
      <c r="I41" s="316"/>
      <c r="J41" s="335">
        <f>ROUND(SUM(B41)+SUM(F41),1)</f>
        <v>10.8</v>
      </c>
      <c r="K41" s="313"/>
      <c r="L41" s="331">
        <f>ROUND(SUM(D41+H41),1)</f>
        <v>-5.4</v>
      </c>
      <c r="M41" s="316"/>
      <c r="N41" s="322">
        <v>6.6</v>
      </c>
      <c r="O41" s="313"/>
      <c r="P41" s="322">
        <v>7</v>
      </c>
      <c r="R41" s="2023"/>
      <c r="S41" s="290">
        <f>ROUND(SUM(+L41-P41),1)</f>
        <v>-12.4</v>
      </c>
      <c r="T41" s="292"/>
      <c r="U41" s="2740">
        <f>ROUND(IF(S41=0,0,S41/(P41)),3)</f>
        <v>-1.7709999999999999</v>
      </c>
      <c r="V41" s="2081"/>
    </row>
    <row r="42" spans="1:245" ht="16.5" thickBot="1">
      <c r="A42" s="306" t="s">
        <v>80</v>
      </c>
      <c r="B42" s="336">
        <f>ROUND(SUM(B41)+SUM(B39),1)</f>
        <v>-7.6</v>
      </c>
      <c r="C42" s="337"/>
      <c r="D42" s="336">
        <f>ROUND(SUM(D41)+SUM(D39),1)</f>
        <v>-7.6</v>
      </c>
      <c r="E42" s="337"/>
      <c r="F42" s="338">
        <f>ROUND(SUM(F41)+SUM(F39),1)</f>
        <v>11.2</v>
      </c>
      <c r="G42" s="339"/>
      <c r="H42" s="1637">
        <f>ROUND(SUM(H41)+SUM(H39),1)</f>
        <v>11.2</v>
      </c>
      <c r="I42" s="1638"/>
      <c r="J42" s="1637">
        <f>ROUND(SUM(J41)+SUM(J39),1)</f>
        <v>3.6</v>
      </c>
      <c r="K42" s="341"/>
      <c r="L42" s="340">
        <f>ROUND(SUM(L41)+SUM(L39),1)</f>
        <v>3.6</v>
      </c>
      <c r="M42" s="341"/>
      <c r="N42" s="1637">
        <f>ROUND(SUM(N41)+SUM(N39),1)</f>
        <v>10.9</v>
      </c>
      <c r="O42" s="341"/>
      <c r="P42" s="1637">
        <f>ROUND(SUM(P41)+SUM(P39),1)</f>
        <v>10.9</v>
      </c>
      <c r="Q42" s="493"/>
      <c r="R42" s="2052"/>
      <c r="S42" s="2705">
        <f>ROUND(SUM(S39+S41),3)</f>
        <v>-7.3</v>
      </c>
      <c r="T42" s="2392"/>
      <c r="U42" s="2841">
        <f>ROUND(S42/P42,3)</f>
        <v>-0.67</v>
      </c>
      <c r="V42" s="1739"/>
    </row>
    <row r="43" spans="1:245" ht="15.75" thickTop="1">
      <c r="A43" s="2027"/>
      <c r="B43" s="2082"/>
      <c r="C43" s="2051"/>
      <c r="D43" s="2082"/>
      <c r="E43" s="2051"/>
      <c r="F43" s="2082"/>
      <c r="G43" s="2051"/>
      <c r="H43" s="2082"/>
      <c r="I43" s="2053"/>
      <c r="J43" s="2082"/>
      <c r="K43" s="2051"/>
      <c r="L43" s="2082"/>
      <c r="M43" s="2051"/>
      <c r="N43" s="2082"/>
      <c r="O43" s="2051"/>
      <c r="P43" s="2082"/>
      <c r="Q43" s="2051"/>
      <c r="R43" s="2083"/>
      <c r="S43" s="2054"/>
      <c r="T43" s="2083"/>
      <c r="U43" s="2054"/>
      <c r="V43" s="2054"/>
      <c r="W43" s="2055"/>
      <c r="X43" s="2055"/>
      <c r="Y43" s="2055"/>
      <c r="Z43" s="2055"/>
      <c r="AA43" s="2055"/>
      <c r="AB43" s="2055"/>
      <c r="AC43" s="2055"/>
      <c r="AD43" s="2055"/>
      <c r="AE43" s="2055"/>
      <c r="AF43" s="2055"/>
      <c r="AG43" s="2055"/>
      <c r="AH43" s="2055"/>
      <c r="AI43" s="2055"/>
      <c r="AJ43" s="2055"/>
      <c r="AK43" s="2055"/>
      <c r="AL43" s="2055"/>
      <c r="AM43" s="2055"/>
      <c r="AN43" s="2055"/>
      <c r="AO43" s="2055"/>
      <c r="AP43" s="2055"/>
      <c r="AQ43" s="2055"/>
      <c r="AR43" s="2055"/>
      <c r="AS43" s="2055"/>
      <c r="AT43" s="2055"/>
      <c r="AU43" s="2055"/>
      <c r="AV43" s="2055"/>
      <c r="AW43" s="2055"/>
      <c r="AX43" s="2055"/>
      <c r="AY43" s="2055"/>
      <c r="AZ43" s="2055"/>
      <c r="BA43" s="2055"/>
      <c r="BB43" s="2055"/>
      <c r="BC43" s="2055"/>
      <c r="BD43" s="2055"/>
      <c r="BE43" s="2055"/>
      <c r="BF43" s="2055"/>
      <c r="BG43" s="2055"/>
      <c r="BH43" s="2055"/>
      <c r="BI43" s="2055"/>
      <c r="BJ43" s="2055"/>
      <c r="BK43" s="2055"/>
      <c r="BL43" s="2055"/>
      <c r="BM43" s="2055"/>
      <c r="BN43" s="2055"/>
      <c r="BO43" s="2055"/>
      <c r="BP43" s="2055"/>
      <c r="BQ43" s="2055"/>
      <c r="BR43" s="2055"/>
      <c r="BS43" s="2055"/>
      <c r="BT43" s="2055"/>
      <c r="BU43" s="2055"/>
      <c r="BV43" s="2055"/>
      <c r="BW43" s="2055"/>
      <c r="BX43" s="2055"/>
      <c r="BY43" s="2055"/>
      <c r="BZ43" s="2055"/>
      <c r="CA43" s="2055"/>
      <c r="CB43" s="2055"/>
      <c r="CC43" s="2055"/>
      <c r="CD43" s="2055"/>
      <c r="CE43" s="2055"/>
      <c r="CF43" s="2055"/>
      <c r="CG43" s="2055"/>
      <c r="CH43" s="2055"/>
      <c r="CI43" s="2055"/>
      <c r="CJ43" s="2055"/>
      <c r="CK43" s="2055"/>
      <c r="CL43" s="2055"/>
      <c r="CM43" s="2055"/>
      <c r="CN43" s="2055"/>
      <c r="CO43" s="2055"/>
      <c r="CP43" s="2055"/>
      <c r="CQ43" s="2055"/>
      <c r="CR43" s="2055"/>
      <c r="CS43" s="2055"/>
      <c r="CT43" s="2055"/>
      <c r="CU43" s="2055"/>
      <c r="CV43" s="2055"/>
      <c r="CW43" s="2055"/>
      <c r="CX43" s="2055"/>
      <c r="CY43" s="2055"/>
      <c r="CZ43" s="2055"/>
      <c r="DA43" s="2055"/>
      <c r="DB43" s="2055"/>
      <c r="DC43" s="2055"/>
      <c r="DD43" s="2055"/>
      <c r="DE43" s="2055"/>
      <c r="DF43" s="2055"/>
      <c r="DG43" s="2055"/>
      <c r="DH43" s="2055"/>
      <c r="DI43" s="2055"/>
      <c r="DJ43" s="2055"/>
      <c r="DK43" s="2055"/>
      <c r="DL43" s="2055"/>
      <c r="DM43" s="2055"/>
      <c r="DN43" s="2055"/>
      <c r="DO43" s="2055"/>
      <c r="DP43" s="2055"/>
      <c r="DQ43" s="2055"/>
      <c r="DR43" s="2055"/>
      <c r="DS43" s="2055"/>
      <c r="DT43" s="2055"/>
      <c r="DU43" s="2055"/>
      <c r="DV43" s="2055"/>
      <c r="DW43" s="2055"/>
      <c r="DX43" s="2055"/>
      <c r="DY43" s="2055"/>
      <c r="DZ43" s="2055"/>
      <c r="EA43" s="2055"/>
      <c r="EB43" s="2055"/>
      <c r="EC43" s="2055"/>
      <c r="ED43" s="2055"/>
      <c r="EE43" s="2055"/>
      <c r="EF43" s="2055"/>
      <c r="EG43" s="2055"/>
      <c r="EH43" s="2055"/>
      <c r="EI43" s="2055"/>
      <c r="EJ43" s="2055"/>
      <c r="EK43" s="2055"/>
      <c r="EL43" s="2055"/>
      <c r="EM43" s="2055"/>
      <c r="EN43" s="2055"/>
      <c r="EO43" s="2055"/>
      <c r="EP43" s="2055"/>
      <c r="EQ43" s="2055"/>
      <c r="ER43" s="2055"/>
      <c r="ES43" s="2055"/>
      <c r="ET43" s="2055"/>
      <c r="EU43" s="2055"/>
      <c r="EV43" s="2055"/>
      <c r="EW43" s="2055"/>
      <c r="EX43" s="2055"/>
      <c r="EY43" s="2055"/>
      <c r="EZ43" s="2055"/>
      <c r="FA43" s="2055"/>
      <c r="FB43" s="2055"/>
      <c r="FC43" s="2055"/>
      <c r="FD43" s="2055"/>
      <c r="FE43" s="2055"/>
      <c r="FF43" s="2055"/>
      <c r="FG43" s="2055"/>
      <c r="FH43" s="2055"/>
      <c r="FI43" s="2055"/>
      <c r="FJ43" s="2055"/>
      <c r="FK43" s="2055"/>
      <c r="FL43" s="2055"/>
      <c r="FM43" s="2055"/>
      <c r="FN43" s="2055"/>
      <c r="FO43" s="2055"/>
      <c r="FP43" s="2055"/>
      <c r="FQ43" s="2055"/>
      <c r="FR43" s="2055"/>
      <c r="FS43" s="2055"/>
      <c r="FT43" s="2055"/>
      <c r="FU43" s="2055"/>
      <c r="FV43" s="2055"/>
      <c r="FW43" s="2055"/>
      <c r="FX43" s="2055"/>
      <c r="FY43" s="2055"/>
      <c r="FZ43" s="2055"/>
      <c r="GA43" s="2055"/>
      <c r="GB43" s="2055"/>
      <c r="GC43" s="2055"/>
      <c r="GD43" s="2055"/>
      <c r="GE43" s="2055"/>
      <c r="GF43" s="2055"/>
      <c r="GG43" s="2055"/>
      <c r="GH43" s="2055"/>
      <c r="GI43" s="2055"/>
      <c r="GJ43" s="2055"/>
      <c r="GK43" s="2055"/>
      <c r="GL43" s="2055"/>
      <c r="GM43" s="2055"/>
      <c r="GN43" s="2055"/>
      <c r="GO43" s="2055"/>
      <c r="GP43" s="2055"/>
      <c r="GQ43" s="2055"/>
      <c r="GR43" s="2055"/>
      <c r="GS43" s="2055"/>
      <c r="GT43" s="2055"/>
      <c r="GU43" s="2055"/>
      <c r="GV43" s="2055"/>
      <c r="GW43" s="2055"/>
      <c r="GX43" s="2055"/>
      <c r="GY43" s="2055"/>
      <c r="GZ43" s="2055"/>
      <c r="HA43" s="2055"/>
      <c r="HB43" s="2055"/>
      <c r="HC43" s="2055"/>
      <c r="HD43" s="2055"/>
      <c r="HE43" s="2055"/>
      <c r="HF43" s="2055"/>
      <c r="HG43" s="2055"/>
      <c r="HH43" s="2055"/>
      <c r="HI43" s="2055"/>
      <c r="HJ43" s="2055"/>
      <c r="HK43" s="2055"/>
      <c r="HL43" s="2055"/>
      <c r="HM43" s="2055"/>
      <c r="HN43" s="2055"/>
      <c r="HO43" s="2055"/>
      <c r="HP43" s="2055"/>
      <c r="HQ43" s="2055"/>
      <c r="HR43" s="2055"/>
      <c r="HS43" s="2055"/>
      <c r="HT43" s="2055"/>
      <c r="HU43" s="2055"/>
      <c r="HV43" s="2055"/>
      <c r="HW43" s="2055"/>
      <c r="HX43" s="2055"/>
      <c r="HY43" s="2055"/>
      <c r="HZ43" s="2055"/>
      <c r="IA43" s="2055"/>
      <c r="IB43" s="2055"/>
      <c r="IC43" s="2055"/>
      <c r="ID43" s="2055"/>
      <c r="IE43" s="2055"/>
      <c r="IF43" s="2055"/>
      <c r="IG43" s="2055"/>
      <c r="IH43" s="2055"/>
      <c r="II43" s="2055"/>
      <c r="IJ43" s="2055"/>
      <c r="IK43" s="2055"/>
    </row>
    <row r="44" spans="1:245">
      <c r="A44" s="2027"/>
      <c r="B44" s="2027"/>
      <c r="C44" s="2027"/>
      <c r="D44" s="2027"/>
      <c r="E44" s="2027"/>
      <c r="F44" s="2025"/>
      <c r="G44" s="2027"/>
      <c r="H44" s="2027"/>
      <c r="I44" s="2027"/>
      <c r="J44" s="2027"/>
      <c r="K44" s="2027"/>
      <c r="L44" s="2027"/>
      <c r="M44" s="2027"/>
      <c r="N44" s="2027"/>
      <c r="O44" s="2027"/>
      <c r="P44" s="2027"/>
      <c r="Q44" s="2027"/>
      <c r="R44" s="2028"/>
      <c r="S44" s="2658"/>
      <c r="T44" s="2028"/>
      <c r="U44" s="1739"/>
      <c r="V44" s="1739"/>
    </row>
    <row r="45" spans="1:245">
      <c r="A45" s="2027"/>
      <c r="B45" s="2027"/>
      <c r="C45" s="2027"/>
      <c r="D45" s="2027"/>
      <c r="E45" s="2027"/>
      <c r="F45" s="2025"/>
      <c r="G45" s="2027"/>
      <c r="H45" s="2027"/>
      <c r="I45" s="2027"/>
      <c r="J45" s="2027"/>
      <c r="K45" s="2027"/>
      <c r="L45" s="2027"/>
      <c r="N45" s="2027"/>
      <c r="O45" s="2027"/>
      <c r="P45" s="2027"/>
      <c r="Q45" s="2027"/>
      <c r="R45" s="2028"/>
      <c r="S45" s="1739"/>
      <c r="T45" s="2028"/>
      <c r="U45" s="1739"/>
      <c r="V45" s="1739"/>
    </row>
    <row r="46" spans="1:245">
      <c r="A46" s="1836"/>
      <c r="B46" s="2027"/>
      <c r="C46" s="2027"/>
      <c r="D46" s="2027"/>
      <c r="E46" s="2027"/>
      <c r="F46" s="2027"/>
      <c r="G46" s="2027"/>
      <c r="H46" s="2027"/>
      <c r="I46" s="2027"/>
      <c r="J46" s="2027"/>
      <c r="K46" s="2027"/>
      <c r="L46" s="2027"/>
      <c r="M46" s="2027"/>
      <c r="N46" s="2027"/>
      <c r="O46" s="2027"/>
      <c r="P46" s="2027"/>
      <c r="Q46" s="2027"/>
      <c r="R46" s="2028"/>
      <c r="S46" s="1739"/>
      <c r="T46" s="2028"/>
      <c r="U46" s="1739"/>
      <c r="V46" s="1739"/>
    </row>
    <row r="47" spans="1:245">
      <c r="A47" s="2027"/>
      <c r="B47" s="2027"/>
      <c r="C47" s="2027"/>
      <c r="D47" s="2027"/>
      <c r="E47" s="2027"/>
      <c r="F47" s="2027"/>
      <c r="G47" s="2027"/>
      <c r="H47" s="2027"/>
      <c r="I47" s="2027"/>
      <c r="J47" s="2027"/>
      <c r="K47" s="2027"/>
      <c r="L47" s="2027"/>
      <c r="M47" s="2027"/>
      <c r="N47" s="2027"/>
      <c r="O47" s="2027"/>
      <c r="P47" s="2027"/>
      <c r="Q47" s="2027"/>
      <c r="R47" s="2028"/>
      <c r="S47" s="1739"/>
      <c r="T47" s="2028"/>
      <c r="U47" s="1739"/>
      <c r="V47" s="1739"/>
    </row>
    <row r="48" spans="1:245">
      <c r="A48" s="2027"/>
      <c r="B48" s="2027"/>
      <c r="C48" s="2027"/>
      <c r="D48" s="2027"/>
      <c r="E48" s="2027"/>
      <c r="F48" s="2027"/>
      <c r="G48" s="2027"/>
      <c r="H48" s="2027"/>
      <c r="I48" s="2027"/>
      <c r="J48" s="2027"/>
      <c r="K48" s="2027"/>
      <c r="L48" s="2027"/>
      <c r="M48" s="2027"/>
      <c r="N48" s="2027"/>
      <c r="O48" s="2027"/>
      <c r="P48" s="2027"/>
      <c r="Q48" s="2027"/>
      <c r="R48" s="2028"/>
      <c r="S48" s="1739"/>
      <c r="T48" s="2028"/>
      <c r="U48" s="1739"/>
      <c r="V48" s="1739"/>
    </row>
    <row r="49" spans="1:22">
      <c r="A49" s="2027"/>
      <c r="B49" s="2027"/>
      <c r="C49" s="2027"/>
      <c r="D49" s="2027"/>
      <c r="E49" s="2027"/>
      <c r="F49" s="2027"/>
      <c r="G49" s="2027"/>
      <c r="H49" s="2027"/>
      <c r="I49" s="2027"/>
      <c r="J49" s="2027"/>
      <c r="K49" s="2027"/>
      <c r="L49" s="2027"/>
      <c r="M49" s="2027"/>
      <c r="N49" s="2027"/>
      <c r="O49" s="2027"/>
      <c r="P49" s="2027"/>
      <c r="Q49" s="2027"/>
      <c r="R49" s="2028"/>
      <c r="S49" s="1739"/>
      <c r="T49" s="2028"/>
      <c r="U49" s="1739"/>
      <c r="V49" s="1739"/>
    </row>
    <row r="50" spans="1:22">
      <c r="A50" s="2027"/>
      <c r="B50" s="2027"/>
      <c r="C50" s="2027"/>
      <c r="D50" s="2027"/>
      <c r="E50" s="2027"/>
      <c r="F50" s="2027"/>
      <c r="G50" s="2027"/>
      <c r="H50" s="2027"/>
      <c r="I50" s="2027"/>
      <c r="J50" s="2027"/>
      <c r="K50" s="2027"/>
      <c r="L50" s="2027"/>
      <c r="M50" s="2027"/>
      <c r="N50" s="2027"/>
      <c r="O50" s="2027"/>
      <c r="P50" s="2027"/>
      <c r="Q50" s="2027"/>
      <c r="R50" s="2028"/>
      <c r="S50" s="1739"/>
      <c r="T50" s="2028"/>
      <c r="U50" s="1739"/>
      <c r="V50" s="1739"/>
    </row>
    <row r="51" spans="1:22">
      <c r="A51" s="2027"/>
      <c r="B51" s="2027"/>
      <c r="C51" s="2027"/>
      <c r="D51" s="2027"/>
      <c r="E51" s="2027"/>
      <c r="F51" s="2027"/>
      <c r="G51" s="2027"/>
      <c r="H51" s="2027"/>
      <c r="I51" s="2027"/>
      <c r="J51" s="2027"/>
      <c r="K51" s="2027"/>
      <c r="L51" s="2027"/>
      <c r="M51" s="2027"/>
      <c r="N51" s="2027"/>
      <c r="O51" s="2027"/>
      <c r="P51" s="2027"/>
      <c r="Q51" s="2027"/>
      <c r="R51" s="2028"/>
      <c r="S51" s="1739"/>
      <c r="T51" s="2028"/>
      <c r="U51" s="1739"/>
      <c r="V51" s="1739"/>
    </row>
    <row r="52" spans="1:22">
      <c r="A52" s="2027"/>
      <c r="B52" s="2027"/>
      <c r="C52" s="2027"/>
      <c r="D52" s="2027"/>
      <c r="E52" s="2027"/>
      <c r="F52" s="2027"/>
      <c r="G52" s="2027"/>
      <c r="H52" s="2027"/>
      <c r="I52" s="2027"/>
      <c r="J52" s="2027"/>
      <c r="K52" s="2027"/>
      <c r="L52" s="2027"/>
      <c r="M52" s="2027"/>
      <c r="N52" s="2027"/>
      <c r="O52" s="2027"/>
      <c r="P52" s="2027"/>
      <c r="Q52" s="2027"/>
      <c r="R52" s="2028"/>
      <c r="S52" s="1739"/>
      <c r="T52" s="2028"/>
      <c r="U52" s="1739"/>
      <c r="V52" s="1739"/>
    </row>
    <row r="53" spans="1:22">
      <c r="A53" s="2027"/>
      <c r="B53" s="2027"/>
      <c r="C53" s="2027"/>
      <c r="D53" s="2027"/>
      <c r="E53" s="2027"/>
      <c r="F53" s="2027"/>
      <c r="G53" s="2027"/>
      <c r="H53" s="2027"/>
      <c r="I53" s="2027"/>
      <c r="J53" s="2027"/>
      <c r="K53" s="2027"/>
      <c r="L53" s="2027"/>
      <c r="M53" s="2027"/>
      <c r="N53" s="2027"/>
      <c r="O53" s="2027"/>
      <c r="P53" s="2027"/>
      <c r="Q53" s="2027"/>
      <c r="R53" s="2028"/>
      <c r="S53" s="1739"/>
      <c r="T53" s="2028"/>
      <c r="U53" s="1739"/>
      <c r="V53" s="1739"/>
    </row>
    <row r="54" spans="1:22">
      <c r="A54" s="2027"/>
      <c r="B54" s="2027"/>
      <c r="C54" s="2027"/>
      <c r="D54" s="2027"/>
      <c r="E54" s="2027"/>
      <c r="F54" s="2027"/>
      <c r="G54" s="2027"/>
      <c r="H54" s="2027"/>
      <c r="I54" s="2027"/>
      <c r="J54" s="2027"/>
      <c r="K54" s="2027"/>
      <c r="L54" s="2027"/>
      <c r="M54" s="2027"/>
      <c r="N54" s="2027"/>
      <c r="O54" s="2027"/>
      <c r="P54" s="2027"/>
      <c r="Q54" s="2027"/>
      <c r="R54" s="2028"/>
      <c r="S54" s="1739"/>
      <c r="T54" s="2028"/>
      <c r="U54" s="1739"/>
      <c r="V54" s="1739"/>
    </row>
    <row r="55" spans="1:22">
      <c r="A55" s="2027"/>
      <c r="B55" s="2027"/>
      <c r="C55" s="2027"/>
      <c r="D55" s="2027"/>
      <c r="E55" s="2027"/>
      <c r="F55" s="2027"/>
      <c r="G55" s="2027"/>
      <c r="H55" s="2027"/>
      <c r="I55" s="2027"/>
      <c r="J55" s="2027"/>
      <c r="K55" s="2027"/>
      <c r="L55" s="2027"/>
      <c r="M55" s="2027"/>
      <c r="N55" s="2027"/>
      <c r="O55" s="2027"/>
      <c r="P55" s="2027"/>
      <c r="Q55" s="2027"/>
      <c r="R55" s="2028"/>
      <c r="S55" s="1739"/>
      <c r="T55" s="2028"/>
      <c r="U55" s="1739"/>
      <c r="V55" s="1739"/>
    </row>
    <row r="56" spans="1:22">
      <c r="A56" s="2027"/>
      <c r="B56" s="2027"/>
      <c r="C56" s="2027"/>
      <c r="D56" s="2027"/>
      <c r="E56" s="2027"/>
      <c r="F56" s="2027"/>
      <c r="G56" s="2027"/>
      <c r="H56" s="2027"/>
      <c r="I56" s="2027"/>
      <c r="J56" s="2027"/>
      <c r="K56" s="2027"/>
      <c r="L56" s="2027"/>
      <c r="M56" s="2027"/>
      <c r="N56" s="2027"/>
      <c r="O56" s="2027"/>
      <c r="P56" s="2027"/>
      <c r="Q56" s="2027"/>
      <c r="R56" s="2029"/>
      <c r="S56" s="2027"/>
    </row>
    <row r="57" spans="1:22">
      <c r="A57" s="2027"/>
      <c r="B57" s="2027"/>
      <c r="C57" s="2027"/>
      <c r="D57" s="2027"/>
      <c r="E57" s="2027"/>
      <c r="F57" s="2027"/>
      <c r="G57" s="2027"/>
      <c r="H57" s="2027"/>
      <c r="I57" s="2027"/>
      <c r="J57" s="2027"/>
      <c r="K57" s="2027"/>
      <c r="L57" s="2027"/>
      <c r="M57" s="2027"/>
      <c r="N57" s="2027"/>
      <c r="O57" s="2027"/>
      <c r="P57" s="2027"/>
      <c r="Q57" s="2027"/>
      <c r="R57" s="2029"/>
      <c r="S57" s="2027"/>
    </row>
    <row r="58" spans="1:22">
      <c r="A58" s="2027"/>
      <c r="B58" s="2027"/>
      <c r="C58" s="2027"/>
      <c r="D58" s="2027"/>
      <c r="E58" s="2027"/>
      <c r="F58" s="2027"/>
      <c r="G58" s="2027"/>
      <c r="H58" s="2027"/>
      <c r="I58" s="2027"/>
      <c r="J58" s="2027"/>
      <c r="K58" s="2027"/>
      <c r="L58" s="2027"/>
      <c r="M58" s="2027"/>
      <c r="N58" s="2027"/>
      <c r="O58" s="2027"/>
      <c r="P58" s="2027"/>
      <c r="Q58" s="2027"/>
      <c r="R58" s="2029"/>
      <c r="S58" s="2027"/>
    </row>
    <row r="59" spans="1:22">
      <c r="A59" s="2027"/>
      <c r="B59" s="2027"/>
      <c r="C59" s="2027"/>
      <c r="D59" s="2027"/>
      <c r="E59" s="2027"/>
      <c r="F59" s="2027"/>
      <c r="G59" s="2027"/>
      <c r="H59" s="2027"/>
      <c r="I59" s="2027"/>
      <c r="J59" s="2027"/>
      <c r="K59" s="2027"/>
      <c r="L59" s="2027"/>
      <c r="M59" s="2027"/>
      <c r="N59" s="2027"/>
      <c r="O59" s="2027"/>
      <c r="P59" s="2027"/>
      <c r="Q59" s="2027"/>
      <c r="R59" s="2029"/>
      <c r="S59" s="2027"/>
    </row>
    <row r="60" spans="1:22">
      <c r="A60" s="2027"/>
      <c r="B60" s="2027"/>
      <c r="C60" s="2027"/>
      <c r="D60" s="2027"/>
      <c r="E60" s="2027"/>
      <c r="F60" s="2027"/>
      <c r="G60" s="2027"/>
      <c r="H60" s="2027"/>
      <c r="I60" s="2027"/>
      <c r="J60" s="2027"/>
      <c r="K60" s="2027"/>
      <c r="L60" s="2027"/>
      <c r="M60" s="2027"/>
      <c r="N60" s="2027"/>
      <c r="O60" s="2027"/>
      <c r="P60" s="2027"/>
      <c r="Q60" s="2027"/>
      <c r="R60" s="2029"/>
      <c r="S60" s="2027"/>
    </row>
    <row r="61" spans="1:22">
      <c r="A61" s="2027"/>
      <c r="B61" s="2027"/>
      <c r="C61" s="2027"/>
      <c r="D61" s="2027"/>
      <c r="E61" s="2027"/>
      <c r="F61" s="2027"/>
      <c r="G61" s="2027"/>
      <c r="H61" s="2027"/>
      <c r="I61" s="2027"/>
      <c r="J61" s="2027"/>
      <c r="K61" s="2027"/>
      <c r="L61" s="2027"/>
      <c r="M61" s="2027"/>
      <c r="N61" s="2027"/>
      <c r="O61" s="2027"/>
      <c r="P61" s="2027"/>
      <c r="Q61" s="2027"/>
      <c r="R61" s="2029"/>
      <c r="S61" s="2027"/>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6" orientation="landscape" useFirstPageNumber="1" r:id="rId2"/>
  <headerFooter scaleWithDoc="0" alignWithMargins="0">
    <oddFooter>&amp;C&amp;8&amp;P</oddFooter>
  </headerFooter>
  <ignoredErrors>
    <ignoredError sqref="S20:U22 S35:U38 T34:U34 T42 T41 S30:U32 S18:T18 S27:U28 S23:T25 S33:T33 S40:U40 S19:U19 S26:T26"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2" customWidth="1"/>
    <col min="2" max="2" width="2.44140625" style="302" customWidth="1"/>
    <col min="3" max="3" width="15.33203125" style="302" customWidth="1"/>
    <col min="4" max="4" width="1.88671875" style="302" customWidth="1"/>
    <col min="5" max="5" width="15.33203125" style="302" customWidth="1"/>
    <col min="6" max="6" width="2.77734375" style="302" customWidth="1"/>
    <col min="7" max="7" width="15.33203125" style="302" customWidth="1"/>
    <col min="8" max="8" width="2" style="302" customWidth="1"/>
    <col min="9" max="9" width="14.88671875" style="302" customWidth="1"/>
    <col min="10" max="10" width="2.33203125" style="302" customWidth="1"/>
    <col min="11" max="11" width="14.109375" style="302" customWidth="1"/>
    <col min="12" max="16384" width="8.88671875" style="302"/>
  </cols>
  <sheetData>
    <row r="1" spans="1:11">
      <c r="A1" s="1190" t="s">
        <v>1231</v>
      </c>
    </row>
    <row r="2" spans="1:11">
      <c r="A2" s="1740"/>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row>
    <row r="5" spans="1:11" ht="20.25" customHeight="1">
      <c r="A5" s="3508" t="s">
        <v>1543</v>
      </c>
      <c r="B5" s="3509"/>
      <c r="C5" s="3509"/>
      <c r="D5" s="3509"/>
      <c r="E5" s="3509"/>
      <c r="F5" s="345"/>
      <c r="G5" s="348"/>
      <c r="H5" s="345"/>
      <c r="I5" s="345"/>
      <c r="J5" s="345"/>
      <c r="K5" s="345"/>
    </row>
    <row r="6" spans="1:11" ht="18.75" customHeight="1">
      <c r="A6" s="1735" t="s">
        <v>1591</v>
      </c>
      <c r="B6" s="350"/>
      <c r="C6" s="351"/>
      <c r="D6" s="345"/>
      <c r="E6" s="351"/>
      <c r="F6" s="345"/>
      <c r="G6" s="345"/>
      <c r="H6" s="345"/>
      <c r="I6" s="345"/>
      <c r="J6" s="345"/>
      <c r="K6" s="345"/>
    </row>
    <row r="7" spans="1:11" ht="18">
      <c r="A7" s="394" t="s">
        <v>1117</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223"/>
      <c r="B11" s="354"/>
      <c r="C11" s="3510" t="s">
        <v>1429</v>
      </c>
      <c r="D11" s="3510"/>
      <c r="E11" s="3510"/>
      <c r="F11" s="3510"/>
      <c r="G11" s="3510"/>
      <c r="H11" s="3510"/>
      <c r="I11" s="3510"/>
      <c r="J11" s="2356"/>
      <c r="K11" s="2357"/>
    </row>
    <row r="12" spans="1:11" ht="15.75">
      <c r="A12" s="223"/>
      <c r="B12" s="354"/>
      <c r="C12" s="355"/>
      <c r="D12" s="355"/>
      <c r="E12" s="355"/>
      <c r="F12" s="355"/>
      <c r="G12" s="355"/>
      <c r="H12" s="355"/>
      <c r="I12" s="356" t="s">
        <v>87</v>
      </c>
      <c r="J12" s="356"/>
      <c r="K12" s="356" t="s">
        <v>87</v>
      </c>
    </row>
    <row r="13" spans="1:11" ht="15.75">
      <c r="A13" s="223"/>
      <c r="B13" s="354"/>
      <c r="C13" s="355"/>
      <c r="D13" s="355"/>
      <c r="E13" s="355"/>
      <c r="F13" s="355"/>
      <c r="G13" s="355"/>
      <c r="H13" s="355"/>
      <c r="I13" s="356" t="s">
        <v>1124</v>
      </c>
      <c r="J13" s="356"/>
      <c r="K13" s="356" t="s">
        <v>1124</v>
      </c>
    </row>
    <row r="14" spans="1:11" ht="15.75">
      <c r="A14" s="223"/>
      <c r="B14" s="354"/>
      <c r="C14" s="357" t="s">
        <v>1370</v>
      </c>
      <c r="D14" s="355"/>
      <c r="E14" s="356" t="s">
        <v>1371</v>
      </c>
      <c r="F14" s="355"/>
      <c r="G14" s="355"/>
      <c r="H14" s="355"/>
      <c r="I14" s="356" t="s">
        <v>88</v>
      </c>
      <c r="J14" s="356"/>
      <c r="K14" s="356" t="s">
        <v>88</v>
      </c>
    </row>
    <row r="15" spans="1:11" ht="15.75">
      <c r="A15" s="223"/>
      <c r="B15" s="354"/>
      <c r="C15" s="356" t="s">
        <v>1414</v>
      </c>
      <c r="D15" s="355"/>
      <c r="E15" s="356" t="s">
        <v>1414</v>
      </c>
      <c r="F15" s="355"/>
      <c r="G15" s="355"/>
      <c r="H15" s="355"/>
      <c r="I15" s="356" t="s">
        <v>1370</v>
      </c>
      <c r="J15" s="356"/>
      <c r="K15" s="356" t="s">
        <v>1371</v>
      </c>
    </row>
    <row r="16" spans="1:11" ht="15.75">
      <c r="A16" s="223"/>
      <c r="B16" s="354"/>
      <c r="C16" s="356" t="s">
        <v>1415</v>
      </c>
      <c r="D16" s="355"/>
      <c r="E16" s="356" t="s">
        <v>1565</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75">
      <c r="A18" s="221" t="s">
        <v>15</v>
      </c>
      <c r="B18" s="361"/>
      <c r="C18" s="362"/>
      <c r="D18" s="362"/>
      <c r="E18" s="362"/>
      <c r="F18" s="362"/>
      <c r="G18" s="362"/>
      <c r="H18" s="362"/>
      <c r="I18" s="362"/>
      <c r="J18" s="362"/>
      <c r="K18" s="361"/>
    </row>
    <row r="19" spans="1:11" ht="15" customHeight="1">
      <c r="A19" s="1727"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8869</v>
      </c>
      <c r="D20" s="366"/>
      <c r="E20" s="242">
        <f>+'Exh D General Fund  '!E20+'Exh D Special Revenue'!E20+'Exh D Debt Service'!E20</f>
        <v>0</v>
      </c>
      <c r="F20" s="366"/>
      <c r="G20" s="242">
        <f>+'Exh D General Fund  '!G20+'Exh D Special Revenue'!G20+'Exh D Debt Service'!G20</f>
        <v>9039.2000000000007</v>
      </c>
      <c r="H20" s="366"/>
      <c r="I20" s="242">
        <f t="shared" ref="I20:I25" si="0">ROUND(SUM(G20)-SUM(C20),1)</f>
        <v>170.2</v>
      </c>
      <c r="J20" s="367"/>
      <c r="K20" s="243">
        <v>0</v>
      </c>
    </row>
    <row r="21" spans="1:11">
      <c r="A21" s="1727" t="s">
        <v>92</v>
      </c>
      <c r="B21" s="361" t="s">
        <v>16</v>
      </c>
      <c r="C21" s="261">
        <f>+'Exh D General Fund  '!C21+'Exh D Debt Service'!C21+'Exh D Special Revenue'!C21+'Exh D Capital Projects'!C20</f>
        <v>2441</v>
      </c>
      <c r="D21" s="261"/>
      <c r="E21" s="261">
        <f>+'Exh D General Fund  '!E21+'Exh D Special Revenue'!E21+'Exh D Debt Service'!E21+'Exh D Capital Projects'!E20</f>
        <v>0</v>
      </c>
      <c r="F21" s="261"/>
      <c r="G21" s="261">
        <f>+'Exh D General Fund  '!G21+'Exh D Special Revenue'!G21+'Exh D Debt Service'!G21+'Exh D Capital Projects'!G20</f>
        <v>2407.8999999999996</v>
      </c>
      <c r="H21" s="261"/>
      <c r="I21" s="261">
        <f t="shared" si="0"/>
        <v>-33.1</v>
      </c>
      <c r="J21" s="367"/>
      <c r="K21" s="249">
        <v>0</v>
      </c>
    </row>
    <row r="22" spans="1:11" ht="17.25" customHeight="1">
      <c r="A22" s="1727" t="s">
        <v>93</v>
      </c>
      <c r="B22" s="363" t="s">
        <v>16</v>
      </c>
      <c r="C22" s="261">
        <f>+'Exh D General Fund  '!C22+'Exh D Special Revenue'!C22+'Exh D Capital Projects'!C21</f>
        <v>435</v>
      </c>
      <c r="D22" s="274"/>
      <c r="E22" s="261">
        <f>+'Exh D General Fund  '!E22+'Exh D Special Revenue'!E22+'Exh D Capital Projects'!E21</f>
        <v>0</v>
      </c>
      <c r="F22" s="274"/>
      <c r="G22" s="261">
        <f>+'Exh D General Fund  '!G22+'Exh D Special Revenue'!G22+'Exh D Capital Projects'!G21</f>
        <v>375.4</v>
      </c>
      <c r="H22" s="274"/>
      <c r="I22" s="261">
        <f t="shared" si="0"/>
        <v>-59.6</v>
      </c>
      <c r="J22" s="367"/>
      <c r="K22" s="249">
        <v>0</v>
      </c>
    </row>
    <row r="23" spans="1:11" ht="14.25" customHeight="1">
      <c r="A23" s="1727" t="s">
        <v>94</v>
      </c>
      <c r="B23" s="361" t="s">
        <v>16</v>
      </c>
      <c r="C23" s="261">
        <f>+'Exh D General Fund  '!C23+'Exh D Special Revenue'!C23+'Exh D Capital Projects'!C22+'Exh D Debt Service'!C22</f>
        <v>639</v>
      </c>
      <c r="D23" s="261"/>
      <c r="E23" s="261">
        <f>+'Exh D General Fund  '!E23+'Exh D Special Revenue'!E23+'Exh D Debt Service'!E22+'Exh D Capital Projects'!E22</f>
        <v>0</v>
      </c>
      <c r="F23" s="261"/>
      <c r="G23" s="261">
        <f>+'Exh D General Fund  '!G23+'Exh D Special Revenue'!G23+'Exh D Debt Service'!G22+'Exh D Capital Projects'!G22</f>
        <v>703.8</v>
      </c>
      <c r="H23" s="261"/>
      <c r="I23" s="261">
        <f t="shared" si="0"/>
        <v>64.8</v>
      </c>
      <c r="J23" s="367"/>
      <c r="K23" s="249">
        <v>0</v>
      </c>
    </row>
    <row r="24" spans="1:11">
      <c r="A24" s="1727" t="s">
        <v>21</v>
      </c>
      <c r="B24" s="361" t="s">
        <v>16</v>
      </c>
      <c r="C24" s="261">
        <f>+'Exh D General Fund  '!C24+'Exh D Special Revenue'!C24+'Exh D Debt Service'!C23+'Exh D Capital Projects'!C23</f>
        <v>4627</v>
      </c>
      <c r="D24" s="261"/>
      <c r="E24" s="261">
        <f>+'Exh D General Fund  '!E24+'Exh D Special Revenue'!E24+'Exh D Debt Service'!E23+'Exh D Capital Projects'!E23</f>
        <v>0</v>
      </c>
      <c r="F24" s="261"/>
      <c r="G24" s="261">
        <f>+'Exh D General Fund  '!G24+'Exh D Special Revenue'!G24+'Exh D Debt Service'!G23+'Exh D Capital Projects'!G23</f>
        <v>4980.3999999999996</v>
      </c>
      <c r="H24" s="261"/>
      <c r="I24" s="261">
        <f t="shared" si="0"/>
        <v>353.4</v>
      </c>
      <c r="J24" s="368"/>
      <c r="K24" s="249">
        <v>0</v>
      </c>
    </row>
    <row r="25" spans="1:11" ht="15" customHeight="1">
      <c r="A25" s="1727" t="s">
        <v>22</v>
      </c>
      <c r="B25" s="361" t="s">
        <v>16</v>
      </c>
      <c r="C25" s="517">
        <f>+'Exh D General Fund  '!C25+'Exh D Debt Service'!C24+'Exh D Special Revenue'!C25+'Exh D Capital Projects'!C24</f>
        <v>6582</v>
      </c>
      <c r="D25" s="261"/>
      <c r="E25" s="517">
        <f>+'Exh D General Fund  '!E25+'Exh D Special Revenue'!E25+'Exh D Debt Service'!E24+'Exh D Capital Projects'!E24</f>
        <v>0</v>
      </c>
      <c r="F25" s="261"/>
      <c r="G25" s="517">
        <f>+'Exh D General Fund  '!G25+'Exh D Special Revenue'!G25+'Exh D Debt Service'!G24+'Exh D Capital Projects'!G24</f>
        <v>6378.4000000000005</v>
      </c>
      <c r="H25" s="261"/>
      <c r="I25" s="261">
        <f t="shared" si="0"/>
        <v>-203.6</v>
      </c>
      <c r="J25" s="368"/>
      <c r="K25" s="249">
        <v>0</v>
      </c>
    </row>
    <row r="26" spans="1:11" ht="15.75">
      <c r="A26" s="376" t="s">
        <v>95</v>
      </c>
      <c r="B26" s="354" t="s">
        <v>16</v>
      </c>
      <c r="C26" s="421">
        <f>ROUND(SUM(C20:C25),1)</f>
        <v>23593</v>
      </c>
      <c r="D26" s="1899"/>
      <c r="E26" s="421">
        <f>ROUND(SUM(E20:E25),1)</f>
        <v>0</v>
      </c>
      <c r="F26" s="257"/>
      <c r="G26" s="421">
        <f>ROUND(SUM(G20:G25),1)</f>
        <v>23885.1</v>
      </c>
      <c r="H26" s="257"/>
      <c r="I26" s="421">
        <f>ROUND(SUM(I20:I25),1)</f>
        <v>292.10000000000002</v>
      </c>
      <c r="J26" s="369"/>
      <c r="K26" s="421">
        <f>ROUND(SUM(K20:K25),1)</f>
        <v>0</v>
      </c>
    </row>
    <row r="27" spans="1:11">
      <c r="A27" s="223"/>
      <c r="B27" s="361" t="s">
        <v>16</v>
      </c>
      <c r="C27" s="289"/>
      <c r="D27" s="261"/>
      <c r="E27" s="289"/>
      <c r="F27" s="261"/>
      <c r="G27" s="289"/>
      <c r="H27" s="261"/>
      <c r="I27" s="289"/>
      <c r="J27" s="253"/>
      <c r="K27" s="289"/>
    </row>
    <row r="28" spans="1:11" ht="15.75">
      <c r="A28" s="221" t="s">
        <v>24</v>
      </c>
      <c r="B28" s="361" t="s">
        <v>16</v>
      </c>
      <c r="C28" s="261"/>
      <c r="D28" s="261"/>
      <c r="E28" s="261"/>
      <c r="F28" s="261"/>
      <c r="G28" s="261"/>
      <c r="H28" s="261"/>
      <c r="I28" s="261"/>
      <c r="J28" s="368"/>
      <c r="K28" s="249"/>
    </row>
    <row r="29" spans="1:11">
      <c r="A29" s="1727" t="s">
        <v>96</v>
      </c>
      <c r="B29" s="361" t="s">
        <v>16</v>
      </c>
      <c r="C29" s="517">
        <f>+'Exh D General Fund  '!C34+'Exh D Special Revenue'!C30+'Exh D Capital Projects'!C30</f>
        <v>14846</v>
      </c>
      <c r="D29" s="261"/>
      <c r="E29" s="517">
        <f>+'Exh D General Fund  '!E34+'Exh D Special Revenue'!E30+'Exh D Capital Projects'!E30</f>
        <v>0</v>
      </c>
      <c r="F29" s="261"/>
      <c r="G29" s="517">
        <f>+'Exh D General Fund  '!G34+'Exh D Special Revenue'!G30+'Exh D Capital Projects'!G30</f>
        <v>14436.5</v>
      </c>
      <c r="H29" s="261"/>
      <c r="I29" s="261">
        <f>ROUND(SUM(G29)-SUM(C29),1)</f>
        <v>-409.5</v>
      </c>
      <c r="J29" s="368"/>
      <c r="K29" s="249">
        <v>0</v>
      </c>
    </row>
    <row r="30" spans="1:11">
      <c r="A30" s="1727" t="s">
        <v>97</v>
      </c>
      <c r="B30" s="361" t="s">
        <v>16</v>
      </c>
      <c r="C30" s="274">
        <f>+'Exh D General Fund  '!C35+'Exh D Special Revenue'!C31+'Exh D Debt Service'!C29</f>
        <v>3126</v>
      </c>
      <c r="D30" s="261"/>
      <c r="E30" s="274">
        <f>+'Exh D General Fund  '!E35+'Exh D Special Revenue'!E31+'Exh D Debt Service'!E29</f>
        <v>0</v>
      </c>
      <c r="F30" s="261"/>
      <c r="G30" s="274">
        <f>+'Exh D General Fund  '!G35+'Exh D Special Revenue'!G31+'Exh D Debt Service'!G29</f>
        <v>3062.7999999999997</v>
      </c>
      <c r="H30" s="261"/>
      <c r="I30" s="261">
        <f>ROUND(SUM(G30)-SUM(C30),1)</f>
        <v>-63.2</v>
      </c>
      <c r="J30" s="368"/>
      <c r="K30" s="249">
        <v>0</v>
      </c>
    </row>
    <row r="31" spans="1:11">
      <c r="A31" s="1727" t="s">
        <v>72</v>
      </c>
      <c r="B31" s="361" t="s">
        <v>16</v>
      </c>
      <c r="C31" s="517">
        <f>+'Exh D General Fund  '!C36+'Exh D Special Revenue'!C32</f>
        <v>1530</v>
      </c>
      <c r="D31" s="261"/>
      <c r="E31" s="1283">
        <f>+'Exh D General Fund  '!E36+'Exh D Special Revenue'!E32</f>
        <v>0</v>
      </c>
      <c r="F31" s="261"/>
      <c r="G31" s="517">
        <f>+'Exh D General Fund  '!G36+'Exh D Special Revenue'!G32</f>
        <v>1407</v>
      </c>
      <c r="H31" s="261"/>
      <c r="I31" s="261">
        <f>ROUND(SUM(G31)-SUM(C31),1)</f>
        <v>-123</v>
      </c>
      <c r="J31" s="368"/>
      <c r="K31" s="249">
        <v>0</v>
      </c>
    </row>
    <row r="32" spans="1:11">
      <c r="A32" s="1727" t="s">
        <v>98</v>
      </c>
      <c r="B32" s="361" t="s">
        <v>16</v>
      </c>
      <c r="C32" s="274">
        <f>+'Exh D Debt Service'!C30</f>
        <v>429</v>
      </c>
      <c r="D32" s="261"/>
      <c r="E32" s="274">
        <f>+'Exh D Debt Service'!E30</f>
        <v>0</v>
      </c>
      <c r="F32" s="261"/>
      <c r="G32" s="274">
        <f>+'Exh D Debt Service'!G30</f>
        <v>420.5</v>
      </c>
      <c r="H32" s="261"/>
      <c r="I32" s="261">
        <f>ROUND(SUM(G32)-SUM(C32),1)</f>
        <v>-8.5</v>
      </c>
      <c r="J32" s="368"/>
      <c r="K32" s="249">
        <v>0</v>
      </c>
    </row>
    <row r="33" spans="1:11" ht="15" customHeight="1">
      <c r="A33" s="1727" t="s">
        <v>43</v>
      </c>
      <c r="B33" s="361" t="s">
        <v>16</v>
      </c>
      <c r="C33" s="517">
        <f>+'Exh D Special Revenue'!C33+'Exh D Capital Projects'!C31</f>
        <v>684</v>
      </c>
      <c r="D33" s="261"/>
      <c r="E33" s="517">
        <f>+'Exh D Special Revenue'!E33+'Exh D Capital Projects'!E31</f>
        <v>0</v>
      </c>
      <c r="F33" s="261"/>
      <c r="G33" s="517">
        <f>+'Exh D Special Revenue'!G33+'Exh D Capital Projects'!G31</f>
        <v>715.2</v>
      </c>
      <c r="H33" s="261"/>
      <c r="I33" s="261">
        <f>ROUND(SUM(G33)-SUM(C33),1)</f>
        <v>31.2</v>
      </c>
      <c r="J33" s="368"/>
      <c r="K33" s="249">
        <v>0</v>
      </c>
    </row>
    <row r="34" spans="1:11" ht="15.75" customHeight="1">
      <c r="A34" s="376" t="s">
        <v>99</v>
      </c>
      <c r="B34" s="354" t="s">
        <v>16</v>
      </c>
      <c r="C34" s="546">
        <f>ROUND(SUM(C29:C33),1)</f>
        <v>20615</v>
      </c>
      <c r="D34" s="1899"/>
      <c r="E34" s="546">
        <f>ROUND(SUM(E29:E33),1)</f>
        <v>0</v>
      </c>
      <c r="F34" s="257"/>
      <c r="G34" s="546">
        <f>ROUND(SUM(G29:G33),1)</f>
        <v>20042</v>
      </c>
      <c r="H34" s="257"/>
      <c r="I34" s="546">
        <f>ROUND(SUM(I29:I33),1)</f>
        <v>-573</v>
      </c>
      <c r="J34" s="369"/>
      <c r="K34" s="546">
        <f>ROUND(SUM(K29:K33),1)</f>
        <v>0</v>
      </c>
    </row>
    <row r="35" spans="1:11">
      <c r="A35" s="223"/>
      <c r="B35" s="361"/>
      <c r="C35" s="261"/>
      <c r="D35" s="261"/>
      <c r="E35" s="261"/>
      <c r="F35" s="261"/>
      <c r="G35" s="261"/>
      <c r="H35" s="261"/>
      <c r="I35" s="261"/>
      <c r="J35" s="368"/>
      <c r="K35" s="249"/>
    </row>
    <row r="36" spans="1:11" ht="15.75">
      <c r="A36" s="376" t="s">
        <v>45</v>
      </c>
      <c r="B36" s="361"/>
      <c r="C36" s="261"/>
      <c r="D36" s="261"/>
      <c r="E36" s="261"/>
      <c r="F36" s="261"/>
      <c r="G36" s="261"/>
      <c r="H36" s="261"/>
      <c r="I36" s="261"/>
      <c r="J36" s="368"/>
      <c r="K36" s="249"/>
    </row>
    <row r="37" spans="1:11" ht="15.75">
      <c r="A37" s="376" t="s">
        <v>46</v>
      </c>
      <c r="B37" s="361" t="s">
        <v>16</v>
      </c>
      <c r="C37" s="271">
        <f>ROUND(SUM(+C26-C34),1)</f>
        <v>2978</v>
      </c>
      <c r="D37" s="261"/>
      <c r="E37" s="271">
        <f>ROUND(SUM(+E26-E34),1)</f>
        <v>0</v>
      </c>
      <c r="F37" s="261"/>
      <c r="G37" s="271">
        <f>ROUND(SUM(+G26-G34),1)</f>
        <v>3843.1</v>
      </c>
      <c r="H37" s="261"/>
      <c r="I37" s="271">
        <f>ROUND(SUM(+I26-I34),1)</f>
        <v>865.1</v>
      </c>
      <c r="J37" s="253"/>
      <c r="K37" s="1745">
        <f>ROUND(SUM(+K26-K34),1)</f>
        <v>0</v>
      </c>
    </row>
    <row r="38" spans="1:11">
      <c r="A38" s="223"/>
      <c r="B38" s="361"/>
      <c r="C38" s="261"/>
      <c r="D38" s="261"/>
      <c r="E38" s="261"/>
      <c r="F38" s="261"/>
      <c r="G38" s="261"/>
      <c r="H38" s="261"/>
      <c r="I38" s="261"/>
      <c r="J38" s="368"/>
      <c r="K38" s="249"/>
    </row>
    <row r="39" spans="1:11" ht="15.75">
      <c r="A39" s="376" t="s">
        <v>47</v>
      </c>
      <c r="B39" s="361"/>
      <c r="C39" s="261"/>
      <c r="D39" s="261"/>
      <c r="E39" s="261"/>
      <c r="F39" s="261"/>
      <c r="G39" s="261"/>
      <c r="H39" s="261"/>
      <c r="I39" s="261"/>
      <c r="J39" s="368"/>
      <c r="K39" s="249"/>
    </row>
    <row r="40" spans="1:11">
      <c r="A40" s="1727" t="s">
        <v>100</v>
      </c>
      <c r="B40" s="361" t="s">
        <v>16</v>
      </c>
      <c r="C40" s="518">
        <f>'Exh D Captl Projects State Fed'!C25</f>
        <v>0</v>
      </c>
      <c r="D40" s="261"/>
      <c r="E40" s="518">
        <f>'Exh D Captl Projects State Fed'!E25</f>
        <v>0</v>
      </c>
      <c r="F40" s="261"/>
      <c r="G40" s="518">
        <f>'Exh D Captl Projects State Fed'!G25</f>
        <v>0</v>
      </c>
      <c r="H40" s="261"/>
      <c r="I40" s="261">
        <f>ROUND(SUM(G40)-SUM(E40),1)</f>
        <v>0</v>
      </c>
      <c r="J40" s="374"/>
      <c r="K40" s="249">
        <f>ROUND(SUM(G40)-SUM(C40),1)</f>
        <v>0</v>
      </c>
    </row>
    <row r="41" spans="1:11">
      <c r="A41" s="1727" t="s">
        <v>49</v>
      </c>
      <c r="B41" s="361" t="s">
        <v>16</v>
      </c>
      <c r="C41" s="274">
        <f>+'Exh D General Fund  '!C27+'Exh D General Fund  '!C28+'Exh D General Fund  '!C29+'Exh D General Fund  '!C30+'Exh D Special Revenue'!C26+'Exh D Debt Service'!C25+'Exh D Capital Projects'!C26</f>
        <v>7115</v>
      </c>
      <c r="D41" s="261"/>
      <c r="E41" s="320">
        <f>+'Exh D General Fund  '!E27+'Exh D General Fund  '!E28+'Exh D General Fund  '!E29+'Exh D General Fund  '!E30+'Exh D Special Revenue'!E26+'Exh D Debt Service'!E25+'Exh D Capital Projects'!E26</f>
        <v>0</v>
      </c>
      <c r="F41" s="261"/>
      <c r="G41" s="274">
        <f>+'Exh D General Fund  '!G27+'Exh D General Fund  '!G28+'Exh D General Fund  '!G29+'Exh D General Fund  '!G30+'Exh D Special Revenue'!G26+'Exh D Debt Service'!G25+'Exh D Capital Projects'!G26</f>
        <v>6871.4</v>
      </c>
      <c r="H41" s="261"/>
      <c r="I41" s="261">
        <f>ROUND(SUM(G41)-SUM(C41),1)</f>
        <v>-243.6</v>
      </c>
      <c r="J41" s="368"/>
      <c r="K41" s="249">
        <v>0</v>
      </c>
    </row>
    <row r="42" spans="1:11">
      <c r="A42" s="1727" t="s">
        <v>101</v>
      </c>
      <c r="B42" s="361" t="s">
        <v>16</v>
      </c>
      <c r="C42" s="522">
        <f>-(+'Exh D General Fund  '!C38+'Exh D General Fund  '!C39+'Exh D General Fund  '!C40+'Exh D General Fund  '!C41+'Exh D General Fund  '!C42+'Exh D Special Revenue'!C34+'Exh D Debt Service'!C31+'Exh D Capital Projects'!C32)</f>
        <v>-7123</v>
      </c>
      <c r="D42" s="261"/>
      <c r="E42" s="2814">
        <f>-(+'Exh D General Fund  '!E38+'Exh D General Fund  '!E39+'Exh D General Fund  '!E40+'Exh D General Fund  '!E41+'Exh D General Fund  '!E42+'Exh D Special Revenue'!E34+'Exh D Debt Service'!E31+'Exh D Capital Projects'!E32)</f>
        <v>0</v>
      </c>
      <c r="F42" s="261"/>
      <c r="G42" s="522">
        <f>-(+'Exh D General Fund  '!G38+'Exh D General Fund  '!G39+'Exh D General Fund  '!G40+'Exh D General Fund  '!G41+'Exh D General Fund  '!G42+'Exh D Special Revenue'!G34+'Exh D Debt Service'!G31+'Exh D Capital Projects'!G32)</f>
        <v>-6877.4</v>
      </c>
      <c r="H42" s="261"/>
      <c r="I42" s="1011">
        <f>-ROUND(SUM(G42)-SUM(C42),1)</f>
        <v>-245.6</v>
      </c>
      <c r="J42" s="253"/>
      <c r="K42" s="1011">
        <v>0</v>
      </c>
    </row>
    <row r="43" spans="1:11" ht="15.75">
      <c r="A43" s="376" t="s">
        <v>102</v>
      </c>
      <c r="B43" s="361" t="s">
        <v>16</v>
      </c>
      <c r="C43" s="524">
        <f>ROUND(+SUM(C40)+C41+C42,1)</f>
        <v>-8</v>
      </c>
      <c r="D43" s="261"/>
      <c r="E43" s="524">
        <f>ROUND(+SUM(E40)+E41+E42,1)</f>
        <v>0</v>
      </c>
      <c r="F43" s="261"/>
      <c r="G43" s="524">
        <f>ROUND(+SUM(G40)+G41+G42,1)</f>
        <v>-6</v>
      </c>
      <c r="H43" s="261"/>
      <c r="I43" s="524">
        <f>ROUND(SUM(I40+I41-I42),1)</f>
        <v>2</v>
      </c>
      <c r="J43" s="375"/>
      <c r="K43" s="2393">
        <f>ROUND(SUM(K40+K41-K42),1)</f>
        <v>0</v>
      </c>
    </row>
    <row r="44" spans="1:11" ht="15.75">
      <c r="A44" s="376"/>
      <c r="B44" s="361"/>
      <c r="C44" s="274"/>
      <c r="D44" s="261"/>
      <c r="E44" s="274"/>
      <c r="F44" s="261"/>
      <c r="G44" s="274"/>
      <c r="H44" s="261"/>
      <c r="I44" s="274"/>
      <c r="J44" s="363"/>
      <c r="K44" s="275"/>
    </row>
    <row r="45" spans="1:11" ht="15.75">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75">
      <c r="A47" s="376" t="s">
        <v>105</v>
      </c>
      <c r="B47" s="377" t="s">
        <v>16</v>
      </c>
      <c r="C47" s="273">
        <f>ROUND(SUM(C26)-SUM(C34)+C43,1)</f>
        <v>2970</v>
      </c>
      <c r="D47" s="284"/>
      <c r="E47" s="273">
        <f>ROUND(SUM(E26)-SUM(E34)+E43,1)</f>
        <v>0</v>
      </c>
      <c r="F47" s="284"/>
      <c r="G47" s="273">
        <f>ROUND(SUM(G26)-SUM(G34)+G43,1)</f>
        <v>3837.1</v>
      </c>
      <c r="H47" s="284"/>
      <c r="I47" s="273">
        <f>ROUND(SUM(I26)-SUM(I34)+I43,1)</f>
        <v>867.1</v>
      </c>
      <c r="J47" s="369"/>
      <c r="K47" s="273">
        <f>ROUND(SUM(K26)-SUM(K34)+K43,1)</f>
        <v>0</v>
      </c>
    </row>
    <row r="48" spans="1:11">
      <c r="A48" s="226"/>
      <c r="B48" s="379"/>
      <c r="C48" s="665"/>
      <c r="D48" s="1294"/>
      <c r="E48" s="665"/>
      <c r="F48" s="1294"/>
      <c r="G48" s="665"/>
      <c r="H48" s="1294"/>
      <c r="I48" s="665"/>
      <c r="J48" s="381"/>
      <c r="K48" s="665"/>
    </row>
    <row r="49" spans="1:11" ht="15.75">
      <c r="A49" s="376" t="s">
        <v>106</v>
      </c>
      <c r="B49" s="382" t="s">
        <v>16</v>
      </c>
      <c r="C49" s="273">
        <f>'Exh D General Fund  '!C49+'Exh D Special Revenue'!C41+'Exh D Debt Service'!C38+'Exh D Capital Projects'!C39</f>
        <v>9355</v>
      </c>
      <c r="D49" s="1294"/>
      <c r="E49" s="273">
        <f>'Exh D General Fund  '!E49+'Exh D Special Revenue'!E41+'Exh D Debt Service'!E38+'Exh D Capital Projects'!E39</f>
        <v>0</v>
      </c>
      <c r="F49" s="1294"/>
      <c r="G49" s="273">
        <f>'Exh D General Fund  '!G49+'Exh D Special Revenue'!G41+'Exh D Debt Service'!G38+'Exh D Capital Projects'!G39</f>
        <v>9355.6</v>
      </c>
      <c r="H49" s="1294"/>
      <c r="I49" s="273">
        <f>ROUND(SUM(G49-C49),1)</f>
        <v>0.6</v>
      </c>
      <c r="J49" s="369"/>
      <c r="K49" s="273">
        <v>0</v>
      </c>
    </row>
    <row r="50" spans="1:11" ht="16.5" thickBot="1">
      <c r="A50" s="3442" t="s">
        <v>1592</v>
      </c>
      <c r="B50" s="383" t="s">
        <v>16</v>
      </c>
      <c r="C50" s="299">
        <f>ROUND(SUM(C47:C49),1)</f>
        <v>12325</v>
      </c>
      <c r="D50" s="384"/>
      <c r="E50" s="299">
        <f>ROUND(SUM(E47:E49),1)</f>
        <v>0</v>
      </c>
      <c r="F50" s="384"/>
      <c r="G50" s="299">
        <f>ROUND(SUM(G47:G49),1)</f>
        <v>13192.7</v>
      </c>
      <c r="H50" s="384"/>
      <c r="I50" s="299">
        <f>ROUND(SUM(I47:I49),1)</f>
        <v>867.7</v>
      </c>
      <c r="J50" s="385"/>
      <c r="K50" s="299">
        <f>ROUND(SUM(K47:K49),1)</f>
        <v>0</v>
      </c>
    </row>
    <row r="51" spans="1:11" ht="15.75" thickTop="1">
      <c r="A51" s="226"/>
      <c r="B51" s="379"/>
      <c r="C51" s="379"/>
      <c r="D51" s="380"/>
      <c r="E51" s="379"/>
      <c r="F51" s="380"/>
      <c r="G51" s="380"/>
      <c r="H51" s="380"/>
      <c r="I51" s="380"/>
      <c r="J51" s="380"/>
      <c r="K51" s="379"/>
    </row>
    <row r="52" spans="1:11">
      <c r="A52" s="1914" t="s">
        <v>1569</v>
      </c>
      <c r="K52" s="2394"/>
    </row>
    <row r="53" spans="1:11">
      <c r="A53" s="2397"/>
      <c r="G53" s="2358"/>
    </row>
    <row r="54" spans="1:11">
      <c r="A54" s="387"/>
    </row>
    <row r="55" spans="1:11">
      <c r="A55" s="386"/>
      <c r="G55" s="2358"/>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4"/>
  <sheetViews>
    <sheetView showGridLines="0" zoomScale="80" zoomScaleNormal="80" workbookViewId="0"/>
  </sheetViews>
  <sheetFormatPr defaultRowHeight="15"/>
  <cols>
    <col min="1" max="1" width="45.6640625" style="302" customWidth="1"/>
    <col min="2" max="2" width="2.44140625" style="302" customWidth="1"/>
    <col min="3" max="3" width="15.33203125" style="302" customWidth="1"/>
    <col min="4" max="4" width="3.77734375" style="302" customWidth="1"/>
    <col min="5" max="5" width="15.33203125" style="302" customWidth="1"/>
    <col min="6" max="6" width="3.21875" style="302" customWidth="1"/>
    <col min="7" max="7" width="15.33203125" style="302" customWidth="1"/>
    <col min="8" max="8" width="3.88671875" style="302" customWidth="1"/>
    <col min="9" max="9" width="15.33203125" style="302" customWidth="1"/>
    <col min="10" max="10" width="3" style="302" customWidth="1"/>
    <col min="11" max="11" width="15.33203125" style="302" customWidth="1"/>
    <col min="12" max="16384" width="8.88671875" style="302"/>
  </cols>
  <sheetData>
    <row r="1" spans="1:11">
      <c r="A1" s="1900" t="s">
        <v>1231</v>
      </c>
    </row>
    <row r="2" spans="1:11">
      <c r="A2" s="1740"/>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c r="K4" s="1737" t="s">
        <v>107</v>
      </c>
    </row>
    <row r="5" spans="1:11" ht="20.25" customHeight="1">
      <c r="A5" s="3508" t="s">
        <v>1543</v>
      </c>
      <c r="B5" s="3509"/>
      <c r="C5" s="3509"/>
      <c r="D5" s="3509"/>
      <c r="E5" s="3509"/>
      <c r="F5" s="345"/>
      <c r="G5" s="348"/>
      <c r="H5" s="345"/>
      <c r="I5" s="1737"/>
      <c r="J5" s="345"/>
    </row>
    <row r="6" spans="1:11" ht="18.75" customHeight="1">
      <c r="A6" s="2893" t="str">
        <f>'Exh D-Governmental  '!A6</f>
        <v>FOR TWO MONTHS ENDED MAY 31, 2015</v>
      </c>
      <c r="B6" s="350"/>
      <c r="C6" s="351"/>
      <c r="D6" s="345"/>
      <c r="E6" s="351"/>
      <c r="F6" s="345"/>
      <c r="G6" s="345"/>
      <c r="H6" s="345"/>
      <c r="I6" s="345"/>
      <c r="J6" s="345"/>
      <c r="K6" s="345"/>
    </row>
    <row r="7" spans="1:11" ht="18">
      <c r="A7" s="394" t="s">
        <v>1117</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1365"/>
      <c r="B11" s="354"/>
      <c r="C11" s="3510" t="s">
        <v>1574</v>
      </c>
      <c r="D11" s="3510"/>
      <c r="E11" s="3510"/>
      <c r="F11" s="3510"/>
      <c r="G11" s="3510"/>
      <c r="H11" s="3510"/>
      <c r="I11" s="3510"/>
      <c r="J11" s="2363"/>
      <c r="K11" s="2357"/>
    </row>
    <row r="12" spans="1:11" ht="15.75">
      <c r="A12" s="1365"/>
      <c r="B12" s="354"/>
      <c r="C12" s="355"/>
      <c r="D12" s="355"/>
      <c r="E12" s="355"/>
      <c r="F12" s="355"/>
      <c r="G12" s="355"/>
      <c r="H12" s="355"/>
      <c r="I12" s="356" t="s">
        <v>87</v>
      </c>
      <c r="J12" s="356"/>
      <c r="K12" s="356" t="s">
        <v>87</v>
      </c>
    </row>
    <row r="13" spans="1:11" ht="15.75">
      <c r="A13" s="1365"/>
      <c r="B13" s="354"/>
      <c r="C13" s="355"/>
      <c r="D13" s="355"/>
      <c r="E13" s="355"/>
      <c r="F13" s="355"/>
      <c r="G13" s="355"/>
      <c r="H13" s="355"/>
      <c r="I13" s="356" t="s">
        <v>1124</v>
      </c>
      <c r="J13" s="356"/>
      <c r="K13" s="356" t="s">
        <v>1124</v>
      </c>
    </row>
    <row r="14" spans="1:11" ht="15.75">
      <c r="A14" s="1365"/>
      <c r="B14" s="354"/>
      <c r="C14" s="357" t="s">
        <v>1370</v>
      </c>
      <c r="D14" s="355"/>
      <c r="E14" s="356" t="s">
        <v>1371</v>
      </c>
      <c r="F14" s="355"/>
      <c r="G14" s="355"/>
      <c r="H14" s="355"/>
      <c r="I14" s="356" t="s">
        <v>88</v>
      </c>
      <c r="J14" s="356"/>
      <c r="K14" s="356" t="s">
        <v>88</v>
      </c>
    </row>
    <row r="15" spans="1:11" ht="15.75">
      <c r="A15" s="1365"/>
      <c r="B15" s="354"/>
      <c r="C15" s="356" t="s">
        <v>1414</v>
      </c>
      <c r="D15" s="355"/>
      <c r="E15" s="356" t="s">
        <v>1414</v>
      </c>
      <c r="F15" s="355"/>
      <c r="G15" s="355"/>
      <c r="H15" s="355"/>
      <c r="I15" s="356" t="s">
        <v>1370</v>
      </c>
      <c r="J15" s="356"/>
      <c r="K15" s="356" t="s">
        <v>1371</v>
      </c>
    </row>
    <row r="16" spans="1:11" ht="15.75">
      <c r="A16" s="1365"/>
      <c r="B16" s="354"/>
      <c r="C16" s="356" t="s">
        <v>1415</v>
      </c>
      <c r="D16" s="355"/>
      <c r="E16" s="356" t="s">
        <v>1565</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75">
      <c r="A18" s="221" t="s">
        <v>15</v>
      </c>
      <c r="B18" s="1901"/>
      <c r="C18" s="1257"/>
      <c r="D18" s="1257"/>
      <c r="E18" s="1257"/>
      <c r="F18" s="1257"/>
      <c r="G18" s="1257"/>
      <c r="H18" s="1257"/>
      <c r="I18" s="1901"/>
      <c r="J18" s="1257"/>
      <c r="K18" s="1901"/>
    </row>
    <row r="19" spans="1:12" ht="15" customHeight="1">
      <c r="A19" s="1727" t="s">
        <v>90</v>
      </c>
      <c r="B19" s="1902" t="s">
        <v>16</v>
      </c>
      <c r="C19" s="1903"/>
      <c r="D19" s="1902"/>
      <c r="E19" s="1903"/>
      <c r="F19" s="1902"/>
      <c r="G19" s="1904"/>
      <c r="H19" s="1902"/>
      <c r="I19" s="2392"/>
      <c r="J19" s="1904"/>
      <c r="K19" s="2392"/>
    </row>
    <row r="20" spans="1:12">
      <c r="A20" s="1727" t="s">
        <v>91</v>
      </c>
      <c r="B20" s="1902" t="s">
        <v>16</v>
      </c>
      <c r="C20" s="1258">
        <f>'Exh D General Fund  '!C20+'Exh D Special Revenue State Fed'!C20+'Exh D Debt Service'!C20</f>
        <v>8869</v>
      </c>
      <c r="D20" s="1260"/>
      <c r="E20" s="1258">
        <f>'Exh D General Fund  '!E20+'Exh D Special Revenue State Fed'!E20+'Exh D Debt Service'!E20</f>
        <v>0</v>
      </c>
      <c r="F20" s="1260"/>
      <c r="G20" s="1258">
        <f>+'Exh A Supp'!T17</f>
        <v>9039.2000000000007</v>
      </c>
      <c r="H20" s="1260"/>
      <c r="I20" s="1988">
        <f t="shared" ref="I20:I25" si="0">ROUND(SUM(G20)-SUM(C20),1)</f>
        <v>170.2</v>
      </c>
      <c r="J20" s="1905"/>
      <c r="K20" s="1988">
        <v>0</v>
      </c>
    </row>
    <row r="21" spans="1:12">
      <c r="A21" s="1727" t="s">
        <v>92</v>
      </c>
      <c r="B21" s="1901" t="s">
        <v>16</v>
      </c>
      <c r="C21" s="1177">
        <f>'Exh D General Fund  '!C21+'Exh D Special Revenue State Fed'!C21+'Exh D Debt Service'!C21</f>
        <v>2347</v>
      </c>
      <c r="D21" s="1177"/>
      <c r="E21" s="1177">
        <f>'Exh D General Fund  '!E21+'Exh D Special Revenue State Fed'!E21+'Exh D Debt Service'!E21</f>
        <v>0</v>
      </c>
      <c r="F21" s="1177"/>
      <c r="G21" s="1177">
        <f>+'Exh A Supp'!T18</f>
        <v>2315.4</v>
      </c>
      <c r="H21" s="1177"/>
      <c r="I21" s="1921">
        <f t="shared" si="0"/>
        <v>-31.6</v>
      </c>
      <c r="J21" s="1905"/>
      <c r="K21" s="1921">
        <v>0</v>
      </c>
    </row>
    <row r="22" spans="1:12" ht="17.25" customHeight="1">
      <c r="A22" s="1727" t="s">
        <v>93</v>
      </c>
      <c r="B22" s="1902" t="s">
        <v>16</v>
      </c>
      <c r="C22" s="1177">
        <f>'Exh D General Fund  '!C22+'Exh D Special Revenue State Fed'!C22</f>
        <v>332</v>
      </c>
      <c r="D22" s="1333"/>
      <c r="E22" s="1177">
        <f>'Exh D General Fund  '!E22+'Exh D Special Revenue State Fed'!E22</f>
        <v>0</v>
      </c>
      <c r="F22" s="1333"/>
      <c r="G22" s="1177">
        <f>+'Exh A Supp'!T19</f>
        <v>274.7</v>
      </c>
      <c r="H22" s="1333"/>
      <c r="I22" s="1921">
        <f t="shared" si="0"/>
        <v>-57.3</v>
      </c>
      <c r="J22" s="1905"/>
      <c r="K22" s="1921">
        <v>0</v>
      </c>
    </row>
    <row r="23" spans="1:12" ht="14.25" customHeight="1">
      <c r="A23" s="1727" t="s">
        <v>94</v>
      </c>
      <c r="B23" s="1901" t="s">
        <v>16</v>
      </c>
      <c r="C23" s="1177">
        <f>'Exh D General Fund  '!C23+'Exh D Special Revenue State Fed'!C23+'Exh D Debt Service'!C22</f>
        <v>639</v>
      </c>
      <c r="D23" s="1177"/>
      <c r="E23" s="1177">
        <f>'Exh D General Fund  '!E23+'Exh D Special Revenue State Fed'!E23+'Exh D Debt Service'!E22</f>
        <v>0</v>
      </c>
      <c r="F23" s="1177"/>
      <c r="G23" s="1177">
        <f>+'Exh A Supp'!T20</f>
        <v>703.8</v>
      </c>
      <c r="H23" s="1177"/>
      <c r="I23" s="1921">
        <f t="shared" si="0"/>
        <v>64.8</v>
      </c>
      <c r="J23" s="1905"/>
      <c r="K23" s="1921">
        <v>0</v>
      </c>
    </row>
    <row r="24" spans="1:12">
      <c r="A24" s="1727" t="s">
        <v>21</v>
      </c>
      <c r="B24" s="1901" t="s">
        <v>16</v>
      </c>
      <c r="C24" s="1177">
        <f>'Exh D General Fund  '!C24+'Exh D Special Revenue State Fed'!C24+'Exh D Debt Service'!C23</f>
        <v>4441</v>
      </c>
      <c r="D24" s="1177"/>
      <c r="E24" s="1177">
        <f>'Exh D General Fund  '!E24+'Exh D Special Revenue State Fed'!E24+'Exh D Debt Service'!E23</f>
        <v>0</v>
      </c>
      <c r="F24" s="1177"/>
      <c r="G24" s="1177">
        <f>+'Exh A Supp'!T21</f>
        <v>4700.5</v>
      </c>
      <c r="H24" s="1177"/>
      <c r="I24" s="1921">
        <f t="shared" si="0"/>
        <v>259.5</v>
      </c>
      <c r="J24" s="1721"/>
      <c r="K24" s="1921">
        <v>0</v>
      </c>
    </row>
    <row r="25" spans="1:12" ht="15" customHeight="1">
      <c r="A25" s="1727" t="s">
        <v>22</v>
      </c>
      <c r="B25" s="1901" t="s">
        <v>16</v>
      </c>
      <c r="C25" s="1361">
        <f>'Exh D General Fund  '!C25+'Exh D Special Revenue State Fed'!C25+'Exh D Debt Service'!C24</f>
        <v>0</v>
      </c>
      <c r="D25" s="1177"/>
      <c r="E25" s="1361">
        <f>'Exh D General Fund  '!E25+'Exh D Special Revenue State Fed'!E25+'Exh D Debt Service'!E24</f>
        <v>0</v>
      </c>
      <c r="F25" s="1177"/>
      <c r="G25" s="1177">
        <f>+'Exh A Supp'!T22</f>
        <v>0.1</v>
      </c>
      <c r="H25" s="1177"/>
      <c r="I25" s="1921">
        <f t="shared" si="0"/>
        <v>0.1</v>
      </c>
      <c r="J25" s="1721"/>
      <c r="K25" s="1921">
        <v>0</v>
      </c>
    </row>
    <row r="26" spans="1:12" ht="15.75">
      <c r="A26" s="376" t="s">
        <v>95</v>
      </c>
      <c r="B26" s="354" t="s">
        <v>16</v>
      </c>
      <c r="C26" s="421">
        <f>ROUND(SUM(C20:C25),1)</f>
        <v>16628</v>
      </c>
      <c r="D26" s="1899"/>
      <c r="E26" s="421">
        <f>ROUND(SUM(E20:E25),1)</f>
        <v>0</v>
      </c>
      <c r="F26" s="1899"/>
      <c r="G26" s="421">
        <f>ROUND(SUM(G20:G25),1)</f>
        <v>17033.7</v>
      </c>
      <c r="H26" s="1899"/>
      <c r="I26" s="421">
        <f>ROUND(SUM(I20:I25),1)</f>
        <v>405.7</v>
      </c>
      <c r="J26" s="369"/>
      <c r="K26" s="421">
        <f>ROUND(SUM(K20:K25),1)</f>
        <v>0</v>
      </c>
      <c r="L26" s="682"/>
    </row>
    <row r="27" spans="1:12">
      <c r="A27" s="1365"/>
      <c r="B27" s="1901" t="s">
        <v>16</v>
      </c>
      <c r="C27" s="1363"/>
      <c r="D27" s="1177"/>
      <c r="E27" s="1363"/>
      <c r="F27" s="1177"/>
      <c r="G27" s="1363"/>
      <c r="H27" s="1177"/>
      <c r="I27" s="1363"/>
      <c r="J27" s="1273"/>
      <c r="K27" s="1363"/>
    </row>
    <row r="28" spans="1:12" ht="15.75">
      <c r="A28" s="221" t="s">
        <v>24</v>
      </c>
      <c r="B28" s="1901" t="s">
        <v>16</v>
      </c>
      <c r="C28" s="1177"/>
      <c r="D28" s="1177"/>
      <c r="E28" s="1177"/>
      <c r="F28" s="1177"/>
      <c r="G28" s="1177"/>
      <c r="H28" s="1177"/>
      <c r="I28" s="1921"/>
      <c r="J28" s="1721"/>
      <c r="K28" s="1921"/>
    </row>
    <row r="29" spans="1:12">
      <c r="A29" s="1727" t="s">
        <v>96</v>
      </c>
      <c r="B29" s="1901" t="s">
        <v>16</v>
      </c>
      <c r="C29" s="1361">
        <f>'Exh D General Fund  '!C34+'Exh D Special Revenue State Fed'!C30</f>
        <v>8606</v>
      </c>
      <c r="D29" s="1177"/>
      <c r="E29" s="1361">
        <f>'Exh D General Fund  '!E34+'Exh D Special Revenue State Fed'!E30</f>
        <v>0</v>
      </c>
      <c r="F29" s="1177"/>
      <c r="G29" s="1361">
        <f>+'Exh A Supp'!T37</f>
        <v>8307.7000000000007</v>
      </c>
      <c r="H29" s="1177"/>
      <c r="I29" s="1921">
        <f>ROUND(SUM(G29)-SUM(C29),1)</f>
        <v>-298.3</v>
      </c>
      <c r="J29" s="1721"/>
      <c r="K29" s="1921">
        <v>0</v>
      </c>
      <c r="L29" s="682"/>
    </row>
    <row r="30" spans="1:12">
      <c r="A30" s="1727" t="s">
        <v>97</v>
      </c>
      <c r="B30" s="1901" t="s">
        <v>16</v>
      </c>
      <c r="C30" s="1333">
        <f>'Exh D General Fund  '!C35+'Exh D Special Revenue State Fed'!C31+'Exh D Debt Service'!C29</f>
        <v>2904</v>
      </c>
      <c r="D30" s="1177"/>
      <c r="E30" s="1333">
        <f>'Exh D General Fund  '!E35+'Exh D Special Revenue State Fed'!E31+'Exh D Debt Service'!E29</f>
        <v>0</v>
      </c>
      <c r="F30" s="1177"/>
      <c r="G30" s="1333">
        <f>+'Exh A Supp'!T39+'Exh A Supp'!T40</f>
        <v>2831.4</v>
      </c>
      <c r="H30" s="1177"/>
      <c r="I30" s="1921">
        <f>ROUND(SUM(G30)-SUM(C30),1)</f>
        <v>-72.599999999999994</v>
      </c>
      <c r="J30" s="1721"/>
      <c r="K30" s="1921">
        <v>0</v>
      </c>
      <c r="L30" s="682"/>
    </row>
    <row r="31" spans="1:12">
      <c r="A31" s="1727" t="s">
        <v>72</v>
      </c>
      <c r="B31" s="1901" t="s">
        <v>16</v>
      </c>
      <c r="C31" s="1361">
        <f>'Exh D General Fund  '!C36+'Exh D Special Revenue State Fed'!C32</f>
        <v>1485</v>
      </c>
      <c r="D31" s="1177"/>
      <c r="E31" s="1361">
        <f>'Exh D General Fund  '!E36+'Exh D Special Revenue State Fed'!E32</f>
        <v>0</v>
      </c>
      <c r="F31" s="1177"/>
      <c r="G31" s="1361">
        <f>+'Exh A Supp'!T41</f>
        <v>1349.5</v>
      </c>
      <c r="H31" s="1177"/>
      <c r="I31" s="1921">
        <f>ROUND(SUM(G31)-SUM(C31),1)</f>
        <v>-135.5</v>
      </c>
      <c r="J31" s="1721"/>
      <c r="K31" s="1921">
        <v>0</v>
      </c>
      <c r="L31" s="682"/>
    </row>
    <row r="32" spans="1:12">
      <c r="A32" s="1727" t="s">
        <v>98</v>
      </c>
      <c r="B32" s="1901" t="s">
        <v>16</v>
      </c>
      <c r="C32" s="1333">
        <f>'Exh D Debt Service'!C30</f>
        <v>429</v>
      </c>
      <c r="D32" s="1177"/>
      <c r="E32" s="1333">
        <f>'Exh D Debt Service'!E30</f>
        <v>0</v>
      </c>
      <c r="F32" s="1177"/>
      <c r="G32" s="1361">
        <f>+'Exh A Supp'!T43</f>
        <v>420.5</v>
      </c>
      <c r="H32" s="1177"/>
      <c r="I32" s="1921">
        <f>ROUND(SUM(G32)-SUM(C32),1)</f>
        <v>-8.5</v>
      </c>
      <c r="J32" s="1721"/>
      <c r="K32" s="1921">
        <v>0</v>
      </c>
      <c r="L32" s="682"/>
    </row>
    <row r="33" spans="1:12" ht="15" customHeight="1">
      <c r="A33" s="1727" t="s">
        <v>43</v>
      </c>
      <c r="B33" s="1901" t="s">
        <v>16</v>
      </c>
      <c r="C33" s="1361">
        <f>'Exh D Special Revenue State Fed'!C33</f>
        <v>0</v>
      </c>
      <c r="D33" s="1177"/>
      <c r="E33" s="1361">
        <f>'Exh D Special Revenue State Fed'!E33</f>
        <v>0</v>
      </c>
      <c r="F33" s="1177"/>
      <c r="G33" s="1361">
        <f>+'Exh A Supp'!T44</f>
        <v>0.2</v>
      </c>
      <c r="H33" s="1177"/>
      <c r="I33" s="1921">
        <f>ROUND(SUM(G33)-SUM(C33),1)</f>
        <v>0.2</v>
      </c>
      <c r="J33" s="1721"/>
      <c r="K33" s="1921">
        <v>0</v>
      </c>
      <c r="L33" s="682"/>
    </row>
    <row r="34" spans="1:12" ht="15.75" customHeight="1">
      <c r="A34" s="376" t="s">
        <v>99</v>
      </c>
      <c r="B34" s="354" t="s">
        <v>16</v>
      </c>
      <c r="C34" s="546">
        <f>ROUND(SUM(C29:C33),1)</f>
        <v>13424</v>
      </c>
      <c r="D34" s="1899"/>
      <c r="E34" s="546">
        <f>ROUND(SUM(E29:E33),1)</f>
        <v>0</v>
      </c>
      <c r="F34" s="1899"/>
      <c r="G34" s="546">
        <f>ROUND(SUM(G29:G33),1)</f>
        <v>12909.3</v>
      </c>
      <c r="H34" s="1899"/>
      <c r="I34" s="546">
        <f>ROUND(SUM(I29:I33),1)</f>
        <v>-514.70000000000005</v>
      </c>
      <c r="J34" s="369"/>
      <c r="K34" s="546">
        <f>ROUND(SUM(K29:K33),1)</f>
        <v>0</v>
      </c>
      <c r="L34" s="682"/>
    </row>
    <row r="35" spans="1:12">
      <c r="A35" s="1365"/>
      <c r="B35" s="1901"/>
      <c r="C35" s="1177"/>
      <c r="D35" s="1177"/>
      <c r="E35" s="1177"/>
      <c r="F35" s="1177"/>
      <c r="G35" s="1177"/>
      <c r="H35" s="1177"/>
      <c r="I35" s="1921"/>
      <c r="J35" s="1721"/>
      <c r="K35" s="1921"/>
      <c r="L35" s="682"/>
    </row>
    <row r="36" spans="1:12" ht="15.75">
      <c r="A36" s="376" t="s">
        <v>45</v>
      </c>
      <c r="B36" s="1901"/>
      <c r="C36" s="1177"/>
      <c r="D36" s="1177"/>
      <c r="E36" s="1177"/>
      <c r="F36" s="1177"/>
      <c r="G36" s="1177"/>
      <c r="H36" s="1177"/>
      <c r="I36" s="1921"/>
      <c r="J36" s="1721"/>
      <c r="K36" s="1921"/>
      <c r="L36" s="682"/>
    </row>
    <row r="37" spans="1:12" ht="15.75">
      <c r="A37" s="376" t="s">
        <v>46</v>
      </c>
      <c r="B37" s="1901" t="s">
        <v>16</v>
      </c>
      <c r="C37" s="1745">
        <f>ROUND(SUM(+C26-C34),1)</f>
        <v>3204</v>
      </c>
      <c r="D37" s="1177"/>
      <c r="E37" s="1745">
        <f>ROUND(SUM(+E26-E34),1)</f>
        <v>0</v>
      </c>
      <c r="F37" s="1177"/>
      <c r="G37" s="1745">
        <f>ROUND(SUM(+G26-G34),1)</f>
        <v>4124.3999999999996</v>
      </c>
      <c r="H37" s="1177"/>
      <c r="I37" s="1745">
        <f>ROUND(SUM(+I26-I34),1)</f>
        <v>920.4</v>
      </c>
      <c r="J37" s="1273"/>
      <c r="K37" s="1745">
        <f>ROUND(SUM(+K26-K34),1)</f>
        <v>0</v>
      </c>
      <c r="L37" s="682"/>
    </row>
    <row r="38" spans="1:12">
      <c r="A38" s="1365"/>
      <c r="B38" s="1901"/>
      <c r="C38" s="1177"/>
      <c r="D38" s="1177"/>
      <c r="E38" s="1177"/>
      <c r="F38" s="1177"/>
      <c r="G38" s="1177"/>
      <c r="H38" s="1177"/>
      <c r="I38" s="1921"/>
      <c r="J38" s="1721"/>
      <c r="K38" s="1921"/>
      <c r="L38" s="682"/>
    </row>
    <row r="39" spans="1:12" ht="15.75">
      <c r="A39" s="376" t="s">
        <v>47</v>
      </c>
      <c r="B39" s="1901"/>
      <c r="C39" s="1177"/>
      <c r="D39" s="1177"/>
      <c r="E39" s="1177"/>
      <c r="F39" s="1177"/>
      <c r="G39" s="1177"/>
      <c r="H39" s="1177"/>
      <c r="I39" s="1921"/>
      <c r="J39" s="1721"/>
      <c r="K39" s="1921"/>
      <c r="L39" s="682"/>
    </row>
    <row r="40" spans="1:12">
      <c r="A40" s="1727" t="s">
        <v>49</v>
      </c>
      <c r="B40" s="1901" t="s">
        <v>16</v>
      </c>
      <c r="C40" s="1333">
        <f>'Exh D General Fund  '!C27+'Exh D General Fund  '!C28+'Exh D General Fund  '!C29+'Exh D General Fund  '!C30+'Exh D Special Revenue State Fed'!C26+'Exh D Debt Service'!C25</f>
        <v>6821</v>
      </c>
      <c r="D40" s="1177"/>
      <c r="E40" s="1333">
        <f>'Exh D General Fund  '!E27+'Exh D General Fund  '!E28+'Exh D General Fund  '!E29+'Exh D General Fund  '!E30+'Exh D Special Revenue State Fed'!E26+'Exh D Debt Service'!E25</f>
        <v>0</v>
      </c>
      <c r="F40" s="1177"/>
      <c r="G40" s="1333">
        <f>+'Exh A Supp'!T51</f>
        <v>6670.8</v>
      </c>
      <c r="H40" s="2680" t="s">
        <v>1094</v>
      </c>
      <c r="I40" s="1921">
        <f>ROUND(SUM(G40)-SUM(C40),1)</f>
        <v>-150.19999999999999</v>
      </c>
      <c r="J40" s="1721"/>
      <c r="K40" s="1921">
        <v>0</v>
      </c>
      <c r="L40" s="682"/>
    </row>
    <row r="41" spans="1:12">
      <c r="A41" s="1727" t="s">
        <v>101</v>
      </c>
      <c r="B41" s="1901" t="s">
        <v>16</v>
      </c>
      <c r="C41" s="1906">
        <f>-('Exh D General Fund  '!C38+'Exh D General Fund  '!C39+'Exh D General Fund  '!C40+'Exh D General Fund  '!C41+'Exh D General Fund  '!C42+'Exh D Special Revenue State Fed'!C34+'Exh D Debt Service'!C31)</f>
        <v>-6744</v>
      </c>
      <c r="D41" s="1177"/>
      <c r="E41" s="1906">
        <f>-('Exh D General Fund  '!E38+'Exh D General Fund  '!E39+'Exh D General Fund  '!E40+'Exh D General Fund  '!E41+'Exh D General Fund  '!E42+'Exh D Special Revenue State Fed'!E34+'Exh D Debt Service'!E31)</f>
        <v>0</v>
      </c>
      <c r="F41" s="1177"/>
      <c r="G41" s="1333">
        <f>+'Exh A Supp'!T52</f>
        <v>-6566.9</v>
      </c>
      <c r="H41" s="2680" t="s">
        <v>1094</v>
      </c>
      <c r="I41" s="1921">
        <f>-ROUND(SUM(G41)-SUM(C41),1)</f>
        <v>-177.1</v>
      </c>
      <c r="J41" s="1273"/>
      <c r="K41" s="1921">
        <v>0</v>
      </c>
      <c r="L41" s="682"/>
    </row>
    <row r="42" spans="1:12" ht="15.75">
      <c r="A42" s="376" t="s">
        <v>102</v>
      </c>
      <c r="B42" s="1901" t="s">
        <v>16</v>
      </c>
      <c r="C42" s="546">
        <f>ROUND(SUM(C40:C41),1)</f>
        <v>77</v>
      </c>
      <c r="D42" s="1177"/>
      <c r="E42" s="546">
        <f>ROUND(SUM(E40:E41),1)</f>
        <v>0</v>
      </c>
      <c r="F42" s="1177"/>
      <c r="G42" s="546">
        <f>ROUND(SUM(G40:G41),1)</f>
        <v>103.9</v>
      </c>
      <c r="H42" s="1177"/>
      <c r="I42" s="546">
        <f>ROUND(SUM(I40-I41),1)</f>
        <v>26.9</v>
      </c>
      <c r="J42" s="1908"/>
      <c r="K42" s="546">
        <f>ROUND(SUM(K40-K41),1)</f>
        <v>0</v>
      </c>
      <c r="L42" s="682"/>
    </row>
    <row r="43" spans="1:12" ht="15.75">
      <c r="A43" s="376"/>
      <c r="B43" s="1901"/>
      <c r="C43" s="1333"/>
      <c r="D43" s="1177"/>
      <c r="E43" s="1333"/>
      <c r="F43" s="1177"/>
      <c r="G43" s="1333"/>
      <c r="H43" s="1177"/>
      <c r="I43" s="1922"/>
      <c r="J43" s="1902"/>
      <c r="K43" s="1922"/>
      <c r="L43" s="682"/>
    </row>
    <row r="44" spans="1:12" ht="15.75">
      <c r="A44" s="221" t="s">
        <v>103</v>
      </c>
      <c r="B44" s="1901"/>
      <c r="C44" s="1177"/>
      <c r="D44" s="1177"/>
      <c r="E44" s="1177"/>
      <c r="F44" s="1177"/>
      <c r="G44" s="1177"/>
      <c r="H44" s="1177"/>
      <c r="I44" s="1921"/>
      <c r="J44" s="1721"/>
      <c r="K44" s="1921"/>
      <c r="L44" s="682"/>
    </row>
    <row r="45" spans="1:12" ht="15" customHeight="1">
      <c r="A45" s="221" t="s">
        <v>104</v>
      </c>
      <c r="B45" s="1901"/>
      <c r="C45" s="1177"/>
      <c r="D45" s="1177"/>
      <c r="E45" s="1177"/>
      <c r="F45" s="1177"/>
      <c r="G45" s="1177"/>
      <c r="H45" s="1177"/>
      <c r="I45" s="1921"/>
      <c r="J45" s="1721"/>
      <c r="K45" s="1921"/>
      <c r="L45" s="682"/>
    </row>
    <row r="46" spans="1:12" ht="15.75">
      <c r="A46" s="376" t="s">
        <v>105</v>
      </c>
      <c r="B46" s="377" t="s">
        <v>16</v>
      </c>
      <c r="C46" s="273">
        <f>ROUND(SUM(C26)-SUM(C34)+C42,1)</f>
        <v>3281</v>
      </c>
      <c r="D46" s="284"/>
      <c r="E46" s="273">
        <f>ROUND(SUM(E26)-SUM(E34)+E42,1)</f>
        <v>0</v>
      </c>
      <c r="F46" s="284"/>
      <c r="G46" s="273">
        <f>ROUND(SUM(G26)-SUM(G34)+G42,1)</f>
        <v>4228.3</v>
      </c>
      <c r="H46" s="284"/>
      <c r="I46" s="273">
        <f>ROUND(SUM(I26)-SUM(I34)+I42,1)</f>
        <v>947.3</v>
      </c>
      <c r="J46" s="369"/>
      <c r="K46" s="273">
        <f>ROUND(SUM(K26)-SUM(K34)+K42,1)</f>
        <v>0</v>
      </c>
      <c r="L46" s="682"/>
    </row>
    <row r="47" spans="1:12">
      <c r="A47" s="1909"/>
      <c r="B47" s="1155"/>
      <c r="C47" s="1275"/>
      <c r="D47" s="1910"/>
      <c r="E47" s="1275"/>
      <c r="F47" s="1910"/>
      <c r="G47" s="1275"/>
      <c r="H47" s="1910"/>
      <c r="I47" s="1275"/>
      <c r="J47" s="1911"/>
      <c r="K47" s="1275"/>
      <c r="L47" s="682"/>
    </row>
    <row r="48" spans="1:12" ht="15.75">
      <c r="A48" s="376" t="str">
        <f>'Exh D-Governmental  '!A49</f>
        <v>Fund Balances (Deficits) at April 1</v>
      </c>
      <c r="B48" s="1912" t="s">
        <v>16</v>
      </c>
      <c r="C48" s="273">
        <v>9890</v>
      </c>
      <c r="D48" s="1910"/>
      <c r="E48" s="273">
        <f>'Exh D General Fund  '!E49+'Exh D Special Revenue State Fed'!E41+'Exh D Debt Service'!E38</f>
        <v>0</v>
      </c>
      <c r="F48" s="1910"/>
      <c r="G48" s="273">
        <f>'Exh A Supp'!T59</f>
        <v>9890.7999999999993</v>
      </c>
      <c r="H48" s="1910"/>
      <c r="I48" s="1745">
        <f>ROUND(SUM(G48)-SUM(C48),1)</f>
        <v>0.8</v>
      </c>
      <c r="J48" s="369"/>
      <c r="K48" s="273">
        <v>0</v>
      </c>
      <c r="L48" s="682"/>
    </row>
    <row r="49" spans="1:12" ht="16.5" thickBot="1">
      <c r="A49" s="376" t="str">
        <f>'Exh D-Governmental  '!A50</f>
        <v>Fund Balances (Deficits) at May 31, 2015</v>
      </c>
      <c r="B49" s="383" t="s">
        <v>16</v>
      </c>
      <c r="C49" s="299">
        <f>ROUND(SUM(C46:C48),1)</f>
        <v>13171</v>
      </c>
      <c r="D49" s="384"/>
      <c r="E49" s="299">
        <f>ROUND(SUM(E46:E48),1)</f>
        <v>0</v>
      </c>
      <c r="F49" s="384"/>
      <c r="G49" s="299">
        <f>ROUND(SUM(G46:G48),1)</f>
        <v>14119.1</v>
      </c>
      <c r="H49" s="1992"/>
      <c r="I49" s="299">
        <f>ROUND(SUM(I46:I48),1)</f>
        <v>948.1</v>
      </c>
      <c r="J49" s="385"/>
      <c r="K49" s="299">
        <f>ROUND(SUM(K46:K48),1)</f>
        <v>0</v>
      </c>
      <c r="L49" s="682"/>
    </row>
    <row r="50" spans="1:12" ht="15.75" thickTop="1">
      <c r="A50" s="1909"/>
      <c r="B50" s="1155"/>
      <c r="C50" s="1155"/>
      <c r="D50" s="1913"/>
      <c r="E50" s="1155"/>
      <c r="F50" s="1913"/>
      <c r="G50" s="1913"/>
      <c r="H50" s="1913"/>
      <c r="I50" s="1913"/>
      <c r="J50" s="1913"/>
      <c r="K50" s="1913"/>
    </row>
    <row r="51" spans="1:12">
      <c r="A51" s="1914" t="s">
        <v>1570</v>
      </c>
      <c r="I51" s="2358"/>
      <c r="K51" s="2358"/>
    </row>
    <row r="52" spans="1:12">
      <c r="A52" s="1131" t="s">
        <v>1573</v>
      </c>
    </row>
    <row r="53" spans="1:12">
      <c r="A53" s="1131" t="s">
        <v>1517</v>
      </c>
      <c r="G53" s="2358"/>
    </row>
    <row r="54" spans="1:12">
      <c r="A54" s="2980" t="s">
        <v>1575</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59"/>
  <sheetViews>
    <sheetView showGridLines="0" zoomScale="80" zoomScaleNormal="70" zoomScaleSheetLayoutView="70" workbookViewId="0"/>
  </sheetViews>
  <sheetFormatPr defaultRowHeight="15"/>
  <cols>
    <col min="1" max="1" width="59" style="1909" customWidth="1"/>
    <col min="2" max="2" width="2" style="1155" customWidth="1"/>
    <col min="3" max="3" width="15.33203125" style="792" customWidth="1"/>
    <col min="4" max="4" width="4.77734375" style="1913" customWidth="1"/>
    <col min="5" max="5" width="15.33203125" style="792" customWidth="1"/>
    <col min="6" max="6" width="4.77734375" style="1913" customWidth="1"/>
    <col min="7" max="7" width="15.33203125" style="1913" customWidth="1"/>
    <col min="8" max="8" width="5.33203125" style="1913" customWidth="1"/>
    <col min="9" max="9" width="15.33203125" style="1913" customWidth="1"/>
    <col min="10" max="10" width="2.44140625" style="1913" customWidth="1"/>
    <col min="11" max="11" width="12.77734375" style="1155" customWidth="1"/>
    <col min="12" max="12" width="18.109375" style="792" bestFit="1" customWidth="1"/>
    <col min="13" max="13" width="2.6640625" style="1913" customWidth="1"/>
    <col min="14" max="14" width="14.33203125" style="1913" customWidth="1"/>
    <col min="15" max="15" width="2.6640625" style="1913" customWidth="1"/>
    <col min="16" max="16" width="15.6640625" style="1913" bestFit="1" customWidth="1"/>
    <col min="17" max="17" width="2" style="1155" customWidth="1"/>
    <col min="18" max="18" width="11.88671875" style="1155" customWidth="1"/>
    <col min="19" max="19" width="11.44140625" style="1155" customWidth="1"/>
    <col min="20" max="20" width="1.88671875" style="1155" customWidth="1"/>
    <col min="21" max="21" width="11.6640625" style="1155" customWidth="1"/>
    <col min="22" max="22" width="2.109375" style="1155" customWidth="1"/>
    <col min="23" max="23" width="11.44140625" style="1155" customWidth="1"/>
    <col min="24" max="24" width="0.5546875" style="1155" customWidth="1"/>
    <col min="25" max="25" width="2.33203125" style="1155" customWidth="1"/>
    <col min="26" max="26" width="10.5546875" style="1155" customWidth="1"/>
    <col min="27" max="27" width="11.109375" style="1155" customWidth="1"/>
    <col min="28" max="28" width="2.21875" style="1155" customWidth="1"/>
    <col min="29" max="29" width="11.109375" style="1155" customWidth="1"/>
    <col min="30" max="30" width="2.109375" style="1155" customWidth="1"/>
    <col min="31" max="31" width="12.44140625" style="1155" customWidth="1"/>
    <col min="32" max="36" width="8.88671875" style="1155"/>
    <col min="37" max="37" width="8.88671875" style="1913"/>
    <col min="38" max="16384" width="8.88671875" style="1909"/>
  </cols>
  <sheetData>
    <row r="1" spans="1:31">
      <c r="A1" s="1915" t="s">
        <v>1231</v>
      </c>
      <c r="B1" s="389"/>
      <c r="C1" s="786"/>
      <c r="D1" s="390"/>
      <c r="E1" s="786"/>
      <c r="F1" s="390"/>
      <c r="G1" s="390"/>
      <c r="H1" s="390"/>
      <c r="I1" s="390"/>
      <c r="J1" s="390"/>
      <c r="K1" s="389"/>
      <c r="L1" s="786"/>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7"/>
      <c r="D2" s="390"/>
      <c r="E2" s="787"/>
      <c r="F2" s="390"/>
      <c r="G2" s="390"/>
      <c r="H2" s="390"/>
      <c r="I2" s="390"/>
      <c r="J2" s="390"/>
      <c r="K2" s="389"/>
      <c r="L2" s="786"/>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8"/>
      <c r="D3" s="345"/>
      <c r="E3" s="788"/>
      <c r="F3" s="345"/>
      <c r="G3" s="345"/>
      <c r="H3" s="345"/>
      <c r="I3" s="1736"/>
      <c r="K3" s="1736" t="s">
        <v>86</v>
      </c>
      <c r="L3" s="789"/>
      <c r="M3" s="345"/>
      <c r="N3" s="345"/>
      <c r="O3" s="345"/>
      <c r="Q3" s="345"/>
      <c r="R3" s="359"/>
      <c r="S3" s="359"/>
      <c r="T3" s="359"/>
      <c r="U3" s="359"/>
      <c r="V3" s="359"/>
      <c r="W3" s="359"/>
      <c r="X3" s="359"/>
      <c r="Y3" s="359"/>
      <c r="Z3" s="359"/>
      <c r="AA3" s="359"/>
      <c r="AB3" s="359"/>
      <c r="AC3" s="359"/>
      <c r="AD3" s="359"/>
      <c r="AE3" s="395"/>
    </row>
    <row r="4" spans="1:31" ht="18">
      <c r="A4" s="394" t="s">
        <v>85</v>
      </c>
      <c r="B4" s="351"/>
      <c r="C4" s="788"/>
      <c r="D4" s="345"/>
      <c r="E4" s="788"/>
      <c r="F4" s="345"/>
      <c r="G4" s="345"/>
      <c r="H4" s="345"/>
      <c r="I4" s="1737"/>
      <c r="K4" s="1737" t="s">
        <v>107</v>
      </c>
      <c r="L4" s="789"/>
      <c r="M4" s="345"/>
      <c r="N4" s="345"/>
      <c r="O4" s="345"/>
      <c r="Q4" s="345"/>
      <c r="R4" s="359"/>
      <c r="S4" s="359"/>
      <c r="T4" s="359"/>
      <c r="U4" s="359"/>
      <c r="V4" s="359"/>
      <c r="W4" s="359"/>
      <c r="X4" s="359"/>
      <c r="Y4" s="359"/>
      <c r="Z4" s="359"/>
      <c r="AA4" s="359"/>
      <c r="AB4" s="359"/>
      <c r="AC4" s="359"/>
      <c r="AD4" s="359"/>
      <c r="AE4" s="359"/>
    </row>
    <row r="5" spans="1:31" ht="21.75" customHeight="1">
      <c r="A5" s="3508" t="s">
        <v>1543</v>
      </c>
      <c r="B5" s="3509"/>
      <c r="C5" s="3509"/>
      <c r="D5" s="3509"/>
      <c r="E5" s="3509"/>
      <c r="F5" s="345"/>
      <c r="G5" s="1721"/>
      <c r="H5" s="345"/>
      <c r="I5" s="345"/>
      <c r="J5" s="345"/>
      <c r="K5" s="359"/>
      <c r="L5" s="789"/>
      <c r="M5" s="345"/>
      <c r="N5" s="345"/>
      <c r="O5" s="345"/>
      <c r="Q5" s="345"/>
      <c r="R5" s="359"/>
      <c r="S5" s="359"/>
      <c r="T5" s="359"/>
      <c r="U5" s="359"/>
      <c r="V5" s="359"/>
      <c r="W5" s="359"/>
      <c r="X5" s="359"/>
      <c r="Y5" s="359"/>
      <c r="Z5" s="359"/>
      <c r="AA5" s="359"/>
      <c r="AB5" s="359"/>
      <c r="AC5" s="359"/>
      <c r="AD5" s="359"/>
      <c r="AE5" s="359"/>
    </row>
    <row r="6" spans="1:31" ht="17.25" customHeight="1">
      <c r="A6" s="1735" t="str">
        <f>'Exh D-Governmental  '!A6</f>
        <v>FOR TWO MONTHS ENDED MAY 31, 2015</v>
      </c>
      <c r="B6" s="350"/>
      <c r="C6" s="788"/>
      <c r="D6" s="345"/>
      <c r="E6" s="788"/>
      <c r="F6" s="345"/>
      <c r="G6" s="345"/>
      <c r="H6" s="345"/>
      <c r="I6" s="345"/>
      <c r="J6" s="345"/>
      <c r="K6" s="359"/>
      <c r="L6" s="789"/>
      <c r="M6" s="345"/>
      <c r="N6" s="345"/>
      <c r="O6" s="345"/>
      <c r="P6" s="345"/>
      <c r="Q6" s="345"/>
      <c r="R6" s="359"/>
      <c r="S6" s="359"/>
      <c r="T6" s="359"/>
      <c r="U6" s="359"/>
      <c r="V6" s="359"/>
      <c r="W6" s="359"/>
      <c r="X6" s="359"/>
      <c r="Y6" s="359"/>
      <c r="Z6" s="359"/>
      <c r="AA6" s="359"/>
      <c r="AB6" s="359"/>
      <c r="AC6" s="359"/>
      <c r="AD6" s="359"/>
      <c r="AE6" s="359"/>
    </row>
    <row r="7" spans="1:31" ht="18">
      <c r="A7" s="394" t="s">
        <v>1117</v>
      </c>
      <c r="B7" s="351"/>
      <c r="C7" s="788"/>
      <c r="D7" s="345"/>
      <c r="E7" s="788"/>
      <c r="F7" s="345"/>
      <c r="G7" s="345"/>
      <c r="H7" s="345"/>
      <c r="I7" s="345"/>
      <c r="J7" s="345"/>
      <c r="K7" s="359"/>
      <c r="L7" s="789"/>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8"/>
      <c r="D8" s="345"/>
      <c r="E8" s="788"/>
      <c r="F8" s="345"/>
      <c r="G8" s="345"/>
      <c r="H8" s="345"/>
      <c r="I8" s="345"/>
      <c r="J8" s="345"/>
      <c r="K8" s="359"/>
      <c r="L8" s="789"/>
      <c r="M8" s="345"/>
      <c r="N8" s="345"/>
      <c r="O8" s="345"/>
      <c r="P8" s="345"/>
      <c r="Q8" s="345"/>
      <c r="R8" s="359"/>
      <c r="S8" s="359"/>
      <c r="T8" s="359"/>
      <c r="U8" s="359"/>
      <c r="V8" s="359"/>
      <c r="W8" s="359"/>
      <c r="X8" s="359"/>
      <c r="Y8" s="359"/>
      <c r="Z8" s="359"/>
      <c r="AA8" s="359"/>
      <c r="AB8" s="359"/>
      <c r="AC8" s="359"/>
      <c r="AD8" s="359"/>
      <c r="AE8" s="359"/>
    </row>
    <row r="9" spans="1:31">
      <c r="A9" s="353"/>
      <c r="B9" s="359"/>
      <c r="C9" s="789"/>
      <c r="D9" s="345"/>
      <c r="E9" s="789"/>
      <c r="F9" s="345"/>
      <c r="G9" s="345"/>
      <c r="H9" s="345"/>
      <c r="I9" s="345"/>
      <c r="J9" s="345"/>
      <c r="K9" s="359"/>
      <c r="L9" s="789"/>
      <c r="M9" s="345"/>
      <c r="N9" s="345"/>
      <c r="O9" s="345"/>
      <c r="P9" s="345"/>
      <c r="Q9" s="345"/>
      <c r="R9" s="359"/>
      <c r="S9" s="359"/>
      <c r="T9" s="359"/>
      <c r="U9" s="359"/>
      <c r="V9" s="359"/>
      <c r="W9" s="359"/>
      <c r="X9" s="359"/>
      <c r="Y9" s="359"/>
      <c r="Z9" s="359"/>
      <c r="AA9" s="359"/>
      <c r="AB9" s="359"/>
      <c r="AC9" s="359"/>
      <c r="AD9" s="359"/>
      <c r="AE9" s="359"/>
    </row>
    <row r="10" spans="1:31">
      <c r="A10" s="353"/>
      <c r="B10" s="359"/>
      <c r="C10" s="789"/>
      <c r="D10" s="345"/>
      <c r="E10" s="789"/>
      <c r="F10" s="345"/>
      <c r="G10" s="345"/>
      <c r="H10" s="345"/>
      <c r="I10" s="345"/>
      <c r="J10" s="345"/>
      <c r="K10" s="359"/>
      <c r="L10" s="1981"/>
      <c r="M10" s="350"/>
      <c r="N10" s="350"/>
      <c r="O10" s="350"/>
      <c r="P10" s="350"/>
      <c r="Q10" s="345"/>
      <c r="R10" s="359"/>
      <c r="S10" s="359"/>
      <c r="T10" s="359"/>
      <c r="U10" s="359"/>
      <c r="V10" s="359"/>
      <c r="W10" s="359"/>
      <c r="X10" s="359"/>
      <c r="Y10" s="359"/>
      <c r="Z10" s="359"/>
      <c r="AA10" s="359"/>
      <c r="AB10" s="359"/>
      <c r="AC10" s="359"/>
      <c r="AD10" s="359"/>
      <c r="AE10" s="359"/>
    </row>
    <row r="11" spans="1:31" ht="15.75">
      <c r="A11" s="1365"/>
      <c r="C11" s="3511" t="s">
        <v>1430</v>
      </c>
      <c r="D11" s="3511"/>
      <c r="E11" s="3511"/>
      <c r="F11" s="3511"/>
      <c r="G11" s="3511"/>
      <c r="H11" s="3511"/>
      <c r="I11" s="3511"/>
      <c r="J11" s="2361"/>
      <c r="K11" s="2362"/>
      <c r="L11" s="793"/>
      <c r="M11" s="399"/>
      <c r="N11" s="399"/>
      <c r="O11" s="399"/>
      <c r="P11" s="399"/>
      <c r="Q11" s="354"/>
      <c r="R11" s="397"/>
      <c r="S11" s="397"/>
      <c r="T11" s="397"/>
      <c r="U11" s="397"/>
      <c r="V11" s="397"/>
      <c r="W11" s="397"/>
      <c r="X11" s="397"/>
      <c r="Y11" s="354"/>
      <c r="Z11" s="397"/>
      <c r="AA11" s="398"/>
      <c r="AB11" s="397"/>
      <c r="AC11" s="397"/>
      <c r="AD11" s="397"/>
      <c r="AE11" s="397"/>
    </row>
    <row r="12" spans="1:31" ht="15.75">
      <c r="A12" s="1365"/>
      <c r="C12" s="790"/>
      <c r="D12" s="399"/>
      <c r="E12" s="790"/>
      <c r="F12" s="399"/>
      <c r="G12" s="400"/>
      <c r="H12" s="399"/>
      <c r="I12" s="399" t="s">
        <v>87</v>
      </c>
      <c r="J12" s="397"/>
      <c r="K12" s="399" t="s">
        <v>87</v>
      </c>
      <c r="L12" s="793"/>
      <c r="M12" s="399"/>
      <c r="N12" s="400"/>
      <c r="O12" s="399"/>
      <c r="P12" s="399"/>
      <c r="Q12" s="354"/>
      <c r="R12" s="397"/>
      <c r="S12" s="397"/>
      <c r="T12" s="397"/>
      <c r="U12" s="397"/>
      <c r="V12" s="397"/>
      <c r="W12" s="397"/>
      <c r="X12" s="397"/>
      <c r="Y12" s="354"/>
      <c r="Z12" s="397"/>
      <c r="AA12" s="398"/>
      <c r="AB12" s="397"/>
      <c r="AC12" s="397"/>
      <c r="AD12" s="397"/>
      <c r="AE12" s="397"/>
    </row>
    <row r="13" spans="1:31" ht="15.75">
      <c r="A13" s="1365"/>
      <c r="B13" s="354"/>
      <c r="C13" s="791"/>
      <c r="D13" s="401"/>
      <c r="E13" s="791"/>
      <c r="F13" s="401"/>
      <c r="G13" s="401"/>
      <c r="H13" s="401"/>
      <c r="I13" s="402" t="s">
        <v>1124</v>
      </c>
      <c r="J13" s="404"/>
      <c r="K13" s="402" t="s">
        <v>1124</v>
      </c>
      <c r="L13" s="1982"/>
      <c r="M13" s="1983"/>
      <c r="N13" s="1983"/>
      <c r="O13" s="1983"/>
      <c r="P13" s="1984"/>
      <c r="Q13" s="354"/>
      <c r="R13" s="354"/>
      <c r="S13" s="354"/>
      <c r="T13" s="354"/>
      <c r="U13" s="354"/>
      <c r="V13" s="354"/>
      <c r="W13" s="403"/>
      <c r="X13" s="404"/>
      <c r="Y13" s="354"/>
      <c r="Z13" s="354"/>
      <c r="AA13" s="354"/>
      <c r="AB13" s="354"/>
      <c r="AC13" s="354"/>
      <c r="AD13" s="354"/>
      <c r="AE13" s="403"/>
    </row>
    <row r="14" spans="1:31" ht="15.75">
      <c r="A14" s="1365"/>
      <c r="B14" s="405"/>
      <c r="C14" s="357" t="s">
        <v>1370</v>
      </c>
      <c r="D14" s="1909"/>
      <c r="E14" s="356" t="s">
        <v>1371</v>
      </c>
      <c r="F14" s="355"/>
      <c r="G14" s="355"/>
      <c r="H14" s="355"/>
      <c r="I14" s="356" t="s">
        <v>88</v>
      </c>
      <c r="J14" s="404"/>
      <c r="K14" s="356" t="s">
        <v>88</v>
      </c>
      <c r="L14" s="1985"/>
      <c r="M14" s="354"/>
      <c r="N14" s="354"/>
      <c r="O14" s="354"/>
      <c r="P14" s="404"/>
      <c r="Q14" s="354"/>
      <c r="R14" s="403"/>
      <c r="S14" s="404"/>
      <c r="T14" s="354"/>
      <c r="U14" s="354"/>
      <c r="V14" s="354"/>
      <c r="W14" s="403"/>
      <c r="X14" s="404"/>
      <c r="Y14" s="354"/>
      <c r="Z14" s="403"/>
      <c r="AA14" s="404"/>
      <c r="AB14" s="354"/>
      <c r="AC14" s="354"/>
      <c r="AD14" s="354"/>
      <c r="AE14" s="403"/>
    </row>
    <row r="15" spans="1:31" ht="15.75">
      <c r="A15" s="1365"/>
      <c r="B15" s="405"/>
      <c r="C15" s="356" t="s">
        <v>1414</v>
      </c>
      <c r="D15" s="355"/>
      <c r="E15" s="356" t="s">
        <v>1414</v>
      </c>
      <c r="F15" s="355"/>
      <c r="G15" s="355"/>
      <c r="H15" s="355"/>
      <c r="I15" s="356" t="s">
        <v>1370</v>
      </c>
      <c r="J15" s="404"/>
      <c r="K15" s="356" t="s">
        <v>1371</v>
      </c>
      <c r="L15" s="1985"/>
      <c r="M15" s="354"/>
      <c r="N15" s="354"/>
      <c r="O15" s="354"/>
      <c r="P15" s="404"/>
      <c r="Q15" s="354"/>
      <c r="R15" s="403"/>
      <c r="S15" s="404"/>
      <c r="T15" s="354"/>
      <c r="U15" s="354"/>
      <c r="V15" s="354"/>
      <c r="W15" s="403"/>
      <c r="X15" s="404"/>
      <c r="Y15" s="354"/>
      <c r="Z15" s="403"/>
      <c r="AA15" s="404"/>
      <c r="AB15" s="354"/>
      <c r="AC15" s="354"/>
      <c r="AD15" s="354"/>
      <c r="AE15" s="403"/>
    </row>
    <row r="16" spans="1:31" ht="15.75">
      <c r="A16" s="1365"/>
      <c r="B16" s="404"/>
      <c r="C16" s="356" t="s">
        <v>1415</v>
      </c>
      <c r="D16" s="355"/>
      <c r="E16" s="356" t="s">
        <v>1565</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75">
      <c r="A18" s="221" t="s">
        <v>15</v>
      </c>
      <c r="B18" s="1901"/>
      <c r="C18" s="1257"/>
      <c r="D18" s="1257"/>
      <c r="E18" s="1257"/>
      <c r="F18" s="1257"/>
      <c r="G18" s="1257"/>
      <c r="H18" s="1257"/>
      <c r="I18" s="1257"/>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row>
    <row r="19" spans="1:31">
      <c r="A19" s="1727" t="s">
        <v>90</v>
      </c>
      <c r="B19" s="1902"/>
      <c r="C19" s="1257"/>
      <c r="D19" s="1902"/>
      <c r="E19" s="1257"/>
      <c r="F19" s="1902"/>
      <c r="G19" s="1257"/>
      <c r="H19" s="1902"/>
      <c r="I19" s="1257"/>
      <c r="J19" s="1901"/>
      <c r="K19" s="1901"/>
      <c r="L19" s="1901"/>
      <c r="M19" s="1901"/>
      <c r="N19" s="1901"/>
      <c r="O19" s="1923"/>
      <c r="P19" s="1901"/>
      <c r="Q19" s="1901"/>
      <c r="R19" s="1901"/>
      <c r="S19" s="1901"/>
      <c r="T19" s="1901"/>
      <c r="U19" s="1901"/>
      <c r="V19" s="1901"/>
      <c r="W19" s="1901"/>
      <c r="X19" s="1901"/>
      <c r="Y19" s="1901"/>
      <c r="Z19" s="1901"/>
      <c r="AA19" s="1901"/>
      <c r="AB19" s="1901"/>
      <c r="AC19" s="1901"/>
      <c r="AD19" s="1901"/>
      <c r="AE19" s="1901"/>
    </row>
    <row r="20" spans="1:31">
      <c r="A20" s="1727" t="s">
        <v>91</v>
      </c>
      <c r="B20" s="1902" t="s">
        <v>16</v>
      </c>
      <c r="C20" s="1258">
        <v>6648</v>
      </c>
      <c r="D20" s="1260"/>
      <c r="E20" s="1258">
        <v>0</v>
      </c>
      <c r="F20" s="1260"/>
      <c r="G20" s="1258">
        <f>+'Exh F'!AC28</f>
        <v>6776.3</v>
      </c>
      <c r="H20" s="1260"/>
      <c r="I20" s="1258">
        <f t="shared" ref="I20:I25" si="0">ROUND(SUM(G20)-SUM(C20),1)</f>
        <v>128.30000000000001</v>
      </c>
      <c r="J20" s="1901"/>
      <c r="K20" s="1988">
        <v>0</v>
      </c>
      <c r="L20" s="1986"/>
      <c r="M20" s="1986"/>
      <c r="N20" s="1987"/>
      <c r="O20" s="1986"/>
      <c r="P20" s="1988"/>
      <c r="Q20" s="1901"/>
      <c r="R20" s="1901"/>
      <c r="S20" s="1901"/>
      <c r="T20" s="1901"/>
      <c r="U20" s="1901"/>
      <c r="V20" s="1901"/>
      <c r="W20" s="1901"/>
      <c r="X20" s="1901"/>
      <c r="Y20" s="1901"/>
      <c r="Z20" s="1901"/>
      <c r="AA20" s="1901"/>
      <c r="AB20" s="1901"/>
      <c r="AC20" s="1901"/>
      <c r="AD20" s="1901"/>
      <c r="AE20" s="1901"/>
    </row>
    <row r="21" spans="1:31">
      <c r="A21" s="1727" t="s">
        <v>92</v>
      </c>
      <c r="B21" s="1901" t="s">
        <v>16</v>
      </c>
      <c r="C21" s="1920">
        <v>1046</v>
      </c>
      <c r="D21" s="1177"/>
      <c r="E21" s="1920">
        <v>0</v>
      </c>
      <c r="F21" s="1177"/>
      <c r="G21" s="1177">
        <f>+'Exh F'!AC37</f>
        <v>1019.7</v>
      </c>
      <c r="H21" s="1177"/>
      <c r="I21" s="1177">
        <f t="shared" si="0"/>
        <v>-26.3</v>
      </c>
      <c r="J21" s="1901"/>
      <c r="K21" s="1921">
        <v>0</v>
      </c>
      <c r="L21" s="1989"/>
      <c r="M21" s="1921"/>
      <c r="N21" s="1921"/>
      <c r="O21" s="1921"/>
      <c r="P21" s="1921"/>
      <c r="Q21" s="1921"/>
      <c r="R21" s="1921"/>
      <c r="S21" s="1901"/>
      <c r="T21" s="1901"/>
      <c r="U21" s="1901"/>
      <c r="V21" s="1901"/>
      <c r="W21" s="1901"/>
      <c r="X21" s="1901"/>
      <c r="Y21" s="1901"/>
      <c r="Z21" s="1901"/>
      <c r="AA21" s="1901"/>
      <c r="AB21" s="1901"/>
      <c r="AC21" s="1901"/>
      <c r="AD21" s="1901"/>
      <c r="AE21" s="1901"/>
    </row>
    <row r="22" spans="1:31">
      <c r="A22" s="1727" t="s">
        <v>93</v>
      </c>
      <c r="B22" s="1902" t="s">
        <v>16</v>
      </c>
      <c r="C22" s="1920">
        <v>214</v>
      </c>
      <c r="D22" s="1333"/>
      <c r="E22" s="1920">
        <v>0</v>
      </c>
      <c r="F22" s="1333"/>
      <c r="G22" s="1910">
        <f>+'Exh F'!AC44</f>
        <v>170.7</v>
      </c>
      <c r="H22" s="1333"/>
      <c r="I22" s="1177">
        <f t="shared" si="0"/>
        <v>-43.3</v>
      </c>
      <c r="J22" s="1901"/>
      <c r="K22" s="1921">
        <v>0</v>
      </c>
      <c r="L22" s="1989"/>
      <c r="M22" s="1922"/>
      <c r="N22" s="1921"/>
      <c r="O22" s="1922"/>
      <c r="P22" s="1921"/>
      <c r="Q22" s="1922"/>
      <c r="R22" s="1921"/>
      <c r="S22" s="1901"/>
      <c r="T22" s="1923"/>
      <c r="U22" s="1901"/>
      <c r="V22" s="1923"/>
      <c r="W22" s="1901"/>
      <c r="X22" s="1901"/>
      <c r="Y22" s="1923"/>
      <c r="Z22" s="1901"/>
      <c r="AA22" s="1901"/>
      <c r="AB22" s="1923"/>
      <c r="AC22" s="406"/>
      <c r="AD22" s="1923"/>
      <c r="AE22" s="1901"/>
    </row>
    <row r="23" spans="1:31">
      <c r="A23" s="1727" t="s">
        <v>94</v>
      </c>
      <c r="B23" s="1901" t="s">
        <v>16</v>
      </c>
      <c r="C23" s="1920">
        <v>258</v>
      </c>
      <c r="D23" s="1177"/>
      <c r="E23" s="1920">
        <v>0</v>
      </c>
      <c r="F23" s="1177"/>
      <c r="G23" s="1177">
        <f>+'Exh F'!AC52</f>
        <v>300.60000000000002</v>
      </c>
      <c r="H23" s="1177"/>
      <c r="I23" s="1177">
        <f t="shared" si="0"/>
        <v>42.6</v>
      </c>
      <c r="J23" s="1901"/>
      <c r="K23" s="1921">
        <v>0</v>
      </c>
      <c r="L23" s="1990"/>
      <c r="M23" s="1921"/>
      <c r="N23" s="1921"/>
      <c r="O23" s="1921"/>
      <c r="P23" s="1921"/>
      <c r="Q23" s="1921"/>
      <c r="R23" s="1921"/>
      <c r="S23" s="1901"/>
      <c r="T23" s="1901"/>
      <c r="U23" s="1901"/>
      <c r="V23" s="1901"/>
      <c r="W23" s="1901"/>
      <c r="X23" s="1901"/>
      <c r="Y23" s="1901"/>
      <c r="Z23" s="1901"/>
      <c r="AA23" s="1901"/>
      <c r="AB23" s="1901"/>
      <c r="AC23" s="1901"/>
      <c r="AD23" s="1901"/>
      <c r="AE23" s="1901"/>
    </row>
    <row r="24" spans="1:31" ht="15" customHeight="1">
      <c r="A24" s="1727" t="s">
        <v>21</v>
      </c>
      <c r="B24" s="1901" t="s">
        <v>16</v>
      </c>
      <c r="C24" s="1920">
        <v>2183</v>
      </c>
      <c r="D24" s="1920"/>
      <c r="E24" s="1920">
        <v>0</v>
      </c>
      <c r="F24" s="1920"/>
      <c r="G24" s="1361">
        <f>+'Exh F'!AC89</f>
        <v>2622.8</v>
      </c>
      <c r="H24" s="1177"/>
      <c r="I24" s="1177">
        <f t="shared" si="0"/>
        <v>439.8</v>
      </c>
      <c r="J24" s="1901"/>
      <c r="K24" s="1921">
        <v>0</v>
      </c>
      <c r="L24" s="1990"/>
      <c r="M24" s="1921"/>
      <c r="N24" s="1921"/>
      <c r="O24" s="1921"/>
      <c r="P24" s="1921"/>
      <c r="Q24" s="1921"/>
      <c r="R24" s="1921"/>
      <c r="S24" s="1901"/>
      <c r="T24" s="1901"/>
      <c r="U24" s="1901"/>
      <c r="V24" s="1901"/>
      <c r="W24" s="1901"/>
      <c r="X24" s="1901"/>
      <c r="Y24" s="1901"/>
      <c r="Z24" s="1901"/>
      <c r="AA24" s="1901"/>
      <c r="AB24" s="1901"/>
      <c r="AC24" s="1901"/>
      <c r="AD24" s="1901"/>
      <c r="AE24" s="1901"/>
    </row>
    <row r="25" spans="1:31" ht="15" customHeight="1">
      <c r="A25" s="1727" t="s">
        <v>22</v>
      </c>
      <c r="B25" s="1901" t="s">
        <v>16</v>
      </c>
      <c r="C25" s="1259">
        <v>0</v>
      </c>
      <c r="D25" s="1177"/>
      <c r="E25" s="1259">
        <v>0</v>
      </c>
      <c r="F25" s="1177"/>
      <c r="G25" s="1361">
        <f>+'Exh F'!AC91</f>
        <v>0.1</v>
      </c>
      <c r="H25" s="1177"/>
      <c r="I25" s="1177">
        <f t="shared" si="0"/>
        <v>0.1</v>
      </c>
      <c r="J25" s="1901"/>
      <c r="K25" s="1921">
        <v>0</v>
      </c>
      <c r="L25" s="1989"/>
      <c r="M25" s="1921"/>
      <c r="N25" s="1921"/>
      <c r="O25" s="1921"/>
      <c r="P25" s="1921"/>
      <c r="Q25" s="1921"/>
      <c r="R25" s="1925"/>
      <c r="S25" s="1926"/>
      <c r="T25" s="1901"/>
      <c r="U25" s="1926"/>
      <c r="V25" s="1901"/>
      <c r="W25" s="1926"/>
      <c r="X25" s="1927"/>
      <c r="Y25" s="1901"/>
      <c r="Z25" s="1901"/>
      <c r="AA25" s="1901"/>
      <c r="AB25" s="1901"/>
      <c r="AC25" s="1901"/>
      <c r="AD25" s="1901"/>
      <c r="AE25" s="1901"/>
    </row>
    <row r="26" spans="1:31" ht="18" customHeight="1">
      <c r="A26" s="1727" t="s">
        <v>109</v>
      </c>
      <c r="B26" s="1927"/>
      <c r="C26" s="1259"/>
      <c r="D26" s="1177"/>
      <c r="E26" s="1259"/>
      <c r="F26" s="1177"/>
      <c r="G26" s="1360"/>
      <c r="H26" s="1177"/>
      <c r="I26" s="1177"/>
      <c r="J26" s="1927"/>
      <c r="K26" s="1921"/>
      <c r="L26" s="1925"/>
      <c r="M26" s="1921"/>
      <c r="N26" s="1925"/>
      <c r="O26" s="1921"/>
      <c r="P26" s="1925"/>
      <c r="Q26" s="1921"/>
      <c r="R26" s="1925"/>
      <c r="S26" s="1926"/>
      <c r="T26" s="1901"/>
      <c r="U26" s="1926"/>
      <c r="V26" s="1901"/>
      <c r="W26" s="1926"/>
      <c r="X26" s="1927"/>
      <c r="Y26" s="1901"/>
      <c r="Z26" s="1901"/>
      <c r="AA26" s="1901"/>
      <c r="AB26" s="1901"/>
      <c r="AC26" s="1901"/>
      <c r="AD26" s="1901"/>
      <c r="AE26" s="1901"/>
    </row>
    <row r="27" spans="1:31">
      <c r="A27" s="1727" t="s">
        <v>110</v>
      </c>
      <c r="B27" s="1927" t="s">
        <v>16</v>
      </c>
      <c r="C27" s="1177">
        <v>2175</v>
      </c>
      <c r="D27" s="1177"/>
      <c r="E27" s="1177">
        <v>0</v>
      </c>
      <c r="F27" s="1177"/>
      <c r="G27" s="1358">
        <f>'Exh F'!AC120</f>
        <v>2217.9</v>
      </c>
      <c r="H27" s="1177"/>
      <c r="I27" s="1177">
        <f>ROUND(SUM(G27)-SUM(C27),1)</f>
        <v>42.9</v>
      </c>
      <c r="J27" s="1927"/>
      <c r="K27" s="1921">
        <v>0</v>
      </c>
      <c r="L27" s="1925"/>
      <c r="M27" s="1921"/>
      <c r="N27" s="1925"/>
      <c r="O27" s="1921"/>
      <c r="P27" s="1921"/>
      <c r="Q27" s="1921"/>
      <c r="R27" s="1925"/>
      <c r="S27" s="1926"/>
      <c r="T27" s="1901"/>
      <c r="U27" s="1926"/>
      <c r="V27" s="1901"/>
      <c r="W27" s="1926"/>
      <c r="X27" s="1927"/>
      <c r="Y27" s="1901"/>
      <c r="Z27" s="1901"/>
      <c r="AA27" s="1901"/>
      <c r="AB27" s="1901"/>
      <c r="AC27" s="1901"/>
      <c r="AD27" s="1901"/>
      <c r="AE27" s="1901"/>
    </row>
    <row r="28" spans="1:31">
      <c r="A28" s="1727" t="s">
        <v>1368</v>
      </c>
      <c r="B28" s="1927" t="s">
        <v>16</v>
      </c>
      <c r="C28" s="1177">
        <v>743</v>
      </c>
      <c r="D28" s="1177"/>
      <c r="E28" s="1177">
        <v>0</v>
      </c>
      <c r="F28" s="1177"/>
      <c r="G28" s="1359">
        <f>'Exh F'!AC121</f>
        <v>710.4</v>
      </c>
      <c r="H28" s="1177"/>
      <c r="I28" s="1177">
        <f>ROUND(SUM(G28)-SUM(C28),1)</f>
        <v>-32.6</v>
      </c>
      <c r="J28" s="1927"/>
      <c r="K28" s="1921">
        <v>0</v>
      </c>
      <c r="L28" s="1925"/>
      <c r="M28" s="1921"/>
      <c r="N28" s="1925"/>
      <c r="O28" s="1921"/>
      <c r="P28" s="1921"/>
      <c r="Q28" s="1921"/>
      <c r="R28" s="1925"/>
      <c r="S28" s="1926"/>
      <c r="T28" s="1901"/>
      <c r="U28" s="1926"/>
      <c r="V28" s="1901"/>
      <c r="W28" s="1926"/>
      <c r="X28" s="1927"/>
      <c r="Y28" s="1901"/>
      <c r="Z28" s="1901"/>
      <c r="AA28" s="1901"/>
      <c r="AB28" s="1901"/>
      <c r="AC28" s="1901"/>
      <c r="AD28" s="1901"/>
      <c r="AE28" s="1901"/>
    </row>
    <row r="29" spans="1:31">
      <c r="A29" s="1727" t="s">
        <v>111</v>
      </c>
      <c r="B29" s="1927" t="s">
        <v>16</v>
      </c>
      <c r="C29" s="1177">
        <v>150</v>
      </c>
      <c r="D29" s="1177"/>
      <c r="E29" s="1177">
        <v>0</v>
      </c>
      <c r="F29" s="1177"/>
      <c r="G29" s="1358">
        <f>'Exh F'!AC122</f>
        <v>171.3</v>
      </c>
      <c r="H29" s="1177"/>
      <c r="I29" s="1177">
        <f>ROUND(SUM(G29)-SUM(C29),1)</f>
        <v>21.3</v>
      </c>
      <c r="J29" s="1927"/>
      <c r="K29" s="1921">
        <v>0</v>
      </c>
      <c r="L29" s="1925"/>
      <c r="M29" s="1921"/>
      <c r="N29" s="1925"/>
      <c r="O29" s="1921"/>
      <c r="P29" s="1921"/>
      <c r="Q29" s="1921"/>
      <c r="R29" s="1925"/>
      <c r="S29" s="1926"/>
      <c r="T29" s="1901"/>
      <c r="U29" s="1926"/>
      <c r="V29" s="1901"/>
      <c r="W29" s="1926"/>
      <c r="X29" s="1927"/>
      <c r="Y29" s="1901"/>
      <c r="Z29" s="1901"/>
      <c r="AA29" s="1901"/>
      <c r="AB29" s="1901"/>
      <c r="AC29" s="1901"/>
      <c r="AD29" s="1901"/>
      <c r="AE29" s="1901"/>
    </row>
    <row r="30" spans="1:31">
      <c r="A30" s="1727" t="s">
        <v>112</v>
      </c>
      <c r="B30" s="1927" t="s">
        <v>16</v>
      </c>
      <c r="C30" s="1907">
        <v>310</v>
      </c>
      <c r="D30" s="1177"/>
      <c r="E30" s="1907">
        <v>0</v>
      </c>
      <c r="F30" s="1177"/>
      <c r="G30" s="2066">
        <f>'Exh F'!AC123</f>
        <v>313.2</v>
      </c>
      <c r="H30" s="1177"/>
      <c r="I30" s="1177">
        <f>ROUND(SUM(G30)-SUM(C30),1)</f>
        <v>3.2</v>
      </c>
      <c r="J30" s="1927"/>
      <c r="K30" s="1921">
        <v>0</v>
      </c>
      <c r="L30" s="1991"/>
      <c r="M30" s="1921"/>
      <c r="N30" s="1922"/>
      <c r="O30" s="1921"/>
      <c r="P30" s="1921"/>
      <c r="Q30" s="1921"/>
      <c r="R30" s="1925"/>
      <c r="S30" s="1926"/>
      <c r="T30" s="1901"/>
      <c r="U30" s="1926"/>
      <c r="V30" s="1901"/>
      <c r="W30" s="1926"/>
      <c r="X30" s="1927"/>
      <c r="Y30" s="1901"/>
      <c r="Z30" s="1901"/>
      <c r="AA30" s="1901"/>
      <c r="AB30" s="1901"/>
      <c r="AC30" s="1901"/>
      <c r="AD30" s="1901"/>
      <c r="AE30" s="1901"/>
    </row>
    <row r="31" spans="1:31" ht="18" customHeight="1">
      <c r="A31" s="376" t="s">
        <v>113</v>
      </c>
      <c r="B31" s="354" t="s">
        <v>16</v>
      </c>
      <c r="C31" s="421">
        <f>ROUND(SUM(C20:C30),1)</f>
        <v>13727</v>
      </c>
      <c r="D31" s="1899"/>
      <c r="E31" s="421">
        <f>ROUND(SUM(E20:E30),1)</f>
        <v>0</v>
      </c>
      <c r="F31" s="1899"/>
      <c r="G31" s="421">
        <f>ROUND(SUM(G20:G30),1)</f>
        <v>14303</v>
      </c>
      <c r="H31" s="1899"/>
      <c r="I31" s="546">
        <f>ROUND(SUM(I20:I30),1)</f>
        <v>576</v>
      </c>
      <c r="J31" s="354"/>
      <c r="K31" s="546">
        <f>ROUND(SUM(K20:K30),1)</f>
        <v>0</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65"/>
      <c r="B32" s="1901"/>
      <c r="C32" s="1363"/>
      <c r="D32" s="1177"/>
      <c r="E32" s="1363"/>
      <c r="F32" s="1177"/>
      <c r="G32" s="1363"/>
      <c r="H32" s="1177"/>
      <c r="I32" s="1921"/>
      <c r="J32" s="1901"/>
      <c r="K32" s="1921"/>
      <c r="L32" s="1921"/>
      <c r="M32" s="1921"/>
      <c r="N32" s="1921"/>
      <c r="O32" s="1921"/>
      <c r="P32" s="1921"/>
      <c r="Q32" s="1921"/>
      <c r="R32" s="1921"/>
      <c r="S32" s="1901"/>
      <c r="T32" s="1901"/>
      <c r="U32" s="1901"/>
      <c r="V32" s="1901"/>
      <c r="W32" s="1901"/>
      <c r="X32" s="1901"/>
      <c r="Y32" s="1901"/>
      <c r="Z32" s="1901"/>
      <c r="AA32" s="1901"/>
      <c r="AB32" s="1901"/>
      <c r="AC32" s="1901"/>
      <c r="AD32" s="1901"/>
      <c r="AE32" s="1901"/>
    </row>
    <row r="33" spans="1:31" ht="15.75">
      <c r="A33" s="221" t="s">
        <v>24</v>
      </c>
      <c r="B33" s="1901"/>
      <c r="C33" s="1177"/>
      <c r="D33" s="1177"/>
      <c r="E33" s="1177"/>
      <c r="F33" s="1177"/>
      <c r="G33" s="1177"/>
      <c r="H33" s="1177"/>
      <c r="I33" s="1177"/>
      <c r="J33" s="1901"/>
      <c r="K33" s="1921"/>
      <c r="L33" s="1921"/>
      <c r="M33" s="1921"/>
      <c r="N33" s="1921"/>
      <c r="O33" s="1921"/>
      <c r="P33" s="1921"/>
      <c r="Q33" s="1921"/>
      <c r="R33" s="1921"/>
      <c r="S33" s="1901"/>
      <c r="T33" s="1901"/>
      <c r="U33" s="1901"/>
      <c r="V33" s="1901"/>
      <c r="W33" s="1901"/>
      <c r="X33" s="1901"/>
      <c r="Y33" s="1901"/>
      <c r="Z33" s="1901"/>
      <c r="AA33" s="1901"/>
      <c r="AB33" s="1901"/>
      <c r="AC33" s="1901"/>
      <c r="AD33" s="1901"/>
      <c r="AE33" s="1901"/>
    </row>
    <row r="34" spans="1:31">
      <c r="A34" s="1727" t="s">
        <v>96</v>
      </c>
      <c r="B34" s="1923" t="s">
        <v>16</v>
      </c>
      <c r="C34" s="1333">
        <v>6846</v>
      </c>
      <c r="D34" s="1177"/>
      <c r="E34" s="1333">
        <v>0</v>
      </c>
      <c r="F34" s="1177"/>
      <c r="G34" s="1333">
        <f>+'Exh F'!AC107</f>
        <v>6776.7</v>
      </c>
      <c r="H34" s="1177"/>
      <c r="I34" s="1177">
        <f>ROUND(SUM(G34)-SUM(C34),1)</f>
        <v>-69.3</v>
      </c>
      <c r="J34" s="1901"/>
      <c r="K34" s="1921">
        <v>0</v>
      </c>
      <c r="L34" s="1922"/>
      <c r="M34" s="1921"/>
      <c r="N34" s="1922"/>
      <c r="O34" s="1921"/>
      <c r="P34" s="1921"/>
      <c r="Q34" s="1921"/>
      <c r="R34" s="1925"/>
      <c r="S34" s="1926"/>
      <c r="T34" s="1901"/>
      <c r="U34" s="1926"/>
      <c r="V34" s="1901"/>
      <c r="W34" s="1926"/>
      <c r="X34" s="1927"/>
      <c r="Y34" s="1901"/>
      <c r="Z34" s="1901"/>
      <c r="AA34" s="1901"/>
      <c r="AB34" s="1901"/>
      <c r="AC34" s="1901"/>
      <c r="AD34" s="1901"/>
      <c r="AE34" s="1901"/>
    </row>
    <row r="35" spans="1:31">
      <c r="A35" s="1727" t="s">
        <v>97</v>
      </c>
      <c r="B35" s="1923" t="s">
        <v>16</v>
      </c>
      <c r="C35" s="1333">
        <v>1227</v>
      </c>
      <c r="D35" s="1177"/>
      <c r="E35" s="1333">
        <v>0</v>
      </c>
      <c r="F35" s="1177"/>
      <c r="G35" s="1333">
        <f>+'Exh F'!AC109+'Exh F'!AC110</f>
        <v>1190.7</v>
      </c>
      <c r="H35" s="1177"/>
      <c r="I35" s="1177">
        <f>ROUND(SUM(G35)-SUM(C35),1)</f>
        <v>-36.299999999999997</v>
      </c>
      <c r="J35" s="1901"/>
      <c r="K35" s="1921">
        <v>0</v>
      </c>
      <c r="L35" s="1922"/>
      <c r="M35" s="1921"/>
      <c r="N35" s="1922"/>
      <c r="O35" s="1921"/>
      <c r="P35" s="1921"/>
      <c r="Q35" s="1921"/>
      <c r="R35" s="1922"/>
      <c r="S35" s="1923"/>
      <c r="T35" s="1901"/>
      <c r="U35" s="1923"/>
      <c r="V35" s="1901"/>
      <c r="W35" s="1926"/>
      <c r="X35" s="1901"/>
      <c r="Y35" s="1901"/>
      <c r="Z35" s="1926"/>
      <c r="AA35" s="1926"/>
      <c r="AB35" s="1901"/>
      <c r="AC35" s="1926"/>
      <c r="AD35" s="1901"/>
      <c r="AE35" s="1926"/>
    </row>
    <row r="36" spans="1:31">
      <c r="A36" s="1727" t="s">
        <v>72</v>
      </c>
      <c r="B36" s="1923" t="s">
        <v>16</v>
      </c>
      <c r="C36" s="1333">
        <v>1244</v>
      </c>
      <c r="D36" s="1177"/>
      <c r="E36" s="1333">
        <v>0</v>
      </c>
      <c r="F36" s="1177"/>
      <c r="G36" s="1333">
        <f>+'Exh F'!AC111</f>
        <v>1116</v>
      </c>
      <c r="H36" s="1177"/>
      <c r="I36" s="1177">
        <f>ROUND(SUM(G36)-SUM(C36),1)</f>
        <v>-128</v>
      </c>
      <c r="J36" s="1901"/>
      <c r="K36" s="1921">
        <v>0</v>
      </c>
      <c r="L36" s="1922"/>
      <c r="M36" s="1921"/>
      <c r="N36" s="1922"/>
      <c r="O36" s="1921"/>
      <c r="P36" s="1921"/>
      <c r="Q36" s="1921"/>
      <c r="R36" s="1925"/>
      <c r="S36" s="1926"/>
      <c r="T36" s="1901"/>
      <c r="U36" s="1926"/>
      <c r="V36" s="1901"/>
      <c r="W36" s="1926"/>
      <c r="X36" s="1927"/>
      <c r="Y36" s="1901"/>
      <c r="Z36" s="1926"/>
      <c r="AA36" s="1926"/>
      <c r="AB36" s="1901"/>
      <c r="AC36" s="1926"/>
      <c r="AD36" s="1901"/>
      <c r="AE36" s="1926"/>
    </row>
    <row r="37" spans="1:31" ht="18" customHeight="1">
      <c r="A37" s="1727" t="s">
        <v>114</v>
      </c>
      <c r="B37" s="1927"/>
      <c r="C37" s="1259"/>
      <c r="D37" s="1177"/>
      <c r="E37" s="1259"/>
      <c r="F37" s="1177"/>
      <c r="G37" s="1259"/>
      <c r="H37" s="1177"/>
      <c r="I37" s="1177"/>
      <c r="J37" s="1927"/>
      <c r="K37" s="1921"/>
      <c r="L37" s="1991"/>
      <c r="M37" s="1921"/>
      <c r="N37" s="1991"/>
      <c r="O37" s="1921"/>
      <c r="P37" s="1921"/>
      <c r="Q37" s="1921"/>
      <c r="R37" s="1925"/>
      <c r="S37" s="1926"/>
      <c r="T37" s="1901"/>
      <c r="U37" s="1926"/>
      <c r="V37" s="1901"/>
      <c r="W37" s="1926"/>
      <c r="X37" s="1927"/>
      <c r="Y37" s="1901"/>
      <c r="Z37" s="1901"/>
      <c r="AA37" s="1901"/>
      <c r="AB37" s="1901"/>
      <c r="AC37" s="1901"/>
      <c r="AD37" s="1901"/>
      <c r="AE37" s="1901"/>
    </row>
    <row r="38" spans="1:31">
      <c r="A38" s="1727" t="s">
        <v>115</v>
      </c>
      <c r="B38" s="1927" t="s">
        <v>16</v>
      </c>
      <c r="C38" s="1361">
        <v>302</v>
      </c>
      <c r="D38" s="1177"/>
      <c r="E38" s="1361">
        <v>0</v>
      </c>
      <c r="F38" s="1177"/>
      <c r="G38" s="1361">
        <f>-'Exh F'!AC126</f>
        <v>293.3</v>
      </c>
      <c r="H38" s="1177"/>
      <c r="I38" s="1177">
        <f>ROUND(SUM(G38)-SUM(C38),1)</f>
        <v>-8.6999999999999993</v>
      </c>
      <c r="J38" s="1927"/>
      <c r="K38" s="1921">
        <v>0</v>
      </c>
      <c r="L38" s="1925"/>
      <c r="M38" s="1921"/>
      <c r="N38" s="1925"/>
      <c r="O38" s="1921"/>
      <c r="P38" s="1921"/>
      <c r="Q38" s="1921"/>
      <c r="R38" s="1925"/>
      <c r="S38" s="1926"/>
      <c r="T38" s="1901"/>
      <c r="U38" s="1926"/>
      <c r="V38" s="1901"/>
      <c r="W38" s="1926"/>
      <c r="X38" s="1927"/>
      <c r="Y38" s="1901"/>
      <c r="Z38" s="1901"/>
      <c r="AA38" s="1901"/>
      <c r="AB38" s="1901"/>
      <c r="AC38" s="1901"/>
      <c r="AD38" s="1901"/>
      <c r="AE38" s="1901"/>
    </row>
    <row r="39" spans="1:31">
      <c r="A39" s="1727" t="s">
        <v>116</v>
      </c>
      <c r="B39" s="1927" t="s">
        <v>16</v>
      </c>
      <c r="C39" s="1361">
        <v>289</v>
      </c>
      <c r="D39" s="1177"/>
      <c r="E39" s="1361">
        <v>0</v>
      </c>
      <c r="F39" s="1177"/>
      <c r="G39" s="1361">
        <f>-'Exh F'!AC124</f>
        <v>216.1</v>
      </c>
      <c r="H39" s="1177"/>
      <c r="I39" s="1177">
        <f>ROUND(SUM(G39)-SUM(C39),1)</f>
        <v>-72.900000000000006</v>
      </c>
      <c r="J39" s="1927"/>
      <c r="K39" s="1921">
        <v>0</v>
      </c>
      <c r="L39" s="1925"/>
      <c r="M39" s="1921"/>
      <c r="N39" s="1925"/>
      <c r="O39" s="1921"/>
      <c r="P39" s="1921"/>
      <c r="Q39" s="1921"/>
      <c r="R39" s="1925"/>
      <c r="S39" s="1926"/>
      <c r="T39" s="1901"/>
      <c r="U39" s="1926"/>
      <c r="V39" s="1901"/>
      <c r="W39" s="1926"/>
      <c r="X39" s="1927"/>
      <c r="Y39" s="1901"/>
      <c r="Z39" s="1901"/>
      <c r="AA39" s="1901"/>
      <c r="AB39" s="1901"/>
      <c r="AC39" s="1901"/>
      <c r="AD39" s="1901"/>
      <c r="AE39" s="1901"/>
    </row>
    <row r="40" spans="1:31">
      <c r="A40" s="1727" t="s">
        <v>117</v>
      </c>
      <c r="B40" s="1927" t="s">
        <v>16</v>
      </c>
      <c r="C40" s="1361">
        <v>1107</v>
      </c>
      <c r="D40" s="1177"/>
      <c r="E40" s="1361">
        <v>0</v>
      </c>
      <c r="F40" s="1177"/>
      <c r="G40" s="1362">
        <v>1010.6</v>
      </c>
      <c r="H40" s="3194" t="s">
        <v>118</v>
      </c>
      <c r="I40" s="1177">
        <f>ROUND(SUM(G40)-SUM(C40),1)</f>
        <v>-96.4</v>
      </c>
      <c r="J40" s="1927"/>
      <c r="K40" s="1921">
        <v>0</v>
      </c>
      <c r="L40" s="1925"/>
      <c r="M40" s="1921"/>
      <c r="N40" s="1925"/>
      <c r="O40" s="1921"/>
      <c r="P40" s="1921"/>
      <c r="Q40" s="1921"/>
      <c r="R40" s="1925"/>
      <c r="S40" s="1926"/>
      <c r="T40" s="1901"/>
      <c r="U40" s="1926"/>
      <c r="V40" s="1901"/>
      <c r="W40" s="1926"/>
      <c r="X40" s="1927"/>
      <c r="Y40" s="1901"/>
      <c r="Z40" s="1901"/>
      <c r="AA40" s="1901"/>
      <c r="AB40" s="1901"/>
      <c r="AC40" s="1901"/>
      <c r="AD40" s="1901"/>
      <c r="AE40" s="1901"/>
    </row>
    <row r="41" spans="1:31">
      <c r="A41" s="1727" t="s">
        <v>119</v>
      </c>
      <c r="B41" s="1927" t="s">
        <v>120</v>
      </c>
      <c r="C41" s="1361">
        <v>420</v>
      </c>
      <c r="D41" s="1177"/>
      <c r="E41" s="1361">
        <v>0</v>
      </c>
      <c r="F41" s="1177"/>
      <c r="G41" s="1362">
        <v>419.1</v>
      </c>
      <c r="H41" s="1177"/>
      <c r="I41" s="1177">
        <f>ROUND(SUM(G41)-SUM(C41),1)</f>
        <v>-0.9</v>
      </c>
      <c r="J41" s="1927"/>
      <c r="K41" s="1921">
        <v>0</v>
      </c>
      <c r="L41" s="1925"/>
      <c r="M41" s="1921"/>
      <c r="N41" s="1925"/>
      <c r="O41" s="1921"/>
      <c r="P41" s="1921"/>
      <c r="Q41" s="1921"/>
      <c r="R41" s="1925"/>
      <c r="S41" s="1926"/>
      <c r="T41" s="1901"/>
      <c r="U41" s="1926"/>
      <c r="V41" s="1901"/>
      <c r="W41" s="1926"/>
      <c r="X41" s="1927"/>
      <c r="Y41" s="1901"/>
      <c r="Z41" s="1901"/>
      <c r="AA41" s="1901"/>
      <c r="AB41" s="1901"/>
      <c r="AC41" s="1901"/>
      <c r="AD41" s="1901"/>
      <c r="AE41" s="1901"/>
    </row>
    <row r="42" spans="1:31">
      <c r="A42" s="1727" t="s">
        <v>121</v>
      </c>
      <c r="B42" s="1927" t="s">
        <v>16</v>
      </c>
      <c r="C42" s="1361">
        <v>1045</v>
      </c>
      <c r="D42" s="1177"/>
      <c r="E42" s="1361">
        <v>0</v>
      </c>
      <c r="F42" s="1177"/>
      <c r="G42" s="1361">
        <v>988.6</v>
      </c>
      <c r="H42" s="1177"/>
      <c r="I42" s="1177">
        <f>ROUND(SUM(G42)-SUM(C42),1)</f>
        <v>-56.4</v>
      </c>
      <c r="J42" s="1927"/>
      <c r="K42" s="1921">
        <v>0</v>
      </c>
      <c r="L42" s="1991"/>
      <c r="M42" s="1921"/>
      <c r="N42" s="1922"/>
      <c r="O42" s="1921"/>
      <c r="P42" s="1921"/>
      <c r="Q42" s="1921"/>
      <c r="R42" s="1925"/>
      <c r="S42" s="1926"/>
      <c r="T42" s="1901"/>
      <c r="U42" s="1926"/>
      <c r="V42" s="1901"/>
      <c r="W42" s="1926"/>
      <c r="X42" s="1927"/>
      <c r="Y42" s="1901"/>
      <c r="Z42" s="1901"/>
      <c r="AA42" s="1901"/>
      <c r="AB42" s="1901"/>
      <c r="AC42" s="1901"/>
      <c r="AD42" s="1901"/>
      <c r="AE42" s="1901"/>
    </row>
    <row r="43" spans="1:31" ht="18" customHeight="1">
      <c r="A43" s="376" t="s">
        <v>122</v>
      </c>
      <c r="B43" s="354" t="s">
        <v>16</v>
      </c>
      <c r="C43" s="421">
        <f>ROUND(SUM(C34:C42),1)</f>
        <v>12480</v>
      </c>
      <c r="D43" s="1899"/>
      <c r="E43" s="421">
        <f>ROUND(SUM(E34:E42),1)</f>
        <v>0</v>
      </c>
      <c r="F43" s="1899"/>
      <c r="G43" s="421">
        <f>ROUND(SUM(G34:G42),1)</f>
        <v>12011.1</v>
      </c>
      <c r="H43" s="1899"/>
      <c r="I43" s="546">
        <f>ROUND(SUM(I34:I42),1)</f>
        <v>-468.9</v>
      </c>
      <c r="J43" s="354"/>
      <c r="K43" s="546">
        <f>ROUND(SUM(K34:K42),1)</f>
        <v>0</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65"/>
      <c r="B44" s="1901"/>
      <c r="C44" s="1363"/>
      <c r="D44" s="1177"/>
      <c r="E44" s="1363"/>
      <c r="F44" s="1177"/>
      <c r="G44" s="1363"/>
      <c r="H44" s="1177"/>
      <c r="I44" s="1921"/>
      <c r="J44" s="1901"/>
      <c r="K44" s="1921"/>
      <c r="L44" s="1921"/>
      <c r="M44" s="1921"/>
      <c r="N44" s="1921"/>
      <c r="O44" s="1921"/>
      <c r="P44" s="1921"/>
      <c r="Q44" s="1921"/>
      <c r="R44" s="1921"/>
      <c r="S44" s="1901"/>
      <c r="T44" s="1901"/>
      <c r="U44" s="1901"/>
      <c r="V44" s="1901"/>
      <c r="W44" s="1901"/>
      <c r="X44" s="1901"/>
      <c r="Y44" s="1901"/>
      <c r="Z44" s="1901"/>
      <c r="AA44" s="1901"/>
      <c r="AB44" s="1901"/>
      <c r="AC44" s="1901"/>
      <c r="AD44" s="1901"/>
      <c r="AE44" s="1901"/>
    </row>
    <row r="45" spans="1:31" ht="15.75">
      <c r="A45" s="221" t="s">
        <v>123</v>
      </c>
      <c r="B45" s="1901"/>
      <c r="C45" s="1177"/>
      <c r="D45" s="1177"/>
      <c r="E45" s="1177"/>
      <c r="F45" s="1177"/>
      <c r="G45" s="1177"/>
      <c r="H45" s="1177"/>
      <c r="I45" s="1177"/>
      <c r="J45" s="1901"/>
      <c r="K45" s="1921"/>
      <c r="L45" s="1921"/>
      <c r="M45" s="1921"/>
      <c r="N45" s="1921"/>
      <c r="O45" s="1921"/>
      <c r="P45" s="1921"/>
      <c r="Q45" s="1921"/>
      <c r="R45" s="1921"/>
      <c r="S45" s="1901"/>
      <c r="T45" s="1901"/>
      <c r="U45" s="1901"/>
      <c r="V45" s="1901"/>
      <c r="W45" s="1901"/>
      <c r="X45" s="1901"/>
      <c r="Y45" s="1901"/>
      <c r="Z45" s="1901"/>
      <c r="AA45" s="1901"/>
      <c r="AB45" s="1901"/>
      <c r="AC45" s="1901"/>
      <c r="AD45" s="1901"/>
      <c r="AE45" s="1901"/>
    </row>
    <row r="46" spans="1:31" ht="15.75">
      <c r="A46" s="221" t="s">
        <v>124</v>
      </c>
      <c r="B46" s="1901"/>
      <c r="C46" s="1177"/>
      <c r="D46" s="1177"/>
      <c r="E46" s="1177"/>
      <c r="F46" s="1177"/>
      <c r="G46" s="1177"/>
      <c r="H46" s="1177"/>
      <c r="I46" s="1177"/>
      <c r="J46" s="1901"/>
      <c r="K46" s="1921"/>
      <c r="L46" s="1921"/>
      <c r="M46" s="1921"/>
      <c r="N46" s="1921"/>
      <c r="O46" s="1921"/>
      <c r="P46" s="1921"/>
      <c r="Q46" s="1921"/>
      <c r="R46" s="1921"/>
      <c r="S46" s="1901"/>
      <c r="T46" s="1901"/>
      <c r="U46" s="1901"/>
      <c r="V46" s="1901"/>
      <c r="W46" s="1901"/>
      <c r="X46" s="1901"/>
      <c r="Y46" s="1901"/>
      <c r="Z46" s="1901"/>
      <c r="AA46" s="1901"/>
      <c r="AB46" s="1901"/>
      <c r="AC46" s="1901"/>
      <c r="AD46" s="1901"/>
      <c r="AE46" s="1901"/>
    </row>
    <row r="47" spans="1:31" ht="15.75">
      <c r="A47" s="376" t="s">
        <v>105</v>
      </c>
      <c r="B47" s="1898" t="s">
        <v>16</v>
      </c>
      <c r="C47" s="273">
        <f>ROUND(SUM(C31)-SUM(C43),1)</f>
        <v>1247</v>
      </c>
      <c r="D47" s="284"/>
      <c r="E47" s="273">
        <f>ROUND(SUM(E31)-SUM(E43),1)</f>
        <v>0</v>
      </c>
      <c r="F47" s="284"/>
      <c r="G47" s="273">
        <f>ROUND(SUM(G31)-SUM(G43),1)</f>
        <v>2291.9</v>
      </c>
      <c r="H47" s="284"/>
      <c r="I47" s="273">
        <f>ROUND(SUM(I31)-SUM(I43),1)</f>
        <v>1044.9000000000001</v>
      </c>
      <c r="J47" s="354"/>
      <c r="K47" s="273">
        <f>ROUND(SUM(K31)-SUM(K43),1)</f>
        <v>0</v>
      </c>
      <c r="L47" s="273"/>
      <c r="M47" s="744"/>
      <c r="N47" s="273"/>
      <c r="O47" s="744"/>
      <c r="P47" s="273"/>
      <c r="Q47" s="744"/>
      <c r="R47" s="273"/>
      <c r="S47" s="354"/>
      <c r="T47" s="377"/>
      <c r="U47" s="354"/>
      <c r="V47" s="377"/>
      <c r="W47" s="354"/>
      <c r="X47" s="354"/>
      <c r="Y47" s="377"/>
      <c r="Z47" s="354"/>
      <c r="AA47" s="354"/>
      <c r="AB47" s="377"/>
      <c r="AC47" s="354"/>
      <c r="AD47" s="377"/>
      <c r="AE47" s="354"/>
    </row>
    <row r="48" spans="1:31" ht="15" customHeight="1">
      <c r="C48" s="1275"/>
      <c r="D48" s="1910"/>
      <c r="E48" s="1275"/>
      <c r="F48" s="1910"/>
      <c r="G48" s="1275"/>
      <c r="H48" s="1910"/>
      <c r="I48" s="273"/>
      <c r="J48" s="354"/>
      <c r="K48" s="273"/>
      <c r="L48" s="1275"/>
      <c r="M48" s="1275"/>
      <c r="N48" s="1275"/>
      <c r="O48" s="1275"/>
      <c r="P48" s="1275"/>
      <c r="Q48" s="1275"/>
      <c r="R48" s="1275"/>
    </row>
    <row r="49" spans="1:18" ht="15.75">
      <c r="A49" s="1996" t="str">
        <f>'Exh D-Governmental  '!A49</f>
        <v>Fund Balances (Deficits) at April 1</v>
      </c>
      <c r="B49" s="1155" t="s">
        <v>16</v>
      </c>
      <c r="C49" s="273">
        <v>7300</v>
      </c>
      <c r="D49" s="1910"/>
      <c r="E49" s="273">
        <v>0</v>
      </c>
      <c r="F49" s="1910"/>
      <c r="G49" s="273">
        <f>'Exh F'!AC14</f>
        <v>7299.5</v>
      </c>
      <c r="H49" s="1910"/>
      <c r="I49" s="281">
        <f>ROUND(SUM(G49-C49),1)</f>
        <v>-0.5</v>
      </c>
      <c r="J49" s="354"/>
      <c r="K49" s="273">
        <v>0</v>
      </c>
      <c r="L49" s="273"/>
      <c r="M49" s="1275"/>
      <c r="N49" s="273"/>
      <c r="O49" s="1275"/>
      <c r="P49" s="281"/>
      <c r="Q49" s="1275"/>
      <c r="R49" s="1275"/>
    </row>
    <row r="50" spans="1:18" ht="18" customHeight="1" thickBot="1">
      <c r="A50" s="376" t="str">
        <f>'Exh D-Governmental  '!A50</f>
        <v>Fund Balances (Deficits) at May 31, 2015</v>
      </c>
      <c r="B50" s="383" t="s">
        <v>16</v>
      </c>
      <c r="C50" s="299">
        <f>ROUND(SUM(C47:C49),1)</f>
        <v>8547</v>
      </c>
      <c r="D50" s="384"/>
      <c r="E50" s="299">
        <f>ROUND(SUM(E47:E49),1)</f>
        <v>0</v>
      </c>
      <c r="F50" s="384"/>
      <c r="G50" s="299">
        <f>ROUND(SUM(G47:G49),1)</f>
        <v>9591.4</v>
      </c>
      <c r="H50" s="384"/>
      <c r="I50" s="299">
        <f>ROUND(SUM(I47:I49),1)</f>
        <v>1044.4000000000001</v>
      </c>
      <c r="J50" s="354"/>
      <c r="K50" s="299">
        <f>ROUND(SUM(K47:K49),1)</f>
        <v>0</v>
      </c>
      <c r="L50" s="425"/>
      <c r="M50" s="1992"/>
      <c r="N50" s="425"/>
      <c r="O50" s="1992"/>
      <c r="P50" s="425"/>
    </row>
    <row r="51" spans="1:18" ht="15" customHeight="1" thickTop="1">
      <c r="A51" s="358"/>
      <c r="G51" s="1155"/>
      <c r="J51" s="1155"/>
      <c r="L51" s="1364"/>
      <c r="M51" s="1993"/>
      <c r="N51" s="1993"/>
      <c r="O51" s="1993"/>
      <c r="P51" s="1993"/>
    </row>
    <row r="52" spans="1:18">
      <c r="A52" s="1914" t="s">
        <v>1569</v>
      </c>
      <c r="M52" s="1155"/>
      <c r="N52" s="1155"/>
      <c r="O52" s="1155"/>
      <c r="P52" s="1155"/>
    </row>
    <row r="53" spans="1:18">
      <c r="A53" s="3038" t="s">
        <v>1566</v>
      </c>
      <c r="M53" s="1155"/>
      <c r="N53" s="1155"/>
      <c r="O53" s="1155"/>
      <c r="P53" s="1155"/>
    </row>
    <row r="54" spans="1:18">
      <c r="A54" s="1930" t="s">
        <v>1416</v>
      </c>
      <c r="M54" s="1155"/>
      <c r="N54" s="1155"/>
      <c r="O54" s="1155"/>
      <c r="P54" s="1155"/>
    </row>
    <row r="55" spans="1:18">
      <c r="A55" s="3038"/>
      <c r="M55" s="1155"/>
      <c r="N55" s="1155"/>
      <c r="O55" s="1155"/>
      <c r="P55" s="1155"/>
    </row>
    <row r="56" spans="1:18">
      <c r="A56" s="1930"/>
      <c r="M56" s="1155"/>
      <c r="N56" s="1155"/>
      <c r="O56" s="1155"/>
      <c r="P56" s="1155"/>
    </row>
    <row r="57" spans="1:18">
      <c r="M57" s="1155"/>
      <c r="N57" s="1155"/>
      <c r="O57" s="1155"/>
      <c r="P57" s="1155"/>
    </row>
    <row r="58" spans="1:18">
      <c r="A58" s="407"/>
      <c r="M58" s="1155"/>
      <c r="N58" s="1155"/>
      <c r="O58" s="1155"/>
      <c r="P58" s="1155"/>
    </row>
    <row r="59" spans="1:18">
      <c r="A59"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61"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2015-06-15T18:07:07Z</dcterms:created>
  <dcterms:modified xsi:type="dcterms:W3CDTF">2015-06-15T18:37:28Z</dcterms:modified>
</cp:coreProperties>
</file>