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600" yWindow="-228" windowWidth="19440" windowHeight="9780" tabRatio="85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ARRA " sheetId="39" r:id="rId39"/>
    <sheet name="Public Goods " sheetId="40" r:id="rId40"/>
    <sheet name="Medicaid Disp Share" sheetId="41" r:id="rId41"/>
    <sheet name="Appendix F" sheetId="42" r:id="rId42"/>
    <sheet name="Appendix G" sheetId="43" r:id="rId43"/>
    <sheet name="Appendix H" sheetId="44" r:id="rId44"/>
  </sheets>
  <definedNames>
    <definedName name="_xlnm._FilterDatabase" localSheetId="11" hidden="1">'Exh D Debt Service'!$A$3:$A$7</definedName>
    <definedName name="_xlnm._FilterDatabase" localSheetId="8" hidden="1">'Exh D General Fund  '!$A$3:$A$7</definedName>
    <definedName name="Exh_G_var" localSheetId="18">'Exhibit G'!$A$2:$AK$122</definedName>
    <definedName name="Exh_G_var" localSheetId="20">'Exhibit G Federal'!$A$2:$AM$91</definedName>
    <definedName name="Exh_G_var" localSheetId="19">'Exhibit G state'!$A$2:$AM$120</definedName>
    <definedName name="EXHIBIT_E" localSheetId="14">'EXHIBIT E '!$A$3:$AK$58</definedName>
    <definedName name="EXHIBITA" localSheetId="2">'Exh A Supp'!$A$3:$AC$62</definedName>
    <definedName name="EXHIBITAvar" localSheetId="2">'Exh A Supp'!$A$3:$AC$62</definedName>
    <definedName name="ExhibitB" localSheetId="5">'Exh C'!$A$3:$Q$46</definedName>
    <definedName name="EXHL" localSheetId="41">'Appendix F'!$A$2:$AA$39</definedName>
    <definedName name="EXHL" localSheetId="28">'EXHIBIT M'!$A$3:$AF$39</definedName>
    <definedName name="Medicaid" localSheetId="40">'Medicaid Disp Share'!$B$5:$Q$50</definedName>
    <definedName name="Page_1" localSheetId="3">Footnotes!$A$3:$S$70</definedName>
    <definedName name="Page_2" localSheetId="3">Footnotes!$A$72:$S$98</definedName>
    <definedName name="page1" localSheetId="32">'Sch 4'!$A$3:$J$19</definedName>
    <definedName name="page1" localSheetId="0">'Table of Contents'!$A$1:$J$101</definedName>
    <definedName name="_xlnm.Print_Area" localSheetId="22">' Exhbit I '!$B$15:$AL$105</definedName>
    <definedName name="_xlnm.Print_Area" localSheetId="23">' Exhibit I State'!$B$15:$AN$103</definedName>
    <definedName name="_xlnm.Print_Area" localSheetId="41">'Appendix F'!$A$2:$AA$50</definedName>
    <definedName name="_xlnm.Print_Area" localSheetId="42">'Appendix G'!$A$2:$P$284</definedName>
    <definedName name="_xlnm.Print_Area" localSheetId="43">'Appendix H'!$A$3:$Z$53</definedName>
    <definedName name="_xlnm.Print_Area" localSheetId="38">'ARRA '!$A$3:$J$102</definedName>
    <definedName name="_xlnm.Print_Area" localSheetId="16">'Cash Flow State Operating'!$A$3:$AJ$146</definedName>
    <definedName name="_xlnm.Print_Area" localSheetId="15">'Cashflow Governmental'!$A$3:$AJ$145</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Projects'!$A$3:$K$46</definedName>
    <definedName name="_xlnm.Print_Area" localSheetId="13">'Exh D Captl Projects State Fed'!$A$3:$U$46</definedName>
    <definedName name="_xlnm.Print_Area" localSheetId="11">'Exh D Debt Service'!$A$3:$K$43</definedName>
    <definedName name="_xlnm.Print_Area" localSheetId="8">'Exh D General Fund  '!$A$3:$K$56</definedName>
    <definedName name="_xlnm.Print_Area" localSheetId="9">'Exh D Special Revenue'!$A$3:$K$47</definedName>
    <definedName name="_xlnm.Print_Area" localSheetId="10">'Exh D Special Revenue State Fed'!$A$3:$X$47</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'!$A$3:$AK$58</definedName>
    <definedName name="_xlnm.Print_Area" localSheetId="17">'Exhibit F'!$B$14:$AK$142</definedName>
    <definedName name="_xlnm.Print_Area" localSheetId="18">'Exhibit G'!$B$14:$AK$126</definedName>
    <definedName name="_xlnm.Print_Area" localSheetId="20">'Exhibit G Federal'!$B$14:$AM$93</definedName>
    <definedName name="_xlnm.Print_Area" localSheetId="19">'Exhibit G state'!$B$14:$AM$122</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Footnotes!$A$2:$Q$82</definedName>
    <definedName name="_xlnm.Print_Area" localSheetId="36">'HCRA '!$A$3:$Z$62</definedName>
    <definedName name="_xlnm.Print_Area" localSheetId="37">'HCRA PROG DISB'!$A$3:$O$107</definedName>
    <definedName name="_xlnm.Print_Area" localSheetId="40">'Medicaid Disp Share'!$B$2:$O$53</definedName>
    <definedName name="_xlnm.Print_Area" localSheetId="39">'Public Goods '!$A$3:$N$54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Contents'!$A$1:$J$65</definedName>
    <definedName name="_xlnm.Print_Titles" localSheetId="22">' Exhbit I '!$3:$13</definedName>
    <definedName name="_xlnm.Print_Titles" localSheetId="23">' Exhibit I State'!$3:$14</definedName>
    <definedName name="_xlnm.Print_Titles" localSheetId="42">'Appendix G'!$2:$8</definedName>
    <definedName name="_xlnm.Print_Titles" localSheetId="38">'ARRA '!$3:$8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9">'Public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'!$A$3:$AK$58</definedName>
    <definedName name="variance" localSheetId="43">'Appendix H'!$A$3:$X$38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Governmental'!$A$3:$AJ$148</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'!$A$3:$AK$58</definedName>
    <definedName name="Z_1D1F1A01_30B2_4981_9EC4_1E239EF5CA4C_.wvu.PrintArea" localSheetId="24" hidden="1">'Exhibit I Federal'!$B$3:$AN$82</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'!$A$3:$AK$58</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'!$A$3:$AK$58</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'!$A$3:$AK$58</definedName>
    <definedName name="Z_4C5DC936_C451_4ECB_8EE3_1B14AD828160_.wvu.Cols" localSheetId="15" hidden="1">'Cashflow Governmental'!#REF!</definedName>
    <definedName name="Z_4C5DC936_C451_4ECB_8EE3_1B14AD828160_.wvu.PrintArea" localSheetId="15" hidden="1">'Cashflow Governmental'!$A$3:$AJ$148</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'!$A$3:$AK$58</definedName>
    <definedName name="Z_64300EA2_43D0_4FBF_9089_8112D939C55C_.wvu.PrintArea" localSheetId="43" hidden="1">'Appendix H'!$A$3:$Z$53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1" hidden="1">'Appendix F'!$A$2:$AA$50</definedName>
    <definedName name="Z_8EE6466D_211E_4E05_9F84_CC0A1C6F79F4_.wvu.PrintArea" localSheetId="42" hidden="1">'Appendix G'!$A$2:$P$284</definedName>
    <definedName name="Z_8EE6466D_211E_4E05_9F84_CC0A1C6F79F4_.wvu.PrintArea" localSheetId="43" hidden="1">'Appendix H'!$A$3:$Z$53</definedName>
    <definedName name="Z_8EE6466D_211E_4E05_9F84_CC0A1C6F79F4_.wvu.PrintArea" localSheetId="38" hidden="1">'ARRA '!$A$3:$J$102</definedName>
    <definedName name="Z_8EE6466D_211E_4E05_9F84_CC0A1C6F79F4_.wvu.PrintArea" localSheetId="16" hidden="1">'Cash Flow State Operating'!$A$3:$AJ$145</definedName>
    <definedName name="Z_8EE6466D_211E_4E05_9F84_CC0A1C6F79F4_.wvu.PrintArea" localSheetId="15" hidden="1">'Cashflow Governmental'!$A$16:$AJ$145</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Projects'!$A$3:$K$45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'!$A$3:$K$56</definedName>
    <definedName name="Z_8EE6466D_211E_4E05_9F84_CC0A1C6F79F4_.wvu.PrintArea" localSheetId="9" hidden="1">'Exh D Special Revenue'!$A$3:$K$47</definedName>
    <definedName name="Z_8EE6466D_211E_4E05_9F84_CC0A1C6F79F4_.wvu.PrintArea" localSheetId="10" hidden="1">'Exh D Special Revenue State Fed'!$A$3:$AB$44</definedName>
    <definedName name="Z_8EE6466D_211E_4E05_9F84_CC0A1C6F79F4_.wvu.PrintArea" localSheetId="7" hidden="1">'Exh D State Operating'!$A$3:$K$55</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'!$A$3:$AK$58</definedName>
    <definedName name="Z_8EE6466D_211E_4E05_9F84_CC0A1C6F79F4_.wvu.PrintArea" localSheetId="17" hidden="1">'Exhibit F'!$A$2:$AK$139</definedName>
    <definedName name="Z_8EE6466D_211E_4E05_9F84_CC0A1C6F79F4_.wvu.PrintArea" localSheetId="18" hidden="1">'Exhibit G'!$A$2:$AK$123</definedName>
    <definedName name="Z_8EE6466D_211E_4E05_9F84_CC0A1C6F79F4_.wvu.PrintArea" localSheetId="20" hidden="1">'Exhibit G Federal'!$B$14:$AM$93</definedName>
    <definedName name="Z_8EE6466D_211E_4E05_9F84_CC0A1C6F79F4_.wvu.PrintArea" localSheetId="19" hidden="1">'Exhibit G state'!$B$14:$AM$122</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Footnotes!$A$2:$Q$70</definedName>
    <definedName name="Z_8EE6466D_211E_4E05_9F84_CC0A1C6F79F4_.wvu.PrintArea" localSheetId="36" hidden="1">'HCRA '!$A$3:$Z$62</definedName>
    <definedName name="Z_8EE6466D_211E_4E05_9F84_CC0A1C6F79F4_.wvu.PrintArea" localSheetId="37" hidden="1">'HCRA PROG DISB'!$A$3:$G$108</definedName>
    <definedName name="Z_8EE6466D_211E_4E05_9F84_CC0A1C6F79F4_.wvu.PrintArea" localSheetId="40" hidden="1">'Medicaid Disp Share'!$B$2:$O$53</definedName>
    <definedName name="Z_8EE6466D_211E_4E05_9F84_CC0A1C6F79F4_.wvu.PrintArea" localSheetId="39" hidden="1">'Public Goods '!$A$3:$N$54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Contents'!$A$1:$J$65</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2" hidden="1">'Appendix G'!$2:$8</definedName>
    <definedName name="Z_8EE6466D_211E_4E05_9F84_CC0A1C6F79F4_.wvu.PrintTitles" localSheetId="38" hidden="1">'ARRA '!$3:$8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9"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99757D_57B5_4A62_AF0E_3ABA9B994DD7_.wvu.PrintArea" localSheetId="24" hidden="1">'Exhibit I Federal'!$B$3:$AN$82</definedName>
    <definedName name="Z_9F36343A_AF04_4B95_BB5A_0D3DFF7C6E58_.wvu.FilterData" localSheetId="8" hidden="1">'Exh D General Fund  '!$A$3:$A$7</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'!$A$3:$AK$58</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8BBFDB8_FD3E_44D7_AB99_05C7B07F7CBA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'!$A$3:$AK$58</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iterate="1" iterateCount="50"/>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J92" i="39" l="1"/>
  <c r="H92" i="39"/>
  <c r="J87" i="39"/>
  <c r="H87" i="39"/>
  <c r="J78" i="39"/>
  <c r="H78" i="39"/>
  <c r="J69" i="39"/>
  <c r="H69" i="39"/>
  <c r="J65" i="39"/>
  <c r="H65" i="39"/>
  <c r="J48" i="39"/>
  <c r="H48" i="39"/>
  <c r="J43" i="39"/>
  <c r="H43" i="39"/>
  <c r="J31" i="39"/>
  <c r="J94" i="39" s="1"/>
  <c r="H31" i="39"/>
  <c r="H94" i="39" s="1"/>
  <c r="K101" i="38" l="1"/>
  <c r="G101" i="38"/>
  <c r="C101" i="38"/>
  <c r="O100" i="38"/>
  <c r="O98" i="38"/>
  <c r="M96" i="38"/>
  <c r="M101" i="38" s="1"/>
  <c r="K96" i="38"/>
  <c r="I96" i="38"/>
  <c r="I101" i="38" s="1"/>
  <c r="G96" i="38"/>
  <c r="E96" i="38"/>
  <c r="E101" i="38" s="1"/>
  <c r="C96" i="38"/>
  <c r="O95" i="38"/>
  <c r="O94" i="38"/>
  <c r="O93" i="38"/>
  <c r="O92" i="38"/>
  <c r="O90" i="38"/>
  <c r="O88" i="38"/>
  <c r="O86" i="38"/>
  <c r="O85" i="38"/>
  <c r="O84" i="38"/>
  <c r="O83" i="38"/>
  <c r="O82" i="38"/>
  <c r="O81" i="38"/>
  <c r="O80" i="38"/>
  <c r="O79" i="38"/>
  <c r="O78" i="38"/>
  <c r="O77" i="38"/>
  <c r="O76" i="38"/>
  <c r="O75" i="38"/>
  <c r="O74" i="38"/>
  <c r="O73" i="38"/>
  <c r="O71" i="38"/>
  <c r="O70" i="38"/>
  <c r="O69" i="38"/>
  <c r="O68" i="38"/>
  <c r="O67" i="38"/>
  <c r="O66" i="38"/>
  <c r="O65" i="38"/>
  <c r="O64" i="38"/>
  <c r="O63" i="38"/>
  <c r="O62" i="38"/>
  <c r="O61" i="38"/>
  <c r="O60" i="38"/>
  <c r="O59" i="38"/>
  <c r="O58" i="38"/>
  <c r="O57" i="38"/>
  <c r="O56" i="38"/>
  <c r="O55" i="38"/>
  <c r="O54" i="38"/>
  <c r="O53" i="38"/>
  <c r="O52" i="38"/>
  <c r="O51" i="38"/>
  <c r="O50" i="38"/>
  <c r="O49" i="38"/>
  <c r="O48" i="38"/>
  <c r="O47" i="38"/>
  <c r="O46" i="38"/>
  <c r="O45" i="38"/>
  <c r="O44" i="38"/>
  <c r="O43" i="38"/>
  <c r="O41" i="38"/>
  <c r="O39" i="38"/>
  <c r="O37" i="38"/>
  <c r="O35" i="38"/>
  <c r="O34" i="38"/>
  <c r="O33" i="38"/>
  <c r="O32" i="38"/>
  <c r="O31" i="38"/>
  <c r="O30" i="38"/>
  <c r="O29" i="38"/>
  <c r="O28" i="38"/>
  <c r="O27" i="38"/>
  <c r="O26" i="38"/>
  <c r="O25" i="38"/>
  <c r="O24" i="38"/>
  <c r="O23" i="38"/>
  <c r="O22" i="38"/>
  <c r="O21" i="38"/>
  <c r="O20" i="38"/>
  <c r="O19" i="38"/>
  <c r="O17" i="38"/>
  <c r="O15" i="38"/>
  <c r="O14" i="38"/>
  <c r="O13" i="38"/>
  <c r="O12" i="38"/>
  <c r="O11" i="38"/>
  <c r="O96" i="38" s="1"/>
  <c r="O101" i="38" s="1"/>
  <c r="AM90" i="21" l="1"/>
  <c r="E21" i="10" l="1"/>
  <c r="E23" i="10"/>
  <c r="AJ69" i="17" l="1"/>
  <c r="AE69" i="17"/>
  <c r="AB69" i="17"/>
  <c r="AH69" i="17" s="1"/>
  <c r="E69" i="17"/>
  <c r="G69" i="17"/>
  <c r="I69" i="17"/>
  <c r="K69" i="17"/>
  <c r="M69" i="17"/>
  <c r="O69" i="17"/>
  <c r="Q69" i="17"/>
  <c r="S69" i="17"/>
  <c r="C69" i="17"/>
  <c r="AJ69" i="16"/>
  <c r="AH69" i="16"/>
  <c r="AE69" i="16"/>
  <c r="AB69" i="16"/>
  <c r="G69" i="16"/>
  <c r="I69" i="16"/>
  <c r="K69" i="16"/>
  <c r="M69" i="16"/>
  <c r="O69" i="16"/>
  <c r="Q69" i="16"/>
  <c r="S69" i="16"/>
  <c r="T69" i="16"/>
  <c r="E69" i="16"/>
  <c r="C69" i="16"/>
  <c r="H44" i="3" l="1"/>
  <c r="H41" i="2" l="1"/>
  <c r="F44" i="5" l="1"/>
  <c r="F36" i="5"/>
  <c r="F35" i="5"/>
  <c r="F27" i="5"/>
  <c r="F26" i="5"/>
  <c r="F25" i="5"/>
  <c r="F18" i="5"/>
  <c r="R14" i="27"/>
  <c r="B36" i="5" l="1"/>
  <c r="B35" i="5"/>
  <c r="B28" i="5"/>
  <c r="B27" i="5"/>
  <c r="B26" i="5"/>
  <c r="B25" i="5"/>
  <c r="B20" i="5"/>
  <c r="B19" i="5"/>
  <c r="B18" i="5"/>
  <c r="S16" i="26"/>
  <c r="B44" i="5" s="1"/>
  <c r="F41" i="6" l="1"/>
  <c r="F33" i="6"/>
  <c r="F32" i="6"/>
  <c r="F25" i="6"/>
  <c r="F24" i="6"/>
  <c r="F23" i="6"/>
  <c r="F18" i="6"/>
  <c r="R13" i="29" l="1"/>
  <c r="B41" i="6"/>
  <c r="B25" i="6"/>
  <c r="B24" i="6"/>
  <c r="B23" i="6"/>
  <c r="B18" i="6"/>
  <c r="R13" i="28"/>
  <c r="AF51" i="19" l="1"/>
  <c r="AK51" i="19"/>
  <c r="T102" i="19"/>
  <c r="T103" i="19"/>
  <c r="T104" i="19"/>
  <c r="T105" i="19"/>
  <c r="T90" i="19"/>
  <c r="T91" i="19"/>
  <c r="T92" i="19"/>
  <c r="T94" i="19"/>
  <c r="T95" i="19"/>
  <c r="T96" i="19"/>
  <c r="T97" i="19"/>
  <c r="T98" i="19"/>
  <c r="T99" i="19"/>
  <c r="T84" i="19"/>
  <c r="S84" i="19"/>
  <c r="T44" i="19"/>
  <c r="T46" i="19"/>
  <c r="T47" i="19"/>
  <c r="T48" i="19"/>
  <c r="T49" i="19"/>
  <c r="T52" i="19"/>
  <c r="T53" i="19"/>
  <c r="T54" i="19"/>
  <c r="T55" i="19"/>
  <c r="T56" i="19"/>
  <c r="T57" i="19"/>
  <c r="T59" i="19"/>
  <c r="T60" i="19"/>
  <c r="T61" i="19"/>
  <c r="T62" i="19"/>
  <c r="T65" i="19"/>
  <c r="T66" i="19"/>
  <c r="T67" i="19"/>
  <c r="T68" i="19"/>
  <c r="T69" i="19"/>
  <c r="T71" i="19"/>
  <c r="T72" i="19"/>
  <c r="T73" i="19"/>
  <c r="T75" i="19"/>
  <c r="T76" i="19"/>
  <c r="T77" i="19"/>
  <c r="T78" i="19"/>
  <c r="T79" i="19"/>
  <c r="T80" i="19"/>
  <c r="T81" i="19"/>
  <c r="T37" i="19"/>
  <c r="T34" i="19"/>
  <c r="T33" i="19"/>
  <c r="T32" i="19"/>
  <c r="T31" i="19"/>
  <c r="T30" i="19"/>
  <c r="T27" i="19"/>
  <c r="T24" i="19"/>
  <c r="T23" i="19"/>
  <c r="T22" i="19"/>
  <c r="T21" i="19"/>
  <c r="T18" i="19"/>
  <c r="T51" i="19"/>
  <c r="R51" i="19"/>
  <c r="P51" i="19"/>
  <c r="N51" i="19"/>
  <c r="L51" i="19"/>
  <c r="J51" i="19"/>
  <c r="H51" i="19"/>
  <c r="F51" i="19"/>
  <c r="D51" i="19"/>
  <c r="AC51" i="19" s="1"/>
  <c r="AI51" i="19" s="1"/>
  <c r="AM50" i="20"/>
  <c r="AE50" i="20"/>
  <c r="AK50" i="20" s="1"/>
  <c r="R12" i="37" l="1"/>
  <c r="O43" i="41"/>
  <c r="O44" i="41" s="1"/>
  <c r="O41" i="41"/>
  <c r="O40" i="41"/>
  <c r="O36" i="41"/>
  <c r="O30" i="41"/>
  <c r="O31" i="41"/>
  <c r="O32" i="41"/>
  <c r="O33" i="41"/>
  <c r="O34" i="41"/>
  <c r="O35" i="41"/>
  <c r="O29" i="41"/>
  <c r="O23" i="41"/>
  <c r="O22" i="41"/>
  <c r="O21" i="41"/>
  <c r="O20" i="41"/>
  <c r="O16" i="41"/>
  <c r="O17" i="41" s="1"/>
  <c r="L44" i="41"/>
  <c r="L37" i="41"/>
  <c r="L23" i="41"/>
  <c r="L17" i="41"/>
  <c r="L25" i="41" s="1"/>
  <c r="L13" i="41"/>
  <c r="N46" i="40"/>
  <c r="N42" i="40"/>
  <c r="N43" i="40"/>
  <c r="N44" i="40"/>
  <c r="N45" i="40"/>
  <c r="N41" i="40"/>
  <c r="N37" i="40"/>
  <c r="N35" i="40"/>
  <c r="N38" i="40" s="1"/>
  <c r="N34" i="40"/>
  <c r="N27" i="40"/>
  <c r="N26" i="40"/>
  <c r="N28" i="40" s="1"/>
  <c r="N25" i="40"/>
  <c r="N21" i="40"/>
  <c r="N16" i="40"/>
  <c r="N17" i="40"/>
  <c r="N18" i="40"/>
  <c r="N19" i="40"/>
  <c r="N20" i="40"/>
  <c r="N15" i="40"/>
  <c r="K47" i="40"/>
  <c r="K38" i="40"/>
  <c r="K28" i="40"/>
  <c r="K22" i="40"/>
  <c r="K30" i="40" s="1"/>
  <c r="K12" i="40"/>
  <c r="L47" i="41" l="1"/>
  <c r="L49" i="41" s="1"/>
  <c r="N47" i="40"/>
  <c r="K50" i="40"/>
  <c r="K52" i="40" s="1"/>
  <c r="N22" i="40"/>
  <c r="N30" i="40" s="1"/>
  <c r="K248" i="43"/>
  <c r="K202" i="43"/>
  <c r="K198" i="43"/>
  <c r="K193" i="43"/>
  <c r="K180" i="43"/>
  <c r="K97" i="43"/>
  <c r="K11" i="43"/>
  <c r="K251" i="43" s="1"/>
  <c r="I248" i="43"/>
  <c r="G248" i="43"/>
  <c r="I202" i="43"/>
  <c r="G202" i="43"/>
  <c r="I198" i="43"/>
  <c r="G198" i="43"/>
  <c r="I193" i="43"/>
  <c r="G193" i="43"/>
  <c r="I180" i="43"/>
  <c r="G180" i="43"/>
  <c r="I97" i="43"/>
  <c r="G97" i="43"/>
  <c r="I11" i="43"/>
  <c r="G11" i="43"/>
  <c r="G251" i="43" s="1"/>
  <c r="R12" i="44"/>
  <c r="R12" i="22"/>
  <c r="L57" i="2" s="1"/>
  <c r="L50" i="2"/>
  <c r="L49" i="2"/>
  <c r="L40" i="2"/>
  <c r="L37" i="2"/>
  <c r="L19" i="2"/>
  <c r="L14" i="2"/>
  <c r="N50" i="40" l="1"/>
  <c r="I251" i="43"/>
  <c r="P57" i="2"/>
  <c r="P50" i="2"/>
  <c r="P49" i="2"/>
  <c r="P48" i="2"/>
  <c r="P38" i="2"/>
  <c r="P37" i="2"/>
  <c r="P36" i="2"/>
  <c r="P33" i="2"/>
  <c r="P32" i="2"/>
  <c r="P31" i="2"/>
  <c r="P30" i="2"/>
  <c r="P29" i="2"/>
  <c r="P28" i="2"/>
  <c r="P26" i="2"/>
  <c r="P25" i="2"/>
  <c r="P24" i="2"/>
  <c r="P19" i="2"/>
  <c r="P18" i="2"/>
  <c r="P17" i="2"/>
  <c r="G30" i="14" l="1"/>
  <c r="G26" i="14"/>
  <c r="G24" i="14"/>
  <c r="G23" i="14"/>
  <c r="G22" i="14"/>
  <c r="U95" i="24" l="1"/>
  <c r="U78" i="24"/>
  <c r="U85" i="24" s="1"/>
  <c r="U60" i="24"/>
  <c r="U30" i="24"/>
  <c r="U27" i="24"/>
  <c r="U22" i="24"/>
  <c r="U75" i="25"/>
  <c r="U59" i="25"/>
  <c r="U66" i="25" s="1"/>
  <c r="U41" i="25"/>
  <c r="U45" i="25" s="1"/>
  <c r="U96" i="23"/>
  <c r="U84" i="23"/>
  <c r="P41" i="2" s="1"/>
  <c r="U83" i="23"/>
  <c r="U82" i="23"/>
  <c r="U81" i="23"/>
  <c r="U78" i="23"/>
  <c r="U77" i="23"/>
  <c r="U76" i="23"/>
  <c r="U75" i="23"/>
  <c r="U74" i="23"/>
  <c r="U73" i="23"/>
  <c r="U71" i="23"/>
  <c r="U70" i="23"/>
  <c r="U69" i="23"/>
  <c r="U63" i="23"/>
  <c r="U60" i="23"/>
  <c r="U59" i="23"/>
  <c r="U58" i="23"/>
  <c r="U57" i="23"/>
  <c r="U56" i="23"/>
  <c r="U55" i="23"/>
  <c r="U54" i="23"/>
  <c r="U52" i="23"/>
  <c r="U51" i="23"/>
  <c r="U50" i="23"/>
  <c r="U49" i="23"/>
  <c r="U48" i="23"/>
  <c r="U46" i="23"/>
  <c r="U45" i="23"/>
  <c r="U44" i="23"/>
  <c r="U43" i="23"/>
  <c r="U42" i="23"/>
  <c r="U41" i="23"/>
  <c r="U39" i="23"/>
  <c r="U37" i="23"/>
  <c r="U30" i="23"/>
  <c r="U31" i="23" s="1"/>
  <c r="U27" i="23"/>
  <c r="U26" i="23"/>
  <c r="U25" i="23"/>
  <c r="U22" i="23"/>
  <c r="U21" i="23"/>
  <c r="U20" i="23"/>
  <c r="U15" i="23"/>
  <c r="U28" i="23" l="1"/>
  <c r="P16" i="2" s="1"/>
  <c r="U32" i="24"/>
  <c r="U64" i="24" s="1"/>
  <c r="U88" i="24" s="1"/>
  <c r="U100" i="24" s="1"/>
  <c r="U61" i="23"/>
  <c r="U23" i="23"/>
  <c r="P15" i="2" s="1"/>
  <c r="U69" i="25"/>
  <c r="U79" i="25" s="1"/>
  <c r="U79" i="23"/>
  <c r="U86" i="23" s="1"/>
  <c r="D50" i="2"/>
  <c r="D49" i="2"/>
  <c r="D38" i="2"/>
  <c r="D37" i="2"/>
  <c r="D36" i="2"/>
  <c r="D33" i="2"/>
  <c r="D32" i="2"/>
  <c r="D31" i="2"/>
  <c r="D30" i="2"/>
  <c r="D29" i="2"/>
  <c r="D28" i="2"/>
  <c r="D26" i="2"/>
  <c r="D25" i="2"/>
  <c r="D24" i="2"/>
  <c r="D19" i="2"/>
  <c r="T14" i="18"/>
  <c r="U33" i="23" l="1"/>
  <c r="U65" i="23" s="1"/>
  <c r="U89" i="23" s="1"/>
  <c r="U101" i="23" s="1"/>
  <c r="H52" i="3"/>
  <c r="H51" i="3"/>
  <c r="H41" i="3"/>
  <c r="H40" i="3"/>
  <c r="H39" i="3"/>
  <c r="H36" i="3"/>
  <c r="H35" i="3"/>
  <c r="H34" i="3"/>
  <c r="H33" i="3"/>
  <c r="H32" i="3"/>
  <c r="H31" i="3"/>
  <c r="H29" i="3"/>
  <c r="H28" i="3"/>
  <c r="H27" i="3"/>
  <c r="H22" i="3"/>
  <c r="H17" i="3"/>
  <c r="H50" i="2"/>
  <c r="H49" i="2"/>
  <c r="H38" i="2"/>
  <c r="H37" i="2"/>
  <c r="H36" i="2"/>
  <c r="H33" i="2"/>
  <c r="H32" i="2"/>
  <c r="H31" i="2"/>
  <c r="H30" i="2"/>
  <c r="H29" i="2"/>
  <c r="H28" i="2"/>
  <c r="H26" i="2"/>
  <c r="H25" i="2"/>
  <c r="H24" i="2"/>
  <c r="H19" i="2"/>
  <c r="H17" i="2"/>
  <c r="H14" i="2"/>
  <c r="S134" i="17" l="1"/>
  <c r="S133" i="17"/>
  <c r="S125" i="17"/>
  <c r="S124" i="17"/>
  <c r="S122" i="17"/>
  <c r="S121" i="17"/>
  <c r="S120" i="17"/>
  <c r="S117" i="17"/>
  <c r="S116" i="17"/>
  <c r="S115" i="17"/>
  <c r="S114" i="17"/>
  <c r="S113" i="17"/>
  <c r="S112" i="17"/>
  <c r="S110" i="17"/>
  <c r="S109" i="17"/>
  <c r="S108" i="17"/>
  <c r="S102" i="17"/>
  <c r="S99" i="17"/>
  <c r="S98" i="17"/>
  <c r="S97" i="17"/>
  <c r="S96" i="17"/>
  <c r="S95" i="17"/>
  <c r="S94" i="17"/>
  <c r="S93" i="17"/>
  <c r="S92" i="17"/>
  <c r="S91" i="17"/>
  <c r="S90" i="17"/>
  <c r="S89" i="17"/>
  <c r="S87" i="17"/>
  <c r="S86" i="17"/>
  <c r="S85" i="17"/>
  <c r="S84" i="17"/>
  <c r="S83" i="17"/>
  <c r="S82" i="17"/>
  <c r="S80" i="17"/>
  <c r="S79" i="17"/>
  <c r="S78" i="17"/>
  <c r="S77" i="17"/>
  <c r="S75" i="17"/>
  <c r="S74" i="17"/>
  <c r="S73" i="17"/>
  <c r="S72" i="17"/>
  <c r="S71" i="17"/>
  <c r="S70" i="17"/>
  <c r="AB70" i="17" s="1"/>
  <c r="S68" i="17"/>
  <c r="S66" i="17"/>
  <c r="S65" i="17"/>
  <c r="S64" i="17"/>
  <c r="S63" i="17"/>
  <c r="S61" i="17"/>
  <c r="S60" i="17"/>
  <c r="S53" i="17"/>
  <c r="S52" i="17"/>
  <c r="S51" i="17"/>
  <c r="S50" i="17"/>
  <c r="S49" i="17"/>
  <c r="S48" i="17"/>
  <c r="S45" i="17"/>
  <c r="S44" i="17"/>
  <c r="S43" i="17"/>
  <c r="S42" i="17"/>
  <c r="S41" i="17"/>
  <c r="S38" i="17"/>
  <c r="S37" i="17"/>
  <c r="S36" i="17"/>
  <c r="S35" i="17"/>
  <c r="S34" i="17"/>
  <c r="S33" i="17"/>
  <c r="S32" i="17"/>
  <c r="S29" i="17"/>
  <c r="S28" i="17"/>
  <c r="S27" i="17"/>
  <c r="S25" i="17"/>
  <c r="S24" i="17"/>
  <c r="S23" i="17"/>
  <c r="S22" i="17"/>
  <c r="S21" i="17"/>
  <c r="S135" i="16"/>
  <c r="S134" i="16"/>
  <c r="S125" i="16"/>
  <c r="S124" i="16"/>
  <c r="S122" i="16"/>
  <c r="S121" i="16"/>
  <c r="S120" i="16"/>
  <c r="S117" i="16"/>
  <c r="S116" i="16"/>
  <c r="S115" i="16"/>
  <c r="S114" i="16"/>
  <c r="S113" i="16"/>
  <c r="S112" i="16"/>
  <c r="S110" i="16"/>
  <c r="S109" i="16"/>
  <c r="S108" i="16"/>
  <c r="S102" i="16"/>
  <c r="S99" i="16"/>
  <c r="S98" i="16"/>
  <c r="S97" i="16"/>
  <c r="S96" i="16"/>
  <c r="S95" i="16"/>
  <c r="S94" i="16"/>
  <c r="S93" i="16"/>
  <c r="S92" i="16"/>
  <c r="S91" i="16"/>
  <c r="S90" i="16"/>
  <c r="S89" i="16"/>
  <c r="S87" i="16"/>
  <c r="S86" i="16"/>
  <c r="S85" i="16"/>
  <c r="S84" i="16"/>
  <c r="S83" i="16"/>
  <c r="S82" i="16"/>
  <c r="S80" i="16"/>
  <c r="S79" i="16"/>
  <c r="S78" i="16"/>
  <c r="S77" i="16"/>
  <c r="S75" i="16"/>
  <c r="S74" i="16"/>
  <c r="S73" i="16"/>
  <c r="S72" i="16"/>
  <c r="S71" i="16"/>
  <c r="S70" i="16"/>
  <c r="S68" i="16"/>
  <c r="S66" i="16"/>
  <c r="S65" i="16"/>
  <c r="S64" i="16"/>
  <c r="S63" i="16"/>
  <c r="S61" i="16"/>
  <c r="S60" i="16"/>
  <c r="S53" i="16"/>
  <c r="S52" i="16"/>
  <c r="S51" i="16"/>
  <c r="S50" i="16"/>
  <c r="S49" i="16"/>
  <c r="S45" i="16"/>
  <c r="S44" i="16"/>
  <c r="S43" i="16"/>
  <c r="S42" i="16"/>
  <c r="S41" i="16"/>
  <c r="S38" i="16"/>
  <c r="S37" i="16"/>
  <c r="S36" i="16"/>
  <c r="S35" i="16"/>
  <c r="S34" i="16"/>
  <c r="S33" i="16"/>
  <c r="S32" i="16"/>
  <c r="S29" i="16"/>
  <c r="S28" i="16"/>
  <c r="S27" i="16"/>
  <c r="S25" i="16"/>
  <c r="S24" i="16"/>
  <c r="S23" i="16"/>
  <c r="S22" i="16"/>
  <c r="S21" i="16"/>
  <c r="AN49" i="25" l="1"/>
  <c r="AM50" i="21" l="1"/>
  <c r="X13" i="15" l="1"/>
  <c r="V13" i="15"/>
  <c r="R13" i="15"/>
  <c r="P13" i="15"/>
  <c r="N13" i="15"/>
  <c r="L13" i="15"/>
  <c r="J13" i="15"/>
  <c r="H13" i="15"/>
  <c r="AD12" i="15"/>
  <c r="X12" i="15"/>
  <c r="R12" i="15"/>
  <c r="N12" i="15"/>
  <c r="J12" i="15"/>
  <c r="AM83" i="20" l="1"/>
  <c r="Q92" i="16" l="1"/>
  <c r="AF56" i="24" l="1"/>
  <c r="AF55" i="24"/>
  <c r="S56" i="23"/>
  <c r="Q56" i="23"/>
  <c r="O56" i="23"/>
  <c r="M56" i="23"/>
  <c r="K56" i="23"/>
  <c r="I56" i="23"/>
  <c r="G56" i="23"/>
  <c r="E56" i="23"/>
  <c r="AN37" i="25"/>
  <c r="AF37" i="25"/>
  <c r="AL37" i="25" s="1"/>
  <c r="AN55" i="24"/>
  <c r="AL55" i="24"/>
  <c r="AD56" i="23" l="1"/>
  <c r="AJ56" i="23" s="1"/>
  <c r="AL56" i="23" s="1"/>
  <c r="AE46" i="21"/>
  <c r="AE65" i="21" l="1"/>
  <c r="P14" i="27" l="1"/>
  <c r="R105" i="19" l="1"/>
  <c r="R104" i="19"/>
  <c r="R103" i="19"/>
  <c r="R102" i="19"/>
  <c r="R99" i="19"/>
  <c r="R98" i="19"/>
  <c r="R97" i="19"/>
  <c r="R96" i="19"/>
  <c r="R95" i="19"/>
  <c r="R94" i="19"/>
  <c r="R92" i="19"/>
  <c r="R91" i="19"/>
  <c r="R90" i="19"/>
  <c r="Q16" i="26"/>
  <c r="R84" i="19"/>
  <c r="R81" i="19"/>
  <c r="R80" i="19"/>
  <c r="R79" i="19"/>
  <c r="R78" i="19"/>
  <c r="R77" i="19"/>
  <c r="R76" i="19"/>
  <c r="R75" i="19"/>
  <c r="R73" i="19"/>
  <c r="R72" i="19"/>
  <c r="R71" i="19"/>
  <c r="R69" i="19"/>
  <c r="R68" i="19"/>
  <c r="R67" i="19"/>
  <c r="R66" i="19"/>
  <c r="R65" i="19"/>
  <c r="R62" i="19"/>
  <c r="R61" i="19"/>
  <c r="R60" i="19"/>
  <c r="R59" i="19"/>
  <c r="R57" i="19"/>
  <c r="R56" i="19"/>
  <c r="R55" i="19"/>
  <c r="R54" i="19"/>
  <c r="R53" i="19"/>
  <c r="R52" i="19"/>
  <c r="R49" i="19"/>
  <c r="R48" i="19"/>
  <c r="R47" i="19"/>
  <c r="R46" i="19"/>
  <c r="R44" i="19"/>
  <c r="R37" i="19"/>
  <c r="R34" i="19"/>
  <c r="R33" i="19"/>
  <c r="R32" i="19"/>
  <c r="R31" i="19"/>
  <c r="R30" i="19"/>
  <c r="R27" i="19"/>
  <c r="R24" i="19"/>
  <c r="R23" i="19"/>
  <c r="R22" i="19"/>
  <c r="R21" i="19"/>
  <c r="R18" i="19"/>
  <c r="R27" i="20"/>
  <c r="AE21" i="21" l="1"/>
  <c r="P12" i="22"/>
  <c r="P13" i="28" l="1"/>
  <c r="P13" i="29" l="1"/>
  <c r="O202" i="43" l="1"/>
  <c r="O198" i="43"/>
  <c r="O193" i="43"/>
  <c r="O11" i="43"/>
  <c r="O248" i="43" l="1"/>
  <c r="O97" i="43"/>
  <c r="O180" i="43"/>
  <c r="O251" i="43" l="1"/>
  <c r="Q134" i="17"/>
  <c r="Q133" i="17"/>
  <c r="Q125" i="17"/>
  <c r="Q124" i="17"/>
  <c r="Q122" i="17"/>
  <c r="Q121" i="17"/>
  <c r="Q120" i="17"/>
  <c r="Q117" i="17"/>
  <c r="Q116" i="17"/>
  <c r="Q115" i="17"/>
  <c r="Q114" i="17"/>
  <c r="Q113" i="17"/>
  <c r="Q112" i="17"/>
  <c r="Q110" i="17"/>
  <c r="Q109" i="17"/>
  <c r="Q108" i="17"/>
  <c r="Q102" i="17"/>
  <c r="Q99" i="17"/>
  <c r="Q98" i="17"/>
  <c r="Q97" i="17"/>
  <c r="Q96" i="17"/>
  <c r="Q95" i="17"/>
  <c r="Q94" i="17"/>
  <c r="Q93" i="17"/>
  <c r="Q92" i="17"/>
  <c r="Q91" i="17"/>
  <c r="Q90" i="17"/>
  <c r="Q89" i="17"/>
  <c r="Q87" i="17"/>
  <c r="Q86" i="17"/>
  <c r="Q85" i="17"/>
  <c r="Q84" i="17"/>
  <c r="Q83" i="17"/>
  <c r="Q82" i="17"/>
  <c r="Q80" i="17"/>
  <c r="Q79" i="17"/>
  <c r="Q78" i="17"/>
  <c r="Q77" i="17"/>
  <c r="Q75" i="17"/>
  <c r="Q74" i="17"/>
  <c r="Q73" i="17"/>
  <c r="Q72" i="17"/>
  <c r="Q71" i="17"/>
  <c r="Q70" i="17"/>
  <c r="Q68" i="17"/>
  <c r="Q66" i="17"/>
  <c r="Q65" i="17"/>
  <c r="Q64" i="17"/>
  <c r="Q63" i="17"/>
  <c r="Q61" i="17"/>
  <c r="Q60" i="17"/>
  <c r="Q53" i="17"/>
  <c r="Q52" i="17"/>
  <c r="Q51" i="17"/>
  <c r="Q50" i="17"/>
  <c r="Q49" i="17"/>
  <c r="Q48" i="17"/>
  <c r="Q45" i="17"/>
  <c r="Q44" i="17"/>
  <c r="Q43" i="17"/>
  <c r="Q42" i="17"/>
  <c r="Q41" i="17"/>
  <c r="Q38" i="17"/>
  <c r="Q37" i="17"/>
  <c r="Q36" i="17"/>
  <c r="Q35" i="17"/>
  <c r="Q34" i="17"/>
  <c r="Q33" i="17"/>
  <c r="Q32" i="17"/>
  <c r="Q29" i="17"/>
  <c r="Q28" i="17"/>
  <c r="Q27" i="17"/>
  <c r="Q25" i="17"/>
  <c r="Q24" i="17"/>
  <c r="Q23" i="17"/>
  <c r="Q22" i="17"/>
  <c r="Q21" i="17"/>
  <c r="Q135" i="16"/>
  <c r="Q134" i="16"/>
  <c r="Q124" i="16"/>
  <c r="Q99" i="16"/>
  <c r="Q96" i="16"/>
  <c r="Q93" i="16"/>
  <c r="Q90" i="16"/>
  <c r="Q84" i="16"/>
  <c r="Q83" i="16"/>
  <c r="Q79" i="16"/>
  <c r="Q78" i="16"/>
  <c r="Q77" i="16"/>
  <c r="Q72" i="16"/>
  <c r="Q71" i="16"/>
  <c r="Q68" i="16"/>
  <c r="Q66" i="16"/>
  <c r="Q65" i="16"/>
  <c r="Q64" i="16"/>
  <c r="Q60" i="16"/>
  <c r="Q53" i="16"/>
  <c r="Q52" i="16"/>
  <c r="Q50" i="16"/>
  <c r="Q49" i="16"/>
  <c r="Q44" i="16"/>
  <c r="Q43" i="16"/>
  <c r="Q38" i="16"/>
  <c r="Q36" i="16"/>
  <c r="Q34" i="16"/>
  <c r="Q32" i="16"/>
  <c r="Q29" i="16"/>
  <c r="Q28" i="16"/>
  <c r="Q27" i="16"/>
  <c r="Q25" i="16"/>
  <c r="Q24" i="16"/>
  <c r="Q23" i="16"/>
  <c r="Q22" i="16"/>
  <c r="Q21" i="16"/>
  <c r="AC121" i="18" l="1"/>
  <c r="AC122" i="18"/>
  <c r="AC123" i="18"/>
  <c r="R14" i="18" l="1"/>
  <c r="S96" i="23" l="1"/>
  <c r="S84" i="23"/>
  <c r="S83" i="23"/>
  <c r="S82" i="23"/>
  <c r="S81" i="23"/>
  <c r="S78" i="23"/>
  <c r="S77" i="23"/>
  <c r="S76" i="23"/>
  <c r="S75" i="23"/>
  <c r="S74" i="23"/>
  <c r="S73" i="23"/>
  <c r="S71" i="23"/>
  <c r="S70" i="23"/>
  <c r="S69" i="23"/>
  <c r="S63" i="23"/>
  <c r="S60" i="23"/>
  <c r="Q98" i="16" s="1"/>
  <c r="S59" i="23"/>
  <c r="Q97" i="16" s="1"/>
  <c r="S58" i="23"/>
  <c r="Q95" i="16" s="1"/>
  <c r="S57" i="23"/>
  <c r="Q94" i="16" s="1"/>
  <c r="S55" i="23"/>
  <c r="Q91" i="16" s="1"/>
  <c r="S54" i="23"/>
  <c r="Q89" i="16" s="1"/>
  <c r="S52" i="23"/>
  <c r="Q87" i="16" s="1"/>
  <c r="S51" i="23"/>
  <c r="Q86" i="16" s="1"/>
  <c r="S50" i="23"/>
  <c r="Q85" i="16" s="1"/>
  <c r="S49" i="23"/>
  <c r="S48" i="23"/>
  <c r="Q82" i="16" s="1"/>
  <c r="S46" i="23"/>
  <c r="Q80" i="16" s="1"/>
  <c r="S45" i="23"/>
  <c r="Q75" i="16" s="1"/>
  <c r="S44" i="23"/>
  <c r="Q74" i="16" s="1"/>
  <c r="S43" i="23"/>
  <c r="Q73" i="16" s="1"/>
  <c r="S42" i="23"/>
  <c r="S41" i="23"/>
  <c r="S39" i="23"/>
  <c r="Q63" i="16" s="1"/>
  <c r="S37" i="23"/>
  <c r="Q61" i="16" s="1"/>
  <c r="S31" i="23"/>
  <c r="S30" i="23"/>
  <c r="Q51" i="16" s="1"/>
  <c r="S27" i="23"/>
  <c r="Q45" i="16" s="1"/>
  <c r="S26" i="23"/>
  <c r="S25" i="23"/>
  <c r="Q41" i="16" s="1"/>
  <c r="S22" i="23"/>
  <c r="Q37" i="16" s="1"/>
  <c r="S21" i="23"/>
  <c r="Q35" i="16" s="1"/>
  <c r="S20" i="23"/>
  <c r="Q33" i="16" s="1"/>
  <c r="AF19" i="24"/>
  <c r="AF20" i="24"/>
  <c r="AF21" i="24"/>
  <c r="AF25" i="24"/>
  <c r="AF26" i="24"/>
  <c r="AF29" i="24"/>
  <c r="AF38" i="24"/>
  <c r="AF40" i="24"/>
  <c r="AF42" i="24"/>
  <c r="AF43" i="24"/>
  <c r="Q122" i="16" l="1"/>
  <c r="S61" i="23"/>
  <c r="Q70" i="16"/>
  <c r="Q110" i="16"/>
  <c r="Q115" i="16"/>
  <c r="Q121" i="16"/>
  <c r="Q116" i="16"/>
  <c r="S28" i="23"/>
  <c r="Q42" i="16"/>
  <c r="S79" i="23"/>
  <c r="S86" i="23" s="1"/>
  <c r="Q108" i="16"/>
  <c r="Q113" i="16"/>
  <c r="Q117" i="16"/>
  <c r="Q125" i="16"/>
  <c r="Q102" i="16"/>
  <c r="Q112" i="16"/>
  <c r="Q109" i="16"/>
  <c r="Q114" i="16"/>
  <c r="Q120" i="16"/>
  <c r="S23" i="23"/>
  <c r="S33" i="23" l="1"/>
  <c r="S65" i="23" s="1"/>
  <c r="S89" i="23" s="1"/>
  <c r="S101" i="23" s="1"/>
  <c r="J44" i="41"/>
  <c r="J37" i="41"/>
  <c r="J23" i="41"/>
  <c r="J17" i="41"/>
  <c r="J25" i="41" s="1"/>
  <c r="I47" i="40"/>
  <c r="I38" i="40"/>
  <c r="I28" i="40"/>
  <c r="I22" i="40"/>
  <c r="I12" i="40"/>
  <c r="I30" i="40" l="1"/>
  <c r="I50" i="40" s="1"/>
  <c r="I52" i="40" s="1"/>
  <c r="J47" i="41"/>
  <c r="P12" i="37"/>
  <c r="A39" i="12" l="1"/>
  <c r="K106" i="30" l="1"/>
  <c r="K103" i="30"/>
  <c r="Q63" i="34" l="1"/>
  <c r="S63" i="34"/>
  <c r="C20" i="13" l="1"/>
  <c r="C21" i="13"/>
  <c r="C22" i="13"/>
  <c r="C23" i="13"/>
  <c r="C24" i="13"/>
  <c r="C26" i="13"/>
  <c r="C30" i="13"/>
  <c r="C31" i="13"/>
  <c r="C32" i="13"/>
  <c r="E20" i="13"/>
  <c r="E21" i="13"/>
  <c r="E22" i="13"/>
  <c r="E23" i="13"/>
  <c r="E24" i="13"/>
  <c r="E26" i="13"/>
  <c r="E30" i="13"/>
  <c r="E31" i="13"/>
  <c r="E32" i="13"/>
  <c r="Q96" i="23" l="1"/>
  <c r="Q84" i="23"/>
  <c r="Q83" i="23"/>
  <c r="Q82" i="23"/>
  <c r="Q81" i="23"/>
  <c r="Q78" i="23"/>
  <c r="Q77" i="23"/>
  <c r="Q76" i="23"/>
  <c r="Q75" i="23"/>
  <c r="Q74" i="23"/>
  <c r="Q73" i="23"/>
  <c r="Q71" i="23"/>
  <c r="Q70" i="23"/>
  <c r="Q69" i="23"/>
  <c r="Q63" i="23"/>
  <c r="Q60" i="23"/>
  <c r="Q59" i="23"/>
  <c r="Q58" i="23"/>
  <c r="Q57" i="23"/>
  <c r="Q55" i="23"/>
  <c r="Q54" i="23"/>
  <c r="Q52" i="23"/>
  <c r="Q51" i="23"/>
  <c r="Q50" i="23"/>
  <c r="Q49" i="23"/>
  <c r="Q48" i="23"/>
  <c r="Q46" i="23"/>
  <c r="Q45" i="23"/>
  <c r="Q44" i="23"/>
  <c r="Q43" i="23"/>
  <c r="Q42" i="23"/>
  <c r="Q41" i="23"/>
  <c r="Q39" i="23"/>
  <c r="Q37" i="23"/>
  <c r="Q30" i="23"/>
  <c r="Q31" i="23" s="1"/>
  <c r="Q27" i="23"/>
  <c r="Q26" i="23"/>
  <c r="Q25" i="23"/>
  <c r="Q22" i="23"/>
  <c r="Q21" i="23"/>
  <c r="Q20" i="23"/>
  <c r="Q23" i="23" l="1"/>
  <c r="Q28" i="23"/>
  <c r="Q61" i="23"/>
  <c r="Q79" i="23"/>
  <c r="Q86" i="23" s="1"/>
  <c r="P103" i="19"/>
  <c r="P104" i="19"/>
  <c r="P105" i="19"/>
  <c r="P102" i="19"/>
  <c r="P92" i="19"/>
  <c r="P91" i="19"/>
  <c r="P94" i="19"/>
  <c r="P95" i="19"/>
  <c r="P96" i="19"/>
  <c r="P97" i="19"/>
  <c r="P98" i="19"/>
  <c r="P99" i="19"/>
  <c r="P90" i="19"/>
  <c r="P84" i="19"/>
  <c r="P44" i="19"/>
  <c r="P46" i="19"/>
  <c r="P47" i="19"/>
  <c r="P48" i="19"/>
  <c r="P49" i="19"/>
  <c r="P52" i="19"/>
  <c r="P53" i="19"/>
  <c r="P54" i="19"/>
  <c r="P55" i="19"/>
  <c r="P56" i="19"/>
  <c r="P57" i="19"/>
  <c r="P59" i="19"/>
  <c r="P60" i="19"/>
  <c r="P61" i="19"/>
  <c r="P62" i="19"/>
  <c r="P65" i="19"/>
  <c r="P66" i="19"/>
  <c r="P67" i="19"/>
  <c r="P68" i="19"/>
  <c r="P69" i="19"/>
  <c r="P71" i="19"/>
  <c r="P72" i="19"/>
  <c r="P73" i="19"/>
  <c r="P75" i="19"/>
  <c r="P76" i="19"/>
  <c r="P77" i="19"/>
  <c r="P78" i="19"/>
  <c r="P79" i="19"/>
  <c r="P80" i="19"/>
  <c r="P81" i="19"/>
  <c r="P37" i="19"/>
  <c r="P30" i="19"/>
  <c r="P31" i="19"/>
  <c r="P32" i="19"/>
  <c r="P33" i="19"/>
  <c r="P34" i="19"/>
  <c r="P27" i="19"/>
  <c r="P24" i="19"/>
  <c r="P23" i="19"/>
  <c r="P22" i="19"/>
  <c r="P21" i="19"/>
  <c r="P18" i="19"/>
  <c r="Q33" i="23" l="1"/>
  <c r="Q65" i="23" s="1"/>
  <c r="Q89" i="23" s="1"/>
  <c r="Q101" i="23" s="1"/>
  <c r="AJ133" i="16" l="1"/>
  <c r="AN72" i="25"/>
  <c r="AN62" i="25"/>
  <c r="AN63" i="25"/>
  <c r="AN61" i="25"/>
  <c r="AN55" i="25"/>
  <c r="AN56" i="25"/>
  <c r="AN57" i="25"/>
  <c r="AN53" i="25"/>
  <c r="AN51" i="25"/>
  <c r="AN38" i="25"/>
  <c r="AN36" i="25"/>
  <c r="AN35" i="25"/>
  <c r="AN30" i="25"/>
  <c r="AN31" i="25"/>
  <c r="AN32" i="25"/>
  <c r="AN29" i="25"/>
  <c r="AN23" i="25"/>
  <c r="AN24" i="25"/>
  <c r="AN25" i="25"/>
  <c r="AN26" i="25"/>
  <c r="AN27" i="25"/>
  <c r="AN22" i="25"/>
  <c r="AN20" i="25"/>
  <c r="AN18" i="25"/>
  <c r="AN91" i="24"/>
  <c r="AN81" i="24"/>
  <c r="AN82" i="24"/>
  <c r="AN80" i="24"/>
  <c r="AN74" i="24"/>
  <c r="AN72" i="24"/>
  <c r="AN53" i="24"/>
  <c r="AN48" i="24"/>
  <c r="AN41" i="24"/>
  <c r="AN24" i="24"/>
  <c r="AL25" i="23"/>
  <c r="AI32" i="22"/>
  <c r="AI33" i="22"/>
  <c r="AI34" i="22"/>
  <c r="AI35" i="22"/>
  <c r="AI36" i="22"/>
  <c r="AI31" i="22"/>
  <c r="AM83" i="21"/>
  <c r="AM75" i="21"/>
  <c r="AM51" i="21"/>
  <c r="AM48" i="21"/>
  <c r="AM47" i="21"/>
  <c r="AM43" i="21"/>
  <c r="AM44" i="21"/>
  <c r="AM45" i="21"/>
  <c r="AM42" i="21"/>
  <c r="AM35" i="21"/>
  <c r="AM36" i="21"/>
  <c r="AM37" i="21"/>
  <c r="AM38" i="21"/>
  <c r="AM39" i="21"/>
  <c r="AM34" i="21"/>
  <c r="AM27" i="21"/>
  <c r="AM28" i="21"/>
  <c r="AM29" i="21"/>
  <c r="AM30" i="21"/>
  <c r="AM26" i="21"/>
  <c r="AM22" i="21"/>
  <c r="AM23" i="21"/>
  <c r="AM24" i="21"/>
  <c r="AM19" i="21"/>
  <c r="AM73" i="20"/>
  <c r="AM63" i="20"/>
  <c r="AM25" i="20"/>
  <c r="AM24" i="20"/>
  <c r="AK125" i="18"/>
  <c r="AK86" i="18"/>
  <c r="AK82" i="18"/>
  <c r="AK77" i="18"/>
  <c r="AK51" i="18"/>
  <c r="AK49" i="18"/>
  <c r="AK46" i="18"/>
  <c r="AK43" i="18"/>
  <c r="AK36" i="18"/>
  <c r="AK35" i="18"/>
  <c r="AK33" i="18"/>
  <c r="AK31" i="18"/>
  <c r="O134" i="17" l="1"/>
  <c r="O133" i="17"/>
  <c r="O125" i="17"/>
  <c r="O124" i="17"/>
  <c r="O122" i="17"/>
  <c r="O121" i="17"/>
  <c r="O120" i="17"/>
  <c r="O117" i="17"/>
  <c r="O116" i="17"/>
  <c r="O115" i="17"/>
  <c r="O114" i="17"/>
  <c r="O113" i="17"/>
  <c r="O112" i="17"/>
  <c r="O110" i="17"/>
  <c r="O109" i="17"/>
  <c r="O108" i="17"/>
  <c r="O102" i="17"/>
  <c r="O99" i="17"/>
  <c r="O98" i="17"/>
  <c r="O97" i="17"/>
  <c r="O96" i="17"/>
  <c r="O95" i="17"/>
  <c r="O94" i="17"/>
  <c r="O93" i="17"/>
  <c r="O92" i="17"/>
  <c r="O91" i="17"/>
  <c r="O90" i="17"/>
  <c r="O89" i="17"/>
  <c r="O87" i="17"/>
  <c r="O86" i="17"/>
  <c r="O85" i="17"/>
  <c r="O84" i="17"/>
  <c r="O83" i="17"/>
  <c r="O82" i="17"/>
  <c r="O80" i="17"/>
  <c r="O79" i="17"/>
  <c r="O78" i="17"/>
  <c r="O77" i="17"/>
  <c r="O75" i="17"/>
  <c r="O74" i="17"/>
  <c r="O73" i="17"/>
  <c r="O72" i="17"/>
  <c r="O71" i="17"/>
  <c r="O70" i="17"/>
  <c r="O68" i="17"/>
  <c r="O66" i="17"/>
  <c r="O65" i="17"/>
  <c r="O64" i="17"/>
  <c r="O63" i="17"/>
  <c r="O61" i="17"/>
  <c r="O60" i="17"/>
  <c r="O53" i="17"/>
  <c r="O52" i="17"/>
  <c r="O51" i="17"/>
  <c r="O50" i="17"/>
  <c r="O49" i="17"/>
  <c r="O48" i="17"/>
  <c r="O45" i="17"/>
  <c r="O44" i="17"/>
  <c r="O43" i="17"/>
  <c r="O42" i="17"/>
  <c r="O41" i="17"/>
  <c r="O38" i="17"/>
  <c r="O37" i="17"/>
  <c r="O36" i="17"/>
  <c r="O35" i="17"/>
  <c r="O34" i="17"/>
  <c r="O33" i="17"/>
  <c r="O32" i="17"/>
  <c r="O29" i="17"/>
  <c r="O28" i="17"/>
  <c r="O27" i="17"/>
  <c r="O25" i="17"/>
  <c r="O24" i="17"/>
  <c r="O23" i="17"/>
  <c r="O22" i="17"/>
  <c r="O21" i="17"/>
  <c r="O135" i="16"/>
  <c r="O134" i="16"/>
  <c r="O125" i="16"/>
  <c r="O124" i="16"/>
  <c r="O122" i="16"/>
  <c r="O121" i="16"/>
  <c r="O120" i="16"/>
  <c r="O117" i="16"/>
  <c r="O116" i="16"/>
  <c r="O115" i="16"/>
  <c r="O114" i="16"/>
  <c r="O113" i="16"/>
  <c r="O112" i="16"/>
  <c r="O110" i="16"/>
  <c r="O109" i="16"/>
  <c r="O108" i="16"/>
  <c r="O102" i="16"/>
  <c r="O99" i="16"/>
  <c r="O98" i="16"/>
  <c r="O97" i="16"/>
  <c r="O96" i="16"/>
  <c r="O95" i="16"/>
  <c r="O94" i="16"/>
  <c r="O93" i="16"/>
  <c r="O92" i="16"/>
  <c r="O91" i="16"/>
  <c r="O90" i="16"/>
  <c r="O89" i="16"/>
  <c r="O87" i="16"/>
  <c r="O86" i="16"/>
  <c r="O85" i="16"/>
  <c r="O84" i="16"/>
  <c r="O83" i="16"/>
  <c r="O82" i="16"/>
  <c r="O80" i="16"/>
  <c r="O79" i="16"/>
  <c r="O78" i="16"/>
  <c r="O77" i="16"/>
  <c r="O75" i="16"/>
  <c r="O74" i="16"/>
  <c r="O73" i="16"/>
  <c r="O72" i="16"/>
  <c r="O71" i="16"/>
  <c r="O70" i="16"/>
  <c r="O68" i="16"/>
  <c r="O66" i="16"/>
  <c r="O65" i="16"/>
  <c r="O64" i="16"/>
  <c r="O63" i="16"/>
  <c r="O61" i="16"/>
  <c r="O60" i="16"/>
  <c r="O53" i="16"/>
  <c r="O52" i="16"/>
  <c r="O51" i="16"/>
  <c r="O50" i="16"/>
  <c r="O49" i="16"/>
  <c r="O45" i="16"/>
  <c r="O44" i="16"/>
  <c r="O43" i="16"/>
  <c r="O42" i="16"/>
  <c r="O41" i="16"/>
  <c r="O38" i="16"/>
  <c r="O37" i="16"/>
  <c r="O36" i="16"/>
  <c r="O35" i="16"/>
  <c r="O34" i="16"/>
  <c r="O33" i="16"/>
  <c r="O32" i="16"/>
  <c r="O29" i="16"/>
  <c r="O28" i="16"/>
  <c r="O27" i="16"/>
  <c r="O25" i="16"/>
  <c r="O24" i="16"/>
  <c r="O23" i="16"/>
  <c r="O22" i="16"/>
  <c r="O21" i="16"/>
  <c r="AE93" i="17" l="1"/>
  <c r="M93" i="17"/>
  <c r="N67" i="18" l="1"/>
  <c r="AD52" i="15" l="1"/>
  <c r="AB52" i="15"/>
  <c r="R52" i="15"/>
  <c r="P52" i="15"/>
  <c r="N52" i="15"/>
  <c r="L52" i="15"/>
  <c r="J52" i="15"/>
  <c r="H52" i="15"/>
  <c r="F52" i="15"/>
  <c r="D52" i="15"/>
  <c r="X51" i="15"/>
  <c r="AH51" i="15" s="1"/>
  <c r="AJ51" i="15" s="1"/>
  <c r="V51" i="15"/>
  <c r="X50" i="15"/>
  <c r="AH50" i="15" s="1"/>
  <c r="AJ50" i="15" s="1"/>
  <c r="V50" i="15"/>
  <c r="X49" i="15"/>
  <c r="AH49" i="15" s="1"/>
  <c r="AJ49" i="15" s="1"/>
  <c r="V49" i="15"/>
  <c r="X48" i="15"/>
  <c r="AH48" i="15" s="1"/>
  <c r="AJ48" i="15" s="1"/>
  <c r="V48" i="15"/>
  <c r="X47" i="15"/>
  <c r="AH47" i="15" s="1"/>
  <c r="AJ47" i="15" s="1"/>
  <c r="V47" i="15"/>
  <c r="AJ46" i="15"/>
  <c r="X46" i="15"/>
  <c r="AH46" i="15" s="1"/>
  <c r="V46" i="15"/>
  <c r="AD43" i="15"/>
  <c r="AB43" i="15"/>
  <c r="R43" i="15"/>
  <c r="P43" i="15"/>
  <c r="N43" i="15"/>
  <c r="L43" i="15"/>
  <c r="J43" i="15"/>
  <c r="H43" i="15"/>
  <c r="F43" i="15"/>
  <c r="D43" i="15"/>
  <c r="X42" i="15"/>
  <c r="AH42" i="15" s="1"/>
  <c r="AJ42" i="15" s="1"/>
  <c r="V42" i="15"/>
  <c r="X41" i="15"/>
  <c r="AH41" i="15" s="1"/>
  <c r="AJ41" i="15" s="1"/>
  <c r="V41" i="15"/>
  <c r="X40" i="15"/>
  <c r="AH40" i="15" s="1"/>
  <c r="AJ40" i="15" s="1"/>
  <c r="V40" i="15"/>
  <c r="X39" i="15"/>
  <c r="AH39" i="15" s="1"/>
  <c r="AJ39" i="15" s="1"/>
  <c r="V39" i="15"/>
  <c r="X38" i="15"/>
  <c r="V38" i="15"/>
  <c r="AD35" i="15"/>
  <c r="AB35" i="15"/>
  <c r="R35" i="15"/>
  <c r="P35" i="15"/>
  <c r="N35" i="15"/>
  <c r="L35" i="15"/>
  <c r="J35" i="15"/>
  <c r="H35" i="15"/>
  <c r="F35" i="15"/>
  <c r="D35" i="15"/>
  <c r="X34" i="15"/>
  <c r="AH34" i="15" s="1"/>
  <c r="AJ34" i="15" s="1"/>
  <c r="V34" i="15"/>
  <c r="X33" i="15"/>
  <c r="AH33" i="15" s="1"/>
  <c r="AJ33" i="15" s="1"/>
  <c r="V33" i="15"/>
  <c r="X32" i="15"/>
  <c r="AH32" i="15" s="1"/>
  <c r="AJ32" i="15" s="1"/>
  <c r="V32" i="15"/>
  <c r="X31" i="15"/>
  <c r="AH31" i="15" s="1"/>
  <c r="AJ31" i="15" s="1"/>
  <c r="V31"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4" i="15" l="1"/>
  <c r="V43" i="15"/>
  <c r="X43" i="15"/>
  <c r="AH43" i="15" s="1"/>
  <c r="AJ43" i="15" s="1"/>
  <c r="H54" i="15"/>
  <c r="P54" i="15"/>
  <c r="J54" i="15"/>
  <c r="AB54" i="15"/>
  <c r="AH16" i="15"/>
  <c r="AJ16" i="15" s="1"/>
  <c r="L54" i="15"/>
  <c r="AH19" i="15"/>
  <c r="AJ19" i="15" s="1"/>
  <c r="N54" i="15"/>
  <c r="D54" i="15"/>
  <c r="F54" i="15"/>
  <c r="V21" i="15"/>
  <c r="V25" i="15" s="1"/>
  <c r="AH38" i="15"/>
  <c r="AJ38" i="15" s="1"/>
  <c r="V52" i="15"/>
  <c r="R54" i="15"/>
  <c r="V35" i="15"/>
  <c r="X21" i="15"/>
  <c r="X35" i="15"/>
  <c r="AH35" i="15" s="1"/>
  <c r="AJ35" i="15" s="1"/>
  <c r="X52" i="15"/>
  <c r="AH52" i="15" s="1"/>
  <c r="AJ52" i="15" s="1"/>
  <c r="V54" i="15" l="1"/>
  <c r="X25" i="15"/>
  <c r="AH21" i="15"/>
  <c r="AJ21" i="15" s="1"/>
  <c r="AH25" i="15" l="1"/>
  <c r="AJ25" i="15" s="1"/>
  <c r="X54" i="15"/>
  <c r="AH54" i="15" s="1"/>
  <c r="AJ54" i="15" s="1"/>
  <c r="O96" i="23" l="1"/>
  <c r="O84" i="23"/>
  <c r="O83" i="23"/>
  <c r="O82" i="23"/>
  <c r="O81" i="23"/>
  <c r="O78" i="23"/>
  <c r="O77" i="23"/>
  <c r="O76" i="23"/>
  <c r="O75" i="23"/>
  <c r="O74" i="23"/>
  <c r="O73" i="23"/>
  <c r="O71" i="23"/>
  <c r="O70" i="23"/>
  <c r="O69" i="23"/>
  <c r="O63" i="23"/>
  <c r="O60" i="23"/>
  <c r="O59" i="23"/>
  <c r="O58" i="23"/>
  <c r="O57" i="23"/>
  <c r="O55" i="23"/>
  <c r="O54" i="23"/>
  <c r="O52" i="23"/>
  <c r="O51" i="23"/>
  <c r="O50" i="23"/>
  <c r="O49" i="23"/>
  <c r="O48" i="23"/>
  <c r="O46" i="23"/>
  <c r="O45" i="23"/>
  <c r="O44" i="23"/>
  <c r="O43" i="23"/>
  <c r="O42" i="23"/>
  <c r="O41" i="23"/>
  <c r="O39" i="23"/>
  <c r="O37" i="23"/>
  <c r="O30" i="23"/>
  <c r="O31" i="23" s="1"/>
  <c r="O27" i="23"/>
  <c r="O26" i="23"/>
  <c r="O25" i="23"/>
  <c r="O22" i="23"/>
  <c r="O21" i="23"/>
  <c r="O20" i="23"/>
  <c r="O23" i="23" l="1"/>
  <c r="O28" i="23"/>
  <c r="O61" i="23"/>
  <c r="O79" i="23"/>
  <c r="O86" i="23" s="1"/>
  <c r="O33" i="23" l="1"/>
  <c r="O65" i="23" s="1"/>
  <c r="O89" i="23" s="1"/>
  <c r="N102" i="19" l="1"/>
  <c r="N103" i="19"/>
  <c r="N104" i="19"/>
  <c r="N105" i="19"/>
  <c r="N84" i="19"/>
  <c r="N44" i="19"/>
  <c r="N46" i="19"/>
  <c r="N47" i="19"/>
  <c r="N48" i="19"/>
  <c r="N49" i="19"/>
  <c r="N52" i="19"/>
  <c r="N53" i="19"/>
  <c r="N54" i="19"/>
  <c r="N55" i="19"/>
  <c r="N56" i="19"/>
  <c r="N57" i="19"/>
  <c r="N59" i="19"/>
  <c r="N60" i="19"/>
  <c r="N61" i="19"/>
  <c r="N62" i="19"/>
  <c r="N64" i="19"/>
  <c r="N65" i="19"/>
  <c r="N66" i="19"/>
  <c r="N67" i="19"/>
  <c r="N68" i="19"/>
  <c r="N71" i="19"/>
  <c r="N69" i="19"/>
  <c r="N72" i="19"/>
  <c r="N73" i="19"/>
  <c r="N74" i="19"/>
  <c r="N75" i="19"/>
  <c r="M93" i="16" s="1"/>
  <c r="N76" i="19"/>
  <c r="N77" i="19"/>
  <c r="N78" i="19"/>
  <c r="N79" i="19"/>
  <c r="N80" i="19"/>
  <c r="N81" i="19"/>
  <c r="N37" i="19"/>
  <c r="M37" i="19"/>
  <c r="M38" i="19" s="1"/>
  <c r="N34" i="19"/>
  <c r="N33" i="19"/>
  <c r="N32" i="19"/>
  <c r="N31" i="19"/>
  <c r="N30" i="19"/>
  <c r="N27" i="19"/>
  <c r="N26" i="19"/>
  <c r="N25" i="19"/>
  <c r="N24" i="19"/>
  <c r="N23" i="19"/>
  <c r="N22" i="19"/>
  <c r="N21" i="19"/>
  <c r="N18" i="19"/>
  <c r="AE47" i="26" l="1"/>
  <c r="B33" i="6"/>
  <c r="B32" i="6"/>
  <c r="N99" i="19"/>
  <c r="N98" i="19"/>
  <c r="N97" i="19"/>
  <c r="N96" i="19"/>
  <c r="N95" i="19"/>
  <c r="N94" i="19"/>
  <c r="N92" i="19"/>
  <c r="N91" i="19"/>
  <c r="N90" i="19"/>
  <c r="K63" i="34" l="1"/>
  <c r="M134" i="17" l="1"/>
  <c r="M133" i="17"/>
  <c r="M125" i="17"/>
  <c r="M124" i="17"/>
  <c r="M122" i="17"/>
  <c r="M121" i="17"/>
  <c r="M120" i="17"/>
  <c r="M117" i="17"/>
  <c r="M116" i="17"/>
  <c r="M115" i="17"/>
  <c r="M114" i="17"/>
  <c r="M113" i="17"/>
  <c r="M112" i="17"/>
  <c r="M110" i="17"/>
  <c r="M109" i="17"/>
  <c r="M108" i="17"/>
  <c r="M102" i="17"/>
  <c r="M99" i="17"/>
  <c r="M98" i="17"/>
  <c r="M97" i="17"/>
  <c r="M96" i="17"/>
  <c r="M95" i="17"/>
  <c r="M94" i="17"/>
  <c r="M92" i="17"/>
  <c r="M91" i="17"/>
  <c r="M90" i="17"/>
  <c r="M89" i="17"/>
  <c r="M87" i="17"/>
  <c r="M86" i="17"/>
  <c r="M85" i="17"/>
  <c r="M84" i="17"/>
  <c r="M83" i="17"/>
  <c r="M82" i="17"/>
  <c r="M80" i="17"/>
  <c r="M79" i="17"/>
  <c r="M78" i="17"/>
  <c r="M77" i="17"/>
  <c r="M75" i="17"/>
  <c r="M74" i="17"/>
  <c r="M73" i="17"/>
  <c r="M72" i="17"/>
  <c r="M71" i="17"/>
  <c r="M70" i="17"/>
  <c r="M68" i="17"/>
  <c r="M66" i="17"/>
  <c r="M65" i="17"/>
  <c r="M64" i="17"/>
  <c r="M63" i="17"/>
  <c r="M61" i="17"/>
  <c r="M60" i="17"/>
  <c r="M53" i="17"/>
  <c r="M52" i="17"/>
  <c r="M51" i="17"/>
  <c r="M50" i="17"/>
  <c r="M49" i="17"/>
  <c r="M48" i="17"/>
  <c r="M45" i="17"/>
  <c r="M44" i="17"/>
  <c r="M43" i="17"/>
  <c r="M42" i="17"/>
  <c r="M41" i="17"/>
  <c r="M38" i="17"/>
  <c r="M37" i="17"/>
  <c r="M36" i="17"/>
  <c r="M35" i="17"/>
  <c r="M34" i="17"/>
  <c r="M33" i="17"/>
  <c r="M32" i="17"/>
  <c r="M29" i="17"/>
  <c r="M28" i="17"/>
  <c r="M27" i="17"/>
  <c r="M25" i="17"/>
  <c r="M24" i="17"/>
  <c r="M23" i="17"/>
  <c r="M22" i="17"/>
  <c r="M21" i="17"/>
  <c r="M135" i="16"/>
  <c r="M134" i="16"/>
  <c r="M125" i="16"/>
  <c r="M124" i="16"/>
  <c r="M122" i="16"/>
  <c r="M121" i="16"/>
  <c r="M120" i="16"/>
  <c r="M117" i="16"/>
  <c r="M116" i="16"/>
  <c r="M115" i="16"/>
  <c r="M114" i="16"/>
  <c r="M113" i="16"/>
  <c r="M112" i="16"/>
  <c r="M110" i="16"/>
  <c r="M109" i="16"/>
  <c r="M108" i="16"/>
  <c r="M102" i="16"/>
  <c r="M99" i="16"/>
  <c r="M98" i="16"/>
  <c r="M97" i="16"/>
  <c r="M96" i="16"/>
  <c r="M95" i="16"/>
  <c r="M94" i="16"/>
  <c r="M92" i="16"/>
  <c r="M91" i="16"/>
  <c r="M90" i="16"/>
  <c r="M89" i="16"/>
  <c r="M87" i="16"/>
  <c r="M86" i="16"/>
  <c r="M85" i="16"/>
  <c r="M84" i="16"/>
  <c r="M83" i="16"/>
  <c r="M82" i="16"/>
  <c r="M80" i="16"/>
  <c r="M79" i="16"/>
  <c r="M78" i="16"/>
  <c r="M77" i="16"/>
  <c r="M75" i="16"/>
  <c r="M74" i="16"/>
  <c r="M73" i="16"/>
  <c r="M72" i="16"/>
  <c r="M71" i="16"/>
  <c r="M70" i="16"/>
  <c r="M68" i="16"/>
  <c r="M66" i="16"/>
  <c r="M65" i="16"/>
  <c r="M64" i="16"/>
  <c r="M63" i="16"/>
  <c r="M61" i="16"/>
  <c r="M60" i="16"/>
  <c r="M53" i="16"/>
  <c r="M52" i="16"/>
  <c r="M51" i="16"/>
  <c r="M50" i="16"/>
  <c r="M49" i="16"/>
  <c r="M45" i="16"/>
  <c r="M44" i="16"/>
  <c r="M43" i="16"/>
  <c r="M42" i="16"/>
  <c r="M41" i="16"/>
  <c r="M38" i="16"/>
  <c r="M37" i="16"/>
  <c r="M36" i="16"/>
  <c r="M35" i="16"/>
  <c r="M34" i="16"/>
  <c r="M33" i="16"/>
  <c r="M32" i="16"/>
  <c r="M29" i="16"/>
  <c r="M28" i="16"/>
  <c r="M27" i="16"/>
  <c r="M25" i="16"/>
  <c r="M24" i="16"/>
  <c r="M23" i="16"/>
  <c r="M22" i="16"/>
  <c r="M21" i="16"/>
  <c r="AC19" i="18"/>
  <c r="AC20" i="18"/>
  <c r="AC21" i="18"/>
  <c r="AC22" i="18"/>
  <c r="AC23" i="18"/>
  <c r="AC25" i="18"/>
  <c r="AC26" i="18"/>
  <c r="AC27" i="18"/>
  <c r="AC30" i="18"/>
  <c r="AC32" i="18"/>
  <c r="AC34" i="18"/>
  <c r="AC39" i="18"/>
  <c r="AC40" i="18"/>
  <c r="AC41" i="18"/>
  <c r="AC42" i="18"/>
  <c r="AC47" i="18"/>
  <c r="AC48" i="18"/>
  <c r="AC50" i="18"/>
  <c r="K98" i="17" l="1"/>
  <c r="AE20" i="20" l="1"/>
  <c r="H44" i="41" l="1"/>
  <c r="H37" i="41"/>
  <c r="H23" i="41"/>
  <c r="H17" i="41"/>
  <c r="G47" i="40"/>
  <c r="G38" i="40"/>
  <c r="G28" i="40"/>
  <c r="G22" i="40"/>
  <c r="G30" i="40" l="1"/>
  <c r="G50" i="40" s="1"/>
  <c r="H25" i="41"/>
  <c r="H47" i="41" s="1"/>
  <c r="M96" i="23" l="1"/>
  <c r="M84" i="23"/>
  <c r="M83" i="23"/>
  <c r="M82" i="23"/>
  <c r="M81" i="23"/>
  <c r="M78" i="23"/>
  <c r="M77" i="23"/>
  <c r="M76" i="23"/>
  <c r="M75" i="23"/>
  <c r="M74" i="23"/>
  <c r="M73" i="23"/>
  <c r="M71" i="23"/>
  <c r="M70" i="23"/>
  <c r="M69" i="23"/>
  <c r="M63" i="23"/>
  <c r="M60" i="23"/>
  <c r="M59" i="23"/>
  <c r="M58" i="23"/>
  <c r="M57" i="23"/>
  <c r="M55" i="23"/>
  <c r="M54" i="23"/>
  <c r="M52" i="23"/>
  <c r="M51" i="23"/>
  <c r="M50" i="23"/>
  <c r="M49" i="23"/>
  <c r="M48" i="23"/>
  <c r="M46" i="23"/>
  <c r="M45" i="23"/>
  <c r="M44" i="23"/>
  <c r="M43" i="23"/>
  <c r="M42" i="23"/>
  <c r="M41" i="23"/>
  <c r="M39" i="23"/>
  <c r="M37" i="23"/>
  <c r="M30" i="23"/>
  <c r="M31" i="23" s="1"/>
  <c r="M27" i="23"/>
  <c r="M26" i="23"/>
  <c r="M25" i="23"/>
  <c r="M22" i="23"/>
  <c r="M21" i="23"/>
  <c r="M20" i="23"/>
  <c r="M61" i="23" l="1"/>
  <c r="M28" i="23"/>
  <c r="M79" i="23"/>
  <c r="M86" i="23" s="1"/>
  <c r="M23" i="23"/>
  <c r="L21" i="19"/>
  <c r="L27" i="19"/>
  <c r="L25" i="19"/>
  <c r="L24" i="19"/>
  <c r="L23" i="19"/>
  <c r="L22" i="19"/>
  <c r="L62" i="19"/>
  <c r="L46" i="19"/>
  <c r="L81" i="19"/>
  <c r="L80" i="19"/>
  <c r="K98" i="16" s="1"/>
  <c r="L79" i="19"/>
  <c r="L78" i="19"/>
  <c r="L77" i="19"/>
  <c r="L76" i="19"/>
  <c r="L75" i="19"/>
  <c r="L74" i="19"/>
  <c r="L73" i="19"/>
  <c r="L72" i="19"/>
  <c r="L71" i="19"/>
  <c r="L69" i="19"/>
  <c r="L68" i="19"/>
  <c r="L67" i="19"/>
  <c r="L66" i="19"/>
  <c r="L65" i="19"/>
  <c r="L64" i="19"/>
  <c r="L61" i="19"/>
  <c r="L60" i="19"/>
  <c r="L59" i="19"/>
  <c r="L57" i="19"/>
  <c r="L56" i="19"/>
  <c r="L55" i="19"/>
  <c r="L54" i="19"/>
  <c r="L53" i="19"/>
  <c r="L52" i="19"/>
  <c r="L49" i="19"/>
  <c r="L48" i="19"/>
  <c r="L47" i="19"/>
  <c r="M33" i="23" l="1"/>
  <c r="M65" i="23" s="1"/>
  <c r="M89" i="23" s="1"/>
  <c r="M101" i="23" s="1"/>
  <c r="L84" i="19"/>
  <c r="L44" i="19"/>
  <c r="K44" i="19"/>
  <c r="L37" i="19"/>
  <c r="L31" i="19"/>
  <c r="L32" i="19"/>
  <c r="L33" i="19"/>
  <c r="L34" i="19"/>
  <c r="L30" i="19"/>
  <c r="L19" i="19"/>
  <c r="L26" i="19"/>
  <c r="L18" i="19"/>
  <c r="L103" i="19" l="1"/>
  <c r="L104" i="19"/>
  <c r="L105" i="19"/>
  <c r="L102" i="19"/>
  <c r="L91" i="19"/>
  <c r="L92" i="19"/>
  <c r="L94" i="19"/>
  <c r="L95" i="19"/>
  <c r="L96" i="19"/>
  <c r="L97" i="19"/>
  <c r="L98" i="19"/>
  <c r="L99" i="19"/>
  <c r="L90" i="19"/>
  <c r="J33" i="28" l="1"/>
  <c r="K134" i="17" l="1"/>
  <c r="K133" i="17"/>
  <c r="K125" i="17"/>
  <c r="K124" i="17"/>
  <c r="K122" i="17"/>
  <c r="K121" i="17"/>
  <c r="K120" i="17"/>
  <c r="K117" i="17"/>
  <c r="K116" i="17"/>
  <c r="K115" i="17"/>
  <c r="K114" i="17"/>
  <c r="K113" i="17"/>
  <c r="K112" i="17"/>
  <c r="K110" i="17"/>
  <c r="K109" i="17"/>
  <c r="K108" i="17"/>
  <c r="K102" i="17"/>
  <c r="K99" i="17"/>
  <c r="K97" i="17"/>
  <c r="K96" i="17"/>
  <c r="K95" i="17"/>
  <c r="K94" i="17"/>
  <c r="K93" i="17"/>
  <c r="K92" i="17"/>
  <c r="K91" i="17"/>
  <c r="K90" i="17"/>
  <c r="K89" i="17"/>
  <c r="K87" i="17"/>
  <c r="K86" i="17"/>
  <c r="K85" i="17"/>
  <c r="K84" i="17"/>
  <c r="K83" i="17"/>
  <c r="K82" i="17"/>
  <c r="K80" i="17"/>
  <c r="K79" i="17"/>
  <c r="K78" i="17"/>
  <c r="K77" i="17"/>
  <c r="K75" i="17"/>
  <c r="K74" i="17"/>
  <c r="K73" i="17"/>
  <c r="K72" i="17"/>
  <c r="K71" i="17"/>
  <c r="K70" i="17"/>
  <c r="K68" i="17"/>
  <c r="K66" i="17"/>
  <c r="K65" i="17"/>
  <c r="K64" i="17"/>
  <c r="K63" i="17"/>
  <c r="K61" i="17"/>
  <c r="K60" i="17"/>
  <c r="K53" i="17"/>
  <c r="K52" i="17"/>
  <c r="K51" i="17"/>
  <c r="K50" i="17"/>
  <c r="K49" i="17"/>
  <c r="K48" i="17"/>
  <c r="K45" i="17"/>
  <c r="K44" i="17"/>
  <c r="K43" i="17"/>
  <c r="K42" i="17"/>
  <c r="K41" i="17"/>
  <c r="K38" i="17"/>
  <c r="K37" i="17"/>
  <c r="K36" i="17"/>
  <c r="K35" i="17"/>
  <c r="K34" i="17"/>
  <c r="K33" i="17"/>
  <c r="K32" i="17"/>
  <c r="K29" i="17"/>
  <c r="K28" i="17"/>
  <c r="K27" i="17"/>
  <c r="K25" i="17"/>
  <c r="K24" i="17"/>
  <c r="K23" i="17"/>
  <c r="K22" i="17"/>
  <c r="K21" i="17"/>
  <c r="K135" i="16"/>
  <c r="K134" i="16"/>
  <c r="K125" i="16"/>
  <c r="K124" i="16"/>
  <c r="K122" i="16"/>
  <c r="K121" i="16"/>
  <c r="K120" i="16"/>
  <c r="K117" i="16"/>
  <c r="K116" i="16"/>
  <c r="K115" i="16"/>
  <c r="K114" i="16"/>
  <c r="K113" i="16"/>
  <c r="K112" i="16"/>
  <c r="K110" i="16"/>
  <c r="K109" i="16"/>
  <c r="K108" i="16"/>
  <c r="K102" i="16"/>
  <c r="K99" i="16"/>
  <c r="K97" i="16"/>
  <c r="K96" i="16"/>
  <c r="K95" i="16"/>
  <c r="K94" i="16"/>
  <c r="K93" i="16"/>
  <c r="K92" i="16"/>
  <c r="K91" i="16"/>
  <c r="K90" i="16"/>
  <c r="K89" i="16"/>
  <c r="K87" i="16"/>
  <c r="K86" i="16"/>
  <c r="K85" i="16"/>
  <c r="K84" i="16"/>
  <c r="K83" i="16"/>
  <c r="K82" i="16"/>
  <c r="K80" i="16"/>
  <c r="K79" i="16"/>
  <c r="K78" i="16"/>
  <c r="K77" i="16"/>
  <c r="K75" i="16"/>
  <c r="K74" i="16"/>
  <c r="K73" i="16"/>
  <c r="K72" i="16"/>
  <c r="K71" i="16"/>
  <c r="K70" i="16"/>
  <c r="K68" i="16"/>
  <c r="K66" i="16"/>
  <c r="K65" i="16"/>
  <c r="K64" i="16"/>
  <c r="K63" i="16"/>
  <c r="K61" i="16"/>
  <c r="K60" i="16"/>
  <c r="K53" i="16"/>
  <c r="K52" i="16"/>
  <c r="K51" i="16"/>
  <c r="K50" i="16"/>
  <c r="K49" i="16"/>
  <c r="K45" i="16"/>
  <c r="K44" i="16"/>
  <c r="K43" i="16"/>
  <c r="K42" i="16"/>
  <c r="K41" i="16"/>
  <c r="K38" i="16"/>
  <c r="K37" i="16"/>
  <c r="K36" i="16"/>
  <c r="K35" i="16"/>
  <c r="K34" i="16"/>
  <c r="K33" i="16"/>
  <c r="K32" i="16"/>
  <c r="K29" i="16"/>
  <c r="K28" i="16"/>
  <c r="K27" i="16"/>
  <c r="K25" i="16"/>
  <c r="K24" i="16"/>
  <c r="K23" i="16"/>
  <c r="K22" i="16"/>
  <c r="K21" i="16"/>
  <c r="I134" i="17"/>
  <c r="G134" i="17"/>
  <c r="E134" i="17"/>
  <c r="C134" i="17"/>
  <c r="G135" i="16"/>
  <c r="E135" i="16"/>
  <c r="C135" i="16"/>
  <c r="I135" i="16"/>
  <c r="AC126" i="18"/>
  <c r="AI126" i="18" s="1"/>
  <c r="AK126" i="18" s="1"/>
  <c r="K143" i="30" l="1"/>
  <c r="AE62" i="21" l="1"/>
  <c r="K42" i="9" l="1"/>
  <c r="K41" i="9"/>
  <c r="K40" i="9"/>
  <c r="U39" i="14"/>
  <c r="U25" i="14"/>
  <c r="U22" i="14"/>
  <c r="U21" i="14"/>
  <c r="U20" i="14"/>
  <c r="K39" i="14"/>
  <c r="V41" i="11" l="1"/>
  <c r="K41" i="11"/>
  <c r="V33" i="11"/>
  <c r="V22" i="11"/>
  <c r="V23" i="11"/>
  <c r="V21" i="11"/>
  <c r="V20" i="11"/>
  <c r="O42" i="11"/>
  <c r="E12" i="40" l="1"/>
  <c r="J72" i="19" l="1"/>
  <c r="J73" i="19"/>
  <c r="J74" i="19"/>
  <c r="J75" i="19"/>
  <c r="J76" i="19"/>
  <c r="J77" i="19"/>
  <c r="J78" i="19"/>
  <c r="J79" i="19"/>
  <c r="J80" i="19"/>
  <c r="J81" i="19"/>
  <c r="J71" i="19"/>
  <c r="I71" i="19"/>
  <c r="J65" i="19"/>
  <c r="J66" i="19"/>
  <c r="J67" i="19"/>
  <c r="J68" i="19"/>
  <c r="J69" i="19"/>
  <c r="J64" i="19"/>
  <c r="I64" i="19"/>
  <c r="J60" i="19"/>
  <c r="J61" i="19"/>
  <c r="J62" i="19"/>
  <c r="J59" i="19"/>
  <c r="I59" i="19"/>
  <c r="J53" i="19"/>
  <c r="J54" i="19"/>
  <c r="J55" i="19"/>
  <c r="J56" i="19"/>
  <c r="J57" i="19"/>
  <c r="J52" i="19"/>
  <c r="I52" i="19"/>
  <c r="J103" i="19"/>
  <c r="J104" i="19"/>
  <c r="J105" i="19"/>
  <c r="J102" i="19"/>
  <c r="J91" i="19"/>
  <c r="J92" i="19"/>
  <c r="J94" i="19"/>
  <c r="J95" i="19"/>
  <c r="J96" i="19"/>
  <c r="J97" i="19"/>
  <c r="J98" i="19"/>
  <c r="J99" i="19"/>
  <c r="J90" i="19"/>
  <c r="H90" i="19"/>
  <c r="J84" i="19"/>
  <c r="J46" i="19"/>
  <c r="J47" i="19"/>
  <c r="J48" i="19"/>
  <c r="J49" i="19"/>
  <c r="J44" i="19"/>
  <c r="J37" i="19"/>
  <c r="J34" i="19"/>
  <c r="J33" i="19"/>
  <c r="J32" i="19"/>
  <c r="J31" i="19"/>
  <c r="J30" i="19"/>
  <c r="J27" i="19"/>
  <c r="J26" i="19"/>
  <c r="J25" i="19"/>
  <c r="J24" i="19"/>
  <c r="J23" i="19"/>
  <c r="J22" i="19"/>
  <c r="J21" i="19"/>
  <c r="J18" i="19"/>
  <c r="C25" i="13" l="1"/>
  <c r="Z12" i="44" l="1"/>
  <c r="Z15" i="44"/>
  <c r="Z16" i="44" s="1"/>
  <c r="B16" i="44"/>
  <c r="D16" i="44"/>
  <c r="F16" i="44"/>
  <c r="H16" i="44"/>
  <c r="J16" i="44"/>
  <c r="L16" i="44"/>
  <c r="N16" i="44"/>
  <c r="P16" i="44"/>
  <c r="R16" i="44"/>
  <c r="T16" i="44"/>
  <c r="V16" i="44"/>
  <c r="X16" i="44"/>
  <c r="Z20" i="44"/>
  <c r="Z28" i="44"/>
  <c r="Z19" i="44"/>
  <c r="Z21" i="44"/>
  <c r="Z22" i="44"/>
  <c r="Z23" i="44"/>
  <c r="Z24" i="44"/>
  <c r="Z25" i="44"/>
  <c r="Z26" i="44"/>
  <c r="Z27" i="44"/>
  <c r="B29" i="44"/>
  <c r="D29" i="44"/>
  <c r="F29" i="44"/>
  <c r="H29" i="44"/>
  <c r="J29" i="44"/>
  <c r="L29" i="44"/>
  <c r="N29" i="44"/>
  <c r="P29" i="44"/>
  <c r="R29" i="44"/>
  <c r="T29" i="44"/>
  <c r="V29" i="44"/>
  <c r="X29" i="44"/>
  <c r="Z32" i="44"/>
  <c r="Z33" i="44" s="1"/>
  <c r="B33" i="44"/>
  <c r="D33" i="44"/>
  <c r="F33" i="44"/>
  <c r="H33" i="44"/>
  <c r="J33" i="44"/>
  <c r="L33" i="44"/>
  <c r="N33" i="44"/>
  <c r="P33" i="44"/>
  <c r="R33" i="44"/>
  <c r="T33" i="44"/>
  <c r="V33" i="44"/>
  <c r="X33" i="44"/>
  <c r="V35" i="44" l="1"/>
  <c r="V37" i="44" s="1"/>
  <c r="F35" i="44"/>
  <c r="R35" i="44"/>
  <c r="R37" i="44" s="1"/>
  <c r="J35" i="44"/>
  <c r="B35" i="44"/>
  <c r="B37" i="44" s="1"/>
  <c r="D12" i="44" s="1"/>
  <c r="N35" i="44"/>
  <c r="Z29" i="44"/>
  <c r="Z35" i="44" s="1"/>
  <c r="Z37" i="44" s="1"/>
  <c r="T35" i="44"/>
  <c r="T37" i="44" s="1"/>
  <c r="L35" i="44"/>
  <c r="D35" i="44"/>
  <c r="X35" i="44"/>
  <c r="X37" i="44" s="1"/>
  <c r="P35" i="44"/>
  <c r="H35" i="44"/>
  <c r="D37" i="44" l="1"/>
  <c r="F12" i="44" s="1"/>
  <c r="F37" i="44" s="1"/>
  <c r="H12" i="44" s="1"/>
  <c r="H37" i="44" s="1"/>
  <c r="J12" i="44" s="1"/>
  <c r="J37" i="44" s="1"/>
  <c r="L12" i="44" s="1"/>
  <c r="L37" i="44" s="1"/>
  <c r="N12" i="44" s="1"/>
  <c r="N37" i="44" s="1"/>
  <c r="P12" i="44" s="1"/>
  <c r="P37" i="44" s="1"/>
  <c r="K96" i="23" l="1"/>
  <c r="K84" i="23"/>
  <c r="K83" i="23"/>
  <c r="K82" i="23"/>
  <c r="K81" i="23"/>
  <c r="K78" i="23"/>
  <c r="K77" i="23"/>
  <c r="K76" i="23"/>
  <c r="K75" i="23"/>
  <c r="K74" i="23"/>
  <c r="K73" i="23"/>
  <c r="K71" i="23"/>
  <c r="K70" i="23"/>
  <c r="K69" i="23"/>
  <c r="K63" i="23"/>
  <c r="K60" i="23"/>
  <c r="K59" i="23"/>
  <c r="K58" i="23"/>
  <c r="K57" i="23"/>
  <c r="K55" i="23"/>
  <c r="K54" i="23"/>
  <c r="K52" i="23"/>
  <c r="K51" i="23"/>
  <c r="K50" i="23"/>
  <c r="K49" i="23"/>
  <c r="K48" i="23"/>
  <c r="K46" i="23"/>
  <c r="K45" i="23"/>
  <c r="K44" i="23"/>
  <c r="K43" i="23"/>
  <c r="K42" i="23"/>
  <c r="K41" i="23"/>
  <c r="K39" i="23"/>
  <c r="K37" i="23"/>
  <c r="K30" i="23"/>
  <c r="K31" i="23" s="1"/>
  <c r="K27" i="23"/>
  <c r="K26" i="23"/>
  <c r="K25" i="23"/>
  <c r="K22" i="23"/>
  <c r="K21" i="23"/>
  <c r="K20" i="23"/>
  <c r="AF64" i="25"/>
  <c r="K23" i="23" l="1"/>
  <c r="K28" i="23"/>
  <c r="K61" i="23"/>
  <c r="K79" i="23"/>
  <c r="K86" i="23" s="1"/>
  <c r="K33" i="23" l="1"/>
  <c r="K65" i="23" s="1"/>
  <c r="K89" i="23" s="1"/>
  <c r="F17" i="41" l="1"/>
  <c r="E47" i="40"/>
  <c r="E38" i="40"/>
  <c r="E28" i="40"/>
  <c r="E22" i="40"/>
  <c r="E30" i="40" l="1"/>
  <c r="E50" i="40" l="1"/>
  <c r="E52" i="40" s="1"/>
  <c r="G12" i="40" s="1"/>
  <c r="G52" i="40" s="1"/>
  <c r="AF44" i="19"/>
  <c r="I133" i="17"/>
  <c r="I125" i="17"/>
  <c r="I124" i="17"/>
  <c r="I122" i="17"/>
  <c r="I121" i="17"/>
  <c r="I120" i="17"/>
  <c r="I117" i="17"/>
  <c r="I116" i="17"/>
  <c r="I115" i="17"/>
  <c r="I114" i="17"/>
  <c r="I113" i="17"/>
  <c r="I112" i="17"/>
  <c r="I110" i="17"/>
  <c r="I109" i="17"/>
  <c r="I108" i="17"/>
  <c r="I102" i="17"/>
  <c r="I99" i="17"/>
  <c r="I98" i="17"/>
  <c r="I97" i="17"/>
  <c r="I96" i="17"/>
  <c r="I95" i="17"/>
  <c r="I94" i="17"/>
  <c r="I93" i="17"/>
  <c r="I92" i="17"/>
  <c r="I91" i="17"/>
  <c r="I90" i="17"/>
  <c r="I89" i="17"/>
  <c r="I87" i="17"/>
  <c r="I86" i="17"/>
  <c r="I85" i="17"/>
  <c r="I84" i="17"/>
  <c r="I83" i="17"/>
  <c r="I82" i="17"/>
  <c r="I80" i="17"/>
  <c r="I79" i="17"/>
  <c r="I78" i="17"/>
  <c r="I77" i="17"/>
  <c r="I75" i="17"/>
  <c r="I74" i="17"/>
  <c r="I73" i="17"/>
  <c r="I72" i="17"/>
  <c r="I71" i="17"/>
  <c r="I70" i="17"/>
  <c r="I68" i="17"/>
  <c r="I66" i="17"/>
  <c r="I65" i="17"/>
  <c r="I64" i="17"/>
  <c r="I63" i="17"/>
  <c r="I61" i="17"/>
  <c r="I60" i="17"/>
  <c r="I53" i="17"/>
  <c r="I52" i="17"/>
  <c r="I51" i="17"/>
  <c r="I50" i="17"/>
  <c r="I49" i="17"/>
  <c r="I48" i="17"/>
  <c r="I45" i="17"/>
  <c r="I44" i="17"/>
  <c r="I43" i="17"/>
  <c r="I42" i="17"/>
  <c r="I41" i="17"/>
  <c r="I38" i="17"/>
  <c r="I37" i="17"/>
  <c r="I36" i="17"/>
  <c r="I35" i="17"/>
  <c r="I34" i="17"/>
  <c r="I33" i="17"/>
  <c r="I32" i="17"/>
  <c r="I29" i="17"/>
  <c r="I28" i="17"/>
  <c r="I27" i="17"/>
  <c r="I25" i="17"/>
  <c r="I24" i="17"/>
  <c r="I23" i="17"/>
  <c r="I22" i="17"/>
  <c r="I21" i="17"/>
  <c r="I134" i="16"/>
  <c r="I125" i="16"/>
  <c r="I124" i="16"/>
  <c r="I122" i="16"/>
  <c r="I121" i="16"/>
  <c r="I120" i="16"/>
  <c r="I117" i="16"/>
  <c r="I116" i="16"/>
  <c r="I115" i="16"/>
  <c r="I114" i="16"/>
  <c r="I113" i="16"/>
  <c r="I112" i="16"/>
  <c r="I110" i="16"/>
  <c r="I109" i="16"/>
  <c r="I108" i="16"/>
  <c r="I102" i="16"/>
  <c r="I99" i="16"/>
  <c r="I98" i="16"/>
  <c r="I97" i="16"/>
  <c r="I96" i="16"/>
  <c r="I95" i="16"/>
  <c r="I94" i="16"/>
  <c r="I93" i="16"/>
  <c r="I92" i="16"/>
  <c r="I91" i="16"/>
  <c r="I90" i="16"/>
  <c r="I89" i="16"/>
  <c r="I87" i="16"/>
  <c r="I86" i="16"/>
  <c r="I85" i="16"/>
  <c r="I84" i="16"/>
  <c r="I83" i="16"/>
  <c r="I82" i="16"/>
  <c r="I80" i="16"/>
  <c r="I79" i="16"/>
  <c r="I78" i="16"/>
  <c r="I77" i="16"/>
  <c r="I75" i="16"/>
  <c r="I74" i="16"/>
  <c r="I73" i="16"/>
  <c r="I72" i="16"/>
  <c r="I71" i="16"/>
  <c r="I70" i="16"/>
  <c r="I68" i="16"/>
  <c r="I66" i="16"/>
  <c r="I65" i="16"/>
  <c r="I64" i="16"/>
  <c r="I63" i="16"/>
  <c r="I61" i="16"/>
  <c r="I60" i="16"/>
  <c r="I53" i="16"/>
  <c r="I52" i="16"/>
  <c r="I51" i="16"/>
  <c r="I50" i="16"/>
  <c r="I49" i="16"/>
  <c r="I45" i="16"/>
  <c r="I44" i="16"/>
  <c r="I43" i="16"/>
  <c r="I42" i="16"/>
  <c r="I41" i="16"/>
  <c r="I38" i="16"/>
  <c r="I37" i="16"/>
  <c r="I36" i="16"/>
  <c r="I35" i="16"/>
  <c r="I34" i="16"/>
  <c r="I33" i="16"/>
  <c r="I32" i="16"/>
  <c r="I29" i="16"/>
  <c r="I28" i="16"/>
  <c r="I27" i="16"/>
  <c r="I25" i="16"/>
  <c r="I24" i="16"/>
  <c r="I23" i="16"/>
  <c r="I22" i="16"/>
  <c r="I21" i="16"/>
  <c r="G23" i="26" l="1"/>
  <c r="G94" i="17" l="1"/>
  <c r="K150" i="30"/>
  <c r="I151" i="30"/>
  <c r="G151" i="30"/>
  <c r="E151" i="30"/>
  <c r="C151" i="30"/>
  <c r="I57" i="23" l="1"/>
  <c r="G57" i="23"/>
  <c r="E57" i="23"/>
  <c r="AD57" i="23"/>
  <c r="AJ57" i="23" s="1"/>
  <c r="AL57" i="23" s="1"/>
  <c r="AL56" i="24" l="1"/>
  <c r="AN56" i="24" s="1"/>
  <c r="I96" i="23" l="1"/>
  <c r="I84" i="23"/>
  <c r="I83" i="23"/>
  <c r="I82" i="23"/>
  <c r="I81" i="23"/>
  <c r="I78" i="23"/>
  <c r="I77" i="23"/>
  <c r="I76" i="23"/>
  <c r="I75" i="23"/>
  <c r="I74" i="23"/>
  <c r="I73" i="23"/>
  <c r="I71" i="23"/>
  <c r="I70" i="23"/>
  <c r="I69" i="23"/>
  <c r="I63" i="23"/>
  <c r="I60" i="23"/>
  <c r="I59" i="23"/>
  <c r="I58" i="23"/>
  <c r="I55" i="23"/>
  <c r="I54" i="23"/>
  <c r="I52" i="23"/>
  <c r="I51" i="23"/>
  <c r="I50" i="23"/>
  <c r="I49" i="23"/>
  <c r="I48" i="23"/>
  <c r="I46" i="23"/>
  <c r="I45" i="23"/>
  <c r="I44" i="23"/>
  <c r="I43" i="23"/>
  <c r="I42" i="23"/>
  <c r="I41" i="23"/>
  <c r="I39" i="23"/>
  <c r="I37" i="23"/>
  <c r="I30" i="23"/>
  <c r="I31" i="23" s="1"/>
  <c r="I27" i="23"/>
  <c r="I26" i="23"/>
  <c r="I25" i="23"/>
  <c r="I22" i="23"/>
  <c r="I21" i="23"/>
  <c r="I20" i="23"/>
  <c r="H77" i="19"/>
  <c r="AE41" i="21"/>
  <c r="AE49" i="21"/>
  <c r="AK49" i="21" s="1"/>
  <c r="AM49" i="21" s="1"/>
  <c r="H52" i="21"/>
  <c r="I23" i="23" l="1"/>
  <c r="I79" i="23"/>
  <c r="I86" i="23" s="1"/>
  <c r="I61" i="23"/>
  <c r="I28" i="23"/>
  <c r="H105" i="19"/>
  <c r="H104" i="19"/>
  <c r="H103" i="19"/>
  <c r="H102" i="19"/>
  <c r="H99" i="19"/>
  <c r="H98" i="19"/>
  <c r="H97" i="19"/>
  <c r="H96" i="19"/>
  <c r="H95" i="19"/>
  <c r="H94" i="19"/>
  <c r="H92" i="19"/>
  <c r="H91" i="19"/>
  <c r="H84" i="19"/>
  <c r="H81" i="19"/>
  <c r="H80" i="19"/>
  <c r="H79" i="19"/>
  <c r="H78" i="19"/>
  <c r="H76" i="19"/>
  <c r="G94" i="16" s="1"/>
  <c r="H75" i="19"/>
  <c r="H74" i="19"/>
  <c r="H73" i="19"/>
  <c r="H72" i="19"/>
  <c r="H71" i="19"/>
  <c r="H69" i="19"/>
  <c r="H68" i="19"/>
  <c r="H67" i="19"/>
  <c r="H66" i="19"/>
  <c r="H65" i="19"/>
  <c r="H64" i="19"/>
  <c r="H62" i="19"/>
  <c r="H61" i="19"/>
  <c r="H60" i="19"/>
  <c r="H59" i="19"/>
  <c r="H57" i="19"/>
  <c r="H56" i="19"/>
  <c r="H55" i="19"/>
  <c r="H54" i="19"/>
  <c r="H53" i="19"/>
  <c r="H52" i="19"/>
  <c r="H49" i="19"/>
  <c r="H48" i="19"/>
  <c r="H47" i="19"/>
  <c r="H46" i="19"/>
  <c r="H44" i="19"/>
  <c r="H18" i="19"/>
  <c r="H37" i="19"/>
  <c r="H34" i="19"/>
  <c r="H33" i="19"/>
  <c r="H32" i="19"/>
  <c r="H31" i="19"/>
  <c r="H30" i="19"/>
  <c r="H27" i="19"/>
  <c r="H26" i="19"/>
  <c r="H25" i="19"/>
  <c r="H24" i="19"/>
  <c r="H23" i="19"/>
  <c r="H22" i="19"/>
  <c r="H21" i="19"/>
  <c r="I33" i="23" l="1"/>
  <c r="I65" i="23" s="1"/>
  <c r="I89" i="23" s="1"/>
  <c r="G133" i="17" l="1"/>
  <c r="G125" i="17"/>
  <c r="G124" i="17"/>
  <c r="G122" i="17"/>
  <c r="G121" i="17"/>
  <c r="G120" i="17"/>
  <c r="G117" i="17"/>
  <c r="G116" i="17"/>
  <c r="G115" i="17"/>
  <c r="G114" i="17"/>
  <c r="G113" i="17"/>
  <c r="G112" i="17"/>
  <c r="G110" i="17"/>
  <c r="G109" i="17"/>
  <c r="G108" i="17"/>
  <c r="G102" i="17"/>
  <c r="G99" i="17"/>
  <c r="G98" i="17"/>
  <c r="G97" i="17"/>
  <c r="G96" i="17"/>
  <c r="G95" i="17"/>
  <c r="G93" i="17"/>
  <c r="G92" i="17"/>
  <c r="G91" i="17"/>
  <c r="G90" i="17"/>
  <c r="G89" i="17"/>
  <c r="G87" i="17"/>
  <c r="G86" i="17"/>
  <c r="G85" i="17"/>
  <c r="G84" i="17"/>
  <c r="G83" i="17"/>
  <c r="G82" i="17"/>
  <c r="G80" i="17"/>
  <c r="G79" i="17"/>
  <c r="G78" i="17"/>
  <c r="G77" i="17"/>
  <c r="G75" i="17"/>
  <c r="G74" i="17"/>
  <c r="G73" i="17"/>
  <c r="G72" i="17"/>
  <c r="G71" i="17"/>
  <c r="G70" i="17"/>
  <c r="G68" i="17"/>
  <c r="G66" i="17"/>
  <c r="G65" i="17"/>
  <c r="G64" i="17"/>
  <c r="G63" i="17"/>
  <c r="G61" i="17"/>
  <c r="G60" i="17"/>
  <c r="G53" i="17"/>
  <c r="G52" i="17"/>
  <c r="G51" i="17"/>
  <c r="G50" i="17"/>
  <c r="G49" i="17"/>
  <c r="G48" i="17"/>
  <c r="G45" i="17"/>
  <c r="G44" i="17"/>
  <c r="G43" i="17"/>
  <c r="G42" i="17"/>
  <c r="G41" i="17"/>
  <c r="G38" i="17"/>
  <c r="G37" i="17"/>
  <c r="G36" i="17"/>
  <c r="G35" i="17"/>
  <c r="G34" i="17"/>
  <c r="G33" i="17"/>
  <c r="G32" i="17"/>
  <c r="G29" i="17"/>
  <c r="G28" i="17"/>
  <c r="G27" i="17"/>
  <c r="G25" i="17"/>
  <c r="G24" i="17"/>
  <c r="G23" i="17"/>
  <c r="G22" i="17"/>
  <c r="G21" i="17"/>
  <c r="G134" i="16"/>
  <c r="G125" i="16"/>
  <c r="G124" i="16"/>
  <c r="G122" i="16"/>
  <c r="G121" i="16"/>
  <c r="G120" i="16"/>
  <c r="G117" i="16"/>
  <c r="G116" i="16"/>
  <c r="G115" i="16"/>
  <c r="G114" i="16"/>
  <c r="G113" i="16"/>
  <c r="G112" i="16"/>
  <c r="G110" i="16"/>
  <c r="G109" i="16"/>
  <c r="G108" i="16"/>
  <c r="G102" i="16"/>
  <c r="G99" i="16"/>
  <c r="G98" i="16"/>
  <c r="G97" i="16"/>
  <c r="G96" i="16"/>
  <c r="G95" i="16"/>
  <c r="G93" i="16"/>
  <c r="G92" i="16"/>
  <c r="G91" i="16"/>
  <c r="G90" i="16"/>
  <c r="G89" i="16"/>
  <c r="G87" i="16"/>
  <c r="G86" i="16"/>
  <c r="G85" i="16"/>
  <c r="G84" i="16"/>
  <c r="G83" i="16"/>
  <c r="G82" i="16"/>
  <c r="G80" i="16"/>
  <c r="G79" i="16"/>
  <c r="G78" i="16"/>
  <c r="G77" i="16"/>
  <c r="G75" i="16"/>
  <c r="G74" i="16"/>
  <c r="G73" i="16"/>
  <c r="G72" i="16"/>
  <c r="G71" i="16"/>
  <c r="G70" i="16"/>
  <c r="G68" i="16"/>
  <c r="G66" i="16"/>
  <c r="G65" i="16"/>
  <c r="G64" i="16"/>
  <c r="G63" i="16"/>
  <c r="G61" i="16"/>
  <c r="G60" i="16"/>
  <c r="G53" i="16"/>
  <c r="G52" i="16"/>
  <c r="G51" i="16"/>
  <c r="G50" i="16"/>
  <c r="G49" i="16"/>
  <c r="G45" i="16"/>
  <c r="G44" i="16"/>
  <c r="G43" i="16"/>
  <c r="G42" i="16"/>
  <c r="G41" i="16"/>
  <c r="G38" i="16"/>
  <c r="G37" i="16"/>
  <c r="G36" i="16"/>
  <c r="G35" i="16"/>
  <c r="G34" i="16"/>
  <c r="G33" i="16"/>
  <c r="G32" i="16"/>
  <c r="G29" i="16"/>
  <c r="G28" i="16"/>
  <c r="G27" i="16"/>
  <c r="G25" i="16"/>
  <c r="G24" i="16"/>
  <c r="G23" i="16"/>
  <c r="G22" i="16"/>
  <c r="G21" i="16"/>
  <c r="AB32" i="26" l="1"/>
  <c r="F44" i="41" l="1"/>
  <c r="F37" i="41"/>
  <c r="F23" i="41"/>
  <c r="F25" i="41" s="1"/>
  <c r="F74" i="19"/>
  <c r="F47" i="41" l="1"/>
  <c r="G41" i="10" l="1"/>
  <c r="K41" i="10" s="1"/>
  <c r="AA16" i="22" l="1"/>
  <c r="AA63" i="22"/>
  <c r="AD65" i="22" l="1"/>
  <c r="AD55" i="22"/>
  <c r="AD23" i="22"/>
  <c r="AD20" i="22"/>
  <c r="AD43" i="22"/>
  <c r="AD25" i="22" l="1"/>
  <c r="F54" i="19"/>
  <c r="F105" i="19"/>
  <c r="F104" i="19"/>
  <c r="F103" i="19"/>
  <c r="F102" i="19"/>
  <c r="F99" i="19"/>
  <c r="F98" i="19"/>
  <c r="F97" i="19"/>
  <c r="F96" i="19"/>
  <c r="F95" i="19"/>
  <c r="F94" i="19"/>
  <c r="F92" i="19"/>
  <c r="F91" i="19"/>
  <c r="F90" i="19"/>
  <c r="F84" i="19"/>
  <c r="F81" i="19"/>
  <c r="F80" i="19"/>
  <c r="F79" i="19"/>
  <c r="F78" i="19"/>
  <c r="F77" i="19"/>
  <c r="F76" i="19"/>
  <c r="F75" i="19"/>
  <c r="F73" i="19"/>
  <c r="F72" i="19"/>
  <c r="F71" i="19"/>
  <c r="F69" i="19"/>
  <c r="F68" i="19"/>
  <c r="F67" i="19"/>
  <c r="F66" i="19"/>
  <c r="F65" i="19"/>
  <c r="F64" i="19"/>
  <c r="F62" i="19"/>
  <c r="F61" i="19"/>
  <c r="F60" i="19"/>
  <c r="F59" i="19"/>
  <c r="F57" i="19"/>
  <c r="F56" i="19"/>
  <c r="F55" i="19"/>
  <c r="F53" i="19"/>
  <c r="F52" i="19"/>
  <c r="F49" i="19"/>
  <c r="F48" i="19"/>
  <c r="F47" i="19"/>
  <c r="F46" i="19"/>
  <c r="F44" i="19"/>
  <c r="F37" i="19"/>
  <c r="F34" i="19"/>
  <c r="F33" i="19"/>
  <c r="F32" i="19"/>
  <c r="F31" i="19"/>
  <c r="F30" i="19"/>
  <c r="F27" i="19"/>
  <c r="F26" i="19"/>
  <c r="F25" i="19"/>
  <c r="F24" i="19"/>
  <c r="F23" i="19"/>
  <c r="F22" i="19"/>
  <c r="F21" i="19"/>
  <c r="F18" i="19"/>
  <c r="AD47" i="22" l="1"/>
  <c r="I63" i="34"/>
  <c r="G63" i="34"/>
  <c r="E63" i="34"/>
  <c r="C63" i="34"/>
  <c r="AD58" i="22" l="1"/>
  <c r="M61" i="34"/>
  <c r="M60" i="34"/>
  <c r="M57" i="34"/>
  <c r="M56" i="34"/>
  <c r="M53" i="34"/>
  <c r="M52" i="34"/>
  <c r="M51" i="34"/>
  <c r="M50" i="34"/>
  <c r="M49" i="34"/>
  <c r="M48" i="34"/>
  <c r="M45" i="34"/>
  <c r="M43" i="34"/>
  <c r="M41" i="34"/>
  <c r="M39" i="34"/>
  <c r="M38" i="34"/>
  <c r="M35" i="34"/>
  <c r="M34" i="34"/>
  <c r="M31" i="34"/>
  <c r="M30" i="34"/>
  <c r="M29" i="34"/>
  <c r="M26" i="34"/>
  <c r="M23" i="34"/>
  <c r="M22" i="34"/>
  <c r="M21" i="34"/>
  <c r="M20" i="34"/>
  <c r="M19" i="34"/>
  <c r="M16" i="34"/>
  <c r="I12" i="34"/>
  <c r="Q12" i="34"/>
  <c r="K12" i="34"/>
  <c r="M12" i="34" s="1"/>
  <c r="S12" i="34" s="1"/>
  <c r="K11" i="34"/>
  <c r="S11" i="34" s="1"/>
  <c r="AD70" i="22" l="1"/>
  <c r="M63" i="34"/>
  <c r="AD73" i="22" l="1"/>
  <c r="G63" i="23"/>
  <c r="G84" i="23"/>
  <c r="G83" i="23"/>
  <c r="G82" i="23"/>
  <c r="G81" i="23"/>
  <c r="G78" i="23"/>
  <c r="G77" i="23"/>
  <c r="G76" i="23"/>
  <c r="G75" i="23"/>
  <c r="G74" i="23"/>
  <c r="G73" i="23"/>
  <c r="G71" i="23"/>
  <c r="G70" i="23"/>
  <c r="G69" i="23"/>
  <c r="G60" i="23"/>
  <c r="G59" i="23"/>
  <c r="G58" i="23"/>
  <c r="G55" i="23"/>
  <c r="G54" i="23"/>
  <c r="G52" i="23"/>
  <c r="G51" i="23"/>
  <c r="G50" i="23"/>
  <c r="G49" i="23"/>
  <c r="G48" i="23"/>
  <c r="G46" i="23"/>
  <c r="G45" i="23"/>
  <c r="G44" i="23"/>
  <c r="G43" i="23"/>
  <c r="G42" i="23"/>
  <c r="G41" i="23"/>
  <c r="G39" i="23"/>
  <c r="G37" i="23"/>
  <c r="G30" i="23"/>
  <c r="G27" i="23"/>
  <c r="G26" i="23"/>
  <c r="G25" i="23"/>
  <c r="G22" i="23"/>
  <c r="G21" i="23"/>
  <c r="G20" i="23"/>
  <c r="D59" i="3" l="1"/>
  <c r="E133" i="17" l="1"/>
  <c r="E125" i="17"/>
  <c r="E124" i="17"/>
  <c r="E122" i="17"/>
  <c r="E121" i="17"/>
  <c r="E120" i="17"/>
  <c r="E117" i="17"/>
  <c r="E116" i="17"/>
  <c r="E115" i="17"/>
  <c r="E114" i="17"/>
  <c r="E113" i="17"/>
  <c r="E112" i="17"/>
  <c r="E110" i="17"/>
  <c r="E109" i="17"/>
  <c r="E108" i="17"/>
  <c r="E102" i="17"/>
  <c r="E99" i="17"/>
  <c r="E98" i="17"/>
  <c r="E97" i="17"/>
  <c r="E96" i="17"/>
  <c r="E95" i="17"/>
  <c r="E94" i="17"/>
  <c r="E93" i="17"/>
  <c r="E92" i="17"/>
  <c r="E91" i="17"/>
  <c r="E90" i="17"/>
  <c r="E89" i="17"/>
  <c r="E87" i="17"/>
  <c r="E86" i="17"/>
  <c r="E85" i="17"/>
  <c r="E84" i="17"/>
  <c r="E83" i="17"/>
  <c r="E82" i="17"/>
  <c r="E80" i="17"/>
  <c r="E79" i="17"/>
  <c r="E78" i="17"/>
  <c r="E77" i="17"/>
  <c r="E75" i="17"/>
  <c r="E74" i="17"/>
  <c r="E73" i="17"/>
  <c r="E72" i="17"/>
  <c r="E71" i="17"/>
  <c r="E70" i="17"/>
  <c r="E68" i="17"/>
  <c r="E66" i="17"/>
  <c r="E65" i="17"/>
  <c r="E64" i="17"/>
  <c r="E63" i="17"/>
  <c r="E61" i="17"/>
  <c r="E60" i="17"/>
  <c r="E53" i="17"/>
  <c r="E52" i="17"/>
  <c r="E51" i="17"/>
  <c r="E50" i="17"/>
  <c r="E49" i="17"/>
  <c r="E48" i="17"/>
  <c r="E45" i="17"/>
  <c r="E44" i="17"/>
  <c r="E43" i="17"/>
  <c r="E42" i="17"/>
  <c r="E41" i="17"/>
  <c r="E38" i="17"/>
  <c r="E37" i="17"/>
  <c r="E36" i="17"/>
  <c r="E35" i="17"/>
  <c r="E34" i="17"/>
  <c r="E33" i="17"/>
  <c r="E32" i="17"/>
  <c r="E29" i="17"/>
  <c r="E28" i="17"/>
  <c r="E27" i="17"/>
  <c r="E25" i="17"/>
  <c r="E24" i="17"/>
  <c r="E23" i="17"/>
  <c r="E22" i="17"/>
  <c r="E21" i="17"/>
  <c r="E134" i="16"/>
  <c r="E125" i="16"/>
  <c r="E124" i="16"/>
  <c r="E122" i="16"/>
  <c r="E121" i="16"/>
  <c r="E120" i="16"/>
  <c r="E117" i="16"/>
  <c r="E116" i="16"/>
  <c r="E115" i="16"/>
  <c r="E114" i="16"/>
  <c r="E113" i="16"/>
  <c r="E112" i="16"/>
  <c r="E110" i="16"/>
  <c r="E109" i="16"/>
  <c r="E108" i="16"/>
  <c r="E102" i="16"/>
  <c r="E99" i="16"/>
  <c r="E98" i="16"/>
  <c r="E97" i="16"/>
  <c r="E96" i="16"/>
  <c r="E95" i="16"/>
  <c r="E94" i="16"/>
  <c r="E93" i="16"/>
  <c r="E92" i="16"/>
  <c r="E91" i="16"/>
  <c r="E90" i="16"/>
  <c r="E89" i="16"/>
  <c r="E87" i="16"/>
  <c r="E86" i="16"/>
  <c r="E85" i="16"/>
  <c r="E84" i="16"/>
  <c r="E83" i="16"/>
  <c r="E82" i="16"/>
  <c r="E80" i="16"/>
  <c r="E79" i="16"/>
  <c r="E78" i="16"/>
  <c r="E77" i="16"/>
  <c r="E75" i="16"/>
  <c r="E74" i="16"/>
  <c r="E73" i="16"/>
  <c r="E72" i="16"/>
  <c r="E71" i="16"/>
  <c r="E70" i="16"/>
  <c r="E68" i="16"/>
  <c r="E66" i="16"/>
  <c r="E65" i="16"/>
  <c r="E64" i="16"/>
  <c r="E63" i="16"/>
  <c r="E61" i="16"/>
  <c r="E60" i="16"/>
  <c r="E53" i="16"/>
  <c r="E52" i="16"/>
  <c r="E51" i="16"/>
  <c r="E50" i="16"/>
  <c r="E49" i="16"/>
  <c r="E45" i="16"/>
  <c r="E44" i="16"/>
  <c r="E43" i="16"/>
  <c r="E42" i="16"/>
  <c r="E41" i="16"/>
  <c r="E38" i="16"/>
  <c r="E37" i="16"/>
  <c r="E36" i="16"/>
  <c r="E35" i="16"/>
  <c r="E34" i="16"/>
  <c r="E33" i="16"/>
  <c r="E32" i="16"/>
  <c r="E29" i="16"/>
  <c r="E28" i="16"/>
  <c r="E27" i="16"/>
  <c r="E25" i="16"/>
  <c r="E24" i="16"/>
  <c r="E23" i="16"/>
  <c r="E22" i="16"/>
  <c r="E21" i="16"/>
  <c r="D24" i="18" l="1"/>
  <c r="D28" i="18" s="1"/>
  <c r="A44" i="11"/>
  <c r="A44" i="10" s="1"/>
  <c r="P27" i="11" l="1"/>
  <c r="N27" i="11"/>
  <c r="E27" i="11"/>
  <c r="C27" i="11"/>
  <c r="C35" i="11"/>
  <c r="E35" i="11"/>
  <c r="E39" i="11" s="1"/>
  <c r="N35" i="11"/>
  <c r="P35" i="11"/>
  <c r="AE112" i="20" l="1"/>
  <c r="D37" i="18" l="1"/>
  <c r="C20" i="10" l="1"/>
  <c r="C20" i="7" s="1"/>
  <c r="C21" i="10"/>
  <c r="C22" i="10"/>
  <c r="C23" i="10"/>
  <c r="C24" i="10"/>
  <c r="C25" i="10"/>
  <c r="C26" i="10"/>
  <c r="C30" i="10"/>
  <c r="C31" i="10"/>
  <c r="C32" i="10"/>
  <c r="C34" i="10"/>
  <c r="E20" i="10"/>
  <c r="E22" i="10"/>
  <c r="E24" i="10"/>
  <c r="E25" i="10"/>
  <c r="E26" i="10"/>
  <c r="E30" i="10"/>
  <c r="E31" i="10"/>
  <c r="E32" i="10"/>
  <c r="E34" i="10"/>
  <c r="P61" i="4"/>
  <c r="N61" i="4"/>
  <c r="D17" i="29" l="1"/>
  <c r="AA39" i="27" l="1"/>
  <c r="G39" i="13"/>
  <c r="K39" i="13" s="1"/>
  <c r="X65" i="22" l="1"/>
  <c r="X55" i="22"/>
  <c r="X43" i="22"/>
  <c r="X23" i="22"/>
  <c r="X20" i="22"/>
  <c r="V65" i="22"/>
  <c r="V55" i="22"/>
  <c r="V43" i="22"/>
  <c r="V23" i="22"/>
  <c r="V20" i="22"/>
  <c r="T65" i="22"/>
  <c r="T55" i="22"/>
  <c r="T43" i="22"/>
  <c r="T23" i="22"/>
  <c r="T20" i="22"/>
  <c r="R65" i="22"/>
  <c r="R55" i="22"/>
  <c r="R43" i="22"/>
  <c r="L18" i="2" s="1"/>
  <c r="R23" i="22"/>
  <c r="L17" i="2" s="1"/>
  <c r="R20" i="22"/>
  <c r="L15" i="2" s="1"/>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N12" i="40" l="1"/>
  <c r="AF73" i="24" l="1"/>
  <c r="E40" i="7" l="1"/>
  <c r="C40" i="7"/>
  <c r="G25" i="14" l="1"/>
  <c r="G40" i="7" l="1"/>
  <c r="K25" i="14"/>
  <c r="AA23" i="23"/>
  <c r="AA28" i="23"/>
  <c r="Y137" i="16"/>
  <c r="AA31" i="23"/>
  <c r="AA79" i="23"/>
  <c r="AA86" i="23" s="1"/>
  <c r="AA96" i="23"/>
  <c r="AA61" i="23"/>
  <c r="K40" i="7" l="1"/>
  <c r="I40" i="7"/>
  <c r="AA33" i="23"/>
  <c r="AA65" i="23" s="1"/>
  <c r="AA89" i="23" s="1"/>
  <c r="AA101" i="23" s="1"/>
  <c r="D51" i="2" l="1"/>
  <c r="K132" i="30"/>
  <c r="G96" i="30" l="1"/>
  <c r="K85" i="30" l="1"/>
  <c r="AE56" i="20" l="1"/>
  <c r="AG42" i="23" l="1"/>
  <c r="AL42" i="23" s="1"/>
  <c r="E42" i="23"/>
  <c r="AF23" i="25"/>
  <c r="AL23" i="25" s="1"/>
  <c r="AF41" i="24"/>
  <c r="AL41" i="24" s="1"/>
  <c r="AD42" i="23" l="1"/>
  <c r="AJ42" i="23" s="1"/>
  <c r="K114" i="30"/>
  <c r="M192" i="43"/>
  <c r="M190" i="43"/>
  <c r="M183" i="43"/>
  <c r="M246" i="43"/>
  <c r="M245" i="43"/>
  <c r="M240" i="43"/>
  <c r="M239" i="43"/>
  <c r="M238" i="43"/>
  <c r="M233" i="43"/>
  <c r="M232" i="43"/>
  <c r="M231" i="43"/>
  <c r="M225" i="43"/>
  <c r="M224" i="43"/>
  <c r="M223" i="43"/>
  <c r="M217" i="43"/>
  <c r="M216" i="43"/>
  <c r="M215" i="43"/>
  <c r="M209" i="43"/>
  <c r="M208" i="43"/>
  <c r="M207" i="43"/>
  <c r="M244" i="43"/>
  <c r="M243" i="43"/>
  <c r="M241" i="43"/>
  <c r="M237" i="43"/>
  <c r="M234" i="43"/>
  <c r="M230" i="43"/>
  <c r="M229" i="43"/>
  <c r="M226" i="43"/>
  <c r="M222" i="43"/>
  <c r="M221" i="43"/>
  <c r="M218" i="43"/>
  <c r="M214" i="43"/>
  <c r="M213" i="43"/>
  <c r="M210" i="43"/>
  <c r="M206" i="43"/>
  <c r="M205" i="43"/>
  <c r="M247" i="43"/>
  <c r="M242" i="43"/>
  <c r="M236" i="43"/>
  <c r="M235" i="43"/>
  <c r="M228" i="43"/>
  <c r="M227" i="43"/>
  <c r="M220" i="43"/>
  <c r="M219" i="43"/>
  <c r="M212" i="43"/>
  <c r="M211" i="43"/>
  <c r="M191" i="43"/>
  <c r="M189" i="43"/>
  <c r="M188" i="43"/>
  <c r="M187" i="43"/>
  <c r="M186" i="43"/>
  <c r="M185" i="43"/>
  <c r="M184"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T32" i="37" l="1"/>
  <c r="AD41" i="2" l="1"/>
  <c r="AA44" i="3"/>
  <c r="AA36" i="3"/>
  <c r="AF74" i="24" l="1"/>
  <c r="K105" i="30" l="1"/>
  <c r="N61" i="35" l="1"/>
  <c r="F61" i="35"/>
  <c r="E32" i="12" l="1"/>
  <c r="AC84" i="18"/>
  <c r="AI84" i="18" s="1"/>
  <c r="AK84" i="18" s="1"/>
  <c r="AC85" i="18"/>
  <c r="AI85" i="18" s="1"/>
  <c r="AK85" i="18" s="1"/>
  <c r="AE98" i="17"/>
  <c r="AE64" i="17"/>
  <c r="AA42" i="22" l="1"/>
  <c r="AG42" i="22" s="1"/>
  <c r="AI42" i="22" s="1"/>
  <c r="D43" i="22"/>
  <c r="B43" i="22"/>
  <c r="AA29" i="22"/>
  <c r="AG29" i="22" s="1"/>
  <c r="AI29" i="22" s="1"/>
  <c r="AE94" i="17" l="1"/>
  <c r="AE68" i="21" l="1"/>
  <c r="AC114" i="19" l="1"/>
  <c r="AE21" i="16" l="1"/>
  <c r="Y23" i="3" l="1"/>
  <c r="AG49" i="23" l="1"/>
  <c r="AL49" i="23" s="1"/>
  <c r="E49" i="23"/>
  <c r="AF30" i="25"/>
  <c r="AL30" i="25" s="1"/>
  <c r="F49" i="23"/>
  <c r="AF48" i="24"/>
  <c r="AL48" i="24" s="1"/>
  <c r="AD49" i="23" l="1"/>
  <c r="AJ49" i="23" s="1"/>
  <c r="AC58" i="18"/>
  <c r="K112" i="30" l="1"/>
  <c r="AF114" i="19" l="1"/>
  <c r="AF113" i="19"/>
  <c r="AC70" i="18" l="1"/>
  <c r="K51" i="30"/>
  <c r="R81" i="20" l="1"/>
  <c r="P81" i="20" l="1"/>
  <c r="AF61" i="19"/>
  <c r="AF60" i="19"/>
  <c r="AF59" i="19"/>
  <c r="D61" i="19"/>
  <c r="D60" i="19"/>
  <c r="D59" i="19"/>
  <c r="AJ25" i="23" l="1"/>
  <c r="R52" i="35" l="1"/>
  <c r="V52" i="35" s="1"/>
  <c r="E26" i="12" l="1"/>
  <c r="E36" i="12" s="1"/>
  <c r="C26" i="12"/>
  <c r="AI41" i="25"/>
  <c r="AC41" i="25"/>
  <c r="AA41" i="25"/>
  <c r="Y41" i="25"/>
  <c r="W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U31" i="14" s="1"/>
  <c r="AF63" i="25"/>
  <c r="AF62" i="25"/>
  <c r="AF61" i="25"/>
  <c r="AF58" i="25"/>
  <c r="AN58" i="25" s="1"/>
  <c r="AF57" i="25"/>
  <c r="AF56" i="25"/>
  <c r="AF55" i="25"/>
  <c r="AF54" i="25"/>
  <c r="AF53" i="25"/>
  <c r="AF51" i="25"/>
  <c r="AF50" i="25"/>
  <c r="AF49" i="25"/>
  <c r="AF43" i="25"/>
  <c r="Q24" i="14" s="1"/>
  <c r="U24" i="14" s="1"/>
  <c r="AF40" i="25"/>
  <c r="AF39" i="25"/>
  <c r="AF38" i="25"/>
  <c r="AF36" i="25"/>
  <c r="AF35" i="25"/>
  <c r="AF33" i="25"/>
  <c r="AF32" i="25"/>
  <c r="AF31" i="25"/>
  <c r="AF29" i="25"/>
  <c r="AF27" i="25"/>
  <c r="AF26" i="25"/>
  <c r="AF25" i="25"/>
  <c r="AF24" i="25"/>
  <c r="AF22" i="25"/>
  <c r="AF20" i="25"/>
  <c r="AF18" i="25"/>
  <c r="AF93" i="24"/>
  <c r="G32" i="14" s="1"/>
  <c r="AF92" i="24"/>
  <c r="K26" i="14" s="1"/>
  <c r="AF91" i="24"/>
  <c r="AF83" i="24"/>
  <c r="AF82" i="24"/>
  <c r="AF81" i="24"/>
  <c r="AF80" i="24"/>
  <c r="AF77" i="24"/>
  <c r="AF76" i="24"/>
  <c r="AF75" i="24"/>
  <c r="AF72" i="24"/>
  <c r="AF70" i="24"/>
  <c r="AF69" i="24"/>
  <c r="AF68" i="24"/>
  <c r="AF62" i="24"/>
  <c r="K24" i="14" s="1"/>
  <c r="AF59" i="24"/>
  <c r="AF58" i="24"/>
  <c r="AF57" i="24"/>
  <c r="AF54" i="24"/>
  <c r="AF53" i="24"/>
  <c r="AF45" i="24"/>
  <c r="AF24" i="24"/>
  <c r="AE75" i="21"/>
  <c r="AE74" i="21"/>
  <c r="AE73" i="21"/>
  <c r="AE72" i="21"/>
  <c r="AE69" i="21"/>
  <c r="AE67" i="21"/>
  <c r="AE66" i="21"/>
  <c r="AE64" i="21"/>
  <c r="AE61" i="21"/>
  <c r="AE60" i="21"/>
  <c r="AE54" i="21"/>
  <c r="AM54" i="21" s="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4" i="20"/>
  <c r="AE103" i="20"/>
  <c r="AE102" i="20"/>
  <c r="AE101" i="20"/>
  <c r="AE98" i="20"/>
  <c r="AE97" i="20"/>
  <c r="AE96" i="20"/>
  <c r="AE95" i="20"/>
  <c r="AE94" i="20"/>
  <c r="AE93" i="20"/>
  <c r="AE91" i="20"/>
  <c r="AE90" i="20"/>
  <c r="AE89" i="20"/>
  <c r="AE83" i="20"/>
  <c r="G25" i="11" s="1"/>
  <c r="K25" i="11" s="1"/>
  <c r="AE79" i="20"/>
  <c r="AE78" i="20"/>
  <c r="AE76" i="20"/>
  <c r="AK76" i="20" s="1"/>
  <c r="AM76" i="20" s="1"/>
  <c r="AE75" i="20"/>
  <c r="AE73" i="20"/>
  <c r="AE72" i="20"/>
  <c r="AE71" i="20"/>
  <c r="AE70" i="20"/>
  <c r="AE66" i="20"/>
  <c r="AE64" i="20"/>
  <c r="AK64" i="20" s="1"/>
  <c r="AM64" i="20" s="1"/>
  <c r="AE63" i="20"/>
  <c r="AE61" i="20"/>
  <c r="AE53" i="20"/>
  <c r="AE47" i="20"/>
  <c r="AE45" i="20"/>
  <c r="AE43" i="20"/>
  <c r="AE36" i="20"/>
  <c r="AE33" i="20"/>
  <c r="AE32" i="20"/>
  <c r="AE31" i="20"/>
  <c r="AE30" i="20"/>
  <c r="AE29" i="20"/>
  <c r="AE26" i="20"/>
  <c r="AE25" i="20"/>
  <c r="AE24" i="20"/>
  <c r="AE23" i="20"/>
  <c r="AE22" i="20"/>
  <c r="AE21" i="20"/>
  <c r="AE16" i="20"/>
  <c r="AG54" i="23"/>
  <c r="AL54" i="23" s="1"/>
  <c r="AG50" i="23"/>
  <c r="AG37" i="23"/>
  <c r="Y46" i="17"/>
  <c r="W46" i="17"/>
  <c r="U46" i="17"/>
  <c r="S46" i="17"/>
  <c r="Q46" i="17"/>
  <c r="O46" i="17"/>
  <c r="AE28" i="16"/>
  <c r="C28" i="16"/>
  <c r="AE27" i="17"/>
  <c r="AE28" i="17"/>
  <c r="C28" i="17"/>
  <c r="C27" i="17"/>
  <c r="AE124" i="16"/>
  <c r="AE136" i="17"/>
  <c r="AE74" i="17"/>
  <c r="AE73" i="17"/>
  <c r="AE72" i="17"/>
  <c r="AE71" i="17"/>
  <c r="AE70" i="17"/>
  <c r="AE68" i="17"/>
  <c r="C74" i="17"/>
  <c r="C73" i="17"/>
  <c r="C72" i="17"/>
  <c r="C71" i="17"/>
  <c r="C70" i="17"/>
  <c r="C68" i="17"/>
  <c r="AE68" i="16"/>
  <c r="C68" i="16"/>
  <c r="AA36" i="22"/>
  <c r="AG36" i="22" s="1"/>
  <c r="AA35" i="22"/>
  <c r="AG35" i="22" s="1"/>
  <c r="AA34" i="22"/>
  <c r="AG34" i="22" s="1"/>
  <c r="AA33" i="22"/>
  <c r="AG33" i="22" s="1"/>
  <c r="AA32" i="22"/>
  <c r="AA31" i="22"/>
  <c r="AG31" i="22" s="1"/>
  <c r="AE52" i="17"/>
  <c r="AE51" i="17"/>
  <c r="D18" i="19"/>
  <c r="C27" i="16" s="1"/>
  <c r="N52" i="21"/>
  <c r="N81" i="20"/>
  <c r="AE52" i="16"/>
  <c r="AE50" i="16"/>
  <c r="AE49" i="16"/>
  <c r="A6" i="10"/>
  <c r="C52" i="17"/>
  <c r="C51" i="17"/>
  <c r="C52" i="16"/>
  <c r="C50" i="16"/>
  <c r="C49" i="16"/>
  <c r="AE84" i="21"/>
  <c r="AF81" i="19"/>
  <c r="AF80" i="19"/>
  <c r="AE98" i="16" s="1"/>
  <c r="AF79" i="19"/>
  <c r="AF78" i="19"/>
  <c r="AF77" i="19"/>
  <c r="AF76" i="19"/>
  <c r="AE94" i="16" s="1"/>
  <c r="AF75" i="19"/>
  <c r="AE93" i="16" s="1"/>
  <c r="AF74" i="19"/>
  <c r="AK74" i="19" s="1"/>
  <c r="AF73" i="19"/>
  <c r="AF72" i="19"/>
  <c r="AF71" i="19"/>
  <c r="AF69" i="19"/>
  <c r="AF68" i="19"/>
  <c r="AF67" i="19"/>
  <c r="AF66" i="19"/>
  <c r="AF65" i="19"/>
  <c r="AF64" i="19"/>
  <c r="AK64" i="19" s="1"/>
  <c r="AF62" i="19"/>
  <c r="AF57" i="19"/>
  <c r="AF56" i="19"/>
  <c r="AF55" i="19"/>
  <c r="AF54" i="19"/>
  <c r="AE72" i="16" s="1"/>
  <c r="AF53" i="19"/>
  <c r="AE71" i="16" s="1"/>
  <c r="AF52" i="19"/>
  <c r="AF49" i="19"/>
  <c r="AF48" i="19"/>
  <c r="AF47" i="19"/>
  <c r="AE64" i="16" s="1"/>
  <c r="AF46" i="19"/>
  <c r="AH27" i="20"/>
  <c r="AG9" i="21"/>
  <c r="AG9" i="20"/>
  <c r="AF24" i="18"/>
  <c r="G31" i="14" l="1"/>
  <c r="K31" i="14" s="1"/>
  <c r="AL93" i="24"/>
  <c r="AN93" i="24" s="1"/>
  <c r="K32" i="14"/>
  <c r="AL73" i="25"/>
  <c r="AN73" i="25" s="1"/>
  <c r="Q32" i="14"/>
  <c r="U32" i="14" s="1"/>
  <c r="AE52" i="21"/>
  <c r="AF82" i="19"/>
  <c r="N14" i="2"/>
  <c r="AG61" i="23"/>
  <c r="AE70" i="16"/>
  <c r="AE73" i="16"/>
  <c r="AG16" i="22"/>
  <c r="AI16" i="22" s="1"/>
  <c r="M26" i="17"/>
  <c r="M30" i="17" s="1"/>
  <c r="M39" i="17"/>
  <c r="M118" i="17"/>
  <c r="M127" i="17" s="1"/>
  <c r="M46" i="17"/>
  <c r="AF41" i="25"/>
  <c r="Q23" i="14" s="1"/>
  <c r="U23" i="14" s="1"/>
  <c r="M136" i="17"/>
  <c r="M100" i="17"/>
  <c r="M54" i="17"/>
  <c r="G20" i="12"/>
  <c r="K20" i="12" s="1"/>
  <c r="AE74" i="16"/>
  <c r="AG32" i="22"/>
  <c r="AC75" i="25"/>
  <c r="AC59" i="25"/>
  <c r="AC66" i="25" s="1"/>
  <c r="AC45" i="25"/>
  <c r="AE113" i="20"/>
  <c r="G34" i="11" s="1"/>
  <c r="K34" i="11" s="1"/>
  <c r="AE83" i="21"/>
  <c r="AC95" i="24"/>
  <c r="AC78" i="24"/>
  <c r="AC85" i="24" s="1"/>
  <c r="AC60" i="24"/>
  <c r="AC30" i="24"/>
  <c r="AC27" i="24"/>
  <c r="AC22" i="24"/>
  <c r="G26" i="11"/>
  <c r="K26" i="11" s="1"/>
  <c r="AB115" i="20"/>
  <c r="AB99" i="20"/>
  <c r="AB106" i="20" s="1"/>
  <c r="AB81" i="20"/>
  <c r="AB37" i="20"/>
  <c r="AB34" i="20"/>
  <c r="AB27" i="20"/>
  <c r="AB86" i="21"/>
  <c r="AB70" i="21"/>
  <c r="AB77" i="21" s="1"/>
  <c r="AB52" i="21"/>
  <c r="AB56" i="21" s="1"/>
  <c r="AF28" i="18"/>
  <c r="AA17" i="3" s="1"/>
  <c r="AK31" i="21"/>
  <c r="AM31" i="21" s="1"/>
  <c r="M56" i="17" l="1"/>
  <c r="M104" i="17" s="1"/>
  <c r="M130" i="17" s="1"/>
  <c r="M140" i="17" s="1"/>
  <c r="J51" i="3"/>
  <c r="AC32" i="24"/>
  <c r="AC64" i="24" s="1"/>
  <c r="AC88" i="24" s="1"/>
  <c r="AC100" i="24" s="1"/>
  <c r="AB80" i="21"/>
  <c r="AB90" i="21" s="1"/>
  <c r="AB39" i="20"/>
  <c r="AB85" i="20" s="1"/>
  <c r="AB109" i="20" s="1"/>
  <c r="AB119" i="20" s="1"/>
  <c r="AC69" i="25"/>
  <c r="AC79" i="25" s="1"/>
  <c r="A6" i="13" l="1"/>
  <c r="M248" i="43"/>
  <c r="M201" i="43"/>
  <c r="M202" i="43" s="1"/>
  <c r="M197" i="43"/>
  <c r="M196" i="43"/>
  <c r="M193" i="43"/>
  <c r="M180" i="43"/>
  <c r="M97" i="43"/>
  <c r="M11" i="43"/>
  <c r="AA28" i="42"/>
  <c r="O13" i="41"/>
  <c r="J28" i="5"/>
  <c r="J19" i="5"/>
  <c r="H14" i="5"/>
  <c r="P14" i="5" s="1"/>
  <c r="L14" i="5"/>
  <c r="F15" i="5"/>
  <c r="H15" i="5"/>
  <c r="J15" i="5"/>
  <c r="L15" i="5"/>
  <c r="J20" i="5"/>
  <c r="F21" i="5"/>
  <c r="N21" i="5"/>
  <c r="P21" i="5"/>
  <c r="N29" i="5"/>
  <c r="P29" i="5"/>
  <c r="N37" i="5"/>
  <c r="P37" i="5"/>
  <c r="AD50" i="2" l="1"/>
  <c r="F13" i="41"/>
  <c r="F49" i="41" s="1"/>
  <c r="H13" i="41" s="1"/>
  <c r="H49" i="41" s="1"/>
  <c r="J13" i="41" s="1"/>
  <c r="J49" i="41" s="1"/>
  <c r="M198" i="43"/>
  <c r="M251" i="43" s="1"/>
  <c r="O37" i="41"/>
  <c r="O25" i="41"/>
  <c r="K46" i="17"/>
  <c r="P32" i="5"/>
  <c r="P42" i="5" s="1"/>
  <c r="P45" i="5" s="1"/>
  <c r="K137" i="16"/>
  <c r="J27" i="5"/>
  <c r="F37" i="5"/>
  <c r="K26" i="16"/>
  <c r="K26" i="17"/>
  <c r="K30" i="17" s="1"/>
  <c r="K136" i="17"/>
  <c r="K118" i="17"/>
  <c r="K127" i="17" s="1"/>
  <c r="K39"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6" i="19"/>
  <c r="K54" i="17"/>
  <c r="O47" i="41" l="1"/>
  <c r="O49" i="41" s="1"/>
  <c r="J37" i="5"/>
  <c r="F42" i="5"/>
  <c r="K30" i="16"/>
  <c r="K100" i="17"/>
  <c r="K56" i="17"/>
  <c r="K54" i="16"/>
  <c r="L38" i="19"/>
  <c r="J29" i="5"/>
  <c r="J32" i="5" s="1"/>
  <c r="B32" i="5"/>
  <c r="B42" i="5" s="1"/>
  <c r="L80" i="21"/>
  <c r="L90" i="21" s="1"/>
  <c r="L100" i="19"/>
  <c r="L107" i="19" s="1"/>
  <c r="L35" i="19"/>
  <c r="L28" i="19"/>
  <c r="N52" i="40" l="1"/>
  <c r="K46" i="16"/>
  <c r="J42" i="5"/>
  <c r="L82" i="19"/>
  <c r="K104" i="17"/>
  <c r="K130" i="17" s="1"/>
  <c r="K140" i="17" s="1"/>
  <c r="K100" i="16"/>
  <c r="K39" i="16"/>
  <c r="L40" i="19"/>
  <c r="K118" i="16"/>
  <c r="K127" i="16" s="1"/>
  <c r="K56" i="16" l="1"/>
  <c r="K104" i="16" s="1"/>
  <c r="K130" i="16" s="1"/>
  <c r="K141" i="16" s="1"/>
  <c r="L86" i="19"/>
  <c r="L110" i="19" s="1"/>
  <c r="L120" i="19" s="1"/>
  <c r="AE135" i="16" l="1"/>
  <c r="AG31" i="23"/>
  <c r="Y61" i="23"/>
  <c r="W61" i="23"/>
  <c r="Z37" i="20"/>
  <c r="X37" i="20"/>
  <c r="V37" i="20"/>
  <c r="T37" i="20"/>
  <c r="H20" i="3" s="1"/>
  <c r="R37" i="20"/>
  <c r="P37" i="20"/>
  <c r="N37" i="20"/>
  <c r="L37" i="20"/>
  <c r="J37" i="20"/>
  <c r="H37" i="20"/>
  <c r="F37" i="20"/>
  <c r="D37" i="20"/>
  <c r="Z34" i="20"/>
  <c r="X34" i="20"/>
  <c r="V34" i="20"/>
  <c r="T34" i="20"/>
  <c r="H19" i="3" s="1"/>
  <c r="R34" i="20"/>
  <c r="P34" i="20"/>
  <c r="N34" i="20"/>
  <c r="L34" i="20"/>
  <c r="J34" i="20"/>
  <c r="H34" i="20"/>
  <c r="F34" i="20"/>
  <c r="D34" i="20"/>
  <c r="Z27" i="20"/>
  <c r="X27" i="20"/>
  <c r="V27" i="20"/>
  <c r="T27" i="20"/>
  <c r="H18" i="3" s="1"/>
  <c r="P27" i="20"/>
  <c r="N27" i="20"/>
  <c r="L27" i="20"/>
  <c r="J27" i="20"/>
  <c r="H27" i="20"/>
  <c r="F27" i="20"/>
  <c r="D27" i="20"/>
  <c r="AH34" i="20"/>
  <c r="AH37" i="20"/>
  <c r="C51" i="16"/>
  <c r="C29" i="16"/>
  <c r="C25" i="16"/>
  <c r="C24" i="16"/>
  <c r="C23" i="16"/>
  <c r="C22" i="16"/>
  <c r="C21" i="16"/>
  <c r="J39" i="20" l="1"/>
  <c r="H39" i="20"/>
  <c r="D39" i="20"/>
  <c r="Z39" i="20"/>
  <c r="X39" i="20"/>
  <c r="V39" i="20"/>
  <c r="F39" i="20"/>
  <c r="T39" i="20"/>
  <c r="R39" i="20"/>
  <c r="P39" i="20"/>
  <c r="N39" i="20"/>
  <c r="L39" i="20"/>
  <c r="AH39" i="20"/>
  <c r="G38" i="12"/>
  <c r="C49" i="7"/>
  <c r="E49" i="7"/>
  <c r="I38" i="12" l="1"/>
  <c r="K38" i="12"/>
  <c r="T61" i="35"/>
  <c r="P61" i="35"/>
  <c r="L61" i="35"/>
  <c r="J61" i="35"/>
  <c r="H61" i="35"/>
  <c r="D61" i="35"/>
  <c r="R59" i="35"/>
  <c r="V59" i="35" s="1"/>
  <c r="R58" i="35"/>
  <c r="V58" i="35" s="1"/>
  <c r="R57" i="35"/>
  <c r="V57" i="35" s="1"/>
  <c r="R55" i="35"/>
  <c r="V55" i="35" s="1"/>
  <c r="R54" i="35"/>
  <c r="V54" i="35" s="1"/>
  <c r="R53" i="35"/>
  <c r="V53"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I28" i="36"/>
  <c r="G28" i="36"/>
  <c r="X42" i="37"/>
  <c r="V42" i="37"/>
  <c r="T42" i="37"/>
  <c r="R42" i="37"/>
  <c r="P42" i="37"/>
  <c r="N42" i="37"/>
  <c r="L42" i="37"/>
  <c r="J42" i="37"/>
  <c r="H42" i="37"/>
  <c r="F42" i="37"/>
  <c r="D42" i="37"/>
  <c r="B42" i="37"/>
  <c r="Z41"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2"/>
  <c r="W40" i="42"/>
  <c r="U40" i="42"/>
  <c r="S40" i="42"/>
  <c r="Q40" i="42"/>
  <c r="O40" i="42"/>
  <c r="M40" i="42"/>
  <c r="K40" i="42"/>
  <c r="I40" i="42"/>
  <c r="G40" i="42"/>
  <c r="E40" i="42"/>
  <c r="C40" i="42"/>
  <c r="AA39" i="42"/>
  <c r="AA38" i="42"/>
  <c r="AA37" i="42"/>
  <c r="AA36" i="42"/>
  <c r="AA35" i="42"/>
  <c r="Y30" i="42"/>
  <c r="W30" i="42"/>
  <c r="U30" i="42"/>
  <c r="S30" i="42"/>
  <c r="Q30" i="42"/>
  <c r="O30" i="42"/>
  <c r="M30" i="42"/>
  <c r="K30" i="42"/>
  <c r="I30" i="42"/>
  <c r="G30" i="42"/>
  <c r="E30" i="42"/>
  <c r="C30" i="42"/>
  <c r="AA29" i="42"/>
  <c r="AA27" i="42"/>
  <c r="AA26" i="42"/>
  <c r="AA25" i="42"/>
  <c r="AA24" i="42"/>
  <c r="AA23" i="42"/>
  <c r="AA22" i="42"/>
  <c r="AA21" i="42"/>
  <c r="AA20" i="42"/>
  <c r="AA19" i="42"/>
  <c r="AA17" i="42"/>
  <c r="AA16" i="42"/>
  <c r="AA15" i="42"/>
  <c r="AA14" i="42"/>
  <c r="R61" i="35" l="1"/>
  <c r="D44" i="37"/>
  <c r="C43" i="42"/>
  <c r="S43" i="42"/>
  <c r="H44" i="37"/>
  <c r="P44" i="37"/>
  <c r="X44" i="37"/>
  <c r="E43" i="42"/>
  <c r="M43" i="42"/>
  <c r="U43" i="42"/>
  <c r="G43" i="42"/>
  <c r="O43" i="42"/>
  <c r="W43" i="42"/>
  <c r="F44" i="37"/>
  <c r="N44" i="37"/>
  <c r="V44" i="37"/>
  <c r="B44" i="37"/>
  <c r="B46" i="37" s="1"/>
  <c r="D12" i="37" s="1"/>
  <c r="R44" i="37"/>
  <c r="Q43" i="42"/>
  <c r="Y43" i="42"/>
  <c r="T44" i="37"/>
  <c r="Z32" i="37"/>
  <c r="L44" i="37"/>
  <c r="K43" i="42"/>
  <c r="AA30" i="42"/>
  <c r="I43" i="42"/>
  <c r="AA40" i="42"/>
  <c r="Z24" i="37"/>
  <c r="J44" i="37"/>
  <c r="Z42" i="37"/>
  <c r="V16" i="35"/>
  <c r="V61" i="35" s="1"/>
  <c r="D46" i="37" l="1"/>
  <c r="Z44" i="37"/>
  <c r="Z46" i="37" s="1"/>
  <c r="AA43" i="42"/>
  <c r="E25" i="13"/>
  <c r="F12" i="37" l="1"/>
  <c r="F46" i="37" s="1"/>
  <c r="E27" i="13"/>
  <c r="E33" i="10"/>
  <c r="H12" i="37" l="1"/>
  <c r="H46" i="37" s="1"/>
  <c r="C27" i="10"/>
  <c r="E27" i="10"/>
  <c r="C61" i="17"/>
  <c r="C92" i="16"/>
  <c r="AB92" i="16" s="1"/>
  <c r="AE99" i="17"/>
  <c r="AE97" i="17"/>
  <c r="AE96" i="17"/>
  <c r="AE95" i="17"/>
  <c r="AE92" i="17"/>
  <c r="AE91" i="17"/>
  <c r="AE90" i="17"/>
  <c r="AE89" i="17"/>
  <c r="AE87" i="17"/>
  <c r="AE86" i="17"/>
  <c r="AE85" i="17"/>
  <c r="AE84" i="17"/>
  <c r="AE83" i="17"/>
  <c r="AE82" i="17"/>
  <c r="AJ82" i="17" s="1"/>
  <c r="AE80" i="17"/>
  <c r="AE79" i="17"/>
  <c r="AE78" i="17"/>
  <c r="AE77" i="17"/>
  <c r="AE75" i="17"/>
  <c r="AE66" i="17"/>
  <c r="AE65" i="17"/>
  <c r="AE63" i="17"/>
  <c r="AE61" i="17"/>
  <c r="C99" i="17"/>
  <c r="C97" i="17"/>
  <c r="C96" i="17"/>
  <c r="C95" i="17"/>
  <c r="C94" i="17"/>
  <c r="C92" i="17"/>
  <c r="C91" i="17"/>
  <c r="C90" i="17"/>
  <c r="C84" i="17"/>
  <c r="C83" i="17"/>
  <c r="C82" i="17"/>
  <c r="C79" i="17"/>
  <c r="C78" i="17"/>
  <c r="C77" i="17"/>
  <c r="C75" i="17"/>
  <c r="C64" i="17"/>
  <c r="C63" i="17"/>
  <c r="C93" i="17"/>
  <c r="AE33" i="17"/>
  <c r="AE37" i="17"/>
  <c r="AJ37" i="17" s="1"/>
  <c r="AE35" i="17"/>
  <c r="AE45" i="17"/>
  <c r="AE42" i="17"/>
  <c r="AE102" i="17"/>
  <c r="AE125" i="17"/>
  <c r="AE124" i="17"/>
  <c r="AE121" i="17"/>
  <c r="AE122" i="17"/>
  <c r="AE120" i="17"/>
  <c r="AE117" i="17"/>
  <c r="AE116" i="17"/>
  <c r="AE115" i="17"/>
  <c r="AE114" i="17"/>
  <c r="AE113" i="17"/>
  <c r="AE112" i="17"/>
  <c r="AE110" i="17"/>
  <c r="AE109" i="17"/>
  <c r="AE108" i="17"/>
  <c r="C45" i="17"/>
  <c r="C42" i="17"/>
  <c r="C33" i="17"/>
  <c r="C35" i="17"/>
  <c r="C37" i="17"/>
  <c r="E39" i="23"/>
  <c r="S39" i="14"/>
  <c r="S22" i="14"/>
  <c r="S20" i="14"/>
  <c r="I39" i="14"/>
  <c r="J12" i="37" l="1"/>
  <c r="J46" i="37" s="1"/>
  <c r="AE61" i="16"/>
  <c r="AE60" i="16"/>
  <c r="AE60" i="17"/>
  <c r="AE118" i="17"/>
  <c r="AE127" i="17" s="1"/>
  <c r="AD49" i="2"/>
  <c r="C60" i="17"/>
  <c r="L12" i="37" l="1"/>
  <c r="L46" i="37" s="1"/>
  <c r="E37" i="23"/>
  <c r="E60" i="23"/>
  <c r="E59" i="23"/>
  <c r="E58" i="23"/>
  <c r="E55" i="23"/>
  <c r="E54" i="23"/>
  <c r="E52" i="23"/>
  <c r="E51" i="23"/>
  <c r="E50" i="23"/>
  <c r="E48" i="23"/>
  <c r="E46" i="23"/>
  <c r="E45" i="23"/>
  <c r="E44" i="23"/>
  <c r="E43" i="23"/>
  <c r="E41" i="23"/>
  <c r="AE46" i="20"/>
  <c r="AE67" i="20"/>
  <c r="T41" i="11"/>
  <c r="I41" i="11"/>
  <c r="T23" i="11"/>
  <c r="T22" i="11"/>
  <c r="T21" i="11"/>
  <c r="T20" i="11"/>
  <c r="I25" i="11"/>
  <c r="I42" i="9"/>
  <c r="I41" i="9"/>
  <c r="I40" i="9"/>
  <c r="N12" i="37" l="1"/>
  <c r="N46" i="37" s="1"/>
  <c r="P46" i="37" s="1"/>
  <c r="R46" i="37" s="1"/>
  <c r="T46" i="37" s="1"/>
  <c r="V46" i="37" s="1"/>
  <c r="X46" i="37" s="1"/>
  <c r="AE48" i="20"/>
  <c r="AE54" i="20"/>
  <c r="AF44" i="24"/>
  <c r="AF51" i="24"/>
  <c r="AE59" i="20"/>
  <c r="AE60" i="20"/>
  <c r="AE74" i="20"/>
  <c r="AE51" i="20"/>
  <c r="AE58" i="20"/>
  <c r="AF49" i="24"/>
  <c r="AE55" i="20"/>
  <c r="AE77" i="20"/>
  <c r="AE68" i="20"/>
  <c r="AF47" i="24"/>
  <c r="AE65" i="20"/>
  <c r="AE80" i="20"/>
  <c r="AE52" i="20"/>
  <c r="AF50" i="24"/>
  <c r="C61" i="16"/>
  <c r="E61" i="23"/>
  <c r="J81" i="20"/>
  <c r="E31" i="7"/>
  <c r="E30" i="7"/>
  <c r="C31" i="7"/>
  <c r="C30" i="7"/>
  <c r="AE81" i="20" l="1"/>
  <c r="G61" i="23"/>
  <c r="E42" i="7"/>
  <c r="E41" i="7"/>
  <c r="E33" i="7"/>
  <c r="E32" i="7"/>
  <c r="E29" i="7"/>
  <c r="C25" i="7"/>
  <c r="C23" i="7"/>
  <c r="C21" i="7"/>
  <c r="C42" i="7"/>
  <c r="C32" i="7"/>
  <c r="E24" i="7"/>
  <c r="E25" i="7"/>
  <c r="E23" i="7"/>
  <c r="E22" i="7"/>
  <c r="E21" i="7"/>
  <c r="E20" i="7"/>
  <c r="C24" i="7"/>
  <c r="C22" i="7"/>
  <c r="C29" i="7"/>
  <c r="O33" i="14"/>
  <c r="M33" i="14"/>
  <c r="C33" i="13"/>
  <c r="E33" i="13"/>
  <c r="E26" i="7" l="1"/>
  <c r="C26" i="7"/>
  <c r="I39" i="13"/>
  <c r="E37" i="13"/>
  <c r="E40" i="13" s="1"/>
  <c r="I41" i="10" l="1"/>
  <c r="E35" i="10"/>
  <c r="E39" i="10" s="1"/>
  <c r="E42" i="10" s="1"/>
  <c r="Z35" i="19" l="1"/>
  <c r="X35" i="19"/>
  <c r="V35" i="19"/>
  <c r="T35" i="19"/>
  <c r="H16" i="2" s="1"/>
  <c r="R35" i="19"/>
  <c r="P35" i="19"/>
  <c r="N35" i="19"/>
  <c r="AB28" i="17"/>
  <c r="AB27" i="17"/>
  <c r="AF52" i="18"/>
  <c r="Z52" i="18"/>
  <c r="X52" i="18"/>
  <c r="V52" i="18"/>
  <c r="T52" i="18"/>
  <c r="D17" i="2" s="1"/>
  <c r="R52" i="18"/>
  <c r="P52" i="18"/>
  <c r="N52" i="18"/>
  <c r="L52" i="18"/>
  <c r="AF44" i="18"/>
  <c r="Z44" i="18"/>
  <c r="X44" i="18"/>
  <c r="V44" i="18"/>
  <c r="T44" i="18"/>
  <c r="D16" i="2" s="1"/>
  <c r="R44" i="18"/>
  <c r="P44" i="18"/>
  <c r="N44" i="18"/>
  <c r="L44" i="18"/>
  <c r="Y54" i="17" l="1"/>
  <c r="W54" i="17"/>
  <c r="U54" i="17"/>
  <c r="S54" i="17"/>
  <c r="Q54" i="17"/>
  <c r="O54" i="17"/>
  <c r="Y39" i="17"/>
  <c r="W39" i="17"/>
  <c r="U39" i="17"/>
  <c r="S39" i="17"/>
  <c r="Q39" i="17"/>
  <c r="O39" i="17"/>
  <c r="Y26" i="17"/>
  <c r="Y30" i="17" s="1"/>
  <c r="W26" i="17"/>
  <c r="W30" i="17" s="1"/>
  <c r="U26" i="17"/>
  <c r="U30" i="17" s="1"/>
  <c r="S26" i="17"/>
  <c r="S30" i="17" s="1"/>
  <c r="Q26" i="17"/>
  <c r="Q30" i="17" s="1"/>
  <c r="O26" i="17"/>
  <c r="O30" i="17" s="1"/>
  <c r="Y54" i="16"/>
  <c r="W54" i="16"/>
  <c r="U54" i="16"/>
  <c r="S54" i="16"/>
  <c r="Q54" i="16"/>
  <c r="O54" i="16"/>
  <c r="M54" i="16"/>
  <c r="Y46" i="16"/>
  <c r="W46" i="16"/>
  <c r="U46" i="16"/>
  <c r="S46" i="16"/>
  <c r="Q46" i="16"/>
  <c r="O46" i="16"/>
  <c r="M46" i="16"/>
  <c r="Y39" i="16"/>
  <c r="W39" i="16"/>
  <c r="U39" i="16"/>
  <c r="S39" i="16"/>
  <c r="Q39" i="16"/>
  <c r="O39" i="16"/>
  <c r="M39" i="16"/>
  <c r="Y26" i="16"/>
  <c r="Y30" i="16" s="1"/>
  <c r="W26" i="16"/>
  <c r="W30" i="16" s="1"/>
  <c r="U26" i="16"/>
  <c r="U30" i="16" s="1"/>
  <c r="S26" i="16"/>
  <c r="S30" i="16" s="1"/>
  <c r="Q26" i="16"/>
  <c r="Q30" i="16" s="1"/>
  <c r="O26" i="16"/>
  <c r="O30" i="16" s="1"/>
  <c r="M26" i="16"/>
  <c r="M30" i="16" s="1"/>
  <c r="AF30" i="24"/>
  <c r="K22" i="14" s="1"/>
  <c r="AI30" i="24"/>
  <c r="AA30" i="24"/>
  <c r="Y30" i="24"/>
  <c r="W30" i="24"/>
  <c r="S30" i="24"/>
  <c r="Q30" i="24"/>
  <c r="O30" i="24"/>
  <c r="M30" i="24"/>
  <c r="K30" i="24"/>
  <c r="I30" i="24"/>
  <c r="G30" i="24"/>
  <c r="E30" i="24"/>
  <c r="AI22" i="24"/>
  <c r="AA22" i="24"/>
  <c r="Y22" i="24"/>
  <c r="W22" i="24"/>
  <c r="S22" i="24"/>
  <c r="Q22" i="24"/>
  <c r="O22" i="24"/>
  <c r="M22" i="24"/>
  <c r="K22" i="24"/>
  <c r="I22" i="24"/>
  <c r="G22" i="24"/>
  <c r="E22" i="24"/>
  <c r="AI27" i="24"/>
  <c r="AA27" i="24"/>
  <c r="Y27" i="24"/>
  <c r="W27" i="24"/>
  <c r="S27" i="24"/>
  <c r="Q27" i="24"/>
  <c r="O27" i="24"/>
  <c r="M27" i="24"/>
  <c r="K27" i="24"/>
  <c r="I27" i="24"/>
  <c r="G27" i="24"/>
  <c r="E27" i="24"/>
  <c r="AE48" i="16"/>
  <c r="AJ48" i="16" s="1"/>
  <c r="AE51" i="16"/>
  <c r="AE29" i="16"/>
  <c r="AE25" i="16"/>
  <c r="AE24" i="16"/>
  <c r="AE23" i="16"/>
  <c r="AE22" i="16"/>
  <c r="AE53" i="17"/>
  <c r="AE50" i="17"/>
  <c r="AE49" i="17"/>
  <c r="AE48" i="17"/>
  <c r="AJ48" i="17" s="1"/>
  <c r="AE44" i="17"/>
  <c r="AE43" i="17"/>
  <c r="AE41" i="17"/>
  <c r="AE38" i="17"/>
  <c r="AE36" i="17"/>
  <c r="AE34" i="17"/>
  <c r="AE32" i="17"/>
  <c r="AH28" i="17"/>
  <c r="AJ28" i="17" s="1"/>
  <c r="AH27" i="17"/>
  <c r="AJ27" i="17" s="1"/>
  <c r="AE29" i="17"/>
  <c r="AE25" i="17"/>
  <c r="AE24" i="17"/>
  <c r="AE23" i="17"/>
  <c r="AE22" i="17"/>
  <c r="AE21" i="17"/>
  <c r="AL25" i="24"/>
  <c r="AN25" i="24" s="1"/>
  <c r="AL24" i="24"/>
  <c r="C38" i="17"/>
  <c r="C53" i="17"/>
  <c r="C50" i="17"/>
  <c r="C49" i="17"/>
  <c r="C48" i="17"/>
  <c r="C44" i="17"/>
  <c r="C43" i="17"/>
  <c r="C41" i="17"/>
  <c r="C36" i="17"/>
  <c r="C34" i="17"/>
  <c r="C32" i="17"/>
  <c r="C25" i="17"/>
  <c r="C29" i="17"/>
  <c r="C24" i="17"/>
  <c r="C23" i="17"/>
  <c r="C22" i="17"/>
  <c r="C21" i="17"/>
  <c r="G22" i="13" l="1"/>
  <c r="K22" i="13" s="1"/>
  <c r="W56" i="17"/>
  <c r="Y56" i="16"/>
  <c r="Y56" i="17"/>
  <c r="S56" i="17"/>
  <c r="U56" i="17"/>
  <c r="Q56" i="17"/>
  <c r="O56" i="17"/>
  <c r="O56" i="16"/>
  <c r="U56" i="16"/>
  <c r="W56" i="16"/>
  <c r="AE54" i="17"/>
  <c r="S56" i="16"/>
  <c r="Q56" i="16"/>
  <c r="AE46" i="17"/>
  <c r="AI32" i="24"/>
  <c r="G46" i="17"/>
  <c r="C46" i="17"/>
  <c r="E46" i="17"/>
  <c r="I46" i="17"/>
  <c r="M56" i="16"/>
  <c r="AB22" i="17"/>
  <c r="AH22" i="17" s="1"/>
  <c r="AJ22" i="17" s="1"/>
  <c r="AB25" i="17"/>
  <c r="AH25" i="17" s="1"/>
  <c r="AJ25" i="17" s="1"/>
  <c r="AB49" i="17"/>
  <c r="AH49" i="17" s="1"/>
  <c r="AJ49" i="17" s="1"/>
  <c r="AB29" i="17"/>
  <c r="AH29" i="17" s="1"/>
  <c r="AJ29" i="17" s="1"/>
  <c r="AE26" i="16"/>
  <c r="I26" i="16"/>
  <c r="AB21" i="17"/>
  <c r="AH21" i="17" s="1"/>
  <c r="AJ21" i="17" s="1"/>
  <c r="AB24" i="17"/>
  <c r="AH24" i="17" s="1"/>
  <c r="AJ24" i="17" s="1"/>
  <c r="AE26" i="17"/>
  <c r="AE30" i="17" s="1"/>
  <c r="AB48" i="17"/>
  <c r="AB23" i="17"/>
  <c r="AH23" i="17" s="1"/>
  <c r="AJ23" i="17" s="1"/>
  <c r="AB50" i="17"/>
  <c r="AH50" i="17" s="1"/>
  <c r="AJ50" i="17" s="1"/>
  <c r="I32" i="24"/>
  <c r="Q32" i="24"/>
  <c r="Y32" i="24"/>
  <c r="I22" i="14"/>
  <c r="AB35" i="17"/>
  <c r="AH35" i="17" s="1"/>
  <c r="AJ35" i="17" s="1"/>
  <c r="E32" i="24"/>
  <c r="K32" i="24"/>
  <c r="S32" i="24"/>
  <c r="AA32" i="24"/>
  <c r="AL29" i="24"/>
  <c r="AN29" i="24" s="1"/>
  <c r="AB43" i="17"/>
  <c r="AH43" i="17" s="1"/>
  <c r="AJ43" i="17" s="1"/>
  <c r="M32" i="24"/>
  <c r="G32" i="24"/>
  <c r="O32" i="24"/>
  <c r="W32" i="24"/>
  <c r="AB34" i="17"/>
  <c r="AH34" i="17" s="1"/>
  <c r="AJ34" i="17" s="1"/>
  <c r="AB53" i="17"/>
  <c r="AH53" i="17" s="1"/>
  <c r="AJ53" i="17" s="1"/>
  <c r="AB38" i="17"/>
  <c r="AH38" i="17" s="1"/>
  <c r="AJ38" i="17" s="1"/>
  <c r="AB33" i="17"/>
  <c r="AH33" i="17" s="1"/>
  <c r="AJ33" i="17" s="1"/>
  <c r="AB37" i="17"/>
  <c r="AH37" i="17" s="1"/>
  <c r="AB45" i="17"/>
  <c r="AH45" i="17" s="1"/>
  <c r="AJ45" i="17" s="1"/>
  <c r="AB52" i="17"/>
  <c r="AH52" i="17" s="1"/>
  <c r="AJ52" i="17" s="1"/>
  <c r="AB42" i="17"/>
  <c r="AE39" i="17"/>
  <c r="AB41" i="17"/>
  <c r="AB32" i="17"/>
  <c r="AB36" i="17"/>
  <c r="AH36" i="17" s="1"/>
  <c r="AJ36" i="17" s="1"/>
  <c r="AB44" i="17"/>
  <c r="AH44" i="17" s="1"/>
  <c r="AJ44" i="17" s="1"/>
  <c r="E26" i="17"/>
  <c r="E30" i="17" s="1"/>
  <c r="G26" i="17"/>
  <c r="G30" i="17" s="1"/>
  <c r="I26" i="17"/>
  <c r="I30" i="17" s="1"/>
  <c r="I39" i="17"/>
  <c r="E39" i="17"/>
  <c r="G39" i="17"/>
  <c r="C39" i="17"/>
  <c r="C26" i="17"/>
  <c r="C30" i="17" s="1"/>
  <c r="I22" i="13" l="1"/>
  <c r="AH41" i="17"/>
  <c r="AJ41" i="17" s="1"/>
  <c r="AB46" i="17"/>
  <c r="AE56" i="17"/>
  <c r="AL30" i="24"/>
  <c r="AN30" i="24" s="1"/>
  <c r="AH42" i="17"/>
  <c r="AJ42" i="17" s="1"/>
  <c r="AH32" i="17"/>
  <c r="AJ32" i="17" s="1"/>
  <c r="AB39" i="17"/>
  <c r="AH48" i="17"/>
  <c r="AB26" i="17"/>
  <c r="AB30" i="17" s="1"/>
  <c r="AG28" i="23"/>
  <c r="Y28" i="23"/>
  <c r="W28" i="23"/>
  <c r="G28" i="23"/>
  <c r="E28" i="23"/>
  <c r="AD27" i="23"/>
  <c r="AJ27" i="23" s="1"/>
  <c r="AL27" i="23" s="1"/>
  <c r="AD26" i="23"/>
  <c r="Y31" i="23"/>
  <c r="W31" i="23"/>
  <c r="G31" i="23"/>
  <c r="E31" i="23"/>
  <c r="AD30" i="23"/>
  <c r="AG23" i="23"/>
  <c r="Y23" i="23"/>
  <c r="W23" i="23"/>
  <c r="G23" i="23"/>
  <c r="E23" i="23"/>
  <c r="AD22" i="23"/>
  <c r="AJ22" i="23" s="1"/>
  <c r="AL22" i="23" s="1"/>
  <c r="AD21" i="23"/>
  <c r="AJ21" i="23" s="1"/>
  <c r="AL21" i="23" s="1"/>
  <c r="AD20" i="23"/>
  <c r="AJ20" i="23" s="1"/>
  <c r="AL20" i="23" s="1"/>
  <c r="AA20" i="3"/>
  <c r="AA22" i="22"/>
  <c r="AG22" i="22" s="1"/>
  <c r="AI22" i="22" s="1"/>
  <c r="AA19" i="22"/>
  <c r="AG19" i="22" s="1"/>
  <c r="AI19" i="22" s="1"/>
  <c r="D23" i="22"/>
  <c r="B23" i="22"/>
  <c r="D52" i="18"/>
  <c r="F52" i="18"/>
  <c r="H52" i="18"/>
  <c r="J52" i="18"/>
  <c r="D44" i="18"/>
  <c r="F44" i="18"/>
  <c r="H44" i="18"/>
  <c r="J44" i="18"/>
  <c r="B20" i="22"/>
  <c r="D20" i="22"/>
  <c r="AB51" i="16"/>
  <c r="AB48"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4" i="19"/>
  <c r="AE102" i="16" s="1"/>
  <c r="AF105" i="19"/>
  <c r="AF104" i="19"/>
  <c r="AF103" i="19"/>
  <c r="AF102" i="19"/>
  <c r="AF99" i="19"/>
  <c r="AF98" i="19"/>
  <c r="AF97" i="19"/>
  <c r="AF96" i="19"/>
  <c r="AF95" i="19"/>
  <c r="AF94" i="19"/>
  <c r="AF92" i="19"/>
  <c r="AF91" i="19"/>
  <c r="AF90" i="19"/>
  <c r="AF37" i="19"/>
  <c r="AF34" i="19"/>
  <c r="AF33" i="19"/>
  <c r="AF32" i="19"/>
  <c r="AF31" i="19"/>
  <c r="AF30" i="19"/>
  <c r="AF27" i="19"/>
  <c r="AF26" i="19"/>
  <c r="AK26" i="19" s="1"/>
  <c r="AF25" i="19"/>
  <c r="AK25" i="19" s="1"/>
  <c r="AF24" i="19"/>
  <c r="AF23" i="19"/>
  <c r="AF22" i="19"/>
  <c r="AF21" i="19"/>
  <c r="AF18" i="19"/>
  <c r="AE89" i="16"/>
  <c r="AE66" i="16"/>
  <c r="D81" i="19"/>
  <c r="C99" i="16" s="1"/>
  <c r="D80" i="19"/>
  <c r="D79" i="19"/>
  <c r="C97" i="16" s="1"/>
  <c r="D78" i="19"/>
  <c r="C96" i="16" s="1"/>
  <c r="D77" i="19"/>
  <c r="C95" i="16" s="1"/>
  <c r="D76" i="19"/>
  <c r="C94" i="16" s="1"/>
  <c r="D75" i="19"/>
  <c r="C93" i="16" s="1"/>
  <c r="D73" i="19"/>
  <c r="C91" i="16" s="1"/>
  <c r="D72" i="19"/>
  <c r="C90" i="16" s="1"/>
  <c r="D71" i="19"/>
  <c r="D69" i="19"/>
  <c r="C87" i="16" s="1"/>
  <c r="D68" i="19"/>
  <c r="C86" i="16" s="1"/>
  <c r="D67" i="19"/>
  <c r="D66" i="19"/>
  <c r="C84" i="16" s="1"/>
  <c r="D65" i="19"/>
  <c r="C83" i="16" s="1"/>
  <c r="D64" i="19"/>
  <c r="C82" i="16" s="1"/>
  <c r="D62" i="19"/>
  <c r="C80" i="16" s="1"/>
  <c r="C79" i="16"/>
  <c r="C78" i="16"/>
  <c r="C77" i="16"/>
  <c r="D57" i="19"/>
  <c r="C75" i="16" s="1"/>
  <c r="D56" i="19"/>
  <c r="C74" i="16" s="1"/>
  <c r="D55" i="19"/>
  <c r="C73" i="16" s="1"/>
  <c r="D54" i="19"/>
  <c r="C72" i="16" s="1"/>
  <c r="D53" i="19"/>
  <c r="C71" i="16" s="1"/>
  <c r="D52" i="19"/>
  <c r="C70" i="16" s="1"/>
  <c r="D49" i="19"/>
  <c r="D48" i="19"/>
  <c r="D47" i="19"/>
  <c r="C64" i="16" s="1"/>
  <c r="D46" i="19"/>
  <c r="D44" i="19"/>
  <c r="C60" i="16" s="1"/>
  <c r="Z38" i="19"/>
  <c r="X38" i="19"/>
  <c r="V38" i="19"/>
  <c r="T38" i="19"/>
  <c r="R38" i="19"/>
  <c r="P38" i="19"/>
  <c r="N38" i="19"/>
  <c r="Z28" i="19"/>
  <c r="X28" i="19"/>
  <c r="V28" i="19"/>
  <c r="T28" i="19"/>
  <c r="H15" i="2" s="1"/>
  <c r="R28" i="19"/>
  <c r="P28" i="19"/>
  <c r="N28" i="19"/>
  <c r="I54" i="17"/>
  <c r="I56" i="17" s="1"/>
  <c r="G54" i="17"/>
  <c r="G56" i="17" s="1"/>
  <c r="E54" i="17"/>
  <c r="E56" i="17" s="1"/>
  <c r="D37" i="19"/>
  <c r="C53" i="16" s="1"/>
  <c r="D34" i="19"/>
  <c r="C45" i="16" s="1"/>
  <c r="D33" i="19"/>
  <c r="C44" i="16" s="1"/>
  <c r="D32" i="19"/>
  <c r="C43" i="16" s="1"/>
  <c r="D31" i="19"/>
  <c r="C42" i="16" s="1"/>
  <c r="D30" i="19"/>
  <c r="C41" i="16" s="1"/>
  <c r="D27" i="19"/>
  <c r="C38" i="16" s="1"/>
  <c r="D26" i="19"/>
  <c r="C37" i="16" s="1"/>
  <c r="D25" i="19"/>
  <c r="C36" i="16" s="1"/>
  <c r="D24" i="19"/>
  <c r="C35" i="16" s="1"/>
  <c r="D23" i="19"/>
  <c r="C34" i="16" s="1"/>
  <c r="D22" i="19"/>
  <c r="C33" i="16" s="1"/>
  <c r="D21" i="19"/>
  <c r="C32" i="16" s="1"/>
  <c r="I30" i="16"/>
  <c r="AH115" i="20"/>
  <c r="AK36" i="20"/>
  <c r="AM36" i="20" s="1"/>
  <c r="AK33" i="20"/>
  <c r="AM33" i="20" s="1"/>
  <c r="AK32" i="20"/>
  <c r="AM32" i="20" s="1"/>
  <c r="AK31" i="20"/>
  <c r="AM31" i="20" s="1"/>
  <c r="AK30" i="20"/>
  <c r="AM30" i="20" s="1"/>
  <c r="AA19" i="3"/>
  <c r="AK26" i="20"/>
  <c r="AM26" i="20" s="1"/>
  <c r="AK25" i="20"/>
  <c r="AK24" i="20"/>
  <c r="AK23" i="20"/>
  <c r="AM23" i="20" s="1"/>
  <c r="AK22" i="20"/>
  <c r="AM22" i="20" s="1"/>
  <c r="AK21" i="20"/>
  <c r="AM21" i="20" s="1"/>
  <c r="C87" i="17"/>
  <c r="C86" i="17"/>
  <c r="C80" i="17"/>
  <c r="E21" i="8"/>
  <c r="AD14" i="2" l="1"/>
  <c r="B25" i="22"/>
  <c r="AH22" i="16"/>
  <c r="AJ22" i="16" s="1"/>
  <c r="AH23" i="16"/>
  <c r="AJ23" i="16" s="1"/>
  <c r="AH29" i="16"/>
  <c r="AJ29" i="16" s="1"/>
  <c r="AH21" i="16"/>
  <c r="AJ21" i="16" s="1"/>
  <c r="AH25" i="16"/>
  <c r="AJ25" i="16" s="1"/>
  <c r="AH24" i="16"/>
  <c r="AJ24" i="16" s="1"/>
  <c r="AH48" i="16"/>
  <c r="D25" i="22"/>
  <c r="E30" i="16"/>
  <c r="AL41" i="25"/>
  <c r="AN41" i="25" s="1"/>
  <c r="G30" i="16"/>
  <c r="AH46" i="17"/>
  <c r="AJ46" i="17" s="1"/>
  <c r="AB27" i="16"/>
  <c r="AE27" i="16"/>
  <c r="R40" i="19"/>
  <c r="Z40" i="19"/>
  <c r="N40" i="19"/>
  <c r="V40" i="19"/>
  <c r="T40" i="19"/>
  <c r="P40" i="19"/>
  <c r="X40" i="19"/>
  <c r="C54" i="16"/>
  <c r="C46" i="16"/>
  <c r="AB45" i="16"/>
  <c r="G39" i="16"/>
  <c r="AJ30" i="23"/>
  <c r="AL30" i="23" s="1"/>
  <c r="AD31" i="23"/>
  <c r="G46" i="16"/>
  <c r="C39" i="16"/>
  <c r="E39" i="16"/>
  <c r="E46" i="16"/>
  <c r="AB42" i="16"/>
  <c r="E54" i="16"/>
  <c r="G54" i="16"/>
  <c r="AE65" i="16"/>
  <c r="AE77" i="16"/>
  <c r="AE86" i="16"/>
  <c r="AE91" i="16"/>
  <c r="AE99" i="16"/>
  <c r="AE38" i="16"/>
  <c r="AE44" i="16"/>
  <c r="AK29" i="20"/>
  <c r="AE34" i="20"/>
  <c r="J19" i="3" s="1"/>
  <c r="AE75" i="16"/>
  <c r="AE80" i="16"/>
  <c r="AE90" i="16"/>
  <c r="AE33" i="16"/>
  <c r="AE37" i="16"/>
  <c r="AE43" i="16"/>
  <c r="AE53" i="16"/>
  <c r="G20" i="11"/>
  <c r="K20" i="11" s="1"/>
  <c r="AE63" i="16"/>
  <c r="AE79" i="16"/>
  <c r="AE84" i="16"/>
  <c r="AE97" i="16"/>
  <c r="AE32" i="16"/>
  <c r="AE36" i="16"/>
  <c r="AE42" i="16"/>
  <c r="AB34" i="16"/>
  <c r="AE27" i="20"/>
  <c r="J18" i="3" s="1"/>
  <c r="AB37" i="16"/>
  <c r="AE37" i="20"/>
  <c r="J20" i="3" s="1"/>
  <c r="AB36" i="16"/>
  <c r="AB44" i="16"/>
  <c r="AB50" i="16"/>
  <c r="AE95" i="16"/>
  <c r="AE34" i="16"/>
  <c r="AE85" i="16"/>
  <c r="AE78" i="16"/>
  <c r="AE83" i="16"/>
  <c r="AE87" i="16"/>
  <c r="AE96" i="16"/>
  <c r="AE35" i="16"/>
  <c r="AE45" i="16"/>
  <c r="AB38" i="16"/>
  <c r="AB52" i="16"/>
  <c r="AB33" i="16"/>
  <c r="AB53" i="16"/>
  <c r="C63" i="16"/>
  <c r="AB63" i="16" s="1"/>
  <c r="AE92" i="16"/>
  <c r="AE82" i="16"/>
  <c r="AC21" i="19"/>
  <c r="AI21" i="19" s="1"/>
  <c r="AK21" i="19" s="1"/>
  <c r="AC25" i="19"/>
  <c r="AI25" i="19" s="1"/>
  <c r="AB51" i="17"/>
  <c r="AB54" i="17" s="1"/>
  <c r="C54" i="17"/>
  <c r="C56" i="17" s="1"/>
  <c r="AC27" i="19"/>
  <c r="AI27" i="19" s="1"/>
  <c r="AK27" i="19" s="1"/>
  <c r="AC24" i="19"/>
  <c r="AI24" i="19" s="1"/>
  <c r="AK24" i="19" s="1"/>
  <c r="AC34" i="19"/>
  <c r="AI34" i="19" s="1"/>
  <c r="AK34" i="19" s="1"/>
  <c r="D38" i="19"/>
  <c r="F28" i="19"/>
  <c r="AC26" i="19"/>
  <c r="AI26" i="19" s="1"/>
  <c r="AC23" i="19"/>
  <c r="AI23" i="19" s="1"/>
  <c r="AK23" i="19" s="1"/>
  <c r="F35" i="19"/>
  <c r="AC33" i="19"/>
  <c r="AI33" i="19" s="1"/>
  <c r="AK33" i="19" s="1"/>
  <c r="AC37" i="19"/>
  <c r="AI37" i="19" s="1"/>
  <c r="AK37" i="19" s="1"/>
  <c r="I54" i="16"/>
  <c r="AB43" i="16"/>
  <c r="AF35" i="19"/>
  <c r="AD16" i="2" s="1"/>
  <c r="AE41" i="16"/>
  <c r="J35" i="19"/>
  <c r="AC32" i="19"/>
  <c r="AI32" i="19" s="1"/>
  <c r="AK32" i="19" s="1"/>
  <c r="F38" i="19"/>
  <c r="J38" i="19"/>
  <c r="H28" i="19"/>
  <c r="AF116" i="19"/>
  <c r="AC30" i="19"/>
  <c r="AI30" i="19" s="1"/>
  <c r="AK30" i="19" s="1"/>
  <c r="D35" i="19"/>
  <c r="J28" i="19"/>
  <c r="AB32" i="16"/>
  <c r="AF38" i="19"/>
  <c r="AD17" i="2" s="1"/>
  <c r="D28" i="19"/>
  <c r="AF100" i="19"/>
  <c r="AF107" i="19" s="1"/>
  <c r="AB35" i="16"/>
  <c r="AC31" i="19"/>
  <c r="AI31" i="19" s="1"/>
  <c r="AK31" i="19" s="1"/>
  <c r="H35" i="19"/>
  <c r="H38" i="19"/>
  <c r="AF28" i="19"/>
  <c r="AB49" i="16"/>
  <c r="AH26" i="17"/>
  <c r="AJ26" i="17" s="1"/>
  <c r="AH39" i="17"/>
  <c r="AJ39" i="17" s="1"/>
  <c r="AH51" i="16"/>
  <c r="AJ51" i="16" s="1"/>
  <c r="G33" i="23"/>
  <c r="W33" i="23"/>
  <c r="E33" i="23"/>
  <c r="Y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D15" i="2" s="1"/>
  <c r="R37" i="18"/>
  <c r="P37" i="18"/>
  <c r="N37" i="18"/>
  <c r="L37" i="18"/>
  <c r="J37" i="18"/>
  <c r="H37" i="18"/>
  <c r="F37" i="18"/>
  <c r="Z24" i="18"/>
  <c r="Z28" i="18" s="1"/>
  <c r="X24" i="18"/>
  <c r="X28" i="18" s="1"/>
  <c r="V24" i="18"/>
  <c r="V28" i="18" s="1"/>
  <c r="T24" i="18"/>
  <c r="T28" i="18" s="1"/>
  <c r="D14" i="2" s="1"/>
  <c r="R24" i="18"/>
  <c r="R28" i="18" s="1"/>
  <c r="P24" i="18"/>
  <c r="P28" i="18" s="1"/>
  <c r="N24" i="18"/>
  <c r="N28" i="18" s="1"/>
  <c r="L24" i="18"/>
  <c r="L28" i="18" s="1"/>
  <c r="J24" i="18"/>
  <c r="J28" i="18" s="1"/>
  <c r="H24" i="18"/>
  <c r="H28" i="18" s="1"/>
  <c r="F24" i="18"/>
  <c r="F28" i="18" s="1"/>
  <c r="AA15" i="3"/>
  <c r="Y15" i="3"/>
  <c r="F15" i="3"/>
  <c r="F14" i="3"/>
  <c r="D15" i="3"/>
  <c r="AB99" i="17"/>
  <c r="AE100" i="17"/>
  <c r="Y100" i="17"/>
  <c r="W100" i="17"/>
  <c r="U100" i="17"/>
  <c r="S100" i="17"/>
  <c r="Q100" i="17"/>
  <c r="O100" i="17"/>
  <c r="Y100" i="16"/>
  <c r="Y104" i="16" s="1"/>
  <c r="U100" i="16"/>
  <c r="S100" i="16"/>
  <c r="Q100" i="16"/>
  <c r="O100" i="16"/>
  <c r="M100" i="16"/>
  <c r="AH52" i="21"/>
  <c r="Z52" i="21"/>
  <c r="Z56" i="21" s="1"/>
  <c r="X52" i="21"/>
  <c r="V52" i="21"/>
  <c r="V56" i="21" s="1"/>
  <c r="T52" i="21"/>
  <c r="T56" i="21" s="1"/>
  <c r="R52" i="21"/>
  <c r="R56" i="21" s="1"/>
  <c r="P52" i="21"/>
  <c r="P56" i="21" s="1"/>
  <c r="N56" i="21"/>
  <c r="J52" i="21"/>
  <c r="J56" i="21" s="1"/>
  <c r="H56" i="21"/>
  <c r="F52" i="21"/>
  <c r="F56" i="21" s="1"/>
  <c r="D52" i="21"/>
  <c r="D56" i="21" s="1"/>
  <c r="AH81" i="20"/>
  <c r="Z81" i="20"/>
  <c r="X81" i="20"/>
  <c r="V81" i="20"/>
  <c r="T81" i="20"/>
  <c r="H21" i="3" s="1"/>
  <c r="L81" i="20"/>
  <c r="H81" i="20"/>
  <c r="F81" i="20"/>
  <c r="D81" i="20"/>
  <c r="Z82" i="19"/>
  <c r="V82" i="19"/>
  <c r="T82" i="19"/>
  <c r="H18" i="2" s="1"/>
  <c r="R82" i="19"/>
  <c r="P82" i="19"/>
  <c r="N82" i="19"/>
  <c r="H82" i="19"/>
  <c r="F82" i="19"/>
  <c r="AF89" i="18"/>
  <c r="Z89" i="18"/>
  <c r="X89" i="18"/>
  <c r="V89" i="18"/>
  <c r="T89" i="18"/>
  <c r="D18" i="2" s="1"/>
  <c r="R89" i="18"/>
  <c r="P89" i="18"/>
  <c r="N89" i="18"/>
  <c r="L89" i="18"/>
  <c r="J89" i="18"/>
  <c r="H89" i="18"/>
  <c r="F89" i="18"/>
  <c r="AA45" i="25"/>
  <c r="Y45" i="25"/>
  <c r="W45" i="25"/>
  <c r="S45" i="25"/>
  <c r="Q45" i="25"/>
  <c r="O45" i="25"/>
  <c r="M45" i="25"/>
  <c r="K45" i="25"/>
  <c r="I45" i="25"/>
  <c r="G45" i="25"/>
  <c r="E45" i="25"/>
  <c r="AI60" i="24"/>
  <c r="AF60" i="24"/>
  <c r="K23" i="14" s="1"/>
  <c r="AA60" i="24"/>
  <c r="Y60" i="24"/>
  <c r="W60" i="24"/>
  <c r="S60" i="24"/>
  <c r="Q60" i="24"/>
  <c r="O60" i="24"/>
  <c r="M60" i="24"/>
  <c r="K60" i="24"/>
  <c r="I60" i="24"/>
  <c r="G60" i="24"/>
  <c r="E60" i="24"/>
  <c r="AK34" i="20" l="1"/>
  <c r="AM34" i="20" s="1"/>
  <c r="AM29" i="20"/>
  <c r="AK27" i="20"/>
  <c r="AM27" i="20" s="1"/>
  <c r="AM20" i="20"/>
  <c r="AH56" i="21"/>
  <c r="AM52" i="21"/>
  <c r="AF40" i="19"/>
  <c r="AF86" i="19" s="1"/>
  <c r="AF110" i="19" s="1"/>
  <c r="AF120" i="19" s="1"/>
  <c r="AF122" i="19" s="1"/>
  <c r="G20" i="10"/>
  <c r="D85" i="20"/>
  <c r="V14" i="2"/>
  <c r="X56" i="21"/>
  <c r="AA25" i="22"/>
  <c r="AI19" i="18"/>
  <c r="AK19" i="18" s="1"/>
  <c r="AC24" i="18"/>
  <c r="AC28" i="18" s="1"/>
  <c r="AB30" i="16"/>
  <c r="AH26" i="16"/>
  <c r="AJ26" i="16" s="1"/>
  <c r="AH37" i="16"/>
  <c r="AJ37" i="16" s="1"/>
  <c r="AI28" i="19"/>
  <c r="AK28" i="19" s="1"/>
  <c r="AI27" i="18"/>
  <c r="AK27" i="18" s="1"/>
  <c r="AH27" i="16"/>
  <c r="AJ27" i="16" s="1"/>
  <c r="AE30" i="16"/>
  <c r="G23" i="11"/>
  <c r="R86" i="19"/>
  <c r="T86" i="19"/>
  <c r="Z86" i="19"/>
  <c r="P86" i="19"/>
  <c r="N86" i="19"/>
  <c r="V86" i="19"/>
  <c r="AH30" i="17"/>
  <c r="AJ30" i="17" s="1"/>
  <c r="AB56" i="17"/>
  <c r="AH56" i="17" s="1"/>
  <c r="AJ56" i="17" s="1"/>
  <c r="C56" i="16"/>
  <c r="AH36" i="16"/>
  <c r="AJ36" i="16" s="1"/>
  <c r="AH38" i="16"/>
  <c r="AJ38" i="16" s="1"/>
  <c r="AH45" i="16"/>
  <c r="AJ45" i="16" s="1"/>
  <c r="AI26" i="18"/>
  <c r="AK26" i="18" s="1"/>
  <c r="L85" i="20"/>
  <c r="AH53" i="16"/>
  <c r="AJ53" i="16" s="1"/>
  <c r="AH50" i="16"/>
  <c r="AJ50" i="16" s="1"/>
  <c r="E56" i="16"/>
  <c r="G56" i="16"/>
  <c r="AH33" i="16"/>
  <c r="AJ33" i="16" s="1"/>
  <c r="AH42" i="16"/>
  <c r="AJ42" i="16" s="1"/>
  <c r="AE46" i="16"/>
  <c r="AH52" i="16"/>
  <c r="AJ52" i="16" s="1"/>
  <c r="AE54" i="16"/>
  <c r="AH35" i="16"/>
  <c r="AJ35" i="16" s="1"/>
  <c r="AE39" i="16"/>
  <c r="AH44" i="16"/>
  <c r="AJ44" i="16" s="1"/>
  <c r="AH34" i="16"/>
  <c r="AJ34" i="16" s="1"/>
  <c r="AE39" i="20"/>
  <c r="AH43" i="16"/>
  <c r="AJ43" i="16" s="1"/>
  <c r="AK37" i="20"/>
  <c r="I20" i="11"/>
  <c r="V85" i="20"/>
  <c r="G23" i="13"/>
  <c r="K23" i="13" s="1"/>
  <c r="AI45" i="25"/>
  <c r="H54" i="18"/>
  <c r="H93" i="18" s="1"/>
  <c r="R54" i="18"/>
  <c r="R93" i="18" s="1"/>
  <c r="Z54" i="18"/>
  <c r="Z93" i="18" s="1"/>
  <c r="F54" i="18"/>
  <c r="F93" i="18" s="1"/>
  <c r="AD15" i="2"/>
  <c r="P54" i="18"/>
  <c r="P93" i="18" s="1"/>
  <c r="X54" i="18"/>
  <c r="X93" i="18" s="1"/>
  <c r="D54" i="18"/>
  <c r="L54" i="18"/>
  <c r="L93" i="18" s="1"/>
  <c r="T54" i="18"/>
  <c r="T93" i="18" s="1"/>
  <c r="N54" i="18"/>
  <c r="N93" i="18" s="1"/>
  <c r="V54" i="18"/>
  <c r="V93" i="18" s="1"/>
  <c r="AI44" i="18"/>
  <c r="AI46" i="18"/>
  <c r="AC52" i="18"/>
  <c r="G23" i="9" s="1"/>
  <c r="K23" i="9" s="1"/>
  <c r="AC44" i="18"/>
  <c r="G22" i="9" s="1"/>
  <c r="K22" i="9" s="1"/>
  <c r="AI35" i="19"/>
  <c r="AK35" i="19" s="1"/>
  <c r="Z85" i="20"/>
  <c r="P85" i="20"/>
  <c r="T85" i="20"/>
  <c r="F40" i="19"/>
  <c r="AH51" i="17"/>
  <c r="AJ51" i="17" s="1"/>
  <c r="I23" i="14"/>
  <c r="AG23" i="22"/>
  <c r="AI23" i="22" s="1"/>
  <c r="G22" i="12"/>
  <c r="K22" i="12" s="1"/>
  <c r="N17" i="2"/>
  <c r="AG20" i="22"/>
  <c r="AI20" i="22" s="1"/>
  <c r="G21" i="12"/>
  <c r="K21" i="12" s="1"/>
  <c r="N15" i="2"/>
  <c r="S23" i="14"/>
  <c r="F85" i="20"/>
  <c r="N85" i="20"/>
  <c r="AH85" i="20"/>
  <c r="X85" i="20"/>
  <c r="G21" i="11"/>
  <c r="K21" i="11" s="1"/>
  <c r="D40" i="19"/>
  <c r="J40" i="19"/>
  <c r="AC35" i="19"/>
  <c r="J16" i="2" s="1"/>
  <c r="H40" i="19"/>
  <c r="AB54" i="16"/>
  <c r="AH49" i="16"/>
  <c r="AJ49" i="16" s="1"/>
  <c r="R85" i="20"/>
  <c r="G22" i="11"/>
  <c r="I39" i="16"/>
  <c r="AB39" i="16"/>
  <c r="AH32" i="16"/>
  <c r="AJ32" i="16" s="1"/>
  <c r="I46" i="16"/>
  <c r="AB41" i="16"/>
  <c r="H85" i="20"/>
  <c r="AJ23" i="23"/>
  <c r="AL23" i="23" s="1"/>
  <c r="R15" i="2"/>
  <c r="AJ31" i="23"/>
  <c r="AL31" i="23" s="1"/>
  <c r="R17" i="2"/>
  <c r="R16" i="2"/>
  <c r="W104" i="17"/>
  <c r="O104" i="17"/>
  <c r="S64" i="24"/>
  <c r="Q64" i="24"/>
  <c r="E64" i="24"/>
  <c r="M64" i="24"/>
  <c r="K64" i="24"/>
  <c r="AA64" i="24"/>
  <c r="I64" i="24"/>
  <c r="Y64" i="24"/>
  <c r="G64" i="24"/>
  <c r="O64" i="24"/>
  <c r="W64" i="24"/>
  <c r="AI64" i="24"/>
  <c r="U104" i="17"/>
  <c r="Q104" i="17"/>
  <c r="Y104" i="17"/>
  <c r="S104" i="17"/>
  <c r="AE104" i="17"/>
  <c r="AE130" i="17" s="1"/>
  <c r="AE140" i="17" s="1"/>
  <c r="AD33" i="23"/>
  <c r="AJ33" i="23" s="1"/>
  <c r="AL33" i="23" s="1"/>
  <c r="AJ28" i="23"/>
  <c r="AL28" i="23" s="1"/>
  <c r="AE100" i="16"/>
  <c r="M104" i="16"/>
  <c r="U104" i="16"/>
  <c r="S104" i="16"/>
  <c r="Q104" i="16"/>
  <c r="O104" i="16"/>
  <c r="AL60" i="24"/>
  <c r="AN60" i="24" s="1"/>
  <c r="AI38" i="19"/>
  <c r="AK38" i="19" s="1"/>
  <c r="J14" i="2"/>
  <c r="AI18" i="19"/>
  <c r="AK18" i="19" s="1"/>
  <c r="J85" i="20"/>
  <c r="AC38" i="19"/>
  <c r="J17" i="2" s="1"/>
  <c r="AC28" i="19"/>
  <c r="J15" i="2" s="1"/>
  <c r="AF54" i="18"/>
  <c r="AF93" i="18" s="1"/>
  <c r="AI37" i="18"/>
  <c r="J54" i="18"/>
  <c r="J93" i="18" s="1"/>
  <c r="AC37" i="18"/>
  <c r="G21" i="9" s="1"/>
  <c r="K21" i="9" s="1"/>
  <c r="AB64" i="17"/>
  <c r="AB72" i="17"/>
  <c r="AB77" i="17"/>
  <c r="AB83" i="17"/>
  <c r="AB91" i="17"/>
  <c r="AB95" i="17"/>
  <c r="G100" i="17"/>
  <c r="AB63" i="17"/>
  <c r="AB71" i="17"/>
  <c r="AB75" i="17"/>
  <c r="AB80" i="17"/>
  <c r="AB87" i="17"/>
  <c r="AB94" i="17"/>
  <c r="AB61" i="17"/>
  <c r="AB74" i="17"/>
  <c r="AB79" i="17"/>
  <c r="AB86" i="17"/>
  <c r="AB93" i="17"/>
  <c r="AB97" i="17"/>
  <c r="AB60" i="17"/>
  <c r="AB68" i="17"/>
  <c r="AB73" i="17"/>
  <c r="AB78" i="17"/>
  <c r="AB84" i="17"/>
  <c r="AB92" i="17"/>
  <c r="AB96" i="17"/>
  <c r="E100" i="17"/>
  <c r="I100" i="17"/>
  <c r="W65" i="23"/>
  <c r="Y65" i="23"/>
  <c r="C27" i="13"/>
  <c r="C124" i="16"/>
  <c r="C133" i="17"/>
  <c r="C125" i="17"/>
  <c r="C124" i="17"/>
  <c r="C122" i="17"/>
  <c r="C121" i="17"/>
  <c r="C120" i="17"/>
  <c r="C117" i="17"/>
  <c r="C116" i="17"/>
  <c r="C115" i="17"/>
  <c r="C114" i="17"/>
  <c r="C113" i="17"/>
  <c r="C112" i="17"/>
  <c r="C110" i="17"/>
  <c r="C109" i="17"/>
  <c r="C108" i="17"/>
  <c r="C102" i="17"/>
  <c r="AA43" i="3"/>
  <c r="AA41" i="3"/>
  <c r="AA40" i="3"/>
  <c r="AA39" i="3"/>
  <c r="AA35" i="3"/>
  <c r="AA34" i="3"/>
  <c r="AA33" i="3"/>
  <c r="AA32" i="3"/>
  <c r="AK39" i="20" l="1"/>
  <c r="AM39" i="20" s="1"/>
  <c r="AM37" i="20"/>
  <c r="I20" i="10"/>
  <c r="K20" i="10"/>
  <c r="G23" i="10"/>
  <c r="K23" i="10" s="1"/>
  <c r="K23" i="11"/>
  <c r="G22" i="10"/>
  <c r="K22" i="11"/>
  <c r="X82" i="19"/>
  <c r="W100" i="16"/>
  <c r="W104" i="16" s="1"/>
  <c r="AC54" i="18"/>
  <c r="AH30" i="16"/>
  <c r="AJ30" i="16" s="1"/>
  <c r="G20" i="9"/>
  <c r="K20" i="9" s="1"/>
  <c r="AI24" i="18"/>
  <c r="AG25" i="22"/>
  <c r="AI25" i="22" s="1"/>
  <c r="I23" i="11"/>
  <c r="AE56" i="16"/>
  <c r="AI52" i="18"/>
  <c r="I23" i="13"/>
  <c r="G21" i="10"/>
  <c r="T33" i="11"/>
  <c r="C33" i="10"/>
  <c r="C37" i="13"/>
  <c r="C40" i="13" s="1"/>
  <c r="C41" i="7"/>
  <c r="I23" i="9"/>
  <c r="I21" i="9"/>
  <c r="I22" i="9"/>
  <c r="AH54" i="17"/>
  <c r="AJ54" i="17" s="1"/>
  <c r="I22" i="12"/>
  <c r="I21" i="12"/>
  <c r="I56" i="16"/>
  <c r="I21" i="11"/>
  <c r="I22" i="11"/>
  <c r="AH41" i="16"/>
  <c r="AJ41" i="16" s="1"/>
  <c r="AB46" i="16"/>
  <c r="AB56" i="16" s="1"/>
  <c r="AH39" i="16"/>
  <c r="AJ39" i="16" s="1"/>
  <c r="AH54" i="16"/>
  <c r="AJ54" i="16" s="1"/>
  <c r="AI40" i="19"/>
  <c r="AK40" i="19" s="1"/>
  <c r="AC40" i="19"/>
  <c r="G104" i="17"/>
  <c r="E104" i="17"/>
  <c r="I104" i="17"/>
  <c r="G23" i="7" l="1"/>
  <c r="K23" i="7" s="1"/>
  <c r="I23" i="10"/>
  <c r="I21" i="10"/>
  <c r="K21" i="10"/>
  <c r="I22" i="10"/>
  <c r="K22" i="10"/>
  <c r="I20" i="9"/>
  <c r="X86" i="19"/>
  <c r="AI28" i="18"/>
  <c r="AI54" i="18" s="1"/>
  <c r="AK24" i="18"/>
  <c r="C33" i="7"/>
  <c r="C35" i="10"/>
  <c r="C39" i="10" s="1"/>
  <c r="C42" i="10" s="1"/>
  <c r="I20" i="12"/>
  <c r="G20" i="7"/>
  <c r="AH46" i="16"/>
  <c r="AJ46" i="16" s="1"/>
  <c r="AK113" i="20"/>
  <c r="AM113" i="20" s="1"/>
  <c r="J52" i="3"/>
  <c r="I23" i="7" l="1"/>
  <c r="I20" i="7"/>
  <c r="K20" i="7"/>
  <c r="AK28" i="18"/>
  <c r="AH56" i="16"/>
  <c r="AJ56" i="16" s="1"/>
  <c r="I34" i="11"/>
  <c r="AA31" i="3"/>
  <c r="AA29" i="3"/>
  <c r="AA28" i="3"/>
  <c r="AA27" i="3"/>
  <c r="AA22" i="3"/>
  <c r="AH99" i="17"/>
  <c r="AJ99" i="17" s="1"/>
  <c r="AH97" i="17"/>
  <c r="AJ97" i="17" s="1"/>
  <c r="AH96" i="17"/>
  <c r="AJ96" i="17" s="1"/>
  <c r="AH95" i="17"/>
  <c r="AJ95" i="17" s="1"/>
  <c r="AH94" i="17"/>
  <c r="AJ94" i="17" s="1"/>
  <c r="AH93" i="17"/>
  <c r="AJ93" i="17" s="1"/>
  <c r="AH92" i="17"/>
  <c r="AJ92" i="17" s="1"/>
  <c r="AH91" i="17"/>
  <c r="AJ91" i="17" s="1"/>
  <c r="AH87" i="17"/>
  <c r="AJ87" i="17" s="1"/>
  <c r="AH86" i="17"/>
  <c r="AJ86" i="17" s="1"/>
  <c r="AH84" i="17"/>
  <c r="AJ84" i="17" s="1"/>
  <c r="AH83" i="17"/>
  <c r="AJ83" i="17" s="1"/>
  <c r="AH80" i="17"/>
  <c r="AJ80" i="17" s="1"/>
  <c r="AH79" i="17"/>
  <c r="AJ79" i="17" s="1"/>
  <c r="AH78" i="17"/>
  <c r="AJ78" i="17" s="1"/>
  <c r="AH77" i="17"/>
  <c r="AJ77" i="17" s="1"/>
  <c r="AH75" i="17"/>
  <c r="AJ75" i="17" s="1"/>
  <c r="AH74" i="17"/>
  <c r="AJ74" i="17" s="1"/>
  <c r="AH73" i="17"/>
  <c r="AJ73" i="17" s="1"/>
  <c r="AH72" i="17"/>
  <c r="AJ72" i="17" s="1"/>
  <c r="AH71" i="17"/>
  <c r="AJ71" i="17" s="1"/>
  <c r="AH70" i="17"/>
  <c r="AJ70" i="17" s="1"/>
  <c r="AH68" i="17"/>
  <c r="AJ68" i="17" s="1"/>
  <c r="AH64" i="17"/>
  <c r="AJ64" i="17" s="1"/>
  <c r="AH63" i="17"/>
  <c r="AJ63" i="17" s="1"/>
  <c r="AH61" i="17"/>
  <c r="AJ61" i="17" s="1"/>
  <c r="AH60" i="17"/>
  <c r="AJ60" i="17" s="1"/>
  <c r="AK51" i="21" l="1"/>
  <c r="AK50" i="21"/>
  <c r="AK48" i="21"/>
  <c r="AK47" i="21"/>
  <c r="AK46" i="21"/>
  <c r="AM46" i="21" s="1"/>
  <c r="AK45" i="21"/>
  <c r="AK44" i="21"/>
  <c r="AK43" i="21"/>
  <c r="AK42" i="21"/>
  <c r="AK41" i="21"/>
  <c r="AM41" i="21" s="1"/>
  <c r="AK39" i="21"/>
  <c r="AK38" i="21"/>
  <c r="AK37" i="21"/>
  <c r="AK36" i="21"/>
  <c r="AK35" i="21"/>
  <c r="AK34" i="21"/>
  <c r="AK32" i="21"/>
  <c r="AM32" i="21" s="1"/>
  <c r="AK30" i="21"/>
  <c r="AK29" i="21"/>
  <c r="AK28" i="21"/>
  <c r="AK27" i="21"/>
  <c r="AK26" i="21"/>
  <c r="AK24" i="21"/>
  <c r="AK23" i="21"/>
  <c r="AK22" i="21"/>
  <c r="AK21" i="21"/>
  <c r="AM21" i="21" s="1"/>
  <c r="AK80" i="20"/>
  <c r="AM80" i="20" s="1"/>
  <c r="AK79" i="20"/>
  <c r="AM79" i="20" s="1"/>
  <c r="AK78" i="20"/>
  <c r="AM78" i="20" s="1"/>
  <c r="AK77" i="20"/>
  <c r="AM77" i="20" s="1"/>
  <c r="AK75" i="20"/>
  <c r="AM75" i="20" s="1"/>
  <c r="AK74" i="20"/>
  <c r="AM74" i="20" s="1"/>
  <c r="AK73" i="20"/>
  <c r="AK72" i="20"/>
  <c r="AM72" i="20" s="1"/>
  <c r="AK71" i="20"/>
  <c r="AM71" i="20" s="1"/>
  <c r="AK68" i="20"/>
  <c r="AM68" i="20" s="1"/>
  <c r="AK67" i="20"/>
  <c r="AM67" i="20" s="1"/>
  <c r="AK66" i="20"/>
  <c r="AM66" i="20" s="1"/>
  <c r="AK65" i="20"/>
  <c r="AM65" i="20" s="1"/>
  <c r="AK63" i="20"/>
  <c r="AK61" i="20"/>
  <c r="AM61" i="20" s="1"/>
  <c r="AK60" i="20"/>
  <c r="AM60" i="20" s="1"/>
  <c r="AK59" i="20"/>
  <c r="AM59" i="20" s="1"/>
  <c r="AK58" i="20"/>
  <c r="AM58" i="20" s="1"/>
  <c r="AK56" i="20"/>
  <c r="AM56" i="20" s="1"/>
  <c r="AK55" i="20"/>
  <c r="AM55" i="20" s="1"/>
  <c r="AK54" i="20"/>
  <c r="AM54" i="20" s="1"/>
  <c r="AK53" i="20"/>
  <c r="AM53" i="20" s="1"/>
  <c r="AK52" i="20"/>
  <c r="AM52" i="20" s="1"/>
  <c r="AK51" i="20"/>
  <c r="AM51" i="20" s="1"/>
  <c r="AK48" i="20"/>
  <c r="AM48" i="20" s="1"/>
  <c r="AK47" i="20"/>
  <c r="AM47" i="20" s="1"/>
  <c r="AK46" i="20"/>
  <c r="AM46" i="20" s="1"/>
  <c r="AK45" i="20"/>
  <c r="AM45" i="20" s="1"/>
  <c r="AK43" i="20"/>
  <c r="AM43" i="20" s="1"/>
  <c r="J116" i="19"/>
  <c r="AK84" i="21" l="1"/>
  <c r="AM84" i="21" s="1"/>
  <c r="R34" i="11"/>
  <c r="V34" i="11" s="1"/>
  <c r="AE56" i="21"/>
  <c r="AM56" i="21" s="1"/>
  <c r="AK19" i="21"/>
  <c r="G100" i="16"/>
  <c r="E100" i="16"/>
  <c r="AK70" i="20"/>
  <c r="AM70" i="20" s="1"/>
  <c r="J82" i="19"/>
  <c r="AB80" i="16"/>
  <c r="AB72" i="16"/>
  <c r="AB96" i="16"/>
  <c r="AH63" i="16"/>
  <c r="AJ63" i="16" s="1"/>
  <c r="AB73" i="16"/>
  <c r="AB84" i="16"/>
  <c r="AB93" i="16"/>
  <c r="AB78" i="16"/>
  <c r="AB77" i="16"/>
  <c r="AB61" i="16"/>
  <c r="AB94" i="16"/>
  <c r="AB97" i="16"/>
  <c r="AB68" i="16"/>
  <c r="AB64" i="16"/>
  <c r="AB71" i="16"/>
  <c r="AB87" i="16"/>
  <c r="AB75" i="16"/>
  <c r="AB79" i="16"/>
  <c r="AB83" i="16"/>
  <c r="AB91" i="16"/>
  <c r="AB95" i="16"/>
  <c r="AB99" i="16"/>
  <c r="AB70" i="16"/>
  <c r="AH70" i="16" s="1"/>
  <c r="AJ70" i="16" s="1"/>
  <c r="AB74" i="16"/>
  <c r="AB86" i="16"/>
  <c r="J100" i="19"/>
  <c r="J107" i="19" s="1"/>
  <c r="J86" i="19" l="1"/>
  <c r="J110" i="19" s="1"/>
  <c r="J120" i="19" s="1"/>
  <c r="AH68" i="16"/>
  <c r="AJ68" i="16" s="1"/>
  <c r="AH92" i="16"/>
  <c r="AJ92" i="16" s="1"/>
  <c r="AH64" i="16"/>
  <c r="AJ64" i="16" s="1"/>
  <c r="AH99" i="16"/>
  <c r="AJ99" i="16" s="1"/>
  <c r="AH94" i="16"/>
  <c r="AJ94" i="16" s="1"/>
  <c r="AH93" i="16"/>
  <c r="AJ93" i="16" s="1"/>
  <c r="AH79" i="16"/>
  <c r="AJ79" i="16" s="1"/>
  <c r="AH78" i="16"/>
  <c r="AJ78" i="16" s="1"/>
  <c r="AH77" i="16"/>
  <c r="AJ77" i="16" s="1"/>
  <c r="AH95" i="16"/>
  <c r="AJ95" i="16" s="1"/>
  <c r="AH73" i="16"/>
  <c r="AJ73" i="16" s="1"/>
  <c r="AH61" i="16"/>
  <c r="AJ61" i="16" s="1"/>
  <c r="AH74" i="16"/>
  <c r="AJ74" i="16" s="1"/>
  <c r="AH91" i="16"/>
  <c r="AJ91" i="16" s="1"/>
  <c r="AH87" i="16"/>
  <c r="AJ87" i="16" s="1"/>
  <c r="AH97" i="16"/>
  <c r="AJ97" i="16" s="1"/>
  <c r="AH80" i="16"/>
  <c r="AJ80" i="16" s="1"/>
  <c r="AH86" i="16"/>
  <c r="AJ86" i="16" s="1"/>
  <c r="AH75" i="16"/>
  <c r="AJ75" i="16" s="1"/>
  <c r="AH72" i="16"/>
  <c r="AJ72" i="16" s="1"/>
  <c r="AH84" i="16"/>
  <c r="AJ84" i="16" s="1"/>
  <c r="AH83" i="16"/>
  <c r="AJ83" i="16" s="1"/>
  <c r="AH71" i="16"/>
  <c r="AJ71" i="16" s="1"/>
  <c r="AH96" i="16"/>
  <c r="AJ96" i="16" s="1"/>
  <c r="R24" i="11"/>
  <c r="V24" i="11" s="1"/>
  <c r="AK52" i="21"/>
  <c r="G24" i="11"/>
  <c r="J21" i="3"/>
  <c r="AK81" i="20"/>
  <c r="AB60" i="16"/>
  <c r="I100" i="16"/>
  <c r="G27" i="11" l="1"/>
  <c r="K24" i="11"/>
  <c r="K27" i="11" s="1"/>
  <c r="G24" i="10"/>
  <c r="T24" i="11"/>
  <c r="I24" i="11"/>
  <c r="AM81" i="20"/>
  <c r="AH60" i="16"/>
  <c r="AJ60" i="16" s="1"/>
  <c r="I24" i="10" l="1"/>
  <c r="K24" i="10"/>
  <c r="AA21" i="3"/>
  <c r="I32" i="14" l="1"/>
  <c r="O23" i="26"/>
  <c r="AA14" i="27"/>
  <c r="H44" i="5" s="1"/>
  <c r="AA17" i="27"/>
  <c r="AD19" i="27"/>
  <c r="AA25" i="27"/>
  <c r="AA26"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AB30" i="26"/>
  <c r="D26" i="5" s="1"/>
  <c r="AB31" i="26"/>
  <c r="AE34" i="26"/>
  <c r="AB44" i="26"/>
  <c r="AB45" i="26"/>
  <c r="AH45" i="26" s="1"/>
  <c r="AJ45" i="26" s="1"/>
  <c r="A39" i="14"/>
  <c r="A38" i="12"/>
  <c r="A49" i="8"/>
  <c r="A48" i="8"/>
  <c r="E41" i="8"/>
  <c r="C41" i="8"/>
  <c r="E40" i="8"/>
  <c r="C40" i="8"/>
  <c r="E33" i="8"/>
  <c r="E32" i="8"/>
  <c r="E31" i="8"/>
  <c r="E34" i="8" s="1"/>
  <c r="E30" i="8"/>
  <c r="E29" i="8"/>
  <c r="C33" i="8"/>
  <c r="C32" i="8"/>
  <c r="C31" i="8"/>
  <c r="C30" i="8"/>
  <c r="C29" i="8"/>
  <c r="E25" i="8"/>
  <c r="C25" i="8"/>
  <c r="E24" i="8"/>
  <c r="C24" i="8"/>
  <c r="E23" i="8"/>
  <c r="E22" i="8"/>
  <c r="E20" i="8"/>
  <c r="C23" i="8"/>
  <c r="C21" i="8"/>
  <c r="C22" i="8"/>
  <c r="C20" i="8"/>
  <c r="C43" i="9"/>
  <c r="C31" i="9"/>
  <c r="C32" i="12"/>
  <c r="D36" i="5" l="1"/>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C36" i="12"/>
  <c r="C39" i="12"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2"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6" i="17"/>
  <c r="W136" i="17"/>
  <c r="U136" i="17"/>
  <c r="S136" i="17"/>
  <c r="Q136" i="17"/>
  <c r="O136" i="17"/>
  <c r="I136" i="17"/>
  <c r="G136" i="17"/>
  <c r="E136" i="17"/>
  <c r="AB134" i="17"/>
  <c r="AH134" i="17" s="1"/>
  <c r="AJ134" i="17" s="1"/>
  <c r="AB133" i="17"/>
  <c r="C136" i="17"/>
  <c r="AB125" i="17"/>
  <c r="AH125" i="17" s="1"/>
  <c r="AJ125" i="17" s="1"/>
  <c r="AB124" i="17"/>
  <c r="AH124" i="17" s="1"/>
  <c r="AJ124" i="17" s="1"/>
  <c r="AB122" i="17"/>
  <c r="AH122" i="17" s="1"/>
  <c r="AJ122" i="17" s="1"/>
  <c r="AB121" i="17"/>
  <c r="AH121" i="17" s="1"/>
  <c r="AJ121" i="17" s="1"/>
  <c r="AB120" i="17"/>
  <c r="AH120" i="17" s="1"/>
  <c r="AJ120" i="17" s="1"/>
  <c r="Y118" i="17"/>
  <c r="Y127" i="17" s="1"/>
  <c r="W118" i="17"/>
  <c r="W127" i="17" s="1"/>
  <c r="U118" i="17"/>
  <c r="U127" i="17" s="1"/>
  <c r="S118" i="17"/>
  <c r="S127" i="17" s="1"/>
  <c r="Q118" i="17"/>
  <c r="Q127" i="17" s="1"/>
  <c r="O118" i="17"/>
  <c r="O127" i="17" s="1"/>
  <c r="I118" i="17"/>
  <c r="I127" i="17" s="1"/>
  <c r="G118" i="17"/>
  <c r="G127" i="17" s="1"/>
  <c r="E118" i="17"/>
  <c r="E127" i="17" s="1"/>
  <c r="AB117" i="17"/>
  <c r="AH117" i="17" s="1"/>
  <c r="AJ117" i="17" s="1"/>
  <c r="AB116" i="17"/>
  <c r="AH116" i="17" s="1"/>
  <c r="AJ116" i="17" s="1"/>
  <c r="AB115" i="17"/>
  <c r="AH115" i="17" s="1"/>
  <c r="AJ115" i="17" s="1"/>
  <c r="AB114" i="17"/>
  <c r="AH114" i="17" s="1"/>
  <c r="AJ114" i="17" s="1"/>
  <c r="AB113" i="17"/>
  <c r="AH113" i="17" s="1"/>
  <c r="AJ113" i="17" s="1"/>
  <c r="AB112" i="17"/>
  <c r="AH112" i="17" s="1"/>
  <c r="AJ112" i="17" s="1"/>
  <c r="AB110" i="17"/>
  <c r="AH110" i="17" s="1"/>
  <c r="AJ110" i="17" s="1"/>
  <c r="AB109" i="17"/>
  <c r="AH109" i="17" s="1"/>
  <c r="AJ109" i="17" s="1"/>
  <c r="C118" i="17"/>
  <c r="C127" i="17" s="1"/>
  <c r="AB108" i="17"/>
  <c r="AB102" i="17"/>
  <c r="AH102" i="17" s="1"/>
  <c r="AJ102" i="17" s="1"/>
  <c r="AB16" i="17"/>
  <c r="AH16" i="17" s="1"/>
  <c r="AJ16" i="17" s="1"/>
  <c r="E43" i="9"/>
  <c r="E31" i="9"/>
  <c r="AH133" i="17" l="1"/>
  <c r="AB136" i="17"/>
  <c r="G25" i="13"/>
  <c r="S25" i="14"/>
  <c r="I25" i="14"/>
  <c r="S21" i="14"/>
  <c r="I130" i="17"/>
  <c r="I140" i="17" s="1"/>
  <c r="Q130" i="17"/>
  <c r="Q140" i="17" s="1"/>
  <c r="Y130" i="17"/>
  <c r="Y140" i="17" s="1"/>
  <c r="U130" i="17"/>
  <c r="U140" i="17" s="1"/>
  <c r="E130" i="17"/>
  <c r="E140" i="17" s="1"/>
  <c r="S130" i="17"/>
  <c r="S140" i="17" s="1"/>
  <c r="E33" i="14"/>
  <c r="E37" i="14" s="1"/>
  <c r="AA53" i="3"/>
  <c r="H48" i="3"/>
  <c r="H57" i="3" s="1"/>
  <c r="Y53" i="3"/>
  <c r="AA37" i="3"/>
  <c r="AA45" i="3" s="1"/>
  <c r="Y37" i="3"/>
  <c r="Y45" i="3" s="1"/>
  <c r="E37" i="8"/>
  <c r="E47" i="9"/>
  <c r="E50" i="9" s="1"/>
  <c r="AE142" i="17"/>
  <c r="AB118" i="17"/>
  <c r="AB127" i="17" s="1"/>
  <c r="AH108" i="17"/>
  <c r="AJ108" i="17" s="1"/>
  <c r="G130" i="17"/>
  <c r="G140" i="17" s="1"/>
  <c r="O130" i="17"/>
  <c r="O140" i="17" s="1"/>
  <c r="W130" i="17"/>
  <c r="W140" i="17" s="1"/>
  <c r="AH136" i="17" l="1"/>
  <c r="AJ136" i="17" s="1"/>
  <c r="AJ133" i="17"/>
  <c r="I25" i="13"/>
  <c r="K25" i="13"/>
  <c r="AH118" i="17"/>
  <c r="E49" i="8"/>
  <c r="P39" i="11"/>
  <c r="P42" i="11" s="1"/>
  <c r="E40" i="14"/>
  <c r="Y48" i="3"/>
  <c r="Y57" i="3" s="1"/>
  <c r="Y61" i="3" s="1"/>
  <c r="O37" i="14"/>
  <c r="O40" i="14" s="1"/>
  <c r="E42" i="11"/>
  <c r="AH127" i="17" l="1"/>
  <c r="AJ127" i="17" s="1"/>
  <c r="AJ118" i="17"/>
  <c r="AC46" i="19"/>
  <c r="AI46" i="19" s="1"/>
  <c r="AK46" i="19" s="1"/>
  <c r="AC47" i="19"/>
  <c r="AI47" i="19" s="1"/>
  <c r="AK47" i="19" s="1"/>
  <c r="AC49" i="19"/>
  <c r="AI49" i="19" s="1"/>
  <c r="AK49" i="19" s="1"/>
  <c r="AC53" i="19"/>
  <c r="AI53" i="19" s="1"/>
  <c r="AK53" i="19" s="1"/>
  <c r="AC54" i="19"/>
  <c r="AI54" i="19" s="1"/>
  <c r="AK54" i="19" s="1"/>
  <c r="AC56" i="19"/>
  <c r="AI56" i="19" s="1"/>
  <c r="AK56" i="19" s="1"/>
  <c r="AC60" i="19"/>
  <c r="AI60" i="19" s="1"/>
  <c r="AK60" i="19" s="1"/>
  <c r="AC65" i="19"/>
  <c r="AI65" i="19" s="1"/>
  <c r="AK65" i="19" s="1"/>
  <c r="AC67" i="19"/>
  <c r="AI67" i="19" s="1"/>
  <c r="AK67" i="19" s="1"/>
  <c r="AC68" i="19"/>
  <c r="AI68" i="19" s="1"/>
  <c r="AK68" i="19" s="1"/>
  <c r="AC69" i="19"/>
  <c r="AI69" i="19" s="1"/>
  <c r="AK69" i="19" s="1"/>
  <c r="AC72" i="19"/>
  <c r="AI72" i="19" s="1"/>
  <c r="AK72" i="19" s="1"/>
  <c r="AC74" i="19"/>
  <c r="AI74" i="19" s="1"/>
  <c r="AC75" i="19"/>
  <c r="AI75" i="19" s="1"/>
  <c r="AK75" i="19" s="1"/>
  <c r="AC76" i="19"/>
  <c r="AI76" i="19" s="1"/>
  <c r="AK76" i="19" s="1"/>
  <c r="AC78" i="19"/>
  <c r="AI78" i="19" s="1"/>
  <c r="AK78" i="19" s="1"/>
  <c r="AC81" i="19"/>
  <c r="AI81" i="19" s="1"/>
  <c r="AK81" i="19" s="1"/>
  <c r="AC80" i="19"/>
  <c r="AI80" i="19" s="1"/>
  <c r="AK80" i="19" s="1"/>
  <c r="AC61" i="19"/>
  <c r="AI61" i="19" s="1"/>
  <c r="AK61" i="19" s="1"/>
  <c r="AC52" i="19"/>
  <c r="AI52" i="19" s="1"/>
  <c r="AK52" i="19" s="1"/>
  <c r="AC64" i="19"/>
  <c r="AI64" i="19" s="1"/>
  <c r="AC59" i="19"/>
  <c r="AI59" i="19" s="1"/>
  <c r="AK59" i="19" s="1"/>
  <c r="AC87" i="18"/>
  <c r="AI87" i="18" s="1"/>
  <c r="AK87" i="18" s="1"/>
  <c r="AC86" i="18"/>
  <c r="AC83" i="18"/>
  <c r="AC82" i="18"/>
  <c r="AC79" i="18"/>
  <c r="AC78" i="18"/>
  <c r="AI78" i="18" s="1"/>
  <c r="AK78" i="18" s="1"/>
  <c r="AC76" i="18"/>
  <c r="AC75" i="18"/>
  <c r="AC73" i="18"/>
  <c r="AI73" i="18" s="1"/>
  <c r="AK73" i="18" s="1"/>
  <c r="AC72" i="18"/>
  <c r="AC71" i="18"/>
  <c r="AC69" i="18"/>
  <c r="AC68" i="18"/>
  <c r="AC67" i="18"/>
  <c r="AC66" i="18"/>
  <c r="AC62" i="18"/>
  <c r="AI62" i="18" s="1"/>
  <c r="AK62" i="18" s="1"/>
  <c r="AC61" i="18"/>
  <c r="AI61" i="18" s="1"/>
  <c r="AK61" i="18" s="1"/>
  <c r="AC59" i="18"/>
  <c r="C89" i="17" l="1"/>
  <c r="AB89" i="17" s="1"/>
  <c r="AH89" i="17" s="1"/>
  <c r="AJ89" i="17" s="1"/>
  <c r="C89" i="16"/>
  <c r="AB89" i="16" s="1"/>
  <c r="C85" i="17"/>
  <c r="AB85" i="17" s="1"/>
  <c r="AH85" i="17" s="1"/>
  <c r="AJ85" i="17" s="1"/>
  <c r="C85" i="16"/>
  <c r="AB85" i="16" s="1"/>
  <c r="C65" i="17"/>
  <c r="AB65" i="17" s="1"/>
  <c r="C65" i="16"/>
  <c r="C98" i="17"/>
  <c r="C98" i="16"/>
  <c r="AB98" i="16" s="1"/>
  <c r="C66" i="17"/>
  <c r="AB66" i="17" s="1"/>
  <c r="AH66" i="17" s="1"/>
  <c r="AJ66" i="17" s="1"/>
  <c r="C66" i="16"/>
  <c r="AB66" i="16" s="1"/>
  <c r="AB82" i="17"/>
  <c r="AH82" i="17" s="1"/>
  <c r="AB90" i="17"/>
  <c r="AH90" i="17" s="1"/>
  <c r="AJ90" i="17" s="1"/>
  <c r="AC64" i="18"/>
  <c r="AI64" i="18" s="1"/>
  <c r="AK64" i="18" s="1"/>
  <c r="AC63" i="18"/>
  <c r="AI63" i="18" s="1"/>
  <c r="AK63" i="18" s="1"/>
  <c r="AC77" i="18"/>
  <c r="AI77" i="18" s="1"/>
  <c r="AB90" i="16"/>
  <c r="AC81" i="18"/>
  <c r="AI81" i="18" s="1"/>
  <c r="AK81" i="18" s="1"/>
  <c r="AB82" i="16"/>
  <c r="AC88" i="18"/>
  <c r="AI88" i="18" s="1"/>
  <c r="AK88" i="18" s="1"/>
  <c r="AC79" i="19"/>
  <c r="AI79" i="19" s="1"/>
  <c r="AK79" i="19" s="1"/>
  <c r="AC77" i="19"/>
  <c r="AI77" i="19" s="1"/>
  <c r="AK77" i="19" s="1"/>
  <c r="AC73" i="19"/>
  <c r="AI73" i="19" s="1"/>
  <c r="AK73" i="19" s="1"/>
  <c r="AC71" i="19"/>
  <c r="AI71" i="19" s="1"/>
  <c r="AK71" i="19" s="1"/>
  <c r="AC66" i="19"/>
  <c r="AI66" i="19" s="1"/>
  <c r="AK66" i="19" s="1"/>
  <c r="AC62" i="19"/>
  <c r="AI62" i="19" s="1"/>
  <c r="AK62" i="19" s="1"/>
  <c r="AC57" i="19"/>
  <c r="AI57" i="19" s="1"/>
  <c r="AK57" i="19" s="1"/>
  <c r="AC55" i="19"/>
  <c r="AI55" i="19" s="1"/>
  <c r="AK55" i="19" s="1"/>
  <c r="AC48" i="19"/>
  <c r="AI48" i="19" s="1"/>
  <c r="AK48" i="19" s="1"/>
  <c r="AC44" i="19"/>
  <c r="AI86" i="18"/>
  <c r="AI83" i="18"/>
  <c r="AK83" i="18" s="1"/>
  <c r="AI82" i="18"/>
  <c r="AI79" i="18"/>
  <c r="AK79" i="18" s="1"/>
  <c r="AI76" i="18"/>
  <c r="AK76" i="18" s="1"/>
  <c r="AI75" i="18"/>
  <c r="AK75" i="18" s="1"/>
  <c r="AI72" i="18"/>
  <c r="AK72" i="18" s="1"/>
  <c r="AI71" i="18"/>
  <c r="AK71" i="18" s="1"/>
  <c r="AI70" i="18"/>
  <c r="AK70" i="18" s="1"/>
  <c r="AI69" i="18"/>
  <c r="AK69" i="18" s="1"/>
  <c r="AI68" i="18"/>
  <c r="AK68" i="18" s="1"/>
  <c r="AI67" i="18"/>
  <c r="AK67" i="18" s="1"/>
  <c r="AI66" i="18"/>
  <c r="AK66" i="18" s="1"/>
  <c r="AI59" i="18"/>
  <c r="AK59" i="18" s="1"/>
  <c r="AI58" i="18"/>
  <c r="AK58" i="18" s="1"/>
  <c r="D89" i="18"/>
  <c r="D93" i="18" l="1"/>
  <c r="D21" i="3"/>
  <c r="AH66" i="16"/>
  <c r="AJ66" i="16" s="1"/>
  <c r="AH98" i="16"/>
  <c r="AJ98" i="16" s="1"/>
  <c r="AH90" i="16"/>
  <c r="AJ90" i="16" s="1"/>
  <c r="AH89" i="16"/>
  <c r="AJ89" i="16" s="1"/>
  <c r="AH82" i="16"/>
  <c r="AJ82" i="16" s="1"/>
  <c r="AH85" i="16"/>
  <c r="AJ85" i="16" s="1"/>
  <c r="AC82" i="19"/>
  <c r="C100" i="17"/>
  <c r="C104" i="17" s="1"/>
  <c r="AB98" i="17"/>
  <c r="AH98" i="17" s="1"/>
  <c r="AJ98" i="17" s="1"/>
  <c r="AH65" i="17"/>
  <c r="AJ65" i="17" s="1"/>
  <c r="AB65" i="16"/>
  <c r="C100" i="16"/>
  <c r="AI44" i="19"/>
  <c r="AK44" i="19" s="1"/>
  <c r="AI89" i="18"/>
  <c r="AK89" i="18" s="1"/>
  <c r="AC89" i="18"/>
  <c r="G24" i="9" s="1"/>
  <c r="K24" i="9" s="1"/>
  <c r="I24" i="9" l="1"/>
  <c r="AB100" i="17"/>
  <c r="AB104" i="17" s="1"/>
  <c r="AH100" i="17"/>
  <c r="AJ100" i="17" s="1"/>
  <c r="AH65" i="16"/>
  <c r="AJ65" i="16" s="1"/>
  <c r="AB100" i="16"/>
  <c r="AI82" i="19"/>
  <c r="C130" i="17"/>
  <c r="C140" i="17" s="1"/>
  <c r="C142" i="17" s="1"/>
  <c r="F18" i="2"/>
  <c r="E16" i="17" l="1"/>
  <c r="E142" i="17" s="1"/>
  <c r="AH104" i="17"/>
  <c r="AJ104" i="17" s="1"/>
  <c r="AH100" i="16"/>
  <c r="AJ100" i="16" s="1"/>
  <c r="F21" i="3"/>
  <c r="G16" i="17" l="1"/>
  <c r="G142" i="17" s="1"/>
  <c r="AB130" i="17"/>
  <c r="I16" i="17" l="1"/>
  <c r="I142" i="17" s="1"/>
  <c r="AH130" i="17"/>
  <c r="AJ130" i="17" s="1"/>
  <c r="AB140" i="17"/>
  <c r="K16" i="17" l="1"/>
  <c r="K142" i="17" s="1"/>
  <c r="AB142" i="17"/>
  <c r="AH142" i="17" s="1"/>
  <c r="AJ142" i="17" s="1"/>
  <c r="AH140" i="17"/>
  <c r="AJ140" i="17" s="1"/>
  <c r="M16" i="17" l="1"/>
  <c r="M142" i="17" s="1"/>
  <c r="H86" i="19"/>
  <c r="G104"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6" i="17" l="1"/>
  <c r="O142" i="17" s="1"/>
  <c r="D37" i="3"/>
  <c r="D45" i="3" s="1"/>
  <c r="R27" i="3"/>
  <c r="R37" i="3" s="1"/>
  <c r="D53" i="3"/>
  <c r="R20" i="3"/>
  <c r="R52" i="3"/>
  <c r="D23" i="3"/>
  <c r="R18" i="3"/>
  <c r="R17" i="3"/>
  <c r="R40" i="3"/>
  <c r="L45" i="3"/>
  <c r="L53" i="3"/>
  <c r="R51" i="3"/>
  <c r="Q16" i="17" l="1"/>
  <c r="Q142" i="17" s="1"/>
  <c r="R45" i="3"/>
  <c r="D48" i="3"/>
  <c r="D57" i="3" s="1"/>
  <c r="R53" i="3"/>
  <c r="S16" i="17" l="1"/>
  <c r="S142" i="17" s="1"/>
  <c r="U142" i="17" s="1"/>
  <c r="W142" i="17" s="1"/>
  <c r="Y142" i="17" s="1"/>
  <c r="G26" i="10"/>
  <c r="K26" i="10" s="1"/>
  <c r="G65" i="23"/>
  <c r="L22" i="3"/>
  <c r="AH99" i="20"/>
  <c r="AH106" i="20" l="1"/>
  <c r="I26" i="10"/>
  <c r="I26" i="11"/>
  <c r="I27" i="11" s="1"/>
  <c r="R22" i="3"/>
  <c r="R23" i="3" s="1"/>
  <c r="R48" i="3" s="1"/>
  <c r="R57" i="3" s="1"/>
  <c r="L23" i="3"/>
  <c r="L48" i="3" s="1"/>
  <c r="L57" i="3" s="1"/>
  <c r="G30" i="9"/>
  <c r="K30" i="9" s="1"/>
  <c r="AC97" i="18"/>
  <c r="AC98" i="18"/>
  <c r="AC99" i="18"/>
  <c r="AC101" i="18"/>
  <c r="AC102" i="18"/>
  <c r="AC103" i="18"/>
  <c r="AC104" i="18"/>
  <c r="AC105" i="18"/>
  <c r="AC106" i="18"/>
  <c r="AC109" i="18"/>
  <c r="F15" i="6"/>
  <c r="I30" i="9" l="1"/>
  <c r="AI121" i="18"/>
  <c r="AK121" i="18" s="1"/>
  <c r="G28" i="9"/>
  <c r="K28" i="9" s="1"/>
  <c r="AI122" i="18"/>
  <c r="AK122" i="18" s="1"/>
  <c r="G29" i="9"/>
  <c r="K29" i="9" s="1"/>
  <c r="F86" i="19"/>
  <c r="E104" i="16"/>
  <c r="AI123" i="18"/>
  <c r="AK123" i="18" s="1"/>
  <c r="I29" i="9" l="1"/>
  <c r="I28" i="9"/>
  <c r="X29" i="27"/>
  <c r="R32" i="11"/>
  <c r="V32" i="11" s="1"/>
  <c r="J40" i="3"/>
  <c r="J36" i="3"/>
  <c r="J35" i="3"/>
  <c r="J34" i="3"/>
  <c r="J33" i="3"/>
  <c r="J32" i="3"/>
  <c r="J31" i="3"/>
  <c r="J29" i="3"/>
  <c r="J28" i="3"/>
  <c r="J27" i="3"/>
  <c r="R25" i="11" l="1"/>
  <c r="V25" i="11" s="1"/>
  <c r="T32" i="11"/>
  <c r="J22" i="3"/>
  <c r="AE85" i="20"/>
  <c r="AM85" i="20" s="1"/>
  <c r="R31" i="11"/>
  <c r="V31" i="11" s="1"/>
  <c r="J44" i="3"/>
  <c r="T44" i="3" s="1"/>
  <c r="G33" i="11"/>
  <c r="J41" i="3"/>
  <c r="G32" i="11"/>
  <c r="J39" i="3"/>
  <c r="G31" i="11"/>
  <c r="K31" i="11" s="1"/>
  <c r="J37" i="3"/>
  <c r="G26" i="13"/>
  <c r="K26" i="13" s="1"/>
  <c r="AL82" i="24"/>
  <c r="AL81" i="24"/>
  <c r="AL80" i="24"/>
  <c r="AL77" i="24"/>
  <c r="AN77" i="24" s="1"/>
  <c r="AL75" i="24"/>
  <c r="AN75" i="24" s="1"/>
  <c r="AL74" i="24"/>
  <c r="AL73" i="24"/>
  <c r="AN73" i="24" s="1"/>
  <c r="AL72" i="24"/>
  <c r="AF27" i="24"/>
  <c r="AI75" i="25"/>
  <c r="AA75" i="25"/>
  <c r="Y75" i="25"/>
  <c r="W75" i="25"/>
  <c r="S75" i="25"/>
  <c r="Q75" i="25"/>
  <c r="O75" i="25"/>
  <c r="M75" i="25"/>
  <c r="K75" i="25"/>
  <c r="I75" i="25"/>
  <c r="G75" i="25"/>
  <c r="E75" i="25"/>
  <c r="AI59" i="25"/>
  <c r="AA59" i="25"/>
  <c r="AA66" i="25" s="1"/>
  <c r="Y59" i="25"/>
  <c r="Y66" i="25" s="1"/>
  <c r="W59" i="25"/>
  <c r="W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U39" i="26" s="1"/>
  <c r="U53" i="26" s="1"/>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8" i="28" s="1"/>
  <c r="B37" i="28" s="1"/>
  <c r="B38" i="28" s="1"/>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S78" i="24"/>
  <c r="S85" i="24" s="1"/>
  <c r="Q78" i="24"/>
  <c r="Q85" i="24" s="1"/>
  <c r="O78" i="24"/>
  <c r="O85" i="24" s="1"/>
  <c r="M78" i="24"/>
  <c r="M85" i="24" s="1"/>
  <c r="K78" i="24"/>
  <c r="K85" i="24" s="1"/>
  <c r="I78" i="24"/>
  <c r="I85" i="24" s="1"/>
  <c r="G78" i="24"/>
  <c r="G85" i="24" s="1"/>
  <c r="E95" i="24"/>
  <c r="E78" i="24"/>
  <c r="Y96" i="23"/>
  <c r="W96" i="23"/>
  <c r="G96" i="23"/>
  <c r="Y79" i="23"/>
  <c r="Y86" i="23" s="1"/>
  <c r="W79" i="23"/>
  <c r="W86" i="23" s="1"/>
  <c r="W89" i="23" s="1"/>
  <c r="G79" i="23"/>
  <c r="G86" i="23" s="1"/>
  <c r="G31" i="12"/>
  <c r="K31" i="12" s="1"/>
  <c r="AA62" i="22"/>
  <c r="G25" i="12" s="1"/>
  <c r="K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99" i="20"/>
  <c r="Z115" i="20"/>
  <c r="X115" i="20"/>
  <c r="V115" i="20"/>
  <c r="T115" i="20"/>
  <c r="R115" i="20"/>
  <c r="P115" i="20"/>
  <c r="N115" i="20"/>
  <c r="L115" i="20"/>
  <c r="J115" i="20"/>
  <c r="H115" i="20"/>
  <c r="F115" i="20"/>
  <c r="Z99" i="20"/>
  <c r="Z106" i="20" s="1"/>
  <c r="X99" i="20"/>
  <c r="X106" i="20" s="1"/>
  <c r="V99" i="20"/>
  <c r="V106" i="20" s="1"/>
  <c r="T99" i="20"/>
  <c r="T106" i="20" s="1"/>
  <c r="T109" i="20" s="1"/>
  <c r="R99" i="20"/>
  <c r="R106" i="20" s="1"/>
  <c r="P99" i="20"/>
  <c r="P106" i="20" s="1"/>
  <c r="N99" i="20"/>
  <c r="N106" i="20" s="1"/>
  <c r="L99" i="20"/>
  <c r="L106" i="20" s="1"/>
  <c r="J99" i="20"/>
  <c r="J106" i="20" s="1"/>
  <c r="H99" i="20"/>
  <c r="H106" i="20" s="1"/>
  <c r="F99" i="20"/>
  <c r="F106" i="20" s="1"/>
  <c r="D115" i="20"/>
  <c r="D99" i="20"/>
  <c r="D106" i="20" s="1"/>
  <c r="D109" i="20" s="1"/>
  <c r="Z116" i="19"/>
  <c r="X116" i="19"/>
  <c r="V116" i="19"/>
  <c r="T116" i="19"/>
  <c r="R116" i="19"/>
  <c r="P116" i="19"/>
  <c r="N116" i="19"/>
  <c r="H116" i="19"/>
  <c r="F116" i="19"/>
  <c r="Z100" i="19"/>
  <c r="Z107" i="19" s="1"/>
  <c r="X100" i="19"/>
  <c r="X107" i="19" s="1"/>
  <c r="X110" i="19" s="1"/>
  <c r="V100" i="19"/>
  <c r="V107" i="19" s="1"/>
  <c r="T100" i="19"/>
  <c r="T107" i="19" s="1"/>
  <c r="R100" i="19"/>
  <c r="R107" i="19" s="1"/>
  <c r="P100" i="19"/>
  <c r="P107" i="19" s="1"/>
  <c r="N100" i="19"/>
  <c r="N107" i="19" s="1"/>
  <c r="N110" i="19" s="1"/>
  <c r="H100" i="19"/>
  <c r="F100" i="19"/>
  <c r="F107" i="19" s="1"/>
  <c r="D116" i="19"/>
  <c r="AF131" i="18"/>
  <c r="AF107" i="18"/>
  <c r="AF113" i="18" s="1"/>
  <c r="K21" i="14" l="1"/>
  <c r="G21" i="14"/>
  <c r="R28" i="28"/>
  <c r="N28" i="28"/>
  <c r="G30" i="11"/>
  <c r="K30" i="11" s="1"/>
  <c r="AM99" i="20"/>
  <c r="AH77" i="21"/>
  <c r="L37" i="28"/>
  <c r="K29" i="12"/>
  <c r="I29" i="12"/>
  <c r="T28" i="28"/>
  <c r="T37" i="28" s="1"/>
  <c r="N37" i="28"/>
  <c r="V37" i="28"/>
  <c r="X37" i="28"/>
  <c r="R37" i="28"/>
  <c r="G32" i="10"/>
  <c r="K32" i="10" s="1"/>
  <c r="K32" i="11"/>
  <c r="G33" i="10"/>
  <c r="K33" i="10" s="1"/>
  <c r="K33" i="11"/>
  <c r="F34" i="27"/>
  <c r="F48" i="27" s="1"/>
  <c r="H28" i="28"/>
  <c r="H37" i="28" s="1"/>
  <c r="D13" i="28"/>
  <c r="G25" i="10"/>
  <c r="H107" i="19"/>
  <c r="H110" i="19" s="1"/>
  <c r="H120" i="19" s="1"/>
  <c r="E85" i="24"/>
  <c r="E88" i="24" s="1"/>
  <c r="E100" i="24" s="1"/>
  <c r="E66" i="25"/>
  <c r="E69" i="25" s="1"/>
  <c r="E79" i="25" s="1"/>
  <c r="W39" i="26"/>
  <c r="W53" i="26" s="1"/>
  <c r="T28" i="29"/>
  <c r="T37" i="29" s="1"/>
  <c r="S39" i="26"/>
  <c r="S53" i="26" s="1"/>
  <c r="T119"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I26" i="13"/>
  <c r="X120" i="19"/>
  <c r="N120" i="19"/>
  <c r="D119" i="20"/>
  <c r="I24" i="14"/>
  <c r="I26" i="14"/>
  <c r="I31" i="12"/>
  <c r="I25" i="12"/>
  <c r="G21" i="13"/>
  <c r="K21" i="13" s="1"/>
  <c r="AF22" i="24"/>
  <c r="T31" i="11"/>
  <c r="I31" i="11"/>
  <c r="I32" i="11"/>
  <c r="I33" i="11"/>
  <c r="O101" i="23"/>
  <c r="W101" i="23"/>
  <c r="AG45" i="22"/>
  <c r="AI45" i="22" s="1"/>
  <c r="G24" i="12"/>
  <c r="K24" i="12" s="1"/>
  <c r="D47" i="32"/>
  <c r="AG33" i="29"/>
  <c r="AI33" i="29" s="1"/>
  <c r="AG25" i="29"/>
  <c r="AI25" i="29" s="1"/>
  <c r="N109" i="20"/>
  <c r="N119" i="20" s="1"/>
  <c r="V109" i="20"/>
  <c r="V119" i="20" s="1"/>
  <c r="L109" i="20"/>
  <c r="L119" i="20" s="1"/>
  <c r="P109" i="20"/>
  <c r="P119" i="20" s="1"/>
  <c r="X109" i="20"/>
  <c r="X119" i="20" s="1"/>
  <c r="R109" i="20"/>
  <c r="R119" i="20" s="1"/>
  <c r="Z109" i="20"/>
  <c r="Z119" i="20" s="1"/>
  <c r="AL75" i="25"/>
  <c r="AN75" i="25" s="1"/>
  <c r="G32" i="13"/>
  <c r="K32" i="13" s="1"/>
  <c r="AL91" i="24"/>
  <c r="AF95" i="24"/>
  <c r="AD44" i="3"/>
  <c r="AF44" i="3" s="1"/>
  <c r="G33" i="8"/>
  <c r="K33" i="8" s="1"/>
  <c r="J45" i="3"/>
  <c r="J109" i="20"/>
  <c r="J119" i="20" s="1"/>
  <c r="J23" i="3"/>
  <c r="Q88" i="24"/>
  <c r="Q100" i="24" s="1"/>
  <c r="K88" i="24"/>
  <c r="K100" i="24" s="1"/>
  <c r="S88" i="24"/>
  <c r="S100" i="24" s="1"/>
  <c r="AA88" i="24"/>
  <c r="AA100" i="24" s="1"/>
  <c r="W88" i="24"/>
  <c r="W100" i="24" s="1"/>
  <c r="M88" i="24"/>
  <c r="M100" i="24" s="1"/>
  <c r="Y88" i="24"/>
  <c r="Y100" i="24" s="1"/>
  <c r="O88" i="24"/>
  <c r="O100" i="24" s="1"/>
  <c r="AL62" i="24"/>
  <c r="AN62" i="24" s="1"/>
  <c r="AL83" i="24"/>
  <c r="AN83" i="24" s="1"/>
  <c r="O69" i="25"/>
  <c r="O79" i="25" s="1"/>
  <c r="M69" i="25"/>
  <c r="M79" i="25" s="1"/>
  <c r="W69" i="25"/>
  <c r="W79" i="25" s="1"/>
  <c r="K69" i="25"/>
  <c r="K79" i="25" s="1"/>
  <c r="S69" i="25"/>
  <c r="S79" i="25" s="1"/>
  <c r="AA69" i="25"/>
  <c r="AA79" i="25" s="1"/>
  <c r="Q69" i="25"/>
  <c r="Q79" i="25" s="1"/>
  <c r="Y69" i="25"/>
  <c r="Y79" i="25" s="1"/>
  <c r="AL50" i="25"/>
  <c r="AN50" i="25" s="1"/>
  <c r="I39" i="26"/>
  <c r="I53" i="26" s="1"/>
  <c r="C39" i="26"/>
  <c r="C53" i="26" s="1"/>
  <c r="C55" i="26" s="1"/>
  <c r="E16" i="26" s="1"/>
  <c r="K39" i="26"/>
  <c r="K53" i="26" s="1"/>
  <c r="J48" i="27"/>
  <c r="R48" i="27"/>
  <c r="L48" i="27"/>
  <c r="T48" i="27"/>
  <c r="H34" i="27"/>
  <c r="H48" i="27" s="1"/>
  <c r="P34" i="27"/>
  <c r="P48" i="27" s="1"/>
  <c r="B48" i="27"/>
  <c r="B50" i="27" s="1"/>
  <c r="AD28" i="29"/>
  <c r="AD37" i="29" s="1"/>
  <c r="AD38" i="29" s="1"/>
  <c r="D28" i="29"/>
  <c r="D37" i="29" s="1"/>
  <c r="AA17" i="29"/>
  <c r="AG16" i="29"/>
  <c r="AI16" i="29" s="1"/>
  <c r="Y89" i="23"/>
  <c r="Y101" i="23" s="1"/>
  <c r="K101" i="23"/>
  <c r="G23" i="12"/>
  <c r="K23" i="12" s="1"/>
  <c r="AG53" i="22"/>
  <c r="AI53" i="22" s="1"/>
  <c r="G30" i="12"/>
  <c r="P110" i="19"/>
  <c r="P120" i="19" s="1"/>
  <c r="R110" i="19"/>
  <c r="R120" i="19" s="1"/>
  <c r="Z110" i="19"/>
  <c r="Z120" i="19" s="1"/>
  <c r="T110" i="19"/>
  <c r="T120" i="19" s="1"/>
  <c r="V110" i="19"/>
  <c r="V120" i="19" s="1"/>
  <c r="G39" i="26"/>
  <c r="G53" i="26" s="1"/>
  <c r="AG63" i="22"/>
  <c r="AI63" i="22" s="1"/>
  <c r="AG62" i="22"/>
  <c r="AI62" i="22" s="1"/>
  <c r="F28" i="28"/>
  <c r="F37" i="28" s="1"/>
  <c r="H109" i="20"/>
  <c r="H119"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G89" i="23"/>
  <c r="G101" i="23" s="1"/>
  <c r="AL76" i="24"/>
  <c r="AN76" i="24" s="1"/>
  <c r="AL69" i="24"/>
  <c r="AN69" i="24" s="1"/>
  <c r="AF78" i="24"/>
  <c r="K30" i="14" s="1"/>
  <c r="G88" i="24"/>
  <c r="G100" i="24" s="1"/>
  <c r="AL68" i="24"/>
  <c r="AN68" i="24" s="1"/>
  <c r="AF75" i="25"/>
  <c r="AL58" i="25"/>
  <c r="AF59" i="25"/>
  <c r="Q30" i="14" s="1"/>
  <c r="U30" i="14" s="1"/>
  <c r="G69" i="25"/>
  <c r="G79" i="25" s="1"/>
  <c r="AL43" i="25"/>
  <c r="AN43" i="25" s="1"/>
  <c r="AA65" i="22"/>
  <c r="AA55" i="22"/>
  <c r="AG51" i="22"/>
  <c r="AI51" i="22" s="1"/>
  <c r="AH109" i="20"/>
  <c r="AH119" i="20" s="1"/>
  <c r="AK99" i="20"/>
  <c r="F109" i="20"/>
  <c r="F119" i="20" s="1"/>
  <c r="AE106" i="20"/>
  <c r="AM106" i="20" s="1"/>
  <c r="F110" i="19"/>
  <c r="F120" i="19" s="1"/>
  <c r="H47" i="32"/>
  <c r="L44" i="32"/>
  <c r="F47" i="32"/>
  <c r="L23" i="32"/>
  <c r="G42" i="31"/>
  <c r="E42" i="31"/>
  <c r="C42" i="31"/>
  <c r="AF116" i="18"/>
  <c r="AF135" i="18" s="1"/>
  <c r="AF137" i="18" s="1"/>
  <c r="AA33" i="29"/>
  <c r="AA25" i="29"/>
  <c r="J18" i="33"/>
  <c r="K39" i="31"/>
  <c r="K25" i="31"/>
  <c r="W137" i="16"/>
  <c r="U137" i="16"/>
  <c r="S137" i="16"/>
  <c r="Q137" i="16"/>
  <c r="O137" i="16"/>
  <c r="M137" i="16"/>
  <c r="Y118" i="16"/>
  <c r="Y127" i="16" s="1"/>
  <c r="W118" i="16"/>
  <c r="W127" i="16" s="1"/>
  <c r="U118" i="16"/>
  <c r="U127" i="16" s="1"/>
  <c r="S118" i="16"/>
  <c r="S127" i="16" s="1"/>
  <c r="Q118" i="16"/>
  <c r="Q127" i="16" s="1"/>
  <c r="O118" i="16"/>
  <c r="O127" i="16" s="1"/>
  <c r="M118" i="16"/>
  <c r="M127" i="16" s="1"/>
  <c r="N34" i="6"/>
  <c r="N26" i="6"/>
  <c r="N19" i="6"/>
  <c r="N34" i="2"/>
  <c r="L34" i="2"/>
  <c r="K130" i="30"/>
  <c r="K131" i="30"/>
  <c r="K133" i="30"/>
  <c r="K134" i="30"/>
  <c r="K135" i="30"/>
  <c r="K136" i="30"/>
  <c r="K137" i="30"/>
  <c r="K138" i="30"/>
  <c r="K139" i="30"/>
  <c r="K140" i="30"/>
  <c r="K141" i="30"/>
  <c r="K142" i="30"/>
  <c r="K144" i="30"/>
  <c r="K145" i="30"/>
  <c r="K146" i="30"/>
  <c r="K147" i="30"/>
  <c r="K148" i="30"/>
  <c r="K149" i="30"/>
  <c r="K129" i="30"/>
  <c r="K113" i="30"/>
  <c r="K115" i="30"/>
  <c r="K116" i="30"/>
  <c r="K117" i="30"/>
  <c r="K118" i="30"/>
  <c r="K119" i="30"/>
  <c r="K120" i="30"/>
  <c r="K121" i="30"/>
  <c r="K122" i="30"/>
  <c r="K123" i="30"/>
  <c r="K124" i="30"/>
  <c r="K125" i="30"/>
  <c r="K126" i="30"/>
  <c r="K127" i="30"/>
  <c r="I108" i="30"/>
  <c r="G108" i="30"/>
  <c r="E108" i="30"/>
  <c r="C108" i="30"/>
  <c r="K102" i="30"/>
  <c r="K104" i="30"/>
  <c r="K107" i="30"/>
  <c r="K101" i="30"/>
  <c r="I96" i="30"/>
  <c r="E96" i="30"/>
  <c r="C96" i="30"/>
  <c r="K90" i="30"/>
  <c r="K91" i="30"/>
  <c r="K92" i="30"/>
  <c r="K93" i="30"/>
  <c r="K94" i="30"/>
  <c r="K95" i="30"/>
  <c r="K89" i="30"/>
  <c r="I86" i="30"/>
  <c r="G86" i="30"/>
  <c r="E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K20" i="14" l="1"/>
  <c r="G20" i="14"/>
  <c r="I33" i="10"/>
  <c r="I30" i="11"/>
  <c r="I35" i="11" s="1"/>
  <c r="G35" i="11"/>
  <c r="AN59" i="25"/>
  <c r="K26" i="12"/>
  <c r="K35" i="11"/>
  <c r="G32" i="12"/>
  <c r="K30" i="12"/>
  <c r="K32" i="12" s="1"/>
  <c r="K86" i="30"/>
  <c r="I32" i="10"/>
  <c r="G27" i="10"/>
  <c r="K25" i="10"/>
  <c r="K27" i="10" s="1"/>
  <c r="I31" i="10"/>
  <c r="K31" i="10"/>
  <c r="K151" i="30"/>
  <c r="E55" i="26"/>
  <c r="G16" i="26" s="1"/>
  <c r="D38" i="28"/>
  <c r="D14" i="27"/>
  <c r="D50" i="27" s="1"/>
  <c r="D13" i="29"/>
  <c r="D38" i="29" s="1"/>
  <c r="I25" i="10"/>
  <c r="I27" i="10" s="1"/>
  <c r="K108" i="30"/>
  <c r="G26" i="12"/>
  <c r="G24" i="13"/>
  <c r="K24" i="13" s="1"/>
  <c r="Q27" i="14"/>
  <c r="G20" i="13"/>
  <c r="K20" i="13" s="1"/>
  <c r="G27" i="14"/>
  <c r="M53" i="26"/>
  <c r="AG65" i="22"/>
  <c r="AI65" i="22" s="1"/>
  <c r="I21" i="13"/>
  <c r="G22" i="7"/>
  <c r="K22" i="7" s="1"/>
  <c r="G31" i="13"/>
  <c r="I32" i="13"/>
  <c r="S32" i="14"/>
  <c r="S31" i="14"/>
  <c r="AL45" i="25"/>
  <c r="U27" i="14"/>
  <c r="S24" i="14"/>
  <c r="S27" i="14" s="1"/>
  <c r="I21" i="14"/>
  <c r="I20" i="14"/>
  <c r="I31" i="14"/>
  <c r="I30" i="12"/>
  <c r="I32" i="12" s="1"/>
  <c r="G32" i="7"/>
  <c r="K32" i="7" s="1"/>
  <c r="I24" i="12"/>
  <c r="I23" i="12"/>
  <c r="G24" i="7"/>
  <c r="K24" i="7" s="1"/>
  <c r="AL27" i="24"/>
  <c r="AN27" i="24" s="1"/>
  <c r="AF32" i="24"/>
  <c r="AF64" i="24" s="1"/>
  <c r="AL22" i="24"/>
  <c r="AN22" i="24" s="1"/>
  <c r="I33" i="8"/>
  <c r="AG47" i="22"/>
  <c r="AI47" i="22" s="1"/>
  <c r="AG17" i="29"/>
  <c r="AI17" i="29" s="1"/>
  <c r="U130" i="16"/>
  <c r="U141" i="16" s="1"/>
  <c r="Q130" i="16"/>
  <c r="Q141" i="16" s="1"/>
  <c r="O130" i="16"/>
  <c r="O141" i="16" s="1"/>
  <c r="W130" i="16"/>
  <c r="W141" i="16" s="1"/>
  <c r="M130" i="16"/>
  <c r="M141" i="16" s="1"/>
  <c r="S130" i="16"/>
  <c r="S141" i="16" s="1"/>
  <c r="Y130" i="16"/>
  <c r="Y141" i="16" s="1"/>
  <c r="J48" i="3"/>
  <c r="AL59" i="25"/>
  <c r="AF66" i="25"/>
  <c r="AF69" i="25" s="1"/>
  <c r="AA28" i="29"/>
  <c r="AA37" i="29" s="1"/>
  <c r="AL78" i="24"/>
  <c r="AN78" i="24" s="1"/>
  <c r="AA58" i="22"/>
  <c r="AL95" i="24"/>
  <c r="AN95" i="24" s="1"/>
  <c r="AF85" i="24"/>
  <c r="K96" i="30"/>
  <c r="AG55" i="22"/>
  <c r="AI55" i="22" s="1"/>
  <c r="AK106" i="20"/>
  <c r="AE109" i="20"/>
  <c r="L47" i="32"/>
  <c r="N29" i="6"/>
  <c r="N39" i="6" s="1"/>
  <c r="N42" i="6" s="1"/>
  <c r="AI88" i="24"/>
  <c r="K42" i="31"/>
  <c r="X12" i="2"/>
  <c r="H24" i="6"/>
  <c r="AC14" i="18"/>
  <c r="AK37" i="18"/>
  <c r="AK52" i="18"/>
  <c r="AC91" i="18"/>
  <c r="G25" i="9" s="1"/>
  <c r="K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K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K36" i="12" l="1"/>
  <c r="K39" i="12" s="1"/>
  <c r="AA70" i="22"/>
  <c r="AA73" i="22" s="1"/>
  <c r="F50" i="2"/>
  <c r="G39" i="9"/>
  <c r="K39" i="9" s="1"/>
  <c r="I31" i="13"/>
  <c r="K31" i="13"/>
  <c r="G55" i="26"/>
  <c r="F14" i="27"/>
  <c r="F50" i="27" s="1"/>
  <c r="H14" i="27" s="1"/>
  <c r="F13" i="29"/>
  <c r="F38" i="29" s="1"/>
  <c r="F13" i="28"/>
  <c r="F38" i="28" s="1"/>
  <c r="AF79" i="25"/>
  <c r="P38" i="29"/>
  <c r="AI14" i="18"/>
  <c r="AK14" i="18" s="1"/>
  <c r="G49" i="9"/>
  <c r="K49" i="9" s="1"/>
  <c r="K27" i="13"/>
  <c r="I20" i="13"/>
  <c r="I27" i="9"/>
  <c r="G41" i="7"/>
  <c r="K41" i="7" s="1"/>
  <c r="I26" i="12"/>
  <c r="I36" i="12" s="1"/>
  <c r="I39" i="12" s="1"/>
  <c r="I24" i="13"/>
  <c r="G27" i="13"/>
  <c r="G21" i="7"/>
  <c r="I27" i="14"/>
  <c r="K27" i="14"/>
  <c r="AI100" i="24"/>
  <c r="D80" i="21"/>
  <c r="D90" i="21" s="1"/>
  <c r="R80" i="21"/>
  <c r="R90" i="21" s="1"/>
  <c r="G33" i="7"/>
  <c r="K33" i="7" s="1"/>
  <c r="I22" i="7"/>
  <c r="G30" i="13"/>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K38" i="9" s="1"/>
  <c r="AI124" i="18"/>
  <c r="AK124" i="18" s="1"/>
  <c r="AI111" i="18"/>
  <c r="AK111" i="18" s="1"/>
  <c r="G36" i="9"/>
  <c r="K36" i="9" s="1"/>
  <c r="AI110" i="18"/>
  <c r="AK110" i="18" s="1"/>
  <c r="G35" i="9"/>
  <c r="K35" i="9" s="1"/>
  <c r="G33" i="14"/>
  <c r="G37" i="14" s="1"/>
  <c r="G36" i="12"/>
  <c r="G39" i="12" s="1"/>
  <c r="AK44" i="18"/>
  <c r="X116" i="18"/>
  <c r="P116" i="18"/>
  <c r="H116" i="18"/>
  <c r="N116" i="18"/>
  <c r="V116" i="18"/>
  <c r="H90" i="21"/>
  <c r="AF88" i="24"/>
  <c r="AF100" i="24" s="1"/>
  <c r="AL85" i="24"/>
  <c r="AN85" i="24" s="1"/>
  <c r="AI120" i="18"/>
  <c r="AK120" i="18" s="1"/>
  <c r="F49" i="2"/>
  <c r="F51" i="3" s="1"/>
  <c r="F116" i="18"/>
  <c r="F90" i="21"/>
  <c r="AK109" i="20"/>
  <c r="AM109" i="20" s="1"/>
  <c r="AC131" i="18"/>
  <c r="Z116" i="18"/>
  <c r="R116" i="18"/>
  <c r="J116" i="18"/>
  <c r="T116" i="18"/>
  <c r="L116" i="18"/>
  <c r="D116" i="18"/>
  <c r="AC107" i="18"/>
  <c r="AI97" i="18"/>
  <c r="AK97" i="18" s="1"/>
  <c r="H13" i="29" l="1"/>
  <c r="H38" i="29" s="1"/>
  <c r="I30" i="13"/>
  <c r="I33" i="13" s="1"/>
  <c r="K30" i="13"/>
  <c r="K33" i="13" s="1"/>
  <c r="K37" i="13" s="1"/>
  <c r="K40" i="13" s="1"/>
  <c r="I25" i="7"/>
  <c r="K25" i="7"/>
  <c r="H50" i="27"/>
  <c r="I21" i="7"/>
  <c r="K21" i="7"/>
  <c r="I16" i="26"/>
  <c r="H13" i="28"/>
  <c r="H38" i="28" s="1"/>
  <c r="T38" i="28"/>
  <c r="V38" i="28" s="1"/>
  <c r="X38" i="28" s="1"/>
  <c r="R38" i="29"/>
  <c r="P50" i="27"/>
  <c r="Q55" i="26"/>
  <c r="I27" i="13"/>
  <c r="G49" i="7"/>
  <c r="I49" i="9"/>
  <c r="K31" i="9"/>
  <c r="I41" i="7"/>
  <c r="AI131" i="18"/>
  <c r="AK131" i="18" s="1"/>
  <c r="G26" i="7"/>
  <c r="I33" i="7"/>
  <c r="G33" i="13"/>
  <c r="G37" i="13" s="1"/>
  <c r="G40" i="13" s="1"/>
  <c r="I36" i="9"/>
  <c r="G31" i="7"/>
  <c r="K31" i="7" s="1"/>
  <c r="AI107" i="18"/>
  <c r="G34" i="9"/>
  <c r="K34" i="9" s="1"/>
  <c r="I38" i="9"/>
  <c r="I35" i="9"/>
  <c r="G30" i="7"/>
  <c r="K30" i="7" s="1"/>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AG70" i="22" l="1"/>
  <c r="AI70" i="22" s="1"/>
  <c r="AI58" i="22"/>
  <c r="J14" i="27"/>
  <c r="J13" i="28"/>
  <c r="J38" i="28" s="1"/>
  <c r="J13" i="29"/>
  <c r="J38" i="29" s="1"/>
  <c r="I37" i="13"/>
  <c r="I40" i="13" s="1"/>
  <c r="I26" i="7"/>
  <c r="K49" i="7"/>
  <c r="I49" i="7"/>
  <c r="I55" i="26"/>
  <c r="T38" i="29"/>
  <c r="V38" i="29" s="1"/>
  <c r="X38" i="29" s="1"/>
  <c r="S55" i="26"/>
  <c r="R50" i="27"/>
  <c r="K26" i="7"/>
  <c r="AK107" i="18"/>
  <c r="AI113" i="18"/>
  <c r="AK113" i="18" s="1"/>
  <c r="AL100" i="24"/>
  <c r="AN100"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AG73" i="22" l="1"/>
  <c r="AI73" i="22" s="1"/>
  <c r="L13" i="29"/>
  <c r="L38" i="29" s="1"/>
  <c r="L13" i="28"/>
  <c r="L38" i="28" s="1"/>
  <c r="J50" i="27"/>
  <c r="L14" i="27" s="1"/>
  <c r="K16" i="26"/>
  <c r="T50" i="27"/>
  <c r="U55" i="26"/>
  <c r="S34" i="6"/>
  <c r="I34" i="10"/>
  <c r="G42" i="7"/>
  <c r="K42" i="7" s="1"/>
  <c r="K43" i="7" s="1"/>
  <c r="T34" i="11"/>
  <c r="L34" i="6"/>
  <c r="F39" i="6"/>
  <c r="J34" i="6"/>
  <c r="N13" i="28" l="1"/>
  <c r="N38" i="28" s="1"/>
  <c r="P38" i="28" s="1"/>
  <c r="R38" i="28" s="1"/>
  <c r="F42" i="6"/>
  <c r="N13" i="29"/>
  <c r="N38" i="29" s="1"/>
  <c r="L50" i="27"/>
  <c r="K55" i="26"/>
  <c r="M16" i="26" s="1"/>
  <c r="W55" i="26"/>
  <c r="Y55" i="26" s="1"/>
  <c r="V50" i="27"/>
  <c r="X50" i="27" s="1"/>
  <c r="I42" i="7"/>
  <c r="I43" i="7" s="1"/>
  <c r="G43" i="7"/>
  <c r="J41" i="6" l="1"/>
  <c r="N14" i="27"/>
  <c r="F45" i="5" s="1"/>
  <c r="M55" i="26"/>
  <c r="N57" i="2"/>
  <c r="N59" i="3" s="1"/>
  <c r="F57" i="2"/>
  <c r="O16" i="26" l="1"/>
  <c r="B45" i="5" s="1"/>
  <c r="N50" i="27"/>
  <c r="J44" i="5"/>
  <c r="J45" i="5" s="1"/>
  <c r="F59" i="3"/>
  <c r="T59" i="3" s="1"/>
  <c r="K13" i="30"/>
  <c r="K22" i="30"/>
  <c r="AD40" i="2"/>
  <c r="O55" i="26" l="1"/>
  <c r="AD59" i="3"/>
  <c r="AF59" i="3" s="1"/>
  <c r="G48" i="8"/>
  <c r="K48" i="8" s="1"/>
  <c r="AG92" i="23"/>
  <c r="AL92" i="23" s="1"/>
  <c r="AE125" i="16"/>
  <c r="AG83" i="23"/>
  <c r="AL83" i="23" s="1"/>
  <c r="AG82" i="23"/>
  <c r="AL82" i="23" s="1"/>
  <c r="AG81" i="23"/>
  <c r="AL81" i="23" s="1"/>
  <c r="AG76" i="23"/>
  <c r="AG75" i="23"/>
  <c r="AL75" i="23" s="1"/>
  <c r="AG73" i="23"/>
  <c r="AL73" i="23" s="1"/>
  <c r="AG65" i="23"/>
  <c r="AK74" i="21"/>
  <c r="AM74" i="21" s="1"/>
  <c r="AK68" i="21"/>
  <c r="AM68" i="21" s="1"/>
  <c r="AK95" i="20"/>
  <c r="AM95"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4" i="20"/>
  <c r="AM104" i="20" s="1"/>
  <c r="AK103" i="20"/>
  <c r="AM103" i="20" s="1"/>
  <c r="AK102" i="20"/>
  <c r="AM102" i="20" s="1"/>
  <c r="AK101" i="20"/>
  <c r="AM101" i="20" s="1"/>
  <c r="AK98" i="20"/>
  <c r="AM98" i="20" s="1"/>
  <c r="AK97" i="20"/>
  <c r="AM97" i="20" s="1"/>
  <c r="AK96" i="20"/>
  <c r="AM96" i="20" s="1"/>
  <c r="AK94" i="20"/>
  <c r="AM94" i="20" s="1"/>
  <c r="AK93" i="20"/>
  <c r="AM93" i="20" s="1"/>
  <c r="AK91" i="20"/>
  <c r="AM91" i="20" s="1"/>
  <c r="AK90" i="20"/>
  <c r="AM90" i="20" s="1"/>
  <c r="AK89" i="20"/>
  <c r="AM89" i="20" s="1"/>
  <c r="AK83" i="20"/>
  <c r="AE115" i="16" l="1"/>
  <c r="AE113" i="16"/>
  <c r="AE110" i="16"/>
  <c r="AE109" i="16"/>
  <c r="AE108" i="16"/>
  <c r="R27" i="11"/>
  <c r="V26" i="11"/>
  <c r="V27" i="11" s="1"/>
  <c r="AE116" i="16"/>
  <c r="AE117" i="16"/>
  <c r="AD33" i="2"/>
  <c r="AE121" i="16"/>
  <c r="AE114" i="16"/>
  <c r="AE120" i="16"/>
  <c r="AE112" i="16"/>
  <c r="AE122" i="16"/>
  <c r="I48" i="8"/>
  <c r="T26" i="11"/>
  <c r="T27" i="11" s="1"/>
  <c r="AK85" i="20"/>
  <c r="J53" i="3"/>
  <c r="J57" i="3" s="1"/>
  <c r="J61" i="3" s="1"/>
  <c r="AE86" i="21"/>
  <c r="AM86" i="21" s="1"/>
  <c r="AK83" i="21"/>
  <c r="AK112" i="20"/>
  <c r="AM112" i="20" s="1"/>
  <c r="AE115" i="20"/>
  <c r="AD48" i="2"/>
  <c r="AI48" i="2" s="1"/>
  <c r="AG96" i="23"/>
  <c r="AG79" i="23"/>
  <c r="AG86" i="23" s="1"/>
  <c r="AK60" i="21"/>
  <c r="AM60" i="21" s="1"/>
  <c r="AE70" i="21"/>
  <c r="R30" i="11" l="1"/>
  <c r="V30" i="11" s="1"/>
  <c r="V35" i="11" s="1"/>
  <c r="AM70" i="21"/>
  <c r="AE119" i="20"/>
  <c r="AM115" i="20"/>
  <c r="AE118" i="16"/>
  <c r="AK86" i="21"/>
  <c r="C43" i="7"/>
  <c r="AK115" i="20"/>
  <c r="AK119" i="20" s="1"/>
  <c r="AM119" i="20" s="1"/>
  <c r="I39" i="11"/>
  <c r="G39" i="11"/>
  <c r="K39" i="11" s="1"/>
  <c r="K42" i="11" s="1"/>
  <c r="AE77" i="21"/>
  <c r="AM77" i="21" s="1"/>
  <c r="AK70" i="21"/>
  <c r="AG89" i="23"/>
  <c r="G30" i="10" l="1"/>
  <c r="G29" i="7" s="1"/>
  <c r="T30" i="11"/>
  <c r="T35" i="11" s="1"/>
  <c r="T39" i="11" s="1"/>
  <c r="R35" i="11"/>
  <c r="R39" i="11" s="1"/>
  <c r="V39" i="11" s="1"/>
  <c r="AG101" i="23"/>
  <c r="C34" i="7"/>
  <c r="C47" i="7" s="1"/>
  <c r="C50" i="7" s="1"/>
  <c r="AK77" i="21"/>
  <c r="AE80" i="21"/>
  <c r="AM80" i="21" s="1"/>
  <c r="AD38" i="2"/>
  <c r="AD37" i="2"/>
  <c r="AD36" i="2"/>
  <c r="AD32" i="2"/>
  <c r="AD31" i="2"/>
  <c r="AD30" i="2"/>
  <c r="AD29" i="2"/>
  <c r="AD28" i="2"/>
  <c r="AD26" i="2"/>
  <c r="AD25" i="2"/>
  <c r="AD18" i="2"/>
  <c r="K30" i="10" l="1"/>
  <c r="K35" i="10" s="1"/>
  <c r="K39" i="10" s="1"/>
  <c r="K42" i="10" s="1"/>
  <c r="G35" i="10"/>
  <c r="G39" i="10" s="1"/>
  <c r="G42" i="10" s="1"/>
  <c r="I30" i="10"/>
  <c r="I35" i="10" s="1"/>
  <c r="I39" i="10" s="1"/>
  <c r="I42" i="10" s="1"/>
  <c r="I29" i="7"/>
  <c r="K29" i="7"/>
  <c r="G34" i="7"/>
  <c r="AE90" i="21"/>
  <c r="AG103" i="23"/>
  <c r="C37" i="7"/>
  <c r="AD19" i="2"/>
  <c r="AA23" i="3"/>
  <c r="AA48" i="3" s="1"/>
  <c r="R42" i="11"/>
  <c r="G42" i="11"/>
  <c r="I42" i="11"/>
  <c r="AK80" i="21"/>
  <c r="AK90" i="21" s="1"/>
  <c r="L51" i="2"/>
  <c r="AD24" i="2"/>
  <c r="L42" i="2"/>
  <c r="L20" i="2"/>
  <c r="J15" i="6"/>
  <c r="AA57" i="3" l="1"/>
  <c r="AA61" i="3" s="1"/>
  <c r="V42" i="11"/>
  <c r="T42" i="11"/>
  <c r="L45" i="2"/>
  <c r="L55" i="2" s="1"/>
  <c r="AC14" i="19"/>
  <c r="J57" i="2" s="1"/>
  <c r="AA13" i="29"/>
  <c r="AD15" i="23"/>
  <c r="R57" i="2" s="1"/>
  <c r="C134" i="16"/>
  <c r="E84" i="23"/>
  <c r="E92" i="23"/>
  <c r="P51" i="2" s="1"/>
  <c r="E83" i="23"/>
  <c r="E82" i="23"/>
  <c r="E81" i="23"/>
  <c r="E78" i="23"/>
  <c r="E77" i="23"/>
  <c r="E76" i="23"/>
  <c r="E75" i="23"/>
  <c r="E74" i="23"/>
  <c r="E73" i="23"/>
  <c r="E71" i="23"/>
  <c r="E70" i="23"/>
  <c r="E69" i="23"/>
  <c r="E63" i="23"/>
  <c r="D84" i="19"/>
  <c r="D105" i="19"/>
  <c r="D104" i="19"/>
  <c r="D103" i="19"/>
  <c r="D102" i="19"/>
  <c r="D99" i="19"/>
  <c r="D98" i="19"/>
  <c r="D97" i="19"/>
  <c r="D96" i="19"/>
  <c r="D95" i="19"/>
  <c r="D94" i="19"/>
  <c r="D92" i="19"/>
  <c r="D91" i="19"/>
  <c r="D90" i="19"/>
  <c r="E65" i="23" l="1"/>
  <c r="P20" i="2"/>
  <c r="D86" i="19"/>
  <c r="C102" i="16"/>
  <c r="C112" i="16"/>
  <c r="C116" i="16"/>
  <c r="C122" i="16"/>
  <c r="C110" i="16"/>
  <c r="C115" i="16"/>
  <c r="C121" i="16"/>
  <c r="C109" i="16"/>
  <c r="C114" i="16"/>
  <c r="C120" i="16"/>
  <c r="C125" i="16"/>
  <c r="C108" i="16"/>
  <c r="C113" i="16"/>
  <c r="C117" i="16"/>
  <c r="AG13" i="29"/>
  <c r="AI13" i="29" s="1"/>
  <c r="AA38" i="29"/>
  <c r="AG38" i="29" s="1"/>
  <c r="AI38" i="29" s="1"/>
  <c r="D100" i="19"/>
  <c r="D107" i="19" s="1"/>
  <c r="AD69" i="23"/>
  <c r="AJ69" i="23" s="1"/>
  <c r="AL69" i="23" s="1"/>
  <c r="E79" i="23"/>
  <c r="E86" i="23" s="1"/>
  <c r="AD74" i="23"/>
  <c r="AJ74" i="23" s="1"/>
  <c r="AL74" i="23" s="1"/>
  <c r="AD78" i="23"/>
  <c r="AJ78" i="23" s="1"/>
  <c r="AL78" i="23" s="1"/>
  <c r="AD92" i="23"/>
  <c r="AJ92" i="23" s="1"/>
  <c r="E96" i="23"/>
  <c r="AD63" i="23"/>
  <c r="AD77" i="23"/>
  <c r="AJ77" i="23" s="1"/>
  <c r="AL77" i="23" s="1"/>
  <c r="AD94" i="23"/>
  <c r="AL61" i="23"/>
  <c r="AD71" i="23"/>
  <c r="AD76" i="23"/>
  <c r="AJ76" i="23" s="1"/>
  <c r="AL76" i="23" s="1"/>
  <c r="AD82" i="23"/>
  <c r="AJ82" i="23" s="1"/>
  <c r="AD93" i="23"/>
  <c r="AJ93" i="23" s="1"/>
  <c r="AL93" i="23" s="1"/>
  <c r="AD73" i="23"/>
  <c r="AJ73" i="23" s="1"/>
  <c r="AD83" i="23"/>
  <c r="AJ83" i="23" s="1"/>
  <c r="AD70" i="23"/>
  <c r="AJ70" i="23" s="1"/>
  <c r="AL70" i="23" s="1"/>
  <c r="AD75" i="23"/>
  <c r="AJ75" i="23" s="1"/>
  <c r="AD81" i="23"/>
  <c r="AJ81" i="23" s="1"/>
  <c r="AD84" i="23"/>
  <c r="AC95" i="19"/>
  <c r="AI95" i="19" s="1"/>
  <c r="AK95" i="19" s="1"/>
  <c r="AC105" i="19"/>
  <c r="AI105" i="19" s="1"/>
  <c r="AK105" i="19" s="1"/>
  <c r="AC98" i="19"/>
  <c r="AI98" i="19" s="1"/>
  <c r="AK98" i="19" s="1"/>
  <c r="AC92" i="19"/>
  <c r="AI92" i="19" s="1"/>
  <c r="AK92" i="19" s="1"/>
  <c r="AC90" i="19"/>
  <c r="AC99" i="19"/>
  <c r="AI99" i="19" s="1"/>
  <c r="AK99" i="19" s="1"/>
  <c r="AC104" i="19"/>
  <c r="AI104" i="19" s="1"/>
  <c r="AK104" i="19" s="1"/>
  <c r="AC91" i="19"/>
  <c r="AI91" i="19" s="1"/>
  <c r="AK91" i="19" s="1"/>
  <c r="AC96" i="19"/>
  <c r="AI96" i="19" s="1"/>
  <c r="AK96" i="19" s="1"/>
  <c r="AC102" i="19"/>
  <c r="AI102" i="19" s="1"/>
  <c r="AK102" i="19" s="1"/>
  <c r="AC84" i="19"/>
  <c r="AC86" i="19" s="1"/>
  <c r="AC103" i="19"/>
  <c r="AI103" i="19" s="1"/>
  <c r="AK103" i="19" s="1"/>
  <c r="AC97" i="19"/>
  <c r="AI97" i="19" s="1"/>
  <c r="AK97" i="19" s="1"/>
  <c r="AC113" i="19"/>
  <c r="AI114" i="19"/>
  <c r="AK114" i="19" s="1"/>
  <c r="AC94"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4" i="19" l="1"/>
  <c r="AK94" i="19" s="1"/>
  <c r="AC100" i="19"/>
  <c r="C104" i="16"/>
  <c r="AB102" i="16"/>
  <c r="AJ94" i="23"/>
  <c r="AL94" i="23" s="1"/>
  <c r="AD65" i="23"/>
  <c r="AI84" i="19"/>
  <c r="AK84" i="19" s="1"/>
  <c r="AJ63" i="23"/>
  <c r="AL63" i="23" s="1"/>
  <c r="AK82" i="19"/>
  <c r="AI113" i="19"/>
  <c r="AK113" i="19" s="1"/>
  <c r="AC116" i="19"/>
  <c r="AI116" i="19" s="1"/>
  <c r="AK116" i="19" s="1"/>
  <c r="D110" i="19"/>
  <c r="D120" i="19" s="1"/>
  <c r="D122" i="19" s="1"/>
  <c r="F14" i="19" s="1"/>
  <c r="E89" i="23"/>
  <c r="E101" i="23" s="1"/>
  <c r="E103" i="23" s="1"/>
  <c r="AI90" i="19"/>
  <c r="AK90" i="19" s="1"/>
  <c r="AJ84" i="23"/>
  <c r="AL84" i="23" s="1"/>
  <c r="AD79" i="23"/>
  <c r="AD86" i="23" s="1"/>
  <c r="AJ71" i="23"/>
  <c r="AL71" i="23" s="1"/>
  <c r="AD96" i="23"/>
  <c r="AJ96" i="23" s="1"/>
  <c r="AL96" i="23" s="1"/>
  <c r="P34" i="2"/>
  <c r="H51" i="2"/>
  <c r="H34" i="2"/>
  <c r="H42" i="2" s="1"/>
  <c r="H20" i="2"/>
  <c r="AG57" i="2"/>
  <c r="K23" i="30"/>
  <c r="AB45" i="2"/>
  <c r="AB55" i="2" s="1"/>
  <c r="AB59" i="2" s="1"/>
  <c r="D135" i="18"/>
  <c r="D137" i="18" s="1"/>
  <c r="G15" i="23" l="1"/>
  <c r="F14" i="18"/>
  <c r="F137" i="18" s="1"/>
  <c r="P42" i="2"/>
  <c r="P45" i="2" s="1"/>
  <c r="P55" i="2" s="1"/>
  <c r="AJ79" i="23"/>
  <c r="AL79" i="23" s="1"/>
  <c r="AI100" i="19"/>
  <c r="AI86" i="19"/>
  <c r="AJ65" i="23"/>
  <c r="F122" i="19"/>
  <c r="H14" i="19" s="1"/>
  <c r="H45" i="2"/>
  <c r="H55" i="2" s="1"/>
  <c r="AC107" i="19"/>
  <c r="D34" i="2"/>
  <c r="D42" i="2" s="1"/>
  <c r="AD89" i="23"/>
  <c r="AD101" i="23" s="1"/>
  <c r="AJ101" i="23" s="1"/>
  <c r="AL101" i="23" s="1"/>
  <c r="D20" i="2"/>
  <c r="AL65" i="23" l="1"/>
  <c r="H14" i="18"/>
  <c r="H137" i="18" s="1"/>
  <c r="J14" i="18" s="1"/>
  <c r="J137" i="18" s="1"/>
  <c r="L14" i="18" s="1"/>
  <c r="L137" i="18" s="1"/>
  <c r="G103" i="23"/>
  <c r="AK86" i="19"/>
  <c r="AI107" i="19"/>
  <c r="AK107" i="19" s="1"/>
  <c r="AK100" i="19"/>
  <c r="AC110" i="19"/>
  <c r="AC120" i="19" s="1"/>
  <c r="H122" i="19"/>
  <c r="J14" i="19" s="1"/>
  <c r="D45" i="2"/>
  <c r="D55" i="2" s="1"/>
  <c r="AI66" i="25"/>
  <c r="AK14" i="19"/>
  <c r="AI14" i="19"/>
  <c r="AI69" i="25" l="1"/>
  <c r="AN69" i="25" s="1"/>
  <c r="AN66" i="25"/>
  <c r="N14" i="18"/>
  <c r="N137" i="18" s="1"/>
  <c r="I15" i="23"/>
  <c r="D61" i="3"/>
  <c r="W103" i="23"/>
  <c r="AI110" i="19"/>
  <c r="AK110" i="19" s="1"/>
  <c r="D59" i="2"/>
  <c r="J122" i="19"/>
  <c r="AL66" i="25"/>
  <c r="AC122" i="19"/>
  <c r="P14" i="18" l="1"/>
  <c r="P137" i="18" s="1"/>
  <c r="R137" i="18" s="1"/>
  <c r="T137" i="18" s="1"/>
  <c r="V137" i="18" s="1"/>
  <c r="X137" i="18" s="1"/>
  <c r="Z137" i="18" s="1"/>
  <c r="AL69" i="25"/>
  <c r="AI79" i="25"/>
  <c r="AN79" i="25" s="1"/>
  <c r="I103" i="23"/>
  <c r="K15" i="23" s="1"/>
  <c r="Y103" i="23"/>
  <c r="L122" i="19"/>
  <c r="AI120" i="19"/>
  <c r="AK120" i="19" s="1"/>
  <c r="AI122" i="19"/>
  <c r="AK122" i="19" s="1"/>
  <c r="AL79" i="25" l="1"/>
  <c r="K103" i="23"/>
  <c r="M15" i="23" s="1"/>
  <c r="AA103" i="23"/>
  <c r="N122" i="19"/>
  <c r="P14" i="19" s="1"/>
  <c r="M103" i="23" l="1"/>
  <c r="P122" i="19"/>
  <c r="R14" i="19" s="1"/>
  <c r="V40" i="2"/>
  <c r="O15" i="23" l="1"/>
  <c r="R122" i="19"/>
  <c r="B26" i="6"/>
  <c r="B29" i="6" s="1"/>
  <c r="B39" i="6" s="1"/>
  <c r="B42" i="6" s="1"/>
  <c r="O103" i="23" l="1"/>
  <c r="T122" i="19"/>
  <c r="C98" i="30"/>
  <c r="C153" i="30" s="1"/>
  <c r="Q15" i="23" l="1"/>
  <c r="H59" i="2"/>
  <c r="V122" i="19"/>
  <c r="X122" i="19" s="1"/>
  <c r="Z122" i="19" s="1"/>
  <c r="E98" i="30"/>
  <c r="E153" i="30" s="1"/>
  <c r="I98" i="30"/>
  <c r="I153" i="30" s="1"/>
  <c r="G98" i="30"/>
  <c r="G153" i="30" s="1"/>
  <c r="Q103" i="23" l="1"/>
  <c r="K98" i="30"/>
  <c r="K153" i="30" s="1"/>
  <c r="S15" i="23" l="1"/>
  <c r="P59" i="2" s="1"/>
  <c r="E43" i="7"/>
  <c r="E34" i="7"/>
  <c r="S103" i="23" l="1"/>
  <c r="U103" i="23" s="1"/>
  <c r="E37" i="7"/>
  <c r="E47" i="7"/>
  <c r="E50" i="7" s="1"/>
  <c r="AD51" i="2" l="1"/>
  <c r="AD20" i="2"/>
  <c r="AD34" i="2"/>
  <c r="AD42" i="2" s="1"/>
  <c r="AE134" i="16"/>
  <c r="AE104" i="16" l="1"/>
  <c r="AE137"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3" i="16" l="1"/>
  <c r="R45" i="2"/>
  <c r="R55" i="2" s="1"/>
  <c r="R59" i="2" s="1"/>
  <c r="AJ86" i="23"/>
  <c r="AD103" i="23"/>
  <c r="AL103" i="23" s="1"/>
  <c r="AL86" i="23" l="1"/>
  <c r="AJ89" i="23"/>
  <c r="AL89" i="23" s="1"/>
  <c r="AH133" i="16"/>
  <c r="N50" i="2" l="1"/>
  <c r="N52" i="3" s="1"/>
  <c r="N49" i="2"/>
  <c r="N51" i="3" s="1"/>
  <c r="N40" i="2"/>
  <c r="N37" i="2"/>
  <c r="N40" i="3" s="1"/>
  <c r="N19" i="2"/>
  <c r="N22" i="3" s="1"/>
  <c r="N18" i="2"/>
  <c r="N21" i="3" s="1"/>
  <c r="T21" i="3" s="1"/>
  <c r="N20" i="3"/>
  <c r="N18" i="3"/>
  <c r="N17" i="3"/>
  <c r="N23" i="3" l="1"/>
  <c r="G24" i="8"/>
  <c r="K24" i="8" s="1"/>
  <c r="AD21" i="3"/>
  <c r="AF21" i="3" s="1"/>
  <c r="X40" i="2"/>
  <c r="AI40" i="2" s="1"/>
  <c r="N43" i="3"/>
  <c r="T43" i="3" s="1"/>
  <c r="T51" i="3"/>
  <c r="N53" i="3"/>
  <c r="N42" i="2"/>
  <c r="N51" i="2"/>
  <c r="N20" i="2"/>
  <c r="I24" i="8" l="1"/>
  <c r="N45" i="3"/>
  <c r="N48" i="3" s="1"/>
  <c r="N57" i="3" s="1"/>
  <c r="N61" i="3" s="1"/>
  <c r="AG40" i="2"/>
  <c r="G40" i="8"/>
  <c r="K40" i="8" s="1"/>
  <c r="AD51" i="3"/>
  <c r="G32" i="8"/>
  <c r="K32" i="8" s="1"/>
  <c r="AD43" i="3"/>
  <c r="AF43" i="3" s="1"/>
  <c r="N45" i="2"/>
  <c r="N55" i="2" s="1"/>
  <c r="N59" i="2" s="1"/>
  <c r="I40" i="8" l="1"/>
  <c r="I32" i="8"/>
  <c r="AF51" i="3"/>
  <c r="V49" i="2" l="1"/>
  <c r="V50" i="2"/>
  <c r="V51" i="2" l="1"/>
  <c r="I137" i="16"/>
  <c r="G137" i="16"/>
  <c r="E137" i="16"/>
  <c r="J50" i="2"/>
  <c r="J49" i="2"/>
  <c r="AB134" i="16" l="1"/>
  <c r="J51" i="2"/>
  <c r="V41" i="2" l="1"/>
  <c r="V17" i="2"/>
  <c r="V29" i="2"/>
  <c r="V32" i="2"/>
  <c r="V16" i="2"/>
  <c r="V25" i="2"/>
  <c r="V28" i="2"/>
  <c r="V37" i="2"/>
  <c r="J30" i="2"/>
  <c r="V30" i="2"/>
  <c r="V24" i="2"/>
  <c r="V31" i="2"/>
  <c r="J26" i="2"/>
  <c r="V26" i="2"/>
  <c r="V33" i="2"/>
  <c r="V15" i="2"/>
  <c r="J32" i="2"/>
  <c r="V18" i="2"/>
  <c r="I118" i="16" l="1"/>
  <c r="G118" i="16"/>
  <c r="E118" i="16"/>
  <c r="V34" i="2"/>
  <c r="J37" i="2"/>
  <c r="J31" i="2"/>
  <c r="J29" i="2"/>
  <c r="J28" i="2"/>
  <c r="V38" i="2"/>
  <c r="AB110" i="16"/>
  <c r="AB112" i="16"/>
  <c r="AB113" i="16"/>
  <c r="V19" i="2"/>
  <c r="V36" i="2"/>
  <c r="AB115" i="16"/>
  <c r="AB114" i="16"/>
  <c r="AB109" i="16"/>
  <c r="AB116" i="16"/>
  <c r="J33" i="2"/>
  <c r="J24" i="2"/>
  <c r="J41" i="2"/>
  <c r="X41" i="2" s="1"/>
  <c r="AI41" i="2" s="1"/>
  <c r="J25" i="2"/>
  <c r="I127" i="16" l="1"/>
  <c r="I104" i="16"/>
  <c r="G127" i="16"/>
  <c r="E127" i="16"/>
  <c r="V20" i="2"/>
  <c r="AB108" i="16"/>
  <c r="J34" i="2"/>
  <c r="V42" i="2"/>
  <c r="AG41" i="2"/>
  <c r="J36" i="2"/>
  <c r="J19" i="2"/>
  <c r="J38" i="2"/>
  <c r="J18" i="2"/>
  <c r="G130" i="16" l="1"/>
  <c r="G141" i="16" s="1"/>
  <c r="I130" i="16"/>
  <c r="I141" i="16" s="1"/>
  <c r="E130" i="16"/>
  <c r="E141"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K31" i="8" s="1"/>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K21" i="8" s="1"/>
  <c r="F53" i="3"/>
  <c r="T52" i="3"/>
  <c r="AD52" i="3" s="1"/>
  <c r="AD53" i="3" s="1"/>
  <c r="T27" i="3"/>
  <c r="AD20" i="3"/>
  <c r="AF20" i="3" s="1"/>
  <c r="G23" i="8"/>
  <c r="K23" i="8" s="1"/>
  <c r="AG37" i="2"/>
  <c r="AD22" i="3"/>
  <c r="AF22" i="3" s="1"/>
  <c r="G25" i="8"/>
  <c r="K25" i="8" s="1"/>
  <c r="F19" i="3"/>
  <c r="T19" i="3" s="1"/>
  <c r="AD39" i="3"/>
  <c r="AF39" i="3" s="1"/>
  <c r="G30" i="8"/>
  <c r="K30" i="8" s="1"/>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F34" i="2"/>
  <c r="F29" i="3"/>
  <c r="G22" i="8"/>
  <c r="K22" i="8" s="1"/>
  <c r="AD19" i="3"/>
  <c r="AF19" i="3" s="1"/>
  <c r="G41" i="8"/>
  <c r="K41" i="8" s="1"/>
  <c r="K42" i="8" s="1"/>
  <c r="T53" i="3"/>
  <c r="AG24" i="2"/>
  <c r="AG50" i="2"/>
  <c r="AG49" i="2"/>
  <c r="X26" i="2"/>
  <c r="AI26" i="2" s="1"/>
  <c r="AG25" i="2"/>
  <c r="AC135" i="18"/>
  <c r="AC137" i="18" s="1"/>
  <c r="AG16" i="2"/>
  <c r="I41" i="8" l="1"/>
  <c r="I42" i="8" s="1"/>
  <c r="I22" i="8"/>
  <c r="G42" i="8"/>
  <c r="AF52" i="3"/>
  <c r="AF53" i="3"/>
  <c r="F42" i="2"/>
  <c r="AF27" i="3"/>
  <c r="T29" i="3"/>
  <c r="F37" i="3"/>
  <c r="F45" i="3" s="1"/>
  <c r="AG26" i="2"/>
  <c r="AG34" i="2" s="1"/>
  <c r="AG42" i="2" s="1"/>
  <c r="X34" i="2"/>
  <c r="AI34" i="2" s="1"/>
  <c r="AE127" i="16"/>
  <c r="AE130" i="16" s="1"/>
  <c r="AB16" i="16"/>
  <c r="AH16" i="16" s="1"/>
  <c r="AJ16" i="16" s="1"/>
  <c r="K34" i="7" l="1"/>
  <c r="AD29" i="3"/>
  <c r="T37" i="3"/>
  <c r="G43" i="9"/>
  <c r="G47" i="9" s="1"/>
  <c r="X42" i="2"/>
  <c r="AI42" i="2" s="1"/>
  <c r="K37" i="7" l="1"/>
  <c r="K47" i="7"/>
  <c r="K50" i="7" s="1"/>
  <c r="AE141" i="16"/>
  <c r="AE143" i="16" s="1"/>
  <c r="AF29" i="3"/>
  <c r="AD37" i="3"/>
  <c r="AD45" i="3" s="1"/>
  <c r="G29" i="8"/>
  <c r="K29" i="8" s="1"/>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5" i="16"/>
  <c r="AB137" i="16" s="1"/>
  <c r="AG48" i="2"/>
  <c r="AB125" i="16"/>
  <c r="AB124" i="16"/>
  <c r="AB122" i="16"/>
  <c r="AB121" i="16"/>
  <c r="AB120" i="16"/>
  <c r="AH116" i="16"/>
  <c r="AJ116" i="16" s="1"/>
  <c r="AH115" i="16"/>
  <c r="AJ115" i="16" s="1"/>
  <c r="AH114" i="16"/>
  <c r="AJ114" i="16" s="1"/>
  <c r="AH113" i="16"/>
  <c r="AJ113" i="16" s="1"/>
  <c r="AH112" i="16"/>
  <c r="AJ112" i="16" s="1"/>
  <c r="AH110" i="16"/>
  <c r="AJ110" i="16" s="1"/>
  <c r="AH109" i="16"/>
  <c r="AJ109" i="16" s="1"/>
  <c r="V12" i="2"/>
  <c r="P12" i="2"/>
  <c r="N12" i="2"/>
  <c r="L12" i="2"/>
  <c r="J12" i="2"/>
  <c r="H12" i="2"/>
  <c r="AD11" i="2"/>
  <c r="AA14" i="3" s="1"/>
  <c r="X11" i="2"/>
  <c r="N11" i="2"/>
  <c r="J11" i="2"/>
  <c r="R11" i="2" s="1"/>
  <c r="S42" i="6" l="1"/>
  <c r="U42" i="6" s="1"/>
  <c r="AG51" i="2"/>
  <c r="AI51" i="2" s="1"/>
  <c r="C137" i="16"/>
  <c r="AB117" i="16"/>
  <c r="C118" i="16"/>
  <c r="C127" i="16" s="1"/>
  <c r="AH102" i="16"/>
  <c r="AJ102" i="16" s="1"/>
  <c r="AH122" i="16"/>
  <c r="AJ122" i="16" s="1"/>
  <c r="AH121" i="16"/>
  <c r="AJ121" i="16" s="1"/>
  <c r="AH124" i="16"/>
  <c r="AJ124" i="16" s="1"/>
  <c r="AH125" i="16"/>
  <c r="AJ125" i="16" s="1"/>
  <c r="AH120" i="16"/>
  <c r="AJ120" i="16" s="1"/>
  <c r="AH135" i="16"/>
  <c r="AJ135" i="16" s="1"/>
  <c r="AH108" i="16"/>
  <c r="AJ108" i="16" s="1"/>
  <c r="R12" i="2"/>
  <c r="AB118" i="16" l="1"/>
  <c r="AB127" i="16" s="1"/>
  <c r="AH134" i="16"/>
  <c r="AJ134" i="16" s="1"/>
  <c r="AH117" i="16"/>
  <c r="AJ117" i="16" s="1"/>
  <c r="AH137" i="16" l="1"/>
  <c r="AJ137" i="16" s="1"/>
  <c r="AH118" i="16"/>
  <c r="AJ118" i="16" s="1"/>
  <c r="AH127" i="16"/>
  <c r="AJ127" i="16" s="1"/>
  <c r="I34" i="7" l="1"/>
  <c r="I47" i="7" s="1"/>
  <c r="I50" i="7" s="1"/>
  <c r="F14" i="2"/>
  <c r="F17" i="3" l="1"/>
  <c r="X14" i="2"/>
  <c r="AI14" i="2" s="1"/>
  <c r="F20" i="2"/>
  <c r="F45" i="2" s="1"/>
  <c r="F55" i="2" s="1"/>
  <c r="F59" i="2" s="1"/>
  <c r="AI135" i="18"/>
  <c r="AK135" i="18" s="1"/>
  <c r="F23" i="3" l="1"/>
  <c r="F48" i="3" s="1"/>
  <c r="F57" i="3" s="1"/>
  <c r="F61" i="3" s="1"/>
  <c r="T17" i="3"/>
  <c r="AG14" i="2"/>
  <c r="AG20" i="2" s="1"/>
  <c r="C130" i="16"/>
  <c r="C141" i="16" s="1"/>
  <c r="C143" i="16" s="1"/>
  <c r="AB104" i="16"/>
  <c r="X20" i="2"/>
  <c r="G47" i="7"/>
  <c r="G50" i="7" s="1"/>
  <c r="AI137" i="18"/>
  <c r="AK137" i="18" s="1"/>
  <c r="X45" i="2" l="1"/>
  <c r="AI45" i="2" s="1"/>
  <c r="AI20" i="2"/>
  <c r="E16" i="16"/>
  <c r="E143" i="16" s="1"/>
  <c r="AB130" i="16"/>
  <c r="AB141" i="16" s="1"/>
  <c r="AB143" i="16" s="1"/>
  <c r="G20" i="8"/>
  <c r="AD17" i="3"/>
  <c r="AF17" i="3" s="1"/>
  <c r="T23" i="3"/>
  <c r="T48" i="3" s="1"/>
  <c r="T57" i="3" s="1"/>
  <c r="T61" i="3" s="1"/>
  <c r="G37" i="7"/>
  <c r="X55" i="2" l="1"/>
  <c r="AI55" i="2" s="1"/>
  <c r="AG45" i="2"/>
  <c r="AG55" i="2" s="1"/>
  <c r="AG59" i="2" s="1"/>
  <c r="G26" i="8"/>
  <c r="G46" i="8" s="1"/>
  <c r="G49" i="8" s="1"/>
  <c r="K20" i="8"/>
  <c r="K26" i="8" s="1"/>
  <c r="G16" i="16"/>
  <c r="G143" i="16" s="1"/>
  <c r="I20" i="8"/>
  <c r="I26" i="8" s="1"/>
  <c r="I37" i="7"/>
  <c r="G50" i="9"/>
  <c r="AD23" i="3"/>
  <c r="AD48" i="3" s="1"/>
  <c r="AF48" i="3" s="1"/>
  <c r="X59" i="2" l="1"/>
  <c r="AI59" i="2" s="1"/>
  <c r="I16" i="16"/>
  <c r="I143" i="16" s="1"/>
  <c r="AD57" i="3"/>
  <c r="K46" i="8"/>
  <c r="K49" i="8" s="1"/>
  <c r="K37" i="8"/>
  <c r="AH104" i="16"/>
  <c r="AJ104" i="16" s="1"/>
  <c r="AF23" i="3"/>
  <c r="G37" i="8"/>
  <c r="AH130" i="16"/>
  <c r="AJ130" i="16" s="1"/>
  <c r="K16" i="16" l="1"/>
  <c r="K143" i="16" s="1"/>
  <c r="I46" i="8"/>
  <c r="I49" i="8" s="1"/>
  <c r="I37" i="8"/>
  <c r="AH141" i="16"/>
  <c r="AJ141" i="16" s="1"/>
  <c r="M16" i="16" l="1"/>
  <c r="M143" i="16" s="1"/>
  <c r="AF57" i="3"/>
  <c r="AD61" i="3"/>
  <c r="AF61" i="3" s="1"/>
  <c r="AH143" i="16"/>
  <c r="AJ143" i="16" s="1"/>
  <c r="B47" i="22"/>
  <c r="B58" i="22" s="1"/>
  <c r="B70" i="22" s="1"/>
  <c r="B73" i="22" s="1"/>
  <c r="O16" i="16" l="1"/>
  <c r="O143" i="16" s="1"/>
  <c r="D12" i="22"/>
  <c r="Q16" i="16" l="1"/>
  <c r="Q143" i="16" s="1"/>
  <c r="D73" i="22"/>
  <c r="F12" i="22" s="1"/>
  <c r="S16" i="16" l="1"/>
  <c r="S143" i="16" s="1"/>
  <c r="U143" i="16" s="1"/>
  <c r="W143" i="16" s="1"/>
  <c r="Y143" i="16" s="1"/>
  <c r="R73" i="22"/>
  <c r="F73" i="22" l="1"/>
  <c r="T73" i="22"/>
  <c r="H12" i="22" l="1"/>
  <c r="V73" i="22"/>
  <c r="H73" i="22" l="1"/>
  <c r="X73" i="22"/>
  <c r="J12" i="22" l="1"/>
  <c r="J73" i="22" l="1"/>
  <c r="L12" i="22" s="1"/>
  <c r="L73" i="22" l="1"/>
  <c r="N12" i="22" s="1"/>
  <c r="V57" i="2" l="1"/>
  <c r="V59" i="2" s="1"/>
  <c r="N73" i="22"/>
  <c r="P73" i="22" s="1"/>
  <c r="L59" i="3"/>
  <c r="L59" i="2"/>
  <c r="R59" i="3" l="1"/>
  <c r="R61" i="3" s="1"/>
  <c r="L61" i="3"/>
</calcChain>
</file>

<file path=xl/sharedStrings.xml><?xml version="1.0" encoding="utf-8"?>
<sst xmlns="http://schemas.openxmlformats.org/spreadsheetml/2006/main" count="4044" uniqueCount="1702">
  <si>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</si>
  <si>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</si>
  <si>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</si>
  <si>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</si>
  <si>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</si>
  <si>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</si>
  <si>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</si>
  <si>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</si>
  <si>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</si>
  <si>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</si>
  <si>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</si>
  <si>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</si>
  <si>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</si>
  <si>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</si>
  <si>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</si>
  <si>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</si>
  <si>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</si>
  <si>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</si>
  <si>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</si>
  <si>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</si>
  <si>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</si>
  <si>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</si>
  <si>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</si>
  <si>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</si>
  <si>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</si>
  <si>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</si>
  <si>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</si>
  <si>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</si>
  <si>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</si>
  <si>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</si>
  <si>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</si>
  <si>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</si>
  <si>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</si>
  <si>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</si>
  <si>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</si>
  <si>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</si>
  <si>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</si>
  <si>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</si>
  <si>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</si>
  <si>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</si>
  <si>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</si>
  <si>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</si>
  <si>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</si>
  <si>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</si>
  <si>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</si>
  <si>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</si>
  <si>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</si>
  <si>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</si>
  <si>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</si>
  <si>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</si>
  <si>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</si>
  <si>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</si>
  <si>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</si>
  <si>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</si>
  <si>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</si>
  <si>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</si>
  <si>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</si>
  <si>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</si>
  <si>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</si>
  <si>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</si>
  <si>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</si>
  <si>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</si>
  <si>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</si>
  <si>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</si>
  <si>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</si>
  <si>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</si>
  <si>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</si>
  <si>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</si>
  <si>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</si>
  <si>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</si>
  <si>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</si>
  <si>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</si>
  <si>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</si>
  <si>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</si>
  <si>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</si>
  <si>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</si>
  <si>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</si>
  <si>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</si>
  <si>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</si>
  <si>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</si>
  <si>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</si>
  <si>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</si>
  <si>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</si>
  <si>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</si>
  <si>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</si>
  <si>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</si>
  <si>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</si>
  <si>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</si>
  <si>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</si>
  <si>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</si>
  <si>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</si>
  <si>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</si>
  <si>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</si>
  <si>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</si>
  <si>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</si>
  <si>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</si>
  <si>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</si>
  <si>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</si>
  <si>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</si>
  <si>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</si>
  <si>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</si>
  <si>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</si>
  <si>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</si>
  <si>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</si>
  <si>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</si>
  <si>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</si>
  <si>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</si>
  <si>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</si>
  <si>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</si>
  <si>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</si>
  <si>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</si>
  <si>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</si>
  <si>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</si>
  <si>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</si>
  <si>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</si>
  <si>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</si>
  <si>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</si>
  <si>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</si>
  <si>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</si>
  <si>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</si>
  <si>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</si>
  <si>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</si>
  <si>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</si>
  <si>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</si>
  <si>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</si>
  <si>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</si>
  <si>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</si>
  <si>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</si>
  <si>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</si>
  <si>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</si>
  <si>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</si>
  <si>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</si>
  <si>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</si>
  <si>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</si>
  <si>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</si>
  <si>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</si>
  <si>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</si>
  <si>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</si>
  <si>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</si>
  <si>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</si>
  <si>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</si>
  <si>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</si>
  <si>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</si>
  <si>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</si>
  <si>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</si>
  <si>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</si>
  <si>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</si>
  <si>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</si>
  <si>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</si>
  <si>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</si>
  <si>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</si>
  <si>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</si>
  <si>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</si>
  <si>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</si>
  <si>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</si>
  <si>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</si>
  <si>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</si>
  <si>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</si>
  <si>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</si>
  <si>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</si>
  <si>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</si>
  <si>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</si>
  <si>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</si>
  <si>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</si>
  <si>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</si>
  <si>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</si>
  <si>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</si>
  <si>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</si>
  <si>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</si>
  <si>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</si>
  <si>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</si>
  <si>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</si>
  <si>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</si>
  <si>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</si>
  <si>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</si>
  <si>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</si>
  <si>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</si>
  <si>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</si>
  <si>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</si>
  <si>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</si>
  <si>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</si>
  <si>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</si>
  <si>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</si>
  <si>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</si>
  <si>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</si>
  <si>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</si>
  <si>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</si>
  <si>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</si>
  <si>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</si>
  <si>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</si>
  <si>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</si>
  <si>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</si>
  <si>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</si>
  <si>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</si>
  <si>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</si>
  <si>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</si>
  <si>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</si>
  <si>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</si>
  <si>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</si>
  <si>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</si>
  <si>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</si>
  <si>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</si>
  <si>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</si>
  <si>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</si>
  <si>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</si>
  <si>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</si>
  <si>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</si>
  <si>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</si>
  <si>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</si>
  <si>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</si>
  <si>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</si>
  <si>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</si>
  <si>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</si>
  <si>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</si>
  <si>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</si>
  <si>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</si>
  <si>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</si>
  <si>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</si>
  <si>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</si>
  <si>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</si>
  <si>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</si>
  <si>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</si>
  <si>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</si>
  <si>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</si>
  <si>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</si>
  <si>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</si>
  <si>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</si>
  <si>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</si>
  <si>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</si>
  <si>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</si>
  <si>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</si>
  <si>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</si>
  <si>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</si>
  <si>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</si>
  <si>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</si>
  <si>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</si>
  <si>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</si>
  <si>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</si>
  <si>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</si>
  <si>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</si>
  <si>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</si>
  <si>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</si>
  <si>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</si>
  <si>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</si>
  <si>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</si>
  <si>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</si>
  <si>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</si>
  <si>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</si>
  <si>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</si>
  <si>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</si>
  <si>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</si>
  <si>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</si>
  <si>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</si>
  <si>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</si>
  <si>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</si>
  <si>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</si>
  <si>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</si>
  <si>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</si>
  <si>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</si>
  <si>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</si>
  <si>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</si>
  <si>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</si>
  <si>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</si>
  <si>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</si>
  <si>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</si>
  <si>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</si>
  <si>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</si>
  <si>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</si>
  <si>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</si>
  <si>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</si>
  <si>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</si>
  <si>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</si>
  <si>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</si>
  <si>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</si>
  <si>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</si>
  <si>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</si>
  <si>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</si>
  <si>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</si>
  <si>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</si>
  <si>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</si>
  <si>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</si>
  <si>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</si>
  <si>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</si>
  <si>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</si>
  <si>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</si>
  <si>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</si>
  <si>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</si>
  <si>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</si>
  <si>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</si>
  <si>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</si>
  <si>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</si>
  <si>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</si>
  <si>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</si>
  <si>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</si>
  <si>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</si>
  <si>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</si>
  <si>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</si>
  <si>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</si>
  <si>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</si>
  <si>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</si>
  <si>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</si>
  <si>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</si>
  <si>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</si>
  <si>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</si>
  <si>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</si>
  <si>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</si>
  <si>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</si>
  <si>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</si>
  <si>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</si>
  <si>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</si>
  <si>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</si>
  <si>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</si>
  <si>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</si>
  <si>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</si>
  <si>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</si>
  <si>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</si>
  <si>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</si>
  <si>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</si>
  <si>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</si>
  <si>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</si>
  <si>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</si>
  <si>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</si>
  <si>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</si>
  <si>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</si>
  <si>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</si>
  <si>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</si>
  <si>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</si>
  <si>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</si>
  <si>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</si>
  <si>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</si>
  <si>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</si>
  <si>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</si>
  <si>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</si>
  <si>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</si>
  <si>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</si>
  <si>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</si>
  <si>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</si>
  <si>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</si>
  <si>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</si>
  <si>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</si>
  <si>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</si>
  <si>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</si>
  <si>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</si>
  <si>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</si>
  <si>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</si>
  <si>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</si>
  <si>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</si>
  <si>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</si>
  <si>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</si>
  <si>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</si>
  <si>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</si>
  <si>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</si>
  <si>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</si>
  <si>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</si>
  <si>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</si>
  <si>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</si>
  <si>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</si>
  <si>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</si>
  <si>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</si>
  <si>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</si>
  <si>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</si>
  <si>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</si>
  <si>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</si>
  <si>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</si>
  <si>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</si>
  <si>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</si>
  <si>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</si>
  <si>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</si>
  <si>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</si>
  <si>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</si>
  <si>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</si>
  <si>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</si>
  <si>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</si>
  <si>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</si>
  <si>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</si>
  <si>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</si>
  <si>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</si>
  <si>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</si>
  <si>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</si>
  <si>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</si>
  <si>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</si>
  <si>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</si>
  <si>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</si>
  <si>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</si>
  <si>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</si>
  <si>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</si>
  <si>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</si>
  <si>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</si>
  <si>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</si>
  <si>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</si>
  <si>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</si>
  <si>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</si>
  <si>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</si>
  <si>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</si>
  <si>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</si>
  <si>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</si>
  <si>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</si>
  <si>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</si>
  <si>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</si>
  <si>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</si>
  <si>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</si>
  <si>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</si>
  <si>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</si>
  <si>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</si>
  <si>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</si>
  <si>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</si>
  <si>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</si>
  <si>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</si>
  <si>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</si>
  <si>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</si>
  <si>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</si>
  <si>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</si>
  <si>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</si>
  <si>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</si>
  <si>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</si>
  <si>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</si>
  <si>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</si>
  <si>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</si>
  <si>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</si>
  <si>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</si>
  <si>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</si>
  <si>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</si>
  <si>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</si>
  <si>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</si>
  <si>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</si>
  <si>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</si>
  <si>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</si>
  <si>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</si>
  <si>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</si>
  <si>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</si>
  <si>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</si>
  <si>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</si>
  <si>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</si>
  <si>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</si>
  <si>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</si>
  <si>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</si>
  <si>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</si>
  <si>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</si>
  <si>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</si>
  <si>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</si>
  <si>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</si>
  <si>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</si>
  <si>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</si>
  <si>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</si>
  <si>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</si>
  <si>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</si>
  <si>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</si>
  <si>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</si>
  <si>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</si>
  <si>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</si>
  <si>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</si>
  <si>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</si>
  <si>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</si>
  <si>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</si>
  <si>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</si>
  <si>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</si>
  <si>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</si>
  <si>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</si>
  <si>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</si>
  <si>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</si>
  <si>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</si>
  <si>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</si>
  <si>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</si>
  <si>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</si>
  <si>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</si>
  <si>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</si>
  <si>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</si>
  <si>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</si>
  <si>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</si>
  <si>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</si>
  <si>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</si>
  <si>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</si>
  <si>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</si>
  <si>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</si>
  <si>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</si>
  <si>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</si>
  <si>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</si>
  <si>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</si>
  <si>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</si>
  <si>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</si>
  <si>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</si>
  <si>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</si>
  <si>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</si>
  <si>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</si>
  <si>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</si>
  <si>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</si>
  <si>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</si>
  <si>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</si>
  <si>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</si>
  <si>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</si>
  <si>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</si>
  <si>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</si>
  <si>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</si>
  <si>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</si>
  <si>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</si>
  <si>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</si>
  <si>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</si>
  <si>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</si>
  <si>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</si>
  <si>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</si>
  <si>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</si>
  <si>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</si>
  <si>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</si>
  <si>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</si>
  <si>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</si>
  <si>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</si>
  <si>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</si>
  <si>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</si>
  <si>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</si>
  <si>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</si>
  <si>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</si>
  <si>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</si>
  <si>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</si>
  <si>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</si>
  <si>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</si>
  <si>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</si>
  <si>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</si>
  <si>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</si>
  <si>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</si>
  <si>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</si>
  <si>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</si>
  <si>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</si>
  <si>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</si>
  <si>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</si>
  <si>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</si>
  <si>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</si>
  <si>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</si>
  <si>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</si>
  <si>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</si>
  <si>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</si>
  <si>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</si>
  <si>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</si>
  <si>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</si>
  <si>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</si>
  <si>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</si>
  <si>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</si>
  <si>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</si>
  <si>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</si>
  <si>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</si>
  <si>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</si>
  <si>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</si>
  <si>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</si>
  <si>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</si>
  <si>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</si>
  <si>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</si>
  <si>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</si>
  <si>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</si>
  <si>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</si>
  <si>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</si>
  <si>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</si>
  <si>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</si>
  <si>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</si>
  <si>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</si>
  <si>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</si>
  <si>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</si>
  <si>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</si>
  <si>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</si>
  <si>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</si>
  <si>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</si>
  <si>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</si>
  <si>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</si>
  <si>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</si>
  <si>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</si>
  <si>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</si>
  <si>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</si>
  <si>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</si>
  <si>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</si>
  <si>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</si>
  <si>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</si>
  <si>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</si>
  <si>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</si>
  <si>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</si>
  <si>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</si>
  <si>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</si>
  <si>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</si>
  <si>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</si>
  <si>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</si>
  <si>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</si>
  <si>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</si>
  <si>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</si>
  <si>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</si>
  <si>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</si>
  <si>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</si>
  <si>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</si>
  <si>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</si>
  <si>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</si>
  <si>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</si>
  <si>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</si>
  <si>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</si>
  <si>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</si>
  <si>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</si>
  <si>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</si>
  <si>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</si>
  <si>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</si>
  <si>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</si>
  <si>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</si>
  <si>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</si>
  <si>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</si>
  <si>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</si>
  <si>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</si>
  <si>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</si>
  <si>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</si>
  <si>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</si>
  <si>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</si>
  <si>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</si>
  <si>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</si>
  <si>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</si>
  <si>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</si>
  <si>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</si>
  <si>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</si>
  <si>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</si>
  <si>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</si>
  <si>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</si>
  <si>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</si>
  <si>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Department of Commerce</t>
  </si>
  <si>
    <t>Broadband Technology Opportunities Program (BTOP)</t>
  </si>
  <si>
    <t>National Endowment for the Arts</t>
  </si>
  <si>
    <t>Promotion of the Arts - Partnership Agreements</t>
  </si>
  <si>
    <t>Department of Education</t>
  </si>
  <si>
    <t>Federal Work-Study Program</t>
  </si>
  <si>
    <t>Federal Pell Grant Program</t>
  </si>
  <si>
    <t xml:space="preserve">Statewide Data Systems, Recovery Act </t>
  </si>
  <si>
    <t xml:space="preserve">Teacher Incentive Fund, Recovery Act </t>
  </si>
  <si>
    <t xml:space="preserve">Education Technology State Grants, Recovery Act </t>
  </si>
  <si>
    <t xml:space="preserve">Education for Homeless Children and Youth, Recovery Act </t>
  </si>
  <si>
    <t xml:space="preserve">School Improvement Grants, Recovery Act </t>
  </si>
  <si>
    <t xml:space="preserve">Title I Grants to Local Education Agencies, Recovery Act </t>
  </si>
  <si>
    <t xml:space="preserve">Rehabilitation Services - Vocational Rehabilitation Grants to States, Recovery Act </t>
  </si>
  <si>
    <t xml:space="preserve">Special Education Grants to States, Recovery Act </t>
  </si>
  <si>
    <t xml:space="preserve">Special Education - Preschool Grants, Recovery Act </t>
  </si>
  <si>
    <t xml:space="preserve">State Fiscal Stabilization Fund (SFSF) - Education State Grants, Recovery Act </t>
  </si>
  <si>
    <t xml:space="preserve">State Fiscal Stabilization Fund (SFSF) - Race-to-the-Top Incentive Grants, Recovery Act </t>
  </si>
  <si>
    <t xml:space="preserve">State Fiscal Stabilization Fund (SFSF) - Government Services, Recovery Act </t>
  </si>
  <si>
    <t xml:space="preserve">Independent Living State Grants, Recovery Act </t>
  </si>
  <si>
    <t xml:space="preserve">Independent Living Services for Older Individuals Who are Blind, Recovery Act </t>
  </si>
  <si>
    <t>Education Jobs Fund</t>
  </si>
  <si>
    <t>Health and Human Services</t>
  </si>
  <si>
    <t>ARRA - Scholarships for Disadvantaged Students</t>
  </si>
  <si>
    <t>Total Education</t>
  </si>
  <si>
    <t>Energy and Environment</t>
  </si>
  <si>
    <t>Aquaculture Grants Program (AGP)</t>
  </si>
  <si>
    <t>Environmental Protection Agency</t>
  </si>
  <si>
    <t>National Clean Diesel Emissions Reduction Program</t>
  </si>
  <si>
    <t>State Clean Diesel Grant Program</t>
  </si>
  <si>
    <t>Water Quality Management Planning</t>
  </si>
  <si>
    <t>Capitalization Grants for Clean Water State Revolving Funds</t>
  </si>
  <si>
    <t>Capitalization Grants for Drinking Water State Revolving Funds</t>
  </si>
  <si>
    <t>Leaking Underground Storage Tank Trust Fund Corrective Action Program</t>
  </si>
  <si>
    <t>Department of Energy</t>
  </si>
  <si>
    <t>Weatherization Assistance for Low-Income Persons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</si>
  <si>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</si>
  <si>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</si>
  <si>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</si>
  <si>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</si>
  <si>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</si>
  <si>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</si>
  <si>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</si>
  <si>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</si>
  <si>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</si>
  <si>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</si>
  <si>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</si>
  <si>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</si>
  <si>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</si>
  <si>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Foster Care- Title IV-E</t>
  </si>
  <si>
    <t>Adoption Assistance</t>
  </si>
  <si>
    <t>ARRA - Head Start</t>
  </si>
  <si>
    <t>ARRA - Immunization</t>
  </si>
  <si>
    <t>ARRA - Child Care and Development Block Grant</t>
  </si>
  <si>
    <t>ARRA - Emergency Contingency Fund for Temporary Assistance for Needy Families (TANF) 
State Programs</t>
  </si>
  <si>
    <t>ARRA - Communities Putting Prevention to Work: Chronic Disease Self-Management Program</t>
  </si>
  <si>
    <t>Corporation for National and Community Service</t>
  </si>
  <si>
    <t>AmeriCorps</t>
  </si>
  <si>
    <t>Total Health and Social Services</t>
  </si>
  <si>
    <t>Housing</t>
  </si>
  <si>
    <t>ARRA - Community Services Block Grant</t>
  </si>
  <si>
    <t>Total Housing</t>
  </si>
  <si>
    <t>Labor</t>
  </si>
  <si>
    <t>Department of Labor</t>
  </si>
  <si>
    <t>Employment Service/Wanger-Peyser Funded Activities</t>
  </si>
  <si>
    <t>Unemployment Insurance</t>
  </si>
  <si>
    <t>Senior Community Service - Employment Program</t>
  </si>
  <si>
    <t>Workforce Investment Act  - Adult Program</t>
  </si>
  <si>
    <t>Workforce Investment Act  - Youth Activities</t>
  </si>
  <si>
    <t>Workforce Investment Act  - Dislocated Workers</t>
  </si>
  <si>
    <t>Program of Competitive Grants for Worker Training and Placement in High Growth and 
Emerging Industry Sectors</t>
  </si>
  <si>
    <t>Total Labor</t>
  </si>
  <si>
    <t>Public Protection</t>
  </si>
  <si>
    <t>State Broadband Data and Development Grant Program</t>
  </si>
  <si>
    <t>Department of Defense</t>
  </si>
  <si>
    <t>National Guard Military Operations and Maintenance (O&amp;M) Projects</t>
  </si>
  <si>
    <t>Department of Justice</t>
  </si>
  <si>
    <t>Violence Against Women Formula Grants</t>
  </si>
  <si>
    <t>Recovery Act  - Internet Crimes against Children Task Force Program (ICAC)</t>
  </si>
  <si>
    <t>Recovery Act  - State Victim Assistance Formula Grant Program</t>
  </si>
  <si>
    <t>Recovery Act  - State Victim Compensation Formula Grant Program</t>
  </si>
  <si>
    <t>Recovery Act  - Edward Byrne Memorial Justice Assistance Grant (JAG) Program/
Grants to States and Territories</t>
  </si>
  <si>
    <t>Total Public Protection</t>
  </si>
  <si>
    <t>Transportation</t>
  </si>
  <si>
    <t>Department of Transportation</t>
  </si>
  <si>
    <t>Highway Planning and Construction</t>
  </si>
  <si>
    <t>Formula Grants for Other Than Urbanized Areas</t>
  </si>
  <si>
    <t>Total Transportation</t>
  </si>
  <si>
    <t>TOTAL ARRA DISBURSEMENTS</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</si>
  <si>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</si>
  <si>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</si>
  <si>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</si>
  <si>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</si>
  <si>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</si>
  <si>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</si>
  <si>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</si>
  <si>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</si>
  <si>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</si>
  <si>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</si>
  <si>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</si>
  <si>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</si>
  <si>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</si>
  <si>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</si>
  <si>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</si>
  <si>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</si>
  <si>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</si>
  <si>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</si>
  <si>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</si>
  <si>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</si>
  <si>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</si>
  <si>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</si>
  <si>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</si>
  <si>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</si>
  <si>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</si>
  <si>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</si>
  <si>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</si>
  <si>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</si>
  <si>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</si>
  <si>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</si>
  <si>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</si>
  <si>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</si>
  <si>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</si>
  <si>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</si>
  <si>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</si>
  <si>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</si>
  <si>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</si>
  <si>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</si>
  <si>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</si>
  <si>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</si>
  <si>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</si>
  <si>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</si>
  <si>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</si>
  <si>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</si>
  <si>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</si>
  <si>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</si>
  <si>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</si>
  <si>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</si>
  <si>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</si>
  <si>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</si>
  <si>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</si>
  <si>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</si>
  <si>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</si>
  <si>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</si>
  <si>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</si>
  <si>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</si>
  <si>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</si>
  <si>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</si>
  <si>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</si>
  <si>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</si>
  <si>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</si>
  <si>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</si>
  <si>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</si>
  <si>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</si>
  <si>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</si>
  <si>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</si>
  <si>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</si>
  <si>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</si>
  <si>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</si>
  <si>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</si>
  <si>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</si>
  <si>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</si>
  <si>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</si>
  <si>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</si>
  <si>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</si>
  <si>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</si>
  <si>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</si>
  <si>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</si>
  <si>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</si>
  <si>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</si>
  <si>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</si>
  <si>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</si>
  <si>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</si>
  <si>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</si>
  <si>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</si>
  <si>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</si>
  <si>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</si>
  <si>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</si>
  <si>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</si>
  <si>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</si>
  <si>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</si>
  <si>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</si>
  <si>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</si>
  <si>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</si>
  <si>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</si>
  <si>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</si>
  <si>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</si>
  <si>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</si>
  <si>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</si>
  <si>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</si>
  <si>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</si>
  <si>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</si>
  <si>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</si>
  <si>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</si>
  <si>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</si>
  <si>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</si>
  <si>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</si>
  <si>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</si>
  <si>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</si>
  <si>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</si>
  <si>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</si>
  <si>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</si>
  <si>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</si>
  <si>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</si>
  <si>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</si>
  <si>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</si>
  <si>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</si>
  <si>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</si>
  <si>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</si>
  <si>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</si>
  <si>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</si>
  <si>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</si>
  <si>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</si>
  <si>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</si>
  <si>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</si>
  <si>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</si>
  <si>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</si>
  <si>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</si>
  <si>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</si>
  <si>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</si>
  <si>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</si>
  <si>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</si>
  <si>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</si>
  <si>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</si>
  <si>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</si>
  <si>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</si>
  <si>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</si>
  <si>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</si>
  <si>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</si>
  <si>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</si>
  <si>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</si>
  <si>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</si>
  <si>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</si>
  <si>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</si>
  <si>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</si>
  <si>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</si>
  <si>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</si>
  <si>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</si>
  <si>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</si>
  <si>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</si>
  <si>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</si>
  <si>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</si>
  <si>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</si>
  <si>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</si>
  <si>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</si>
  <si>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</si>
  <si>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</si>
  <si>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</si>
  <si>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</si>
  <si>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</si>
  <si>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</si>
  <si>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</si>
  <si>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</si>
  <si>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</si>
  <si>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</si>
  <si>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</si>
  <si>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</si>
  <si>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</si>
  <si>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</si>
  <si>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</si>
  <si>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</si>
  <si>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</si>
  <si>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</si>
  <si>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</si>
  <si>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</si>
  <si>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</si>
  <si>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</si>
  <si>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</si>
  <si>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</si>
  <si>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</si>
  <si>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</si>
  <si>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</si>
  <si>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</si>
  <si>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</si>
  <si>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</si>
  <si>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</si>
  <si>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</si>
  <si>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</si>
  <si>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</si>
  <si>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</si>
  <si>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</si>
  <si>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</si>
  <si>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</si>
  <si>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</si>
  <si>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</si>
  <si>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</si>
  <si>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</si>
  <si>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</si>
  <si>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</si>
  <si>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</si>
  <si>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</si>
  <si>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</si>
  <si>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</si>
  <si>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</si>
  <si>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</si>
  <si>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</si>
  <si>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</si>
  <si>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</si>
  <si>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</si>
  <si>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</si>
  <si>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</si>
  <si>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</si>
  <si>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</si>
  <si>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</si>
  <si>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</si>
  <si>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</si>
  <si>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</si>
  <si>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</si>
  <si>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</si>
  <si>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</si>
  <si>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</si>
  <si>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</si>
  <si>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</si>
  <si>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</si>
  <si>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</si>
  <si>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</si>
  <si>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</si>
  <si>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</si>
  <si>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</si>
  <si>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</si>
  <si>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</si>
  <si>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</si>
  <si>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</si>
  <si>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</si>
  <si>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</si>
  <si>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</si>
  <si>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</si>
  <si>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</si>
  <si>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</si>
  <si>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</si>
  <si>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</si>
  <si>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</si>
  <si>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</si>
  <si>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</si>
  <si>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</si>
  <si>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</si>
  <si>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</si>
  <si>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</si>
  <si>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</si>
  <si>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</si>
  <si>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</si>
  <si>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</si>
  <si>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</si>
  <si>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</si>
  <si>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</si>
  <si>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</si>
  <si>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</si>
  <si>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</si>
  <si>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</si>
  <si>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</si>
  <si>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</si>
  <si>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</si>
  <si>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</si>
  <si>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</si>
  <si>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</si>
  <si>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</si>
  <si>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</si>
  <si>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</si>
  <si>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</si>
  <si>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</si>
  <si>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LAW:SEC. 11 ADMIN</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</si>
  <si>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</si>
  <si>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</si>
  <si>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</si>
  <si>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</si>
  <si>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</si>
  <si>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</si>
  <si>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</si>
  <si>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</si>
  <si>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</si>
  <si>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</si>
  <si>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</si>
  <si>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</si>
  <si>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</si>
  <si>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</si>
  <si>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</si>
  <si>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</si>
  <si>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</si>
  <si>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</si>
  <si>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</si>
  <si>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</si>
  <si>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</si>
  <si>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</si>
  <si>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</si>
  <si>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</si>
  <si>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</si>
  <si>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</si>
  <si>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</si>
  <si>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</si>
  <si>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</si>
  <si>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</si>
  <si>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</si>
  <si>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</si>
  <si>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</si>
  <si>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</si>
  <si>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</si>
  <si>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</si>
  <si>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</si>
  <si>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</si>
  <si>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</si>
  <si>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</si>
  <si>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</si>
  <si>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</si>
  <si>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</si>
  <si>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</si>
  <si>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</si>
  <si>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</si>
  <si>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</si>
  <si>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</si>
  <si>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</si>
  <si>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</si>
  <si>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</si>
  <si>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</si>
  <si>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</si>
  <si>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</si>
  <si>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</si>
  <si>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</si>
  <si>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</si>
  <si>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</si>
  <si>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</si>
  <si>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</si>
  <si>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</si>
  <si>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</si>
  <si>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</si>
  <si>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</si>
  <si>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</si>
  <si>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</si>
  <si>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</si>
  <si>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</si>
  <si>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</si>
  <si>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</si>
  <si>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</si>
  <si>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</si>
  <si>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</si>
  <si>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</si>
  <si>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</si>
  <si>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</si>
  <si>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</si>
  <si>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</si>
  <si>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</si>
  <si>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</si>
  <si>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</si>
  <si>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</si>
  <si>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</si>
  <si>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</si>
  <si>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</si>
  <si>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</si>
  <si>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</si>
  <si>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</si>
  <si>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</si>
  <si>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</si>
  <si>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</si>
  <si>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</si>
  <si>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</si>
  <si>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</si>
  <si>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</si>
  <si>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</si>
  <si>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</si>
  <si>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</si>
  <si>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</si>
  <si>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</si>
  <si>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</si>
  <si>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</si>
  <si>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</si>
  <si>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</si>
  <si>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</si>
  <si>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</si>
  <si>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</si>
  <si>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</si>
  <si>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</si>
  <si>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</si>
  <si>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</si>
  <si>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</si>
  <si>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</si>
  <si>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</si>
  <si>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</si>
  <si>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</si>
  <si>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</si>
  <si>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</si>
  <si>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</si>
  <si>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</si>
  <si>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</si>
  <si>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</si>
  <si>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</si>
  <si>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</si>
  <si>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</si>
  <si>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</si>
  <si>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</si>
  <si>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</si>
  <si>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</si>
  <si>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</si>
  <si>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</si>
  <si>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</si>
  <si>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</si>
  <si>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</si>
  <si>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</si>
  <si>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</si>
  <si>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</si>
  <si>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</si>
  <si>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</si>
  <si>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</si>
  <si>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</si>
  <si>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</si>
  <si>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</si>
  <si>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</si>
  <si>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</si>
  <si>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</si>
  <si>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</si>
  <si>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</si>
  <si>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</si>
  <si>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</si>
  <si>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</si>
  <si>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</si>
  <si>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</si>
  <si>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</si>
  <si>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</si>
  <si>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</si>
  <si>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</si>
  <si>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</si>
  <si>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</si>
  <si>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</si>
  <si>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</si>
  <si>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</si>
  <si>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</si>
  <si>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</si>
  <si>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</si>
  <si>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</si>
  <si>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</si>
  <si>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</si>
  <si>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</si>
  <si>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</si>
  <si>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</si>
  <si>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</si>
  <si>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</si>
  <si>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</si>
  <si>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</si>
  <si>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</si>
  <si>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</si>
  <si>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</si>
  <si>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</si>
  <si>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</si>
  <si>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</si>
  <si>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</si>
  <si>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</si>
  <si>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</si>
  <si>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</si>
  <si>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</si>
  <si>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</si>
  <si>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</si>
  <si>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</si>
  <si>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</si>
  <si>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</si>
  <si>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</si>
  <si>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</si>
  <si>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</si>
  <si>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</si>
  <si>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</si>
  <si>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</si>
  <si>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</si>
  <si>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</si>
  <si>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</si>
  <si>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</si>
  <si>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</si>
  <si>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</si>
  <si>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</si>
  <si>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</si>
  <si>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</si>
  <si>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</si>
  <si>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</si>
  <si>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</si>
  <si>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</si>
  <si>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</si>
  <si>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</si>
  <si>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</si>
  <si>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</si>
  <si>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</si>
  <si>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</si>
  <si>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</si>
  <si>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</si>
  <si>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</si>
  <si>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</si>
  <si>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</si>
  <si>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</si>
  <si>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</si>
  <si>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(4)</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</si>
  <si>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</si>
  <si>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</si>
  <si>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</si>
  <si>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</si>
  <si>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</si>
  <si>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</si>
  <si>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</si>
  <si>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</si>
  <si>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</si>
  <si>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</si>
  <si>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</si>
  <si>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</si>
  <si>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</si>
  <si>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</si>
  <si>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</si>
  <si>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</si>
  <si>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</si>
  <si>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</si>
  <si>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</si>
  <si>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</si>
  <si>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</si>
  <si>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</si>
  <si>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</si>
  <si>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</si>
  <si>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</si>
  <si>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</si>
  <si>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</si>
  <si>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</si>
  <si>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</si>
  <si>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</si>
  <si>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</si>
  <si>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</si>
  <si>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</si>
  <si>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</si>
  <si>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</si>
  <si>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</si>
  <si>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</si>
  <si>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</si>
  <si>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</si>
  <si>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</si>
  <si>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</si>
  <si>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</si>
  <si>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</si>
  <si>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</si>
  <si>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</si>
  <si>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</si>
  <si>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</si>
  <si>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</si>
  <si>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</si>
  <si>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</si>
  <si>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</si>
  <si>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</si>
  <si>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</si>
  <si>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</si>
  <si>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</si>
  <si>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</si>
  <si>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</si>
  <si>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</si>
  <si>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</si>
  <si>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</si>
  <si>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</si>
  <si>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</si>
  <si>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</si>
  <si>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</si>
  <si>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</si>
  <si>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</si>
  <si>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</si>
  <si>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</si>
  <si>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</si>
  <si>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</si>
  <si>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</si>
  <si>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</si>
  <si>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</si>
  <si>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</si>
  <si>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</si>
  <si>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</si>
  <si>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</si>
  <si>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</si>
  <si>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</si>
  <si>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</si>
  <si>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</si>
  <si>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</si>
  <si>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</si>
  <si>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</si>
  <si>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</si>
  <si>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</si>
  <si>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</si>
  <si>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</si>
  <si>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</si>
  <si>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</si>
  <si>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</si>
  <si>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</si>
  <si>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</si>
  <si>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</si>
  <si>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</si>
  <si>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</si>
  <si>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</si>
  <si>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</si>
  <si>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</si>
  <si>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</si>
  <si>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</si>
  <si>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</si>
  <si>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</si>
  <si>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</si>
  <si>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</si>
  <si>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</si>
  <si>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</si>
  <si>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</si>
  <si>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</si>
  <si>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</si>
  <si>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</si>
  <si>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</si>
  <si>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</si>
  <si>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</si>
  <si>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</si>
  <si>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</si>
  <si>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</si>
  <si>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</si>
  <si>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</si>
  <si>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</si>
  <si>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</si>
  <si>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</si>
  <si>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</si>
  <si>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</si>
  <si>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</si>
  <si>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</si>
  <si>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</si>
  <si>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</si>
  <si>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</si>
  <si>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</si>
  <si>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</si>
  <si>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</si>
  <si>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</si>
  <si>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</si>
  <si>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</si>
  <si>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</si>
  <si>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</si>
  <si>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</si>
  <si>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</si>
  <si>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</si>
  <si>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</si>
  <si>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</si>
  <si>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</si>
  <si>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</si>
  <si>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</si>
  <si>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</si>
  <si>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</si>
  <si>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</si>
  <si>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</si>
  <si>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</si>
  <si>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</si>
  <si>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</si>
  <si>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</si>
  <si>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</si>
  <si>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</si>
  <si>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</si>
  <si>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</si>
  <si>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</si>
  <si>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</si>
  <si>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</si>
  <si>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</si>
  <si>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</si>
  <si>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</si>
  <si>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</si>
  <si>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</si>
  <si>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</si>
  <si>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</si>
  <si>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</si>
  <si>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</si>
  <si>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</si>
  <si>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</si>
  <si>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</si>
  <si>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</si>
  <si>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</si>
  <si>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</si>
  <si>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</si>
  <si>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</si>
  <si>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</si>
  <si>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</si>
  <si>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</si>
  <si>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</si>
  <si>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</si>
  <si>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</si>
  <si>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</si>
  <si>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</si>
  <si>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</si>
  <si>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</si>
  <si>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</si>
  <si>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</si>
  <si>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</si>
  <si>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</si>
  <si>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</si>
  <si>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</si>
  <si>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</si>
  <si>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</si>
  <si>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</si>
  <si>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</si>
  <si>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</si>
  <si>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</si>
  <si>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</si>
  <si>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</si>
  <si>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</si>
  <si>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</si>
  <si>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</si>
  <si>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</si>
  <si>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</si>
  <si>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</si>
  <si>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</si>
  <si>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</si>
  <si>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</si>
  <si>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</si>
  <si>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</si>
  <si>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</si>
  <si>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</si>
  <si>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</si>
  <si>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</si>
  <si>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</si>
  <si>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</si>
  <si>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</si>
  <si>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</si>
  <si>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</si>
  <si>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</si>
  <si>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</si>
  <si>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</si>
  <si>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</si>
  <si>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</si>
  <si>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</si>
  <si>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</si>
  <si>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</si>
  <si>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</si>
  <si>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</si>
  <si>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</si>
  <si>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</si>
  <si>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</si>
  <si>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</si>
  <si>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</si>
  <si>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</si>
  <si>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</si>
  <si>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</si>
  <si>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</si>
  <si>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</si>
  <si>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</si>
  <si>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</si>
  <si>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Youth Facilities Per Diem Account</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</si>
  <si>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</si>
  <si>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</si>
  <si>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</si>
  <si>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</si>
  <si>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</si>
  <si>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</si>
  <si>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</si>
  <si>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</si>
  <si>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</si>
  <si>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</si>
  <si>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</si>
  <si>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</si>
  <si>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</si>
  <si>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</si>
  <si>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</si>
  <si>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</si>
  <si>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</si>
  <si>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</si>
  <si>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</si>
  <si>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</si>
  <si>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</si>
  <si>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</si>
  <si>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</si>
  <si>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</si>
  <si>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</si>
  <si>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</si>
  <si>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</si>
  <si>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</si>
  <si>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</si>
  <si>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</si>
  <si>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</si>
  <si>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</si>
  <si>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</si>
  <si>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</si>
  <si>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</si>
  <si>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</si>
  <si>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</si>
  <si>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</si>
  <si>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</si>
  <si>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</si>
  <si>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</si>
  <si>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</si>
  <si>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</si>
  <si>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</si>
  <si>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</si>
  <si>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</si>
  <si>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</si>
  <si>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</si>
  <si>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</si>
  <si>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</si>
  <si>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         DASNY Revenue Bond   </t>
  </si>
  <si>
    <t xml:space="preserve">         State Department of Education Facilities    </t>
  </si>
  <si>
    <t xml:space="preserve">         Center for Industrial Innovation at RPI    </t>
  </si>
  <si>
    <t xml:space="preserve">         Syracuse University Science and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</si>
  <si>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</si>
  <si>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</si>
  <si>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</si>
  <si>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</si>
  <si>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</si>
  <si>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</si>
  <si>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</si>
  <si>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</si>
  <si>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</si>
  <si>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</si>
  <si>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</si>
  <si>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Spinal Cord Injury Account</t>
  </si>
  <si>
    <t xml:space="preserve">  21050-21149-Encon Special Revenue</t>
  </si>
  <si>
    <t xml:space="preserve">     Reclass of SUNY Hospital Poison Control Centers to Transfer</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</si>
  <si>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</si>
  <si>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</si>
  <si>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</si>
  <si>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</si>
  <si>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</si>
  <si>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</si>
  <si>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</si>
  <si>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Consolidated Service Contract Refunding  </t>
  </si>
  <si>
    <t xml:space="preserve">         SUNY Community Colleges  </t>
  </si>
  <si>
    <t xml:space="preserve">         SUNY Educational Facilities  </t>
  </si>
  <si>
    <t xml:space="preserve">     Local Government Assistance Corporation   </t>
  </si>
  <si>
    <t xml:space="preserve">         State Facilities and Equipment    </t>
  </si>
  <si>
    <t>FISCAL YEAR 2015-2016</t>
  </si>
  <si>
    <t>2016</t>
  </si>
  <si>
    <t>STATE FISCAL YEAR ENDED MARCH 31, 2016</t>
  </si>
  <si>
    <t>APR. 1, 2015</t>
  </si>
  <si>
    <t>FISCAL YEAR ENDED MARCH 31, 2016</t>
  </si>
  <si>
    <t xml:space="preserve">   DEBT ISSUED</t>
  </si>
  <si>
    <t>FISCAL YEAR 2015-16</t>
  </si>
  <si>
    <t xml:space="preserve">FISCAL YEAR 2015-2016    </t>
  </si>
  <si>
    <t xml:space="preserve">FISCAL YEAR 2015-2016  </t>
  </si>
  <si>
    <t>2015-16</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</si>
  <si>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</si>
  <si>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</si>
  <si>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</si>
  <si>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</si>
  <si>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</si>
  <si>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Temporary Loans are authorized pursuant to Subdivision 5 of Section 4 of the State Finance Law and Chapter 60, Part I, Section 1 and 1A, of the Laws of 2015-16.</t>
  </si>
  <si>
    <t>2015-2016</t>
  </si>
  <si>
    <t>5.</t>
  </si>
  <si>
    <t>adjustment.</t>
  </si>
  <si>
    <t>The State Special Revenue April 1, 2015 balance has been adjusted by $0.5m to reverse out a prior period</t>
  </si>
  <si>
    <t>Banking Services Account</t>
  </si>
  <si>
    <t xml:space="preserve">Pursuant to a settlement agreement between New York State Department of Health and the Centers for Medicare </t>
  </si>
  <si>
    <t>(*)      Source:  2015-16 Enacted Budget dated May 13, 2015.</t>
  </si>
  <si>
    <t>(*)     Source:  2015-16 Enacted Budget dated May 13, 2015.</t>
  </si>
  <si>
    <t>(2),(5)</t>
  </si>
  <si>
    <t xml:space="preserve">(*) Includes amounts appropriated in SFY 2015-16, as well as prior year appropriations that were reappropriated. </t>
  </si>
  <si>
    <t xml:space="preserve">reduced by $850 million and spending has been increased in the General Fund by $850 million to reflect the </t>
  </si>
  <si>
    <t xml:space="preserve">paid for services related to developmental centers and other intermediate care facilities for individuals with </t>
  </si>
  <si>
    <t xml:space="preserve">intellectual disabilities operated by the New York State Office for People with Developmental Disabilities (OPWDD).  </t>
  </si>
  <si>
    <t>The spending is reclassed to Transfer To and From Other Funds in the respective funds.  The impact to the financial</t>
  </si>
  <si>
    <t xml:space="preserve">initial payment pursuant the agreement.  The agreement resolves a disallowance for prior year claims that the State </t>
  </si>
  <si>
    <t>statements is an increase in the General Fund Transfer To Other Funds and a decrease in Special Revenue -  Federal</t>
  </si>
  <si>
    <t>Funds by the $850 million to reflect the additional Medicaid costs.</t>
  </si>
  <si>
    <t xml:space="preserve">and Medicaid Services (CMS), Medicaid spending and revenue in Special Revenue - Federal Funds has been </t>
  </si>
  <si>
    <t xml:space="preserve">          transfer amounts do not include eliminations.</t>
  </si>
  <si>
    <t>26000-26049</t>
  </si>
  <si>
    <t>HEALTH-SPARCS</t>
  </si>
  <si>
    <t>MTA Operating Assistance Fund</t>
  </si>
  <si>
    <t>Mental Hygiene Program Fund</t>
  </si>
  <si>
    <t>Environmental Protection Fund</t>
  </si>
  <si>
    <t>Chemical Dependence Service Fund</t>
  </si>
  <si>
    <t>A portion of Personal Income Tax receipts is transferred to the State Special Revenue School Tax Relief (STAR)</t>
  </si>
  <si>
    <t>Fund to be used to reimburse school districts for the STAR property tax exemptions for homeowners and payments</t>
  </si>
  <si>
    <t>6.</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</si>
  <si>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</si>
  <si>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</si>
  <si>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</si>
  <si>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</si>
  <si>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</si>
  <si>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Dedicated Highway &amp; Bridge Trust Fund</t>
  </si>
  <si>
    <t>Railroad Account</t>
  </si>
  <si>
    <t>Dedicated Mass Transportation (Non-MTA)</t>
  </si>
  <si>
    <t>Dedicated Infrastructure Investment Fund</t>
  </si>
  <si>
    <t>Alcohol Beverage Control</t>
  </si>
  <si>
    <t>Federal Operating Grants Fund</t>
  </si>
  <si>
    <t>AUDIT, COLLECTION, AND ENFORCEMENT PROGRAM</t>
  </si>
  <si>
    <t xml:space="preserve">     CIGARETTE STRIKE TASK FORCE</t>
  </si>
  <si>
    <t>ELDERLY PHARMACEUTICAL INS COVERAGE PRG</t>
  </si>
  <si>
    <t>Transit Authority Account</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</si>
  <si>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</si>
  <si>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</si>
  <si>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</si>
  <si>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</si>
  <si>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</si>
  <si>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</si>
  <si>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</si>
  <si>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</si>
  <si>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Consolidated Service Contract Refunding          </t>
  </si>
  <si>
    <t xml:space="preserve">FISCAL YEAR 2015-16       </t>
  </si>
  <si>
    <t>1st Quarter</t>
  </si>
  <si>
    <t>APRIL - JUNE</t>
  </si>
  <si>
    <t>Appendix H</t>
  </si>
  <si>
    <t xml:space="preserve">      Transformative Economic Development Projects</t>
  </si>
  <si>
    <t xml:space="preserve">      Thruway Stabilization Program</t>
  </si>
  <si>
    <t xml:space="preserve">      Southern Tier / Hudson Valley Farm Initiative</t>
  </si>
  <si>
    <t xml:space="preserve">      Resiliency, Mitigation, Security and Emergency Response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</si>
  <si>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</si>
  <si>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</si>
  <si>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</si>
  <si>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</si>
  <si>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</si>
  <si>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</si>
  <si>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APPENDIX H</t>
  </si>
  <si>
    <t>State Capital Projects Fund</t>
  </si>
  <si>
    <t>SUNY - Hospital IFR</t>
  </si>
  <si>
    <t>Medical Marihuana Health Operation and Oversight Account</t>
  </si>
  <si>
    <t>System and Technology Account</t>
  </si>
  <si>
    <t>Vital Records Management Fund</t>
  </si>
  <si>
    <t>Professional Education Services Account</t>
  </si>
  <si>
    <t>State Miscellaneous Special Revenue Fund</t>
  </si>
  <si>
    <t>Hazardous Waste Remediation Oversight and Assistance Account</t>
  </si>
  <si>
    <t xml:space="preserve">(***)    Includes transfers to the Department of Health Income Fund, the State University Income Fund and the Mental Hygiene Program Account representing payments </t>
  </si>
  <si>
    <t xml:space="preserve">  Plan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</si>
  <si>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</si>
  <si>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</si>
  <si>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</si>
  <si>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 xml:space="preserve">    Plan (**)</t>
  </si>
  <si>
    <t xml:space="preserve">  Transfers from Other Funds(***)</t>
  </si>
  <si>
    <t xml:space="preserve">  Transfers to Other Funds(***)</t>
  </si>
  <si>
    <t>to homeowners for the STAR Property Rebate Program.  Local Assistance Education grant payments were</t>
  </si>
  <si>
    <t xml:space="preserve">Beginning Fund Balance       </t>
  </si>
  <si>
    <t xml:space="preserve">   Disbursements and Other Financing Uses         </t>
  </si>
  <si>
    <t xml:space="preserve">Beginning Fund Balance              </t>
  </si>
  <si>
    <r>
      <t xml:space="preserve">(*)  Fund created pursuant to Chapter 60, Laws of 2015-16, Part H and SFL  </t>
    </r>
    <r>
      <rPr>
        <sz val="11"/>
        <rFont val="Agency FB"/>
        <family val="2"/>
      </rPr>
      <t>§</t>
    </r>
    <r>
      <rPr>
        <sz val="11"/>
        <rFont val="Arial"/>
        <family val="2"/>
      </rPr>
      <t xml:space="preserve"> 93-b</t>
    </r>
  </si>
  <si>
    <t>(**) Pursuant to Chapter 60, Laws of 2015-16, Part I</t>
  </si>
  <si>
    <t>Dedicated Infrastructure Investment Fund - Statement of Receipts and Disbursements</t>
  </si>
  <si>
    <t xml:space="preserve">   Transfers to All Other Capital Projects</t>
  </si>
  <si>
    <t>Centralized Tech Services Account</t>
  </si>
  <si>
    <t>COMPARATIVE SCHEDULE OF TAX RECEIPTS</t>
  </si>
  <si>
    <t>April - June</t>
  </si>
  <si>
    <t>Temporary loans to federal funds are typically reimbursed within 2-3 days.  Such loans are made pursuant to federal regulations which require the State to disburse funds prior to</t>
  </si>
  <si>
    <t>making a reimbursement claim from the U.S. Treasury.</t>
  </si>
  <si>
    <t>(***)    Actual reported transfer amounts include eliminations between Special Revenue - State and Federal Funds.  The Financial Plan reported</t>
  </si>
  <si>
    <t xml:space="preserve">   Federal Receipts             </t>
  </si>
  <si>
    <t xml:space="preserve">  Other Financing Sources over           </t>
  </si>
  <si>
    <t>Financial Crimes Revenue Account</t>
  </si>
  <si>
    <t>Dept of Labor - Fee &amp; Penalty Account</t>
  </si>
  <si>
    <t>Certificate of Need Account</t>
  </si>
  <si>
    <t>Federal Dept of Health &amp; Human Services Fund</t>
  </si>
  <si>
    <t xml:space="preserve">Unemployment Insurance - Interest &amp; Penalty Account  </t>
  </si>
  <si>
    <t>Federal USDA/Food and Nutrition Services Fund</t>
  </si>
  <si>
    <t>(*)On February 17, 2009, President Obama signed into law the American Recovery and Reinvestment</t>
  </si>
  <si>
    <t>2nd Quarter</t>
  </si>
  <si>
    <t>JULY - SEPTEMBER</t>
  </si>
  <si>
    <t>Transportation Surplus Property Account</t>
  </si>
  <si>
    <t>Examination &amp;  Miscellaneous Revenue Account</t>
  </si>
  <si>
    <t>July - September</t>
  </si>
  <si>
    <t>October</t>
  </si>
  <si>
    <t>Electricity Delivery and Energy Reliability, Research, Development and Analysis</t>
  </si>
  <si>
    <t xml:space="preserve">      Health Care / Hospital Initiatives</t>
  </si>
  <si>
    <t xml:space="preserve">      Upstate Revitalization Program</t>
  </si>
  <si>
    <t>November</t>
  </si>
  <si>
    <t>(***)   Actual reported transfer amounts include eliminations between Special Revenue - State and Federal Funds.  The Financial Plan reported</t>
  </si>
  <si>
    <t>DEC. 2014</t>
  </si>
  <si>
    <t>DEC. 31, 2014</t>
  </si>
  <si>
    <t xml:space="preserve">                                   9 Months Ended December 31</t>
  </si>
  <si>
    <t>December 31, 2015</t>
  </si>
  <si>
    <t>DEC. 2015</t>
  </si>
  <si>
    <t>9 MOS. ENDED</t>
  </si>
  <si>
    <t>DEC. 31, 2015</t>
  </si>
  <si>
    <t>FOR NINE MONTHS ENDED DECEMBER 31, 2015</t>
  </si>
  <si>
    <t>Fund Balances (Deficits) at December 31, 2015</t>
  </si>
  <si>
    <t>9 Months Ended December 31</t>
  </si>
  <si>
    <t xml:space="preserve">9 Months Ended December 31        </t>
  </si>
  <si>
    <t xml:space="preserve">9 Months Ended December 31  </t>
  </si>
  <si>
    <t>FOR THE MONTH OF DECEMBER 2015</t>
  </si>
  <si>
    <t>9 MONTHS ENDED</t>
  </si>
  <si>
    <t>DECEMBER 1, 2015</t>
  </si>
  <si>
    <t>DECEMBER 31, 2015</t>
  </si>
  <si>
    <t xml:space="preserve">FOR THE NINE MONTHS ENDED DECEMBER 31, 2015    </t>
  </si>
  <si>
    <t>9 MONTHS ENDED DEC. 31</t>
  </si>
  <si>
    <t>9 Months Ended</t>
  </si>
  <si>
    <t xml:space="preserve">            Audit Fees</t>
  </si>
  <si>
    <t>December 2015</t>
  </si>
  <si>
    <t>payment obligations were met out of these reserves and future payment amounts were scheduled</t>
  </si>
  <si>
    <t>for transfer at the commencement of the succeeding month.</t>
  </si>
  <si>
    <t xml:space="preserve">the current fiscal quarter.  As of December 31, 2015 - pursuant to a certification of the Budget Director - </t>
  </si>
  <si>
    <r>
      <t>Capital Projects Funds</t>
    </r>
    <r>
      <rPr>
        <sz val="9"/>
        <rFont val="Arial"/>
        <family val="2"/>
      </rPr>
      <t xml:space="preserve"> “Transfers To Other Funds” includes transfers to the General Fund ($15.7m), the  </t>
    </r>
  </si>
  <si>
    <t>General Debt Service Fund ($517.6m) and the Revenue Bond Tax Fund ($134.7m).</t>
  </si>
  <si>
    <t>operated Health and Mental Hygiene facilities and transfers to the Capital Projects funds ($74.2m).</t>
  </si>
  <si>
    <t>($772.9m) as of December 31, 2015.</t>
  </si>
  <si>
    <t>DECEMBER 2015</t>
  </si>
  <si>
    <t>DECEMBER 2014</t>
  </si>
  <si>
    <t>(**)     Source:  2016-17 Executive Budget dated January 13, 2016.</t>
  </si>
  <si>
    <t>Indigent Legal Services Fund</t>
  </si>
  <si>
    <t xml:space="preserve">As of December 31, 2015, $8,964,797.72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</si>
  <si>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Source:  2016-17 Executive Budget dated January 13, 2016.</t>
  </si>
  <si>
    <t>(*)    Source:  2015-16 Enacted Budget dated May 13, 2015.</t>
  </si>
  <si>
    <t xml:space="preserve">        Audit Fees</t>
  </si>
  <si>
    <t xml:space="preserve">operated Health, Mental Hygiene and State University facilities to Debt Service funds ($11.4m), the </t>
  </si>
  <si>
    <t>State University Income Fund ($305.5m), the Mental Hygiene Program Account ($1,789.2m) and</t>
  </si>
  <si>
    <t>($1053.9m) representing the federal share of Medicaid payments for patients residing in State-</t>
  </si>
  <si>
    <t xml:space="preserve">of Health ($119.7m) and Mental Hygiene ($907.3m). </t>
  </si>
  <si>
    <t>Miscellaneous State Special Revenue Account ($0.2m).</t>
  </si>
  <si>
    <t>December</t>
  </si>
  <si>
    <t>9 Months Ended
December 31, 2015 (**)</t>
  </si>
  <si>
    <t>TOTAL APPROPRIATED AMOUNT</t>
  </si>
  <si>
    <t>SCHEDULE OF DISBURSEMENTS OF FEDERAL AWARDS - December 2015</t>
  </si>
  <si>
    <t>Recovery Act of 2009: Wildland Fire Management</t>
  </si>
  <si>
    <t>(**)    Source:  2016-17 Executive Budget dated January 13,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</si>
</sst>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_(&quot;$&quot;* #,##0.00_);_(&quot;$&quot;* \(#,##0.00\);_(&quot;$&quot;* &quot;-&quot;_);_(@_)"/>
    <numFmt numFmtId="199" formatCode="#,##0.00000_);\(#,##0.00000\)"/>
  </numFmts>
  <fonts count="21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2"/>
      <color rgb="FFFF0000"/>
      <name val="Times New Roman"/>
      <family val="1"/>
    </font>
    <font>
      <sz val="12.5"/>
      <name val="Arial"/>
      <family val="2"/>
    </font>
    <font>
      <sz val="12.5"/>
      <color indexed="8"/>
      <name val="Arial"/>
      <family val="2"/>
    </font>
    <font>
      <sz val="9"/>
      <color rgb="FFFF0000"/>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7.5"/>
      <name val="Arial"/>
      <family val="2"/>
    </font>
    <font>
      <b/>
      <sz val="12"/>
      <name val="Arial"/>
      <family val="2"/>
    </font>
    <font>
      <sz val="12"/>
      <color theme="0"/>
      <name val="Arial"/>
      <family val="2"/>
    </font>
    <font>
      <sz val="12"/>
      <name val="Arial"/>
      <family val="2"/>
    </font>
    <font>
      <u/>
      <sz val="9"/>
      <color indexed="8"/>
      <name val="Arial"/>
      <family val="2"/>
    </font>
    <font>
      <b/>
      <sz val="12"/>
      <name val="Arial"/>
      <family val="2"/>
    </font>
    <font>
      <sz val="11"/>
      <name val="Agency FB"/>
      <family val="2"/>
    </font>
    <font>
      <sz val="9"/>
      <name val="Arial"/>
      <family val="2"/>
    </font>
    <font>
      <sz val="9"/>
      <name val="Arial"/>
      <family val="2"/>
    </font>
    <font>
      <b/>
      <sz val="12"/>
      <name val="Arial"/>
      <family val="2"/>
    </font>
    <font>
      <b/>
      <sz val="10"/>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8"/>
      </bottom>
      <diagonal/>
    </border>
    <border>
      <left/>
      <right/>
      <top style="thin">
        <color indexed="64"/>
      </top>
      <bottom style="thin">
        <color indexed="64"/>
      </bottom>
      <diagonal/>
    </border>
    <border>
      <left/>
      <right style="thin">
        <color auto="1"/>
      </right>
      <top/>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22" fillId="47" borderId="0" applyNumberFormat="0" applyBorder="0" applyAlignment="0" applyProtection="0"/>
    <xf numFmtId="0" fontId="122" fillId="47" borderId="0" applyNumberFormat="0" applyBorder="0" applyAlignment="0" applyProtection="0"/>
    <xf numFmtId="0" fontId="29" fillId="6" borderId="4" applyNumberFormat="0" applyAlignment="0" applyProtection="0"/>
    <xf numFmtId="0" fontId="123" fillId="48" borderId="60" applyNumberFormat="0" applyAlignment="0" applyProtection="0"/>
    <xf numFmtId="0" fontId="123" fillId="48" borderId="60" applyNumberFormat="0" applyAlignment="0" applyProtection="0"/>
    <xf numFmtId="0" fontId="31" fillId="7" borderId="7" applyNumberFormat="0" applyAlignment="0" applyProtection="0"/>
    <xf numFmtId="0" fontId="119" fillId="49" borderId="61" applyNumberFormat="0" applyAlignment="0" applyProtection="0"/>
    <xf numFmtId="0" fontId="119" fillId="49" borderId="61" applyNumberFormat="0" applyAlignment="0" applyProtection="0"/>
    <xf numFmtId="0" fontId="33"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4" fillId="2" borderId="0" applyNumberFormat="0" applyBorder="0" applyAlignment="0" applyProtection="0"/>
    <xf numFmtId="0" fontId="125" fillId="50" borderId="0" applyNumberFormat="0" applyBorder="0" applyAlignment="0" applyProtection="0"/>
    <xf numFmtId="0" fontId="125" fillId="50" borderId="0" applyNumberFormat="0" applyBorder="0" applyAlignment="0" applyProtection="0"/>
    <xf numFmtId="0" fontId="21" fillId="0" borderId="1" applyNumberFormat="0" applyFill="0" applyAlignment="0" applyProtection="0"/>
    <xf numFmtId="0" fontId="126" fillId="0" borderId="62" applyNumberFormat="0" applyFill="0" applyAlignment="0" applyProtection="0"/>
    <xf numFmtId="0" fontId="126" fillId="0" borderId="62" applyNumberFormat="0" applyFill="0" applyAlignment="0" applyProtection="0"/>
    <xf numFmtId="0" fontId="22" fillId="0" borderId="2"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23" fillId="0" borderId="3" applyNumberFormat="0" applyFill="0" applyAlignment="0" applyProtection="0"/>
    <xf numFmtId="0" fontId="128" fillId="0" borderId="64" applyNumberFormat="0" applyFill="0" applyAlignment="0" applyProtection="0"/>
    <xf numFmtId="0" fontId="128" fillId="0" borderId="64" applyNumberFormat="0" applyFill="0" applyAlignment="0" applyProtection="0"/>
    <xf numFmtId="0" fontId="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7" fillId="5" borderId="4" applyNumberFormat="0" applyAlignment="0" applyProtection="0"/>
    <xf numFmtId="0" fontId="129" fillId="51" borderId="60" applyNumberFormat="0" applyAlignment="0" applyProtection="0"/>
    <xf numFmtId="0" fontId="129" fillId="51" borderId="60" applyNumberFormat="0" applyAlignment="0" applyProtection="0"/>
    <xf numFmtId="0" fontId="30" fillId="0" borderId="6" applyNumberFormat="0" applyFill="0" applyAlignment="0" applyProtection="0"/>
    <xf numFmtId="0" fontId="130" fillId="0" borderId="65" applyNumberFormat="0" applyFill="0" applyAlignment="0" applyProtection="0"/>
    <xf numFmtId="0" fontId="130" fillId="0" borderId="65" applyNumberFormat="0" applyFill="0" applyAlignment="0" applyProtection="0"/>
    <xf numFmtId="0" fontId="26" fillId="4" borderId="0" applyNumberFormat="0" applyBorder="0" applyAlignment="0" applyProtection="0"/>
    <xf numFmtId="0" fontId="131" fillId="52" borderId="0" applyNumberFormat="0" applyBorder="0" applyAlignment="0" applyProtection="0"/>
    <xf numFmtId="0" fontId="131" fillId="52" borderId="0" applyNumberFormat="0" applyBorder="0" applyAlignment="0" applyProtection="0"/>
    <xf numFmtId="0" fontId="19" fillId="0" borderId="0"/>
    <xf numFmtId="0" fontId="28" fillId="6" borderId="5" applyNumberFormat="0" applyAlignment="0" applyProtection="0"/>
    <xf numFmtId="0" fontId="132" fillId="48" borderId="66" applyNumberFormat="0" applyAlignment="0" applyProtection="0"/>
    <xf numFmtId="0" fontId="132" fillId="48" borderId="66" applyNumberFormat="0" applyAlignment="0" applyProtection="0"/>
    <xf numFmtId="0" fontId="2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4" fillId="0" borderId="9" applyNumberFormat="0" applyFill="0" applyAlignment="0" applyProtection="0"/>
    <xf numFmtId="0" fontId="56" fillId="0" borderId="67" applyNumberFormat="0" applyFill="0" applyAlignment="0" applyProtection="0"/>
    <xf numFmtId="0" fontId="56" fillId="0" borderId="67" applyNumberFormat="0" applyFill="0" applyAlignment="0" applyProtection="0"/>
    <xf numFmtId="0" fontId="3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52" fillId="0" borderId="0" applyNumberFormat="0" applyFill="0" applyBorder="0" applyAlignment="0" applyProtection="0">
      <alignment vertical="top"/>
      <protection locked="0"/>
    </xf>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54"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6" fillId="0" borderId="0"/>
    <xf numFmtId="0" fontId="16" fillId="0" borderId="0"/>
    <xf numFmtId="0" fontId="16" fillId="0" borderId="0"/>
    <xf numFmtId="0" fontId="16" fillId="0" borderId="0"/>
    <xf numFmtId="0" fontId="97" fillId="0" borderId="0"/>
    <xf numFmtId="0" fontId="1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5" fillId="0" borderId="0"/>
    <xf numFmtId="0" fontId="155" fillId="0" borderId="0"/>
    <xf numFmtId="0" fontId="16" fillId="0" borderId="0"/>
    <xf numFmtId="0" fontId="36" fillId="0" borderId="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54" fillId="58" borderId="72"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7"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71"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12" fillId="58" borderId="72" applyNumberFormat="0" applyFont="0" applyAlignment="0" applyProtection="0"/>
    <xf numFmtId="0" fontId="105" fillId="33" borderId="76"/>
    <xf numFmtId="0" fontId="41" fillId="0" borderId="0"/>
    <xf numFmtId="0" fontId="105" fillId="33" borderId="76"/>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86" fillId="0" borderId="0"/>
    <xf numFmtId="0" fontId="105" fillId="33" borderId="86"/>
    <xf numFmtId="0" fontId="186" fillId="0" borderId="0"/>
    <xf numFmtId="0" fontId="12" fillId="0" borderId="0"/>
    <xf numFmtId="0" fontId="186" fillId="0" borderId="0"/>
    <xf numFmtId="0" fontId="186" fillId="0" borderId="0"/>
    <xf numFmtId="0" fontId="11" fillId="0" borderId="0"/>
    <xf numFmtId="0" fontId="187" fillId="0" borderId="0"/>
    <xf numFmtId="43" fontId="188"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1" fillId="0" borderId="0"/>
    <xf numFmtId="0" fontId="187" fillId="0" borderId="0"/>
    <xf numFmtId="43" fontId="187" fillId="0" borderId="0" applyFont="0" applyFill="0" applyBorder="0" applyAlignment="0" applyProtection="0"/>
    <xf numFmtId="0" fontId="189" fillId="0" borderId="0"/>
    <xf numFmtId="0" fontId="187" fillId="0" borderId="0"/>
    <xf numFmtId="0" fontId="187" fillId="0" borderId="0"/>
    <xf numFmtId="0" fontId="187" fillId="0" borderId="0"/>
    <xf numFmtId="0" fontId="11" fillId="0" borderId="0"/>
    <xf numFmtId="0" fontId="187" fillId="0" borderId="0"/>
    <xf numFmtId="0" fontId="189" fillId="0" borderId="0"/>
    <xf numFmtId="0" fontId="186" fillId="0" borderId="0"/>
    <xf numFmtId="0" fontId="186" fillId="0" borderId="0"/>
    <xf numFmtId="0" fontId="10" fillId="0" borderId="0"/>
    <xf numFmtId="0" fontId="186" fillId="0" borderId="0"/>
    <xf numFmtId="0" fontId="186" fillId="0" borderId="0"/>
    <xf numFmtId="0" fontId="10" fillId="0" borderId="0"/>
    <xf numFmtId="0" fontId="10" fillId="0" borderId="0"/>
    <xf numFmtId="0" fontId="41" fillId="0" borderId="0"/>
    <xf numFmtId="0" fontId="9" fillId="0" borderId="0"/>
    <xf numFmtId="0" fontId="187" fillId="0" borderId="0"/>
    <xf numFmtId="0" fontId="187" fillId="0" borderId="0"/>
    <xf numFmtId="0" fontId="187" fillId="0" borderId="0"/>
    <xf numFmtId="0" fontId="191" fillId="0" borderId="0"/>
    <xf numFmtId="0" fontId="191" fillId="0" borderId="0"/>
    <xf numFmtId="0" fontId="8" fillId="0" borderId="0"/>
    <xf numFmtId="0" fontId="8" fillId="0" borderId="0"/>
    <xf numFmtId="43" fontId="41" fillId="0" borderId="0" applyFont="0" applyFill="0" applyBorder="0" applyAlignment="0" applyProtection="0"/>
    <xf numFmtId="0" fontId="8" fillId="0" borderId="0"/>
    <xf numFmtId="0" fontId="191" fillId="0" borderId="0"/>
    <xf numFmtId="0" fontId="191" fillId="0" borderId="0"/>
    <xf numFmtId="0" fontId="7" fillId="0" borderId="0"/>
    <xf numFmtId="0" fontId="7" fillId="0" borderId="0"/>
    <xf numFmtId="0" fontId="7" fillId="0" borderId="0"/>
    <xf numFmtId="0" fontId="191" fillId="0" borderId="0"/>
    <xf numFmtId="0" fontId="187" fillId="0" borderId="0"/>
    <xf numFmtId="0" fontId="6" fillId="0" borderId="0"/>
    <xf numFmtId="0" fontId="187" fillId="0" borderId="0"/>
    <xf numFmtId="0" fontId="187" fillId="0" borderId="0"/>
    <xf numFmtId="0" fontId="187" fillId="0" borderId="0"/>
    <xf numFmtId="0" fontId="6" fillId="0" borderId="0"/>
    <xf numFmtId="0" fontId="187" fillId="0" borderId="0"/>
    <xf numFmtId="0" fontId="187" fillId="0" borderId="0"/>
    <xf numFmtId="164" fontId="192"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23" fillId="48" borderId="91" applyNumberFormat="0" applyAlignment="0" applyProtection="0"/>
    <xf numFmtId="0" fontId="123" fillId="48" borderId="91" applyNumberFormat="0" applyAlignment="0" applyProtection="0"/>
    <xf numFmtId="0" fontId="129" fillId="51" borderId="91" applyNumberFormat="0" applyAlignment="0" applyProtection="0"/>
    <xf numFmtId="0" fontId="129" fillId="51" borderId="91" applyNumberFormat="0" applyAlignment="0" applyProtection="0"/>
    <xf numFmtId="0" fontId="6" fillId="0" borderId="0"/>
    <xf numFmtId="0" fontId="187" fillId="0" borderId="0"/>
    <xf numFmtId="0" fontId="132" fillId="48" borderId="92" applyNumberFormat="0" applyAlignment="0" applyProtection="0"/>
    <xf numFmtId="0" fontId="132" fillId="48" borderId="92" applyNumberFormat="0" applyAlignment="0" applyProtection="0"/>
    <xf numFmtId="0" fontId="56" fillId="0" borderId="93" applyNumberFormat="0" applyFill="0" applyAlignment="0" applyProtection="0"/>
    <xf numFmtId="0" fontId="56" fillId="0" borderId="93" applyNumberFormat="0" applyFill="0" applyAlignment="0" applyProtection="0"/>
    <xf numFmtId="0" fontId="191"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54" fillId="58" borderId="94"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8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6"/>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87" fillId="0" borderId="0"/>
    <xf numFmtId="0" fontId="41" fillId="0" borderId="0"/>
    <xf numFmtId="0" fontId="6" fillId="0" borderId="0"/>
    <xf numFmtId="0" fontId="41" fillId="0" borderId="0"/>
    <xf numFmtId="0" fontId="41" fillId="0" borderId="0"/>
    <xf numFmtId="0" fontId="6" fillId="0" borderId="0"/>
    <xf numFmtId="0" fontId="6" fillId="0" borderId="0"/>
    <xf numFmtId="0" fontId="187" fillId="0" borderId="0"/>
    <xf numFmtId="0" fontId="6" fillId="0" borderId="0"/>
    <xf numFmtId="0" fontId="187"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93" fillId="0" borderId="0"/>
    <xf numFmtId="0" fontId="193"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94" fillId="0" borderId="0"/>
    <xf numFmtId="0" fontId="194" fillId="0" borderId="0"/>
    <xf numFmtId="0" fontId="4" fillId="0" borderId="0"/>
    <xf numFmtId="0" fontId="4" fillId="0" borderId="0"/>
    <xf numFmtId="0" fontId="194" fillId="0" borderId="0"/>
    <xf numFmtId="0" fontId="194" fillId="0" borderId="0"/>
    <xf numFmtId="0" fontId="194" fillId="0" borderId="0"/>
    <xf numFmtId="0" fontId="194" fillId="0" borderId="0"/>
    <xf numFmtId="0" fontId="194" fillId="0" borderId="0"/>
    <xf numFmtId="0" fontId="4" fillId="0" borderId="0"/>
    <xf numFmtId="0" fontId="196"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6"/>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6"/>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205"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618">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74" fontId="38" fillId="0" borderId="0" xfId="2" applyNumberFormat="1" applyFont="1" applyBorder="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alignment horizontal="center"/>
    </xf>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0" fontId="43" fillId="0" borderId="10"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66" fontId="38" fillId="0" borderId="0" xfId="2" applyNumberFormat="1" applyFont="1" applyAlignment="1">
      <alignment horizont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66" fontId="38" fillId="0" borderId="47" xfId="2" applyNumberFormat="1" applyFont="1" applyBorder="1" applyAlignment="1">
      <alignment horizontal="center"/>
    </xf>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0" fontId="57" fillId="0" borderId="0" xfId="2" applyNumberFormat="1" applyFont="1" applyAlignment="1">
      <alignment horizontal="left"/>
    </xf>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0" fontId="41" fillId="0" borderId="0" xfId="4" quotePrefix="1" applyNumberFormat="1" applyFont="1" applyFill="1" applyAlignment="1">
      <alignment horizontal="left"/>
    </xf>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7" fillId="0" borderId="0" xfId="2" applyNumberFormat="1" applyFont="1"/>
    <xf numFmtId="37" fontId="137" fillId="0" borderId="0" xfId="2" applyNumberFormat="1" applyFont="1" applyFill="1"/>
    <xf numFmtId="37" fontId="138" fillId="0" borderId="0" xfId="2" applyNumberFormat="1" applyFont="1" applyFill="1" applyAlignment="1"/>
    <xf numFmtId="37" fontId="138" fillId="0" borderId="0" xfId="2" applyNumberFormat="1" applyFont="1" applyAlignment="1"/>
    <xf numFmtId="0" fontId="136" fillId="0" borderId="0" xfId="2" applyFont="1" applyFill="1" applyBorder="1" applyAlignment="1">
      <alignment horizontal="center"/>
    </xf>
    <xf numFmtId="37" fontId="136" fillId="0" borderId="0" xfId="2" applyNumberFormat="1" applyFont="1" applyFill="1" applyAlignment="1"/>
    <xf numFmtId="37" fontId="135" fillId="0" borderId="0" xfId="2" applyNumberFormat="1" applyFont="1" applyBorder="1"/>
    <xf numFmtId="37" fontId="135" fillId="0" borderId="0" xfId="2" applyNumberFormat="1" applyFont="1" applyFill="1" applyBorder="1"/>
    <xf numFmtId="37" fontId="136" fillId="0" borderId="0" xfId="2" applyNumberFormat="1" applyFont="1" applyAlignment="1"/>
    <xf numFmtId="165" fontId="140" fillId="0" borderId="0" xfId="2" applyNumberFormat="1" applyFont="1" applyFill="1" applyAlignment="1"/>
    <xf numFmtId="166" fontId="64" fillId="0" borderId="0" xfId="2" applyNumberFormat="1" applyFont="1" applyAlignment="1"/>
    <xf numFmtId="165" fontId="140"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xf numFmtId="178" fontId="43" fillId="0" borderId="0" xfId="740" applyNumberFormat="1" applyFont="1" applyBorder="1" applyAlignment="1">
      <alignment horizontal="center"/>
    </xf>
    <xf numFmtId="178" fontId="43" fillId="0" borderId="43" xfId="740" applyNumberFormat="1" applyFont="1" applyBorder="1" applyAlignment="1">
      <alignment horizontal="center"/>
    </xf>
    <xf numFmtId="178" fontId="43" fillId="0" borderId="10" xfId="740" applyNumberFormat="1" applyFont="1" applyBorder="1" applyAlignment="1">
      <alignment horizontal="center"/>
    </xf>
    <xf numFmtId="180" fontId="43" fillId="0" borderId="10" xfId="740" quotePrefix="1"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Border="1" applyAlignment="1">
      <alignment horizontal="righ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16" xfId="740" applyNumberFormat="1" applyFont="1" applyBorder="1" applyAlignment="1"/>
    <xf numFmtId="178" fontId="43" fillId="0" borderId="0" xfId="740" applyNumberFormat="1" applyFont="1" applyAlignment="1">
      <alignment horizontal="left"/>
    </xf>
    <xf numFmtId="178" fontId="43" fillId="0" borderId="10" xfId="740" applyNumberFormat="1" applyFont="1" applyBorder="1" applyAlignment="1"/>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173" fontId="61"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178" fontId="61" fillId="0" borderId="0" xfId="836" quotePrefix="1" applyNumberFormat="1" applyFont="1" applyFill="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78" fontId="61" fillId="0" borderId="0" xfId="836" applyNumberFormat="1" applyFont="1" applyFill="1" applyAlignment="1">
      <alignment horizontal="center"/>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39" fontId="78" fillId="0" borderId="0" xfId="836" applyNumberFormat="1" applyFont="1" applyAlignment="1">
      <alignment horizontal="left"/>
    </xf>
    <xf numFmtId="166"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102" fillId="0" borderId="0" xfId="836" quotePrefix="1" applyNumberFormat="1" applyFont="1" applyAlignment="1">
      <alignment horizontal="left"/>
    </xf>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20"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8"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8"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42" fillId="0" borderId="0" xfId="2" applyNumberFormat="1" applyFont="1" applyBorder="1" applyAlignment="1"/>
    <xf numFmtId="170" fontId="142"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43" fillId="0" borderId="0" xfId="8" applyFont="1" applyAlignment="1"/>
    <xf numFmtId="0" fontId="116"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6"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44" fillId="0" borderId="0" xfId="8" applyFont="1" applyAlignment="1">
      <alignment horizontal="left"/>
    </xf>
    <xf numFmtId="0" fontId="144" fillId="0" borderId="0" xfId="8" applyFont="1"/>
    <xf numFmtId="0" fontId="116" fillId="0" borderId="0" xfId="8" quotePrefix="1" applyFont="1" applyAlignment="1">
      <alignment horizontal="right"/>
    </xf>
    <xf numFmtId="166" fontId="48" fillId="0" borderId="0" xfId="8" quotePrefix="1" applyNumberFormat="1" applyFont="1" applyAlignment="1">
      <alignment horizontal="right"/>
    </xf>
    <xf numFmtId="0" fontId="144" fillId="0" borderId="0" xfId="8" applyFont="1" applyAlignment="1"/>
    <xf numFmtId="192" fontId="48" fillId="0" borderId="0" xfId="8" quotePrefix="1" applyNumberFormat="1" applyFont="1" applyAlignment="1">
      <alignment horizontal="right"/>
    </xf>
    <xf numFmtId="165" fontId="48" fillId="0" borderId="0" xfId="8" quotePrefix="1" applyNumberFormat="1" applyFont="1" applyAlignment="1">
      <alignment horizontal="right"/>
    </xf>
    <xf numFmtId="166" fontId="48" fillId="0" borderId="0" xfId="8" applyNumberFormat="1" applyFont="1" applyAlignment="1">
      <alignment horizontal="right"/>
    </xf>
    <xf numFmtId="165" fontId="48" fillId="0" borderId="0" xfId="8" applyNumberFormat="1" applyFont="1" applyAlignment="1">
      <alignment horizontal="right"/>
    </xf>
    <xf numFmtId="0" fontId="48" fillId="0" borderId="0" xfId="8" quotePrefix="1" applyFont="1" applyAlignment="1"/>
    <xf numFmtId="0" fontId="143" fillId="0" borderId="0" xfId="8" applyFont="1" applyAlignment="1">
      <alignment horizontal="left"/>
    </xf>
    <xf numFmtId="169" fontId="48" fillId="0" borderId="0" xfId="8" quotePrefix="1" applyNumberFormat="1" applyFont="1" applyAlignment="1">
      <alignment horizontal="right"/>
    </xf>
    <xf numFmtId="0" fontId="145" fillId="0" borderId="0" xfId="8" applyFont="1"/>
    <xf numFmtId="0" fontId="116" fillId="0" borderId="0" xfId="8" applyFont="1" applyAlignment="1">
      <alignment horizontal="center"/>
    </xf>
    <xf numFmtId="189" fontId="48" fillId="0" borderId="0" xfId="8" quotePrefix="1" applyNumberFormat="1" applyFont="1"/>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116" fillId="0" borderId="0" xfId="8" applyFont="1" applyBorder="1" applyAlignment="1">
      <alignment horizontal="center"/>
    </xf>
    <xf numFmtId="0" fontId="143" fillId="0" borderId="0" xfId="8" applyFont="1"/>
    <xf numFmtId="3" fontId="48" fillId="0" borderId="0" xfId="8" quotePrefix="1" applyNumberFormat="1" applyFont="1" applyAlignment="1">
      <alignment horizontal="center"/>
    </xf>
    <xf numFmtId="0" fontId="48" fillId="0" borderId="0" xfId="8" applyFont="1" applyFill="1"/>
    <xf numFmtId="174" fontId="48" fillId="0" borderId="0" xfId="8" applyNumberFormat="1" applyFont="1" applyFill="1" applyAlignment="1"/>
    <xf numFmtId="170" fontId="48" fillId="0" borderId="0" xfId="8" applyNumberFormat="1" applyFont="1" applyFill="1" applyAlignment="1"/>
    <xf numFmtId="189" fontId="48" fillId="0" borderId="0" xfId="8" applyNumberFormat="1" applyFont="1" applyAlignment="1"/>
    <xf numFmtId="3" fontId="48" fillId="0" borderId="0" xfId="8" applyNumberFormat="1" applyFont="1"/>
    <xf numFmtId="170" fontId="144" fillId="0" borderId="0" xfId="8" applyNumberFormat="1" applyFont="1"/>
    <xf numFmtId="189" fontId="48" fillId="0" borderId="0" xfId="8" applyNumberFormat="1" applyFont="1" applyBorder="1"/>
    <xf numFmtId="0" fontId="48" fillId="0" borderId="0" xfId="8" quotePrefix="1" applyFont="1" applyAlignment="1">
      <alignment horizontal="left"/>
    </xf>
    <xf numFmtId="3" fontId="48" fillId="0" borderId="0" xfId="8" quotePrefix="1" applyNumberFormat="1" applyFont="1" applyBorder="1" applyAlignment="1">
      <alignment horizontal="center"/>
    </xf>
    <xf numFmtId="0" fontId="143" fillId="0" borderId="0" xfId="8" applyFont="1" applyAlignment="1">
      <alignment horizontal="center"/>
    </xf>
    <xf numFmtId="1" fontId="116" fillId="0" borderId="0" xfId="8" quotePrefix="1" applyNumberFormat="1" applyFont="1" applyAlignment="1">
      <alignment horizontal="right"/>
    </xf>
    <xf numFmtId="0" fontId="48" fillId="0" borderId="0" xfId="8" applyFont="1" applyBorder="1"/>
    <xf numFmtId="0" fontId="48" fillId="0" borderId="0" xfId="8" applyFont="1" applyFill="1" applyBorder="1" applyAlignment="1"/>
    <xf numFmtId="0" fontId="48" fillId="0" borderId="0" xfId="8" applyFont="1" applyFill="1" applyBorder="1"/>
    <xf numFmtId="0" fontId="144" fillId="0" borderId="0" xfId="8" applyFont="1" applyBorder="1"/>
    <xf numFmtId="192" fontId="48" fillId="0" borderId="0" xfId="8" applyNumberFormat="1" applyFont="1" applyBorder="1"/>
    <xf numFmtId="6" fontId="48" fillId="0" borderId="0" xfId="8" applyNumberFormat="1" applyFont="1" applyAlignment="1"/>
    <xf numFmtId="176" fontId="48" fillId="0" borderId="0" xfId="8" quotePrefix="1" applyNumberFormat="1" applyFont="1" applyAlignment="1">
      <alignment horizontal="right"/>
    </xf>
    <xf numFmtId="193" fontId="48" fillId="0" borderId="0" xfId="8" applyNumberFormat="1" applyFont="1"/>
    <xf numFmtId="176" fontId="48" fillId="0" borderId="0" xfId="8" quotePrefix="1" applyNumberFormat="1" applyFont="1" applyBorder="1" applyAlignme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70"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1"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8" xfId="860" applyNumberFormat="1" applyFont="1" applyBorder="1" applyAlignment="1"/>
    <xf numFmtId="0" fontId="146"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6"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7"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6"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8"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0" fontId="41" fillId="0" borderId="0" xfId="0" applyNumberFormat="1" applyFont="1" applyFill="1"/>
    <xf numFmtId="0" fontId="41" fillId="0" borderId="0" xfId="0" applyNumberFormat="1" applyFont="1" applyFill="1" applyAlignment="1">
      <alignment horizontal="right"/>
    </xf>
    <xf numFmtId="0" fontId="42" fillId="0" borderId="0" xfId="0" applyNumberFormat="1" applyFont="1" applyFill="1"/>
    <xf numFmtId="7" fontId="41" fillId="0" borderId="0" xfId="0" applyNumberFormat="1" applyFont="1" applyFill="1"/>
    <xf numFmtId="39" fontId="41" fillId="0" borderId="0" xfId="0" applyNumberFormat="1" applyFont="1" applyFill="1"/>
    <xf numFmtId="39" fontId="41" fillId="0" borderId="0" xfId="0" applyNumberFormat="1" applyFont="1" applyFill="1" applyAlignment="1">
      <alignment horizontal="center"/>
    </xf>
    <xf numFmtId="39" fontId="41" fillId="0" borderId="0" xfId="0" applyNumberFormat="1" applyFont="1" applyFill="1" applyAlignment="1">
      <alignment horizontal="right"/>
    </xf>
    <xf numFmtId="43" fontId="41" fillId="0" borderId="0" xfId="0" applyNumberFormat="1" applyFont="1" applyFill="1" applyAlignment="1">
      <alignment horizontal="center"/>
    </xf>
    <xf numFmtId="0" fontId="42" fillId="0" borderId="0" xfId="0" applyNumberFormat="1" applyFont="1" applyFill="1" applyBorder="1"/>
    <xf numFmtId="39" fontId="42" fillId="0" borderId="0" xfId="0" applyNumberFormat="1" applyFont="1" applyFill="1" applyBorder="1"/>
    <xf numFmtId="0" fontId="41" fillId="0" borderId="0" xfId="0" applyNumberFormat="1" applyFont="1" applyFill="1" applyBorder="1"/>
    <xf numFmtId="39" fontId="41" fillId="0" borderId="0" xfId="0" quotePrefix="1" applyNumberFormat="1" applyFont="1" applyFill="1" applyAlignment="1">
      <alignment horizontal="center"/>
    </xf>
    <xf numFmtId="39" fontId="42" fillId="0" borderId="0" xfId="0" applyNumberFormat="1" applyFont="1" applyFill="1" applyBorder="1" applyAlignment="1">
      <alignment horizontal="right"/>
    </xf>
    <xf numFmtId="0" fontId="41" fillId="0" borderId="0" xfId="0" applyNumberFormat="1" applyFont="1" applyFill="1" applyBorder="1" applyAlignment="1">
      <alignment horizontal="right"/>
    </xf>
    <xf numFmtId="188" fontId="41" fillId="0" borderId="0" xfId="0" applyNumberFormat="1" applyFont="1" applyFill="1"/>
    <xf numFmtId="0" fontId="41" fillId="0" borderId="0" xfId="0" applyNumberFormat="1" applyFont="1" applyFill="1" applyAlignment="1"/>
    <xf numFmtId="0" fontId="41" fillId="0" borderId="0" xfId="0" applyNumberFormat="1" applyFont="1" applyFill="1" applyAlignment="1">
      <alignment horizontal="left" vertical="top"/>
    </xf>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8" fillId="0" borderId="0" xfId="0" applyNumberFormat="1" applyFont="1" applyAlignment="1" applyProtection="1">
      <protection locked="0"/>
    </xf>
    <xf numFmtId="166" fontId="135" fillId="0" borderId="0" xfId="0" applyNumberFormat="1" applyFont="1" applyBorder="1" applyAlignment="1" applyProtection="1">
      <protection locked="0"/>
    </xf>
    <xf numFmtId="166" fontId="148" fillId="0" borderId="0" xfId="0" applyNumberFormat="1" applyFont="1" applyBorder="1" applyAlignment="1" applyProtection="1">
      <protection locked="0"/>
    </xf>
    <xf numFmtId="165" fontId="148" fillId="0" borderId="0" xfId="0" applyNumberFormat="1" applyFont="1" applyBorder="1" applyAlignment="1" applyProtection="1">
      <protection locked="0"/>
    </xf>
    <xf numFmtId="165" fontId="148" fillId="0" borderId="0" xfId="0" applyNumberFormat="1" applyFont="1" applyAlignment="1" applyProtection="1">
      <protection locked="0"/>
    </xf>
    <xf numFmtId="166" fontId="149" fillId="0" borderId="0" xfId="0" applyNumberFormat="1" applyFont="1" applyAlignment="1" applyProtection="1">
      <protection locked="0"/>
    </xf>
    <xf numFmtId="165" fontId="150" fillId="0" borderId="0" xfId="0" applyNumberFormat="1" applyFont="1" applyBorder="1" applyAlignment="1" applyProtection="1">
      <protection locked="0"/>
    </xf>
    <xf numFmtId="165" fontId="135"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9" fillId="0" borderId="0" xfId="0" applyNumberFormat="1" applyFont="1" applyAlignment="1"/>
    <xf numFmtId="165" fontId="148" fillId="0" borderId="0" xfId="0" applyNumberFormat="1" applyFont="1" applyAlignment="1"/>
    <xf numFmtId="166" fontId="148" fillId="0" borderId="0" xfId="0" applyNumberFormat="1" applyFont="1" applyBorder="1" applyAlignment="1"/>
    <xf numFmtId="165" fontId="148" fillId="0" borderId="0" xfId="0" applyNumberFormat="1" applyFont="1" applyBorder="1" applyAlignment="1"/>
    <xf numFmtId="165" fontId="150" fillId="0" borderId="0" xfId="0" applyNumberFormat="1" applyFont="1" applyBorder="1" applyAlignment="1"/>
    <xf numFmtId="165" fontId="135"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51"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53"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9" fillId="0" borderId="0" xfId="1028" applyNumberFormat="1" applyFont="1" applyFill="1" applyBorder="1" applyAlignment="1">
      <alignment horizontal="right"/>
    </xf>
    <xf numFmtId="39" fontId="119" fillId="0" borderId="0" xfId="1028" applyNumberFormat="1" applyFont="1" applyFill="1" applyBorder="1" applyAlignment="1"/>
    <xf numFmtId="39" fontId="119"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4" fontId="43" fillId="36" borderId="58" xfId="1028" applyNumberFormat="1" applyFont="1" applyFill="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43" fillId="36" borderId="58" xfId="1028" quotePrefix="1" applyNumberFormat="1" applyFont="1" applyFill="1" applyBorder="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9"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170" fontId="36" fillId="0" borderId="0" xfId="8" applyNumberFormat="1" applyFont="1"/>
    <xf numFmtId="174" fontId="36"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44"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0" fontId="97" fillId="0" borderId="0" xfId="740" applyFont="1" applyBorder="1"/>
    <xf numFmtId="4" fontId="42" fillId="0" borderId="0" xfId="1028" applyNumberFormat="1" applyFont="1" applyFill="1" applyBorder="1" applyAlignment="1"/>
    <xf numFmtId="0" fontId="82" fillId="0" borderId="0" xfId="1028" applyFont="1" applyAlignment="1">
      <alignment horizontal="right"/>
    </xf>
    <xf numFmtId="4" fontId="119"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9" fillId="0" borderId="0" xfId="1028" applyNumberFormat="1" applyFont="1" applyFill="1" applyBorder="1" applyAlignment="1"/>
    <xf numFmtId="4" fontId="86" fillId="0" borderId="0" xfId="1028" applyNumberFormat="1" applyFont="1" applyFill="1" applyBorder="1" applyAlignment="1"/>
    <xf numFmtId="4" fontId="119"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41"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100" fillId="0" borderId="0" xfId="740" applyNumberFormat="1" applyFont="1"/>
    <xf numFmtId="178" fontId="43" fillId="0" borderId="0" xfId="740" applyNumberFormat="1" applyFont="1" applyAlignment="1">
      <alignment horizontal="right"/>
    </xf>
    <xf numFmtId="178" fontId="43" fillId="33" borderId="16" xfId="740" applyNumberFormat="1" applyFont="1" applyFill="1" applyBorder="1" applyAlignment="1"/>
    <xf numFmtId="178" fontId="43" fillId="33" borderId="0" xfId="740" applyNumberFormat="1" applyFont="1" applyFill="1" applyBorder="1" applyAlignment="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1" fillId="0" borderId="0" xfId="836" quotePrefix="1" applyNumberFormat="1" applyFont="1" applyFill="1" applyAlignment="1"/>
    <xf numFmtId="178" fontId="66" fillId="0" borderId="0" xfId="836" applyNumberFormat="1" applyFont="1" applyBorder="1" applyAlignment="1"/>
    <xf numFmtId="181" fontId="66" fillId="0" borderId="17" xfId="836" applyNumberFormat="1" applyFont="1" applyBorder="1" applyAlignment="1">
      <alignment horizontal="right"/>
    </xf>
    <xf numFmtId="0" fontId="116" fillId="0" borderId="0" xfId="8" quotePrefix="1" applyFont="1" applyBorder="1" applyAlignment="1">
      <alignment horizontal="right"/>
    </xf>
    <xf numFmtId="0" fontId="81" fillId="0" borderId="0" xfId="8" applyFont="1" applyBorder="1" applyAlignment="1"/>
    <xf numFmtId="0" fontId="145" fillId="0" borderId="0" xfId="8" applyFont="1" applyBorder="1"/>
    <xf numFmtId="0" fontId="48" fillId="0" borderId="0" xfId="8" applyFont="1" applyBorder="1" applyAlignment="1"/>
    <xf numFmtId="0" fontId="36" fillId="0" borderId="0" xfId="8" applyFont="1" applyBorder="1" applyAlignment="1"/>
    <xf numFmtId="0" fontId="116" fillId="0" borderId="0" xfId="8" applyFont="1" applyFill="1" applyBorder="1" applyAlignment="1">
      <alignment horizontal="center"/>
    </xf>
    <xf numFmtId="0" fontId="48" fillId="0" borderId="0" xfId="8" applyFont="1" applyFill="1" applyBorder="1" applyAlignment="1">
      <alignment horizontal="center"/>
    </xf>
    <xf numFmtId="174" fontId="48" fillId="0" borderId="0" xfId="8" applyNumberFormat="1" applyFont="1" applyFill="1" applyBorder="1" applyAlignment="1"/>
    <xf numFmtId="170" fontId="48" fillId="0" borderId="0" xfId="8" applyNumberFormat="1" applyFont="1" applyFill="1" applyBorder="1" applyAlignment="1"/>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5"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1" fontId="76" fillId="0" borderId="0" xfId="836" quotePrefix="1"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0" xfId="836" quotePrefix="1" applyNumberFormat="1" applyFont="1" applyFill="1" applyAlignment="1">
      <alignment horizontal="center"/>
    </xf>
    <xf numFmtId="178" fontId="61" fillId="0" borderId="10" xfId="836" applyNumberFormat="1" applyFont="1" applyFill="1" applyBorder="1" applyAlignment="1"/>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8"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9" fillId="0" borderId="0" xfId="0" applyNumberFormat="1" applyFont="1"/>
    <xf numFmtId="0" fontId="48" fillId="0" borderId="0" xfId="831" applyNumberFormat="1" applyFont="1" applyAlignment="1">
      <alignment horizontal="left"/>
    </xf>
    <xf numFmtId="0" fontId="48" fillId="0" borderId="0" xfId="831" applyNumberFormat="1" applyFont="1" applyAlignment="1">
      <alignment horizontal="left" wrapText="1"/>
    </xf>
    <xf numFmtId="37" fontId="48" fillId="0" borderId="0" xfId="831" applyNumberFormat="1" applyFont="1" applyFill="1" applyAlignment="1">
      <alignment horizontal="left" wrapText="1"/>
    </xf>
    <xf numFmtId="4" fontId="48" fillId="0" borderId="0" xfId="831" applyNumberFormat="1" applyFont="1" applyAlignment="1">
      <alignment horizontal="left" wrapText="1"/>
    </xf>
    <xf numFmtId="0" fontId="48" fillId="0" borderId="0" xfId="831" quotePrefix="1" applyFont="1" applyAlignment="1">
      <alignment horizontal="left"/>
    </xf>
    <xf numFmtId="0" fontId="48" fillId="0" borderId="0" xfId="831" applyFont="1"/>
    <xf numFmtId="49" fontId="48" fillId="0" borderId="0" xfId="831" applyNumberFormat="1" applyFont="1"/>
    <xf numFmtId="37" fontId="48" fillId="0" borderId="0" xfId="831" applyNumberFormat="1" applyFont="1" applyFill="1"/>
    <xf numFmtId="4" fontId="48" fillId="0" borderId="0" xfId="831" applyNumberFormat="1" applyFont="1"/>
    <xf numFmtId="4" fontId="117" fillId="0" borderId="0" xfId="831" applyNumberFormat="1" applyFont="1" applyAlignment="1">
      <alignment horizontal="left" wrapText="1"/>
    </xf>
    <xf numFmtId="49" fontId="118" fillId="0" borderId="0" xfId="831" applyNumberFormat="1" applyFont="1"/>
    <xf numFmtId="0" fontId="118" fillId="0" borderId="0" xfId="831" applyFont="1"/>
    <xf numFmtId="37" fontId="118" fillId="0" borderId="0" xfId="831" applyNumberFormat="1" applyFont="1" applyFill="1"/>
    <xf numFmtId="4" fontId="118" fillId="0" borderId="0" xfId="831" applyNumberFormat="1" applyFont="1"/>
    <xf numFmtId="39" fontId="41" fillId="0" borderId="0" xfId="0" applyNumberFormat="1" applyFont="1" applyFill="1" applyAlignment="1"/>
    <xf numFmtId="39" fontId="41" fillId="0" borderId="0" xfId="0" applyNumberFormat="1" applyFont="1" applyFill="1" applyAlignment="1">
      <alignment horizontal="right" vertical="top"/>
    </xf>
    <xf numFmtId="39" fontId="41" fillId="0" borderId="0" xfId="0" applyNumberFormat="1" applyFont="1" applyFill="1" applyAlignment="1">
      <alignment horizontal="center" vertical="top"/>
    </xf>
    <xf numFmtId="0" fontId="41" fillId="0" borderId="0" xfId="0" quotePrefix="1" applyNumberFormat="1" applyFont="1" applyFill="1" applyAlignment="1"/>
    <xf numFmtId="0" fontId="41" fillId="0" borderId="0" xfId="0" applyNumberFormat="1" applyFont="1" applyFill="1" applyAlignment="1">
      <alignment horizontal="center" vertical="top"/>
    </xf>
    <xf numFmtId="0" fontId="161" fillId="0" borderId="0" xfId="0" applyNumberFormat="1" applyFont="1" applyFill="1"/>
    <xf numFmtId="0" fontId="162" fillId="0" borderId="0" xfId="0" applyNumberFormat="1" applyFont="1" applyFill="1"/>
    <xf numFmtId="0" fontId="162" fillId="0" borderId="0" xfId="0" applyNumberFormat="1" applyFont="1" applyFill="1" applyAlignment="1">
      <alignment horizontal="left"/>
    </xf>
    <xf numFmtId="0" fontId="162" fillId="0" borderId="0" xfId="0" applyNumberFormat="1" applyFont="1" applyFill="1" applyAlignment="1">
      <alignment horizontal="center"/>
    </xf>
    <xf numFmtId="0" fontId="162" fillId="0" borderId="0" xfId="0" quotePrefix="1" applyNumberFormat="1" applyFont="1" applyFill="1" applyAlignment="1">
      <alignment horizontal="center"/>
    </xf>
    <xf numFmtId="0" fontId="162" fillId="0" borderId="0" xfId="0" applyNumberFormat="1" applyFont="1" applyFill="1" applyAlignment="1">
      <alignment horizontal="centerContinuous"/>
    </xf>
    <xf numFmtId="0" fontId="162" fillId="0" borderId="68" xfId="0" applyNumberFormat="1" applyFont="1" applyFill="1" applyBorder="1" applyAlignment="1">
      <alignment horizontal="centerContinuous"/>
    </xf>
    <xf numFmtId="0" fontId="162" fillId="0" borderId="68" xfId="0" applyNumberFormat="1" applyFont="1" applyFill="1" applyBorder="1"/>
    <xf numFmtId="0" fontId="162" fillId="0" borderId="68" xfId="0" quotePrefix="1" applyNumberFormat="1" applyFont="1" applyFill="1" applyBorder="1" applyAlignment="1">
      <alignment horizontal="center"/>
    </xf>
    <xf numFmtId="49" fontId="162" fillId="0" borderId="68" xfId="0" applyNumberFormat="1" applyFont="1" applyFill="1" applyBorder="1" applyAlignment="1">
      <alignment horizontal="center"/>
    </xf>
    <xf numFmtId="49" fontId="162" fillId="0" borderId="68" xfId="0" quotePrefix="1" applyNumberFormat="1" applyFont="1" applyFill="1" applyBorder="1" applyAlignment="1">
      <alignment horizontal="center"/>
    </xf>
    <xf numFmtId="0" fontId="162" fillId="0" borderId="68" xfId="0" applyNumberFormat="1" applyFont="1" applyFill="1" applyBorder="1" applyAlignment="1">
      <alignment horizontal="center"/>
    </xf>
    <xf numFmtId="0" fontId="162" fillId="0" borderId="0" xfId="0" applyNumberFormat="1" applyFont="1" applyFill="1" applyBorder="1"/>
    <xf numFmtId="42" fontId="163" fillId="0" borderId="0" xfId="0" applyNumberFormat="1" applyFont="1" applyFill="1" applyAlignment="1">
      <alignment horizontal="right"/>
    </xf>
    <xf numFmtId="41" fontId="163" fillId="0" borderId="0" xfId="0" applyNumberFormat="1" applyFont="1" applyFill="1" applyAlignment="1">
      <alignment horizontal="center"/>
    </xf>
    <xf numFmtId="41" fontId="163" fillId="0" borderId="0" xfId="0" applyNumberFormat="1" applyFont="1" applyFill="1" applyAlignment="1">
      <alignment horizontal="right"/>
    </xf>
    <xf numFmtId="41" fontId="161" fillId="0" borderId="0" xfId="0" applyNumberFormat="1" applyFont="1" applyFill="1" applyAlignment="1">
      <alignment horizontal="right"/>
    </xf>
    <xf numFmtId="41" fontId="161" fillId="0" borderId="0" xfId="0" applyNumberFormat="1" applyFont="1" applyFill="1" applyBorder="1" applyAlignment="1">
      <alignment horizontal="right"/>
    </xf>
    <xf numFmtId="41" fontId="163" fillId="0" borderId="0" xfId="0" quotePrefix="1" applyNumberFormat="1" applyFont="1" applyFill="1" applyAlignment="1">
      <alignment horizontal="right"/>
    </xf>
    <xf numFmtId="41" fontId="163" fillId="0" borderId="0" xfId="0" applyNumberFormat="1" applyFont="1" applyFill="1" applyBorder="1" applyAlignment="1">
      <alignment horizontal="right"/>
    </xf>
    <xf numFmtId="41" fontId="163" fillId="0" borderId="0" xfId="0" applyNumberFormat="1" applyFont="1" applyFill="1" applyBorder="1" applyAlignment="1">
      <alignment horizontal="center"/>
    </xf>
    <xf numFmtId="41" fontId="161" fillId="0" borderId="0" xfId="0" applyNumberFormat="1" applyFont="1" applyFill="1" applyAlignment="1">
      <alignment horizontal="center"/>
    </xf>
    <xf numFmtId="39" fontId="161" fillId="0" borderId="0" xfId="0" applyNumberFormat="1" applyFont="1" applyFill="1" applyAlignment="1">
      <alignment horizontal="right"/>
    </xf>
    <xf numFmtId="0" fontId="161" fillId="0" borderId="0" xfId="0" quotePrefix="1" applyNumberFormat="1" applyFont="1" applyFill="1"/>
    <xf numFmtId="37" fontId="161" fillId="0" borderId="0" xfId="0" applyNumberFormat="1" applyFont="1" applyFill="1"/>
    <xf numFmtId="0" fontId="161" fillId="0" borderId="0" xfId="0" applyNumberFormat="1" applyFont="1" applyFill="1" applyBorder="1"/>
    <xf numFmtId="0" fontId="162" fillId="0" borderId="0" xfId="0" applyNumberFormat="1" applyFont="1" applyFill="1" applyBorder="1" applyAlignment="1">
      <alignment horizontal="right"/>
    </xf>
    <xf numFmtId="0" fontId="162" fillId="0" borderId="0" xfId="0" applyNumberFormat="1" applyFont="1" applyFill="1" applyBorder="1" applyAlignment="1">
      <alignment horizontal="center"/>
    </xf>
    <xf numFmtId="42" fontId="163" fillId="0" borderId="0" xfId="0" applyNumberFormat="1" applyFont="1" applyFill="1" applyBorder="1" applyAlignment="1">
      <alignment horizontal="right"/>
    </xf>
    <xf numFmtId="0" fontId="161"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applyNumberFormat="1" applyFont="1" applyBorder="1" applyAlignment="1">
      <alignment horizontal="center"/>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78" fontId="36" fillId="0" borderId="0" xfId="740" quotePrefix="1" applyNumberFormat="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8"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0" fontId="43" fillId="0" borderId="10" xfId="2" quotePrefix="1" applyNumberFormat="1" applyFont="1" applyFill="1" applyBorder="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2" fillId="0" borderId="0" xfId="2" applyNumberFormat="1" applyFont="1" applyBorder="1" applyAlignment="1"/>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64" fillId="0" borderId="0" xfId="2" applyNumberFormat="1" applyFont="1" applyAlignment="1"/>
    <xf numFmtId="165" fontId="165" fillId="0" borderId="0" xfId="2" applyNumberFormat="1" applyFont="1" applyAlignment="1"/>
    <xf numFmtId="165" fontId="166" fillId="0" borderId="0" xfId="2" applyNumberFormat="1" applyFont="1" applyAlignment="1">
      <alignment horizontal="centerContinuous"/>
    </xf>
    <xf numFmtId="0" fontId="167" fillId="0" borderId="0" xfId="2" applyFont="1" applyBorder="1" applyAlignment="1"/>
    <xf numFmtId="165" fontId="168" fillId="0" borderId="0" xfId="2" applyNumberFormat="1" applyFont="1" applyAlignment="1"/>
    <xf numFmtId="165" fontId="168"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7" fillId="0" borderId="0" xfId="2" applyFont="1"/>
    <xf numFmtId="166" fontId="80" fillId="0" borderId="0" xfId="2" applyNumberFormat="1" applyFont="1" applyAlignment="1"/>
    <xf numFmtId="166" fontId="79" fillId="0" borderId="0" xfId="2" quotePrefix="1" applyNumberFormat="1" applyFont="1" applyAlignment="1">
      <alignment horizontal="center"/>
    </xf>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8"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180" fontId="43" fillId="0" borderId="0" xfId="740" quotePrefix="1" applyNumberFormat="1" applyFont="1" applyBorder="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39" fontId="42" fillId="0" borderId="0" xfId="0" applyNumberFormat="1" applyFont="1" applyFill="1" applyAlignment="1">
      <alignment horizontal="right"/>
    </xf>
    <xf numFmtId="7" fontId="41" fillId="0" borderId="0" xfId="0" applyNumberFormat="1" applyFont="1" applyFill="1" applyAlignment="1">
      <alignment horizontal="right" vertical="top"/>
    </xf>
    <xf numFmtId="39" fontId="41" fillId="0" borderId="0" xfId="0" quotePrefix="1" applyNumberFormat="1" applyFont="1" applyFill="1" applyAlignment="1"/>
    <xf numFmtId="0" fontId="36" fillId="0" borderId="0" xfId="0" applyNumberFormat="1" applyFont="1" applyFill="1"/>
    <xf numFmtId="39" fontId="42" fillId="0" borderId="0" xfId="0" applyNumberFormat="1" applyFont="1" applyFill="1"/>
    <xf numFmtId="0" fontId="41" fillId="0" borderId="0" xfId="0" applyNumberFormat="1" applyFont="1" applyFill="1" applyBorder="1" applyAlignment="1"/>
    <xf numFmtId="0" fontId="41" fillId="0" borderId="0" xfId="0" applyNumberFormat="1" applyFont="1" applyFill="1" applyBorder="1" applyAlignment="1">
      <alignment horizontal="center" vertical="top"/>
    </xf>
    <xf numFmtId="39" fontId="41" fillId="0" borderId="0" xfId="0" applyNumberFormat="1" applyFont="1" applyFill="1" applyBorder="1"/>
    <xf numFmtId="39" fontId="41" fillId="0" borderId="0" xfId="0" applyNumberFormat="1" applyFont="1" applyFill="1" applyBorder="1" applyAlignment="1">
      <alignment horizontal="center"/>
    </xf>
    <xf numFmtId="39" fontId="41" fillId="0" borderId="0" xfId="0" applyNumberFormat="1" applyFont="1" applyFill="1" applyBorder="1" applyAlignment="1">
      <alignment horizontal="right"/>
    </xf>
    <xf numFmtId="39" fontId="41" fillId="0" borderId="0" xfId="0" quotePrefix="1" applyNumberFormat="1" applyFont="1" applyFill="1" applyBorder="1" applyAlignment="1">
      <alignment horizontal="center"/>
    </xf>
    <xf numFmtId="39" fontId="42" fillId="0" borderId="0" xfId="0" applyNumberFormat="1" applyFont="1" applyFill="1" applyBorder="1" applyAlignment="1">
      <alignment horizontal="center" vertical="top"/>
    </xf>
    <xf numFmtId="0" fontId="161" fillId="0" borderId="0" xfId="0" applyNumberFormat="1" applyFont="1" applyFill="1" applyAlignment="1"/>
    <xf numFmtId="0" fontId="162" fillId="0" borderId="0" xfId="0" applyNumberFormat="1" applyFont="1" applyFill="1" applyAlignment="1">
      <alignment horizontal="left" vertical="top"/>
    </xf>
    <xf numFmtId="0" fontId="161" fillId="0" borderId="0" xfId="0" quotePrefix="1" applyNumberFormat="1" applyFont="1" applyFill="1" applyAlignment="1"/>
    <xf numFmtId="0" fontId="162" fillId="0" borderId="0" xfId="0" applyNumberFormat="1" applyFont="1" applyFill="1" applyAlignment="1">
      <alignment horizontal="center" vertical="top"/>
    </xf>
    <xf numFmtId="0" fontId="162" fillId="0" borderId="0" xfId="0" applyNumberFormat="1" applyFont="1" applyFill="1" applyAlignment="1">
      <alignment horizontal="centerContinuous" vertical="top"/>
    </xf>
    <xf numFmtId="39" fontId="161" fillId="0" borderId="0" xfId="0" quotePrefix="1" applyNumberFormat="1" applyFont="1" applyFill="1" applyBorder="1" applyAlignment="1"/>
    <xf numFmtId="39" fontId="163" fillId="0" borderId="0" xfId="0" quotePrefix="1" applyNumberFormat="1" applyFont="1" applyFill="1" applyBorder="1" applyAlignment="1"/>
    <xf numFmtId="39" fontId="161" fillId="0" borderId="0" xfId="0" applyNumberFormat="1" applyFont="1" applyFill="1" applyBorder="1" applyAlignment="1"/>
    <xf numFmtId="0" fontId="163" fillId="0" borderId="0" xfId="0" applyNumberFormat="1" applyFont="1" applyFill="1" applyBorder="1" applyAlignment="1"/>
    <xf numFmtId="0" fontId="161" fillId="0" borderId="0" xfId="0" applyNumberFormat="1" applyFont="1" applyFill="1" applyBorder="1" applyAlignment="1"/>
    <xf numFmtId="0" fontId="161" fillId="0" borderId="0" xfId="0" applyNumberFormat="1" applyFont="1" applyFill="1" applyBorder="1" applyAlignment="1">
      <alignment horizontal="left" vertical="top"/>
    </xf>
    <xf numFmtId="42" fontId="161" fillId="0" borderId="0" xfId="0" applyNumberFormat="1" applyFont="1" applyFill="1" applyAlignment="1">
      <alignment horizontal="left" vertical="top"/>
    </xf>
    <xf numFmtId="42" fontId="163" fillId="0" borderId="0" xfId="0" applyNumberFormat="1" applyFont="1" applyFill="1" applyAlignment="1">
      <alignment horizontal="left" vertical="top"/>
    </xf>
    <xf numFmtId="42" fontId="161" fillId="0" borderId="0" xfId="0" applyNumberFormat="1" applyFont="1" applyFill="1"/>
    <xf numFmtId="42" fontId="163" fillId="0" borderId="0" xfId="0" applyNumberFormat="1" applyFont="1" applyFill="1" applyAlignment="1">
      <alignment horizontal="right" vertical="top"/>
    </xf>
    <xf numFmtId="0" fontId="163" fillId="0" borderId="0" xfId="0" applyNumberFormat="1" applyFont="1" applyFill="1" applyAlignment="1">
      <alignment horizontal="right"/>
    </xf>
    <xf numFmtId="41" fontId="163" fillId="0" borderId="0" xfId="0" applyNumberFormat="1" applyFont="1" applyFill="1" applyAlignment="1"/>
    <xf numFmtId="41" fontId="163" fillId="0" borderId="0" xfId="0" applyNumberFormat="1" applyFont="1" applyFill="1" applyAlignment="1">
      <alignment horizontal="center" vertical="top"/>
    </xf>
    <xf numFmtId="0" fontId="161" fillId="0" borderId="0" xfId="0" applyNumberFormat="1" applyFont="1" applyFill="1" applyAlignment="1">
      <alignment horizontal="left" vertical="top"/>
    </xf>
    <xf numFmtId="0" fontId="161" fillId="0" borderId="0" xfId="0" quotePrefix="1" applyNumberFormat="1" applyFont="1" applyFill="1" applyAlignment="1">
      <alignment horizontal="left" vertical="top"/>
    </xf>
    <xf numFmtId="0" fontId="161" fillId="0" borderId="0" xfId="0" quotePrefix="1" applyNumberFormat="1" applyFont="1" applyFill="1" applyBorder="1" applyAlignment="1"/>
    <xf numFmtId="41" fontId="161" fillId="0" borderId="0" xfId="0" applyNumberFormat="1" applyFont="1" applyFill="1" applyAlignment="1"/>
    <xf numFmtId="41" fontId="161" fillId="0" borderId="0" xfId="0" applyNumberFormat="1" applyFont="1" applyFill="1" applyAlignment="1">
      <alignment horizontal="center" vertical="top"/>
    </xf>
    <xf numFmtId="0" fontId="163" fillId="0" borderId="0" xfId="0" applyNumberFormat="1" applyFont="1" applyFill="1" applyAlignment="1"/>
    <xf numFmtId="0" fontId="162"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2" fillId="0" borderId="0" xfId="2" applyNumberFormat="1" applyFont="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0" fontId="144" fillId="0" borderId="0" xfId="8" applyFont="1" applyAlignment="1">
      <alignment horizontal="center"/>
    </xf>
    <xf numFmtId="170" fontId="38" fillId="0" borderId="74"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8" xfId="0" quotePrefix="1" applyNumberFormat="1" applyFont="1" applyBorder="1" applyAlignment="1">
      <alignment horizontal="right"/>
    </xf>
    <xf numFmtId="41" fontId="36" fillId="0" borderId="68"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5"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4" xfId="2" applyNumberFormat="1" applyFont="1" applyBorder="1" applyAlignment="1"/>
    <xf numFmtId="0" fontId="66" fillId="0" borderId="0" xfId="836" quotePrefix="1" applyNumberFormat="1" applyFont="1" applyFill="1" applyAlignment="1"/>
    <xf numFmtId="43" fontId="41" fillId="0" borderId="0" xfId="0" applyNumberFormat="1" applyFont="1" applyFill="1"/>
    <xf numFmtId="43" fontId="41" fillId="0" borderId="0" xfId="0" applyNumberFormat="1" applyFont="1" applyFill="1" applyAlignment="1"/>
    <xf numFmtId="191" fontId="169" fillId="0" borderId="0" xfId="11" applyNumberFormat="1" applyFont="1" applyAlignment="1">
      <alignment horizontal="right"/>
    </xf>
    <xf numFmtId="42" fontId="162" fillId="0" borderId="35" xfId="0" applyNumberFormat="1" applyFont="1" applyFill="1" applyBorder="1" applyAlignment="1">
      <alignment horizontal="right" vertical="top"/>
    </xf>
    <xf numFmtId="42" fontId="162" fillId="0" borderId="0" xfId="0" applyNumberFormat="1" applyFont="1" applyFill="1" applyAlignment="1">
      <alignment horizontal="right" vertical="top"/>
    </xf>
    <xf numFmtId="42" fontId="162" fillId="0" borderId="0" xfId="0" applyNumberFormat="1" applyFont="1" applyFill="1" applyAlignment="1">
      <alignment horizontal="right"/>
    </xf>
    <xf numFmtId="42" fontId="162"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178" fontId="66" fillId="0" borderId="0" xfId="740" quotePrefix="1" applyNumberFormat="1" applyFont="1" applyAlignment="1">
      <alignment horizontal="righ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protection locked="0"/>
    </xf>
    <xf numFmtId="43" fontId="36" fillId="0" borderId="0" xfId="1028" applyNumberFormat="1" applyFont="1" applyBorder="1" applyAlignment="1" applyProtection="1">
      <alignment horizontal="right"/>
    </xf>
    <xf numFmtId="164" fontId="36" fillId="0" borderId="0" xfId="0" applyFont="1" applyProtection="1"/>
    <xf numFmtId="4" fontId="43" fillId="36" borderId="58" xfId="0" applyNumberFormat="1" applyFont="1" applyFill="1" applyBorder="1" applyAlignment="1">
      <alignment horizontal="center"/>
    </xf>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21"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35" xfId="0" applyNumberFormat="1" applyFont="1" applyBorder="1" applyAlignment="1">
      <alignment horizontal="right"/>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20"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37" fontId="43" fillId="0" borderId="0" xfId="1028" applyNumberFormat="1" applyFont="1" applyBorder="1" applyAlignment="1" applyProtection="1">
      <alignment horizontal="right"/>
    </xf>
    <xf numFmtId="164" fontId="97" fillId="0" borderId="0" xfId="1028" applyNumberFormat="1" applyFont="1" applyBorder="1" applyAlignment="1" applyProtection="1"/>
    <xf numFmtId="4" fontId="101" fillId="0" borderId="0" xfId="0" applyNumberFormat="1" applyFont="1" applyAlignment="1">
      <alignment horizontal="left" vertical="top"/>
    </xf>
    <xf numFmtId="37" fontId="43" fillId="0" borderId="0" xfId="0" applyNumberFormat="1" applyFont="1" applyAlignment="1">
      <alignment horizontal="right" vertical="top"/>
    </xf>
    <xf numFmtId="37" fontId="43" fillId="0" borderId="0" xfId="0" applyNumberFormat="1" applyFont="1" applyBorder="1" applyAlignment="1">
      <alignment horizontal="righ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8"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8"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8"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8"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2" fillId="0" borderId="0" xfId="0" applyNumberFormat="1" applyFont="1" applyFill="1"/>
    <xf numFmtId="43" fontId="41" fillId="0" borderId="0" xfId="0" applyNumberFormat="1" applyFont="1" applyFill="1" applyAlignment="1">
      <alignment horizontal="center" vertical="top"/>
    </xf>
    <xf numFmtId="43" fontId="41" fillId="0" borderId="0" xfId="0" applyNumberFormat="1" applyFont="1" applyFill="1" applyBorder="1" applyAlignment="1">
      <alignment horizontal="center"/>
    </xf>
    <xf numFmtId="43" fontId="42" fillId="0" borderId="0" xfId="0" applyNumberFormat="1" applyFont="1" applyFill="1" applyBorder="1" applyAlignment="1">
      <alignment horizontal="center" vertical="top"/>
    </xf>
    <xf numFmtId="43" fontId="41"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70"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0" fontId="42" fillId="0" borderId="0" xfId="8" applyFont="1" applyAlignment="1">
      <alignment horizontal="right"/>
    </xf>
    <xf numFmtId="194" fontId="42" fillId="0" borderId="0" xfId="8" quotePrefix="1" applyNumberFormat="1" applyFont="1" applyAlignment="1">
      <alignment horizontal="right"/>
    </xf>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8" xfId="2" applyNumberFormat="1" applyFont="1" applyBorder="1"/>
    <xf numFmtId="178" fontId="66" fillId="0" borderId="68" xfId="836" applyNumberFormat="1" applyFont="1" applyFill="1" applyBorder="1" applyAlignment="1">
      <alignment horizontal="right"/>
    </xf>
    <xf numFmtId="178" fontId="61" fillId="0" borderId="68" xfId="836" applyNumberFormat="1" applyFont="1" applyFill="1" applyBorder="1" applyAlignment="1"/>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8" xfId="2" applyNumberFormat="1" applyFont="1" applyBorder="1" applyAlignment="1">
      <alignment horizontal="right"/>
    </xf>
    <xf numFmtId="164" fontId="43" fillId="0" borderId="68"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8"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8"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72" fillId="0" borderId="0" xfId="2" applyFont="1"/>
    <xf numFmtId="4" fontId="48" fillId="0" borderId="0" xfId="1773" applyNumberFormat="1" applyFont="1"/>
    <xf numFmtId="4" fontId="118" fillId="0" borderId="0" xfId="1773" applyNumberFormat="1"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8" xfId="2" applyNumberFormat="1" applyFont="1" applyBorder="1" applyAlignment="1">
      <alignment horizontal="center"/>
    </xf>
    <xf numFmtId="164" fontId="36" fillId="0" borderId="0" xfId="0" applyNumberFormat="1" applyFont="1" applyBorder="1" applyAlignment="1" applyProtection="1">
      <protection locked="0"/>
    </xf>
    <xf numFmtId="0" fontId="174" fillId="0" borderId="0" xfId="0" applyNumberFormat="1" applyFont="1"/>
    <xf numFmtId="41" fontId="174" fillId="0" borderId="0" xfId="0" applyNumberFormat="1" applyFont="1" applyFill="1"/>
    <xf numFmtId="41" fontId="174" fillId="0" borderId="0" xfId="0" applyNumberFormat="1" applyFont="1" applyAlignment="1"/>
    <xf numFmtId="0" fontId="174" fillId="0" borderId="0" xfId="0" applyNumberFormat="1" applyFont="1" applyFill="1"/>
    <xf numFmtId="0" fontId="174" fillId="0" borderId="0" xfId="0" applyNumberFormat="1" applyFont="1" applyBorder="1" applyAlignment="1"/>
    <xf numFmtId="0" fontId="174" fillId="0" borderId="0" xfId="0" applyNumberFormat="1" applyFont="1" applyFill="1" applyAlignment="1"/>
    <xf numFmtId="41" fontId="174" fillId="0" borderId="0" xfId="0" applyNumberFormat="1" applyFont="1" applyFill="1" applyBorder="1"/>
    <xf numFmtId="49" fontId="174" fillId="0" borderId="0" xfId="0" applyNumberFormat="1" applyFont="1" applyFill="1" applyAlignment="1">
      <alignment wrapText="1"/>
    </xf>
    <xf numFmtId="191" fontId="174" fillId="0" borderId="0" xfId="0" applyNumberFormat="1" applyFont="1" applyFill="1" applyBorder="1" applyAlignment="1">
      <alignment vertical="center"/>
    </xf>
    <xf numFmtId="0" fontId="174" fillId="0" borderId="0" xfId="0" applyNumberFormat="1" applyFont="1" applyBorder="1"/>
    <xf numFmtId="0" fontId="174"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21"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165" fontId="36" fillId="35" borderId="0" xfId="5458" applyNumberFormat="1" applyFont="1" applyFill="1" applyAlignment="1" applyProtection="1">
      <protection locked="0"/>
    </xf>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8" xfId="2" applyNumberFormat="1" applyFont="1" applyBorder="1" applyAlignment="1">
      <alignment horizontal="right"/>
    </xf>
    <xf numFmtId="170" fontId="36" fillId="0" borderId="68"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6" xfId="2" applyNumberFormat="1" applyFont="1" applyBorder="1" applyAlignment="1">
      <alignment horizontal="center"/>
    </xf>
    <xf numFmtId="37" fontId="41" fillId="0" borderId="76" xfId="2" applyNumberFormat="1" applyFont="1" applyBorder="1" applyAlignment="1"/>
    <xf numFmtId="37" fontId="36" fillId="0" borderId="76"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8"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6" xfId="2" applyNumberFormat="1" applyFont="1" applyBorder="1" applyAlignment="1"/>
    <xf numFmtId="174" fontId="36" fillId="0" borderId="0" xfId="2" quotePrefix="1" applyNumberFormat="1" applyFont="1" applyAlignment="1"/>
    <xf numFmtId="170" fontId="36" fillId="0" borderId="76" xfId="2" applyNumberFormat="1" applyFont="1" applyBorder="1" applyAlignment="1"/>
    <xf numFmtId="170" fontId="36" fillId="0" borderId="76" xfId="2" applyNumberFormat="1" applyFont="1" applyBorder="1" applyAlignment="1">
      <alignment horizontal="center"/>
    </xf>
    <xf numFmtId="170" fontId="43" fillId="0" borderId="76" xfId="2" applyNumberFormat="1" applyFont="1" applyBorder="1" applyAlignment="1"/>
    <xf numFmtId="170" fontId="43" fillId="0" borderId="28" xfId="2" applyNumberFormat="1" applyFont="1" applyBorder="1" applyAlignment="1"/>
    <xf numFmtId="174" fontId="43" fillId="0" borderId="76"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8"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6" xfId="2" applyNumberFormat="1" applyFont="1" applyBorder="1" applyAlignment="1"/>
    <xf numFmtId="170" fontId="58" fillId="0" borderId="68" xfId="2" applyNumberFormat="1" applyFont="1" applyBorder="1" applyAlignment="1">
      <alignment horizontal="right"/>
    </xf>
    <xf numFmtId="164" fontId="43" fillId="0" borderId="68"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7" xfId="2" applyNumberFormat="1" applyFont="1" applyBorder="1" applyAlignment="1"/>
    <xf numFmtId="170" fontId="59" fillId="0" borderId="78" xfId="2" applyNumberFormat="1" applyFont="1" applyBorder="1" applyAlignment="1"/>
    <xf numFmtId="170" fontId="58" fillId="0" borderId="77" xfId="2" applyNumberFormat="1" applyFont="1" applyBorder="1" applyAlignment="1"/>
    <xf numFmtId="164" fontId="36" fillId="0" borderId="68" xfId="2" quotePrefix="1" applyNumberFormat="1" applyFont="1" applyBorder="1" applyAlignment="1"/>
    <xf numFmtId="170" fontId="58" fillId="0" borderId="68" xfId="2" applyNumberFormat="1" applyFont="1" applyBorder="1" applyAlignment="1"/>
    <xf numFmtId="164" fontId="36" fillId="0" borderId="68" xfId="2" applyNumberFormat="1" applyFont="1" applyBorder="1" applyAlignment="1"/>
    <xf numFmtId="172" fontId="43" fillId="0" borderId="68"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8" xfId="0" applyNumberFormat="1" applyFont="1" applyBorder="1" applyAlignment="1" applyProtection="1">
      <protection locked="0"/>
    </xf>
    <xf numFmtId="0" fontId="43" fillId="0" borderId="0" xfId="2" applyNumberFormat="1" applyFont="1" applyAlignment="1">
      <alignment horizontal="right"/>
    </xf>
    <xf numFmtId="165" fontId="63" fillId="0" borderId="68" xfId="2" applyNumberFormat="1" applyFont="1" applyBorder="1" applyAlignment="1" applyProtection="1">
      <alignment horizontal="center"/>
      <protection locked="0"/>
    </xf>
    <xf numFmtId="165" fontId="63" fillId="0" borderId="68" xfId="2" applyNumberFormat="1" applyFont="1" applyBorder="1" applyAlignment="1" applyProtection="1">
      <protection locked="0"/>
    </xf>
    <xf numFmtId="0" fontId="64" fillId="0" borderId="68" xfId="2" applyNumberFormat="1" applyFont="1" applyBorder="1" applyAlignment="1"/>
    <xf numFmtId="164" fontId="43" fillId="0" borderId="0" xfId="2" applyNumberFormat="1" applyFont="1" applyAlignment="1">
      <alignment vertical="center"/>
    </xf>
    <xf numFmtId="0" fontId="43" fillId="0" borderId="0" xfId="2" applyNumberFormat="1" applyFont="1" applyAlignment="1">
      <alignment horizontal="left"/>
    </xf>
    <xf numFmtId="37" fontId="138" fillId="0" borderId="0" xfId="2" applyNumberFormat="1" applyFont="1" applyFill="1" applyBorder="1" applyAlignment="1"/>
    <xf numFmtId="37" fontId="136"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9"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8" xfId="4" applyNumberFormat="1" applyFont="1" applyFill="1" applyBorder="1"/>
    <xf numFmtId="170" fontId="38" fillId="0" borderId="78"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6" fillId="0" borderId="0" xfId="2" applyNumberFormat="1" applyFont="1" applyBorder="1" applyAlignment="1"/>
    <xf numFmtId="37" fontId="43" fillId="0" borderId="78"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4"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4"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8"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8" xfId="4" applyNumberFormat="1" applyFont="1" applyFill="1" applyBorder="1"/>
    <xf numFmtId="166" fontId="38" fillId="0" borderId="78" xfId="4" applyNumberFormat="1" applyFont="1" applyFill="1" applyBorder="1"/>
    <xf numFmtId="170" fontId="43" fillId="0" borderId="16" xfId="5" applyNumberFormat="1" applyFont="1" applyFill="1" applyBorder="1"/>
    <xf numFmtId="170" fontId="43" fillId="0" borderId="78"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8" xfId="4" quotePrefix="1" applyNumberFormat="1" applyFont="1" applyBorder="1" applyAlignment="1">
      <alignment horizontal="center"/>
    </xf>
    <xf numFmtId="0" fontId="43" fillId="0" borderId="68"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8" xfId="2" quotePrefix="1" applyNumberFormat="1" applyFont="1" applyBorder="1" applyAlignment="1">
      <alignment horizontal="center"/>
    </xf>
    <xf numFmtId="165" fontId="43" fillId="0" borderId="68"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8"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8"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4" fillId="0" borderId="0" xfId="2" applyNumberFormat="1" applyFont="1" applyFill="1" applyAlignment="1"/>
    <xf numFmtId="165" fontId="165" fillId="0" borderId="0" xfId="2" applyNumberFormat="1" applyFont="1" applyFill="1" applyAlignment="1"/>
    <xf numFmtId="165" fontId="168"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174" fontId="43" fillId="0" borderId="17" xfId="6" applyNumberFormat="1" applyFont="1" applyFill="1" applyBorder="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66"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7" fillId="0" borderId="0" xfId="2" applyFont="1" applyFill="1" applyBorder="1" applyAlignment="1"/>
    <xf numFmtId="165" fontId="168"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8"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8"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8" xfId="2" applyNumberFormat="1" applyFont="1" applyFill="1" applyBorder="1" applyAlignment="1">
      <alignment horizontal="center"/>
    </xf>
    <xf numFmtId="170" fontId="43" fillId="0" borderId="78" xfId="2" applyNumberFormat="1" applyFont="1" applyFill="1" applyBorder="1" applyAlignment="1"/>
    <xf numFmtId="170" fontId="43" fillId="0" borderId="68"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8"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7"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8" xfId="1" applyNumberFormat="1" applyFont="1" applyFill="1" applyBorder="1" applyAlignment="1">
      <alignment horizontal="center"/>
    </xf>
    <xf numFmtId="170" fontId="0" fillId="0" borderId="19" xfId="2" applyNumberFormat="1" applyFont="1" applyFill="1" applyBorder="1" applyAlignment="1">
      <alignment horizontal="center"/>
    </xf>
    <xf numFmtId="166" fontId="43" fillId="0" borderId="0" xfId="2" applyNumberFormat="1" applyFont="1" applyFill="1" applyBorder="1" applyAlignment="1"/>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81" fontId="36" fillId="0" borderId="0" xfId="1767" applyNumberFormat="1" applyFont="1" applyBorder="1" applyAlignment="1">
      <alignment horizontal="right"/>
    </xf>
    <xf numFmtId="178" fontId="36" fillId="0" borderId="0" xfId="1767" applyNumberFormat="1" applyFont="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36" fillId="0" borderId="0" xfId="1767" quotePrefix="1" applyNumberFormat="1" applyFont="1" applyAlignment="1">
      <alignment horizontal="center"/>
    </xf>
    <xf numFmtId="178" fontId="36" fillId="0" borderId="0" xfId="1767" applyNumberFormat="1" applyFont="1" applyAlignment="1">
      <alignment horizontal="center"/>
    </xf>
    <xf numFmtId="178" fontId="36" fillId="0" borderId="0" xfId="1767" applyNumberFormat="1" applyFont="1" applyBorder="1" applyAlignment="1">
      <alignment horizontal="center"/>
    </xf>
    <xf numFmtId="178" fontId="99" fillId="0" borderId="0" xfId="1767" applyNumberFormat="1" applyFont="1" applyFill="1" applyAlignment="1"/>
    <xf numFmtId="178" fontId="41" fillId="0" borderId="0" xfId="1767" applyNumberFormat="1" applyFont="1" applyAlignment="1"/>
    <xf numFmtId="178" fontId="36" fillId="0" borderId="0" xfId="1767" quotePrefix="1" applyNumberFormat="1" applyFont="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7"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76" fillId="0" borderId="0" xfId="2" applyNumberFormat="1" applyFont="1" applyBorder="1" applyAlignment="1"/>
    <xf numFmtId="169" fontId="176" fillId="0" borderId="0" xfId="2" applyNumberFormat="1" applyFont="1" applyBorder="1" applyAlignment="1" applyProtection="1">
      <alignment horizontal="right"/>
      <protection locked="0"/>
    </xf>
    <xf numFmtId="175" fontId="177" fillId="0" borderId="0" xfId="2" applyNumberFormat="1" applyFont="1" applyBorder="1" applyAlignment="1" applyProtection="1">
      <protection locked="0"/>
    </xf>
    <xf numFmtId="166" fontId="177" fillId="0" borderId="15" xfId="2" applyNumberFormat="1" applyFont="1" applyBorder="1" applyAlignment="1" applyProtection="1">
      <protection locked="0"/>
    </xf>
    <xf numFmtId="0" fontId="177" fillId="0" borderId="15" xfId="2" applyNumberFormat="1" applyFont="1" applyBorder="1" applyAlignment="1"/>
    <xf numFmtId="166" fontId="177" fillId="0" borderId="15" xfId="2" applyNumberFormat="1" applyFont="1" applyBorder="1" applyAlignment="1" applyProtection="1">
      <alignment horizontal="center"/>
      <protection locked="0"/>
    </xf>
    <xf numFmtId="166" fontId="177" fillId="0" borderId="15" xfId="2" quotePrefix="1" applyNumberFormat="1" applyFont="1" applyBorder="1" applyAlignment="1" applyProtection="1">
      <alignment horizontal="right"/>
      <protection locked="0"/>
    </xf>
    <xf numFmtId="166" fontId="177" fillId="0" borderId="15" xfId="2" applyNumberFormat="1" applyFont="1" applyBorder="1" applyAlignment="1"/>
    <xf numFmtId="166" fontId="176" fillId="0" borderId="15" xfId="2" applyNumberFormat="1" applyFont="1" applyBorder="1" applyAlignment="1"/>
    <xf numFmtId="169" fontId="177" fillId="0" borderId="15" xfId="2" applyNumberFormat="1" applyFont="1" applyBorder="1" applyAlignment="1"/>
    <xf numFmtId="0" fontId="177" fillId="0" borderId="0" xfId="2" applyNumberFormat="1" applyFont="1" applyAlignment="1"/>
    <xf numFmtId="0" fontId="177" fillId="0" borderId="0" xfId="2" applyNumberFormat="1" applyFont="1" applyBorder="1" applyAlignment="1"/>
    <xf numFmtId="165" fontId="177" fillId="0" borderId="0" xfId="2" applyNumberFormat="1" applyFont="1" applyAlignment="1"/>
    <xf numFmtId="166" fontId="177" fillId="0" borderId="0" xfId="2" applyNumberFormat="1" applyFont="1" applyAlignment="1"/>
    <xf numFmtId="165" fontId="176" fillId="0" borderId="0" xfId="2" applyNumberFormat="1" applyFont="1" applyAlignment="1">
      <alignment horizontal="center"/>
    </xf>
    <xf numFmtId="165" fontId="176" fillId="0" borderId="0" xfId="2" quotePrefix="1" applyNumberFormat="1" applyFont="1" applyAlignment="1">
      <alignment horizontal="center"/>
    </xf>
    <xf numFmtId="165" fontId="176" fillId="0" borderId="10" xfId="2" applyNumberFormat="1" applyFont="1" applyBorder="1" applyAlignment="1">
      <alignment horizontal="center"/>
    </xf>
    <xf numFmtId="165" fontId="176" fillId="0" borderId="0" xfId="2" applyNumberFormat="1" applyFont="1" applyBorder="1" applyAlignment="1">
      <alignment horizontal="center"/>
    </xf>
    <xf numFmtId="174" fontId="176" fillId="0" borderId="0" xfId="2" applyNumberFormat="1" applyFont="1" applyBorder="1" applyAlignment="1"/>
    <xf numFmtId="164" fontId="176" fillId="0" borderId="0" xfId="1940" applyNumberFormat="1" applyFont="1" applyAlignment="1"/>
    <xf numFmtId="175" fontId="177" fillId="0" borderId="0" xfId="2" applyNumberFormat="1" applyFont="1" applyBorder="1" applyAlignment="1"/>
    <xf numFmtId="170" fontId="177" fillId="0" borderId="0" xfId="1" applyNumberFormat="1" applyFont="1" applyAlignment="1">
      <alignment horizontal="center"/>
    </xf>
    <xf numFmtId="166" fontId="177" fillId="0" borderId="0" xfId="2" applyNumberFormat="1" applyFont="1" applyBorder="1"/>
    <xf numFmtId="164" fontId="177" fillId="0" borderId="0" xfId="0" applyNumberFormat="1" applyFont="1" applyBorder="1" applyAlignment="1" applyProtection="1">
      <protection locked="0"/>
    </xf>
    <xf numFmtId="170" fontId="177" fillId="0" borderId="68" xfId="1" applyNumberFormat="1" applyFont="1" applyBorder="1" applyAlignment="1">
      <alignment horizontal="center"/>
    </xf>
    <xf numFmtId="164" fontId="177" fillId="0" borderId="68" xfId="0" applyNumberFormat="1" applyFont="1" applyBorder="1" applyAlignment="1" applyProtection="1">
      <protection locked="0"/>
    </xf>
    <xf numFmtId="170" fontId="177" fillId="0" borderId="0" xfId="2" applyNumberFormat="1" applyFont="1" applyBorder="1" applyAlignment="1"/>
    <xf numFmtId="170" fontId="176" fillId="0" borderId="68" xfId="2" applyNumberFormat="1" applyFont="1" applyBorder="1" applyAlignment="1"/>
    <xf numFmtId="166" fontId="176" fillId="0" borderId="0" xfId="2" applyNumberFormat="1" applyFont="1" applyBorder="1" applyAlignment="1"/>
    <xf numFmtId="164" fontId="176" fillId="0" borderId="68" xfId="1940" applyNumberFormat="1" applyFont="1" applyBorder="1" applyAlignment="1"/>
    <xf numFmtId="164" fontId="177" fillId="0" borderId="0" xfId="1940" applyNumberFormat="1" applyFont="1" applyBorder="1" applyAlignment="1"/>
    <xf numFmtId="0" fontId="177" fillId="0" borderId="0" xfId="2" applyNumberFormat="1" applyFont="1" applyBorder="1" applyAlignment="1">
      <alignment horizontal="center"/>
    </xf>
    <xf numFmtId="164" fontId="177" fillId="0" borderId="0" xfId="1940" applyNumberFormat="1" applyFont="1" applyAlignment="1"/>
    <xf numFmtId="170" fontId="177" fillId="0" borderId="68" xfId="2" applyNumberFormat="1" applyFont="1" applyBorder="1" applyAlignment="1"/>
    <xf numFmtId="164" fontId="177" fillId="0" borderId="68" xfId="1940" applyNumberFormat="1" applyFont="1" applyBorder="1" applyAlignment="1"/>
    <xf numFmtId="166" fontId="177" fillId="0" borderId="0" xfId="2" applyNumberFormat="1" applyFont="1" applyBorder="1" applyAlignment="1"/>
    <xf numFmtId="174" fontId="177" fillId="0" borderId="0" xfId="2" applyNumberFormat="1" applyFont="1" applyBorder="1" applyAlignment="1"/>
    <xf numFmtId="169" fontId="177" fillId="0" borderId="0" xfId="2" applyNumberFormat="1" applyFont="1" applyBorder="1" applyAlignment="1"/>
    <xf numFmtId="0" fontId="176" fillId="0" borderId="0" xfId="2" applyNumberFormat="1" applyFont="1" applyBorder="1" applyAlignment="1">
      <alignment horizontal="center"/>
    </xf>
    <xf numFmtId="174" fontId="176" fillId="0" borderId="17" xfId="2" applyNumberFormat="1" applyFont="1" applyBorder="1" applyAlignment="1"/>
    <xf numFmtId="164" fontId="176" fillId="0" borderId="17" xfId="1940" applyNumberFormat="1" applyFont="1" applyBorder="1" applyAlignment="1"/>
    <xf numFmtId="169" fontId="176" fillId="0" borderId="15" xfId="2" applyNumberFormat="1" applyFont="1" applyBorder="1" applyAlignment="1" applyProtection="1">
      <alignment horizontal="right"/>
      <protection locked="0"/>
    </xf>
    <xf numFmtId="175" fontId="177" fillId="0" borderId="15" xfId="2" applyNumberFormat="1" applyFont="1" applyBorder="1" applyAlignment="1" applyProtection="1">
      <protection locked="0"/>
    </xf>
    <xf numFmtId="0" fontId="176" fillId="0" borderId="0" xfId="2" applyNumberFormat="1" applyFont="1" applyAlignment="1">
      <alignment horizontal="right"/>
    </xf>
    <xf numFmtId="0" fontId="176" fillId="0" borderId="0" xfId="2" quotePrefix="1" applyNumberFormat="1" applyFont="1" applyBorder="1" applyAlignment="1">
      <alignment horizontal="left"/>
    </xf>
    <xf numFmtId="174" fontId="176" fillId="0" borderId="0" xfId="2" quotePrefix="1" applyNumberFormat="1" applyFont="1" applyBorder="1" applyAlignment="1">
      <alignment horizontal="right"/>
    </xf>
    <xf numFmtId="175" fontId="177" fillId="0" borderId="0" xfId="2" applyNumberFormat="1" applyFont="1" applyAlignment="1"/>
    <xf numFmtId="170" fontId="177" fillId="0" borderId="0" xfId="2" quotePrefix="1" applyNumberFormat="1" applyFont="1" applyBorder="1" applyAlignment="1">
      <alignment horizontal="right"/>
    </xf>
    <xf numFmtId="170" fontId="176" fillId="0" borderId="0" xfId="2" quotePrefix="1" applyNumberFormat="1" applyFont="1" applyAlignment="1">
      <alignment horizontal="right"/>
    </xf>
    <xf numFmtId="170" fontId="177" fillId="0" borderId="0" xfId="2" applyNumberFormat="1" applyFont="1" applyAlignment="1"/>
    <xf numFmtId="170" fontId="177" fillId="0" borderId="0" xfId="2" quotePrefix="1" applyNumberFormat="1" applyFont="1" applyAlignment="1">
      <alignment horizontal="center"/>
    </xf>
    <xf numFmtId="170" fontId="177" fillId="0" borderId="0" xfId="2" quotePrefix="1" applyNumberFormat="1" applyFont="1" applyAlignment="1"/>
    <xf numFmtId="170" fontId="177" fillId="0" borderId="0" xfId="2" quotePrefix="1" applyNumberFormat="1" applyFont="1" applyBorder="1" applyAlignment="1"/>
    <xf numFmtId="170" fontId="176" fillId="0" borderId="0" xfId="2" quotePrefix="1" applyNumberFormat="1" applyFont="1" applyAlignment="1">
      <alignment horizontal="center"/>
    </xf>
    <xf numFmtId="170" fontId="176" fillId="0" borderId="0" xfId="2" quotePrefix="1" applyNumberFormat="1" applyFont="1" applyBorder="1" applyAlignment="1">
      <alignment horizontal="right"/>
    </xf>
    <xf numFmtId="170" fontId="176" fillId="0" borderId="0" xfId="2" quotePrefix="1" applyNumberFormat="1" applyFont="1" applyBorder="1" applyAlignment="1">
      <alignment horizontal="center"/>
    </xf>
    <xf numFmtId="170" fontId="176" fillId="0" borderId="0" xfId="2" applyNumberFormat="1" applyFont="1" applyAlignment="1">
      <alignment horizontal="right"/>
    </xf>
    <xf numFmtId="170" fontId="176" fillId="0" borderId="73" xfId="2" applyNumberFormat="1" applyFont="1" applyBorder="1" applyAlignment="1"/>
    <xf numFmtId="166" fontId="176" fillId="0" borderId="0" xfId="2" applyNumberFormat="1" applyFont="1" applyBorder="1" applyAlignment="1">
      <alignment horizontal="right"/>
    </xf>
    <xf numFmtId="164" fontId="176" fillId="0" borderId="73" xfId="1940" applyNumberFormat="1" applyFont="1" applyBorder="1" applyAlignment="1"/>
    <xf numFmtId="170" fontId="176" fillId="0" borderId="0" xfId="2" applyNumberFormat="1" applyFont="1" applyBorder="1" applyAlignment="1"/>
    <xf numFmtId="174" fontId="176" fillId="0" borderId="35" xfId="2" applyNumberFormat="1" applyFont="1" applyBorder="1" applyAlignment="1"/>
    <xf numFmtId="164" fontId="176" fillId="0" borderId="35" xfId="1940" applyNumberFormat="1" applyFont="1" applyBorder="1" applyAlignment="1"/>
    <xf numFmtId="166" fontId="178" fillId="0" borderId="0" xfId="2" applyNumberFormat="1" applyFont="1" applyAlignment="1">
      <alignment horizontal="center"/>
    </xf>
    <xf numFmtId="0" fontId="179" fillId="0" borderId="0" xfId="2" applyNumberFormat="1" applyFont="1" applyAlignment="1">
      <alignment horizontal="right"/>
    </xf>
    <xf numFmtId="0" fontId="176" fillId="0" borderId="0" xfId="2" applyNumberFormat="1" applyFont="1" applyAlignment="1">
      <alignment horizontal="center"/>
    </xf>
    <xf numFmtId="0" fontId="176" fillId="0" borderId="10" xfId="2" applyNumberFormat="1" applyFont="1" applyBorder="1" applyAlignment="1">
      <alignment horizontal="center"/>
    </xf>
    <xf numFmtId="174" fontId="176" fillId="0" borderId="20" xfId="2" quotePrefix="1" applyNumberFormat="1" applyFont="1" applyBorder="1" applyAlignment="1">
      <alignment horizontal="right"/>
    </xf>
    <xf numFmtId="174" fontId="176" fillId="0" borderId="24" xfId="2" applyNumberFormat="1" applyFont="1" applyBorder="1" applyAlignment="1" applyProtection="1">
      <protection locked="0"/>
    </xf>
    <xf numFmtId="174" fontId="176" fillId="0" borderId="0" xfId="2" applyNumberFormat="1" applyFont="1" applyBorder="1" applyAlignment="1" applyProtection="1">
      <protection locked="0"/>
    </xf>
    <xf numFmtId="175" fontId="177" fillId="0" borderId="24" xfId="2" applyNumberFormat="1" applyFont="1" applyBorder="1" applyAlignment="1" applyProtection="1">
      <protection locked="0"/>
    </xf>
    <xf numFmtId="175" fontId="177" fillId="0" borderId="0" xfId="2" applyNumberFormat="1" applyFont="1" applyAlignment="1" applyProtection="1">
      <protection locked="0"/>
    </xf>
    <xf numFmtId="170" fontId="177" fillId="0" borderId="68" xfId="2" quotePrefix="1" applyNumberFormat="1" applyFont="1" applyBorder="1" applyAlignment="1"/>
    <xf numFmtId="170" fontId="177" fillId="0" borderId="24" xfId="2" applyNumberFormat="1" applyFont="1" applyBorder="1" applyAlignment="1" applyProtection="1">
      <protection locked="0"/>
    </xf>
    <xf numFmtId="170" fontId="177" fillId="0" borderId="0" xfId="2" applyNumberFormat="1" applyFont="1" applyAlignment="1" applyProtection="1">
      <protection locked="0"/>
    </xf>
    <xf numFmtId="170" fontId="177" fillId="0" borderId="10" xfId="2" quotePrefix="1" applyNumberFormat="1" applyFont="1" applyBorder="1" applyAlignment="1">
      <alignment horizontal="right"/>
    </xf>
    <xf numFmtId="170" fontId="176" fillId="0" borderId="24" xfId="2" applyNumberFormat="1" applyFont="1" applyBorder="1" applyAlignment="1" applyProtection="1">
      <protection locked="0"/>
    </xf>
    <xf numFmtId="170" fontId="176" fillId="0" borderId="21" xfId="2" applyNumberFormat="1" applyFont="1" applyBorder="1" applyAlignment="1" applyProtection="1">
      <protection locked="0"/>
    </xf>
    <xf numFmtId="170" fontId="177" fillId="0" borderId="20" xfId="2" applyNumberFormat="1" applyFont="1" applyBorder="1" applyAlignment="1"/>
    <xf numFmtId="170" fontId="177" fillId="0" borderId="0" xfId="2" applyNumberFormat="1" applyFont="1" applyBorder="1" applyAlignment="1" applyProtection="1">
      <protection locked="0"/>
    </xf>
    <xf numFmtId="170" fontId="177" fillId="0" borderId="24" xfId="2" applyNumberFormat="1" applyFont="1" applyBorder="1" applyAlignment="1" applyProtection="1">
      <alignment horizontal="center"/>
      <protection locked="0"/>
    </xf>
    <xf numFmtId="170" fontId="177" fillId="0" borderId="0" xfId="2" applyNumberFormat="1" applyFont="1" applyAlignment="1" applyProtection="1">
      <alignment horizontal="center"/>
      <protection locked="0"/>
    </xf>
    <xf numFmtId="170" fontId="176" fillId="0" borderId="10" xfId="2" quotePrefix="1" applyNumberFormat="1" applyFont="1" applyBorder="1" applyAlignment="1">
      <alignment horizontal="right"/>
    </xf>
    <xf numFmtId="170" fontId="176" fillId="0" borderId="0" xfId="2" applyNumberFormat="1" applyFont="1" applyBorder="1" applyAlignment="1" applyProtection="1">
      <protection locked="0"/>
    </xf>
    <xf numFmtId="170" fontId="177" fillId="0" borderId="24" xfId="2" applyNumberFormat="1" applyFont="1" applyBorder="1" applyAlignment="1">
      <alignment horizontal="center"/>
    </xf>
    <xf numFmtId="170" fontId="177" fillId="0" borderId="0" xfId="2" applyNumberFormat="1" applyFont="1" applyBorder="1" applyAlignment="1">
      <alignment horizontal="center"/>
    </xf>
    <xf numFmtId="170" fontId="176" fillId="0" borderId="20" xfId="2" quotePrefix="1" applyNumberFormat="1" applyFont="1" applyBorder="1" applyAlignment="1">
      <alignment horizontal="center"/>
    </xf>
    <xf numFmtId="170" fontId="176" fillId="0" borderId="24" xfId="2" applyNumberFormat="1" applyFont="1" applyBorder="1" applyAlignment="1" applyProtection="1">
      <alignment horizontal="right"/>
      <protection locked="0"/>
    </xf>
    <xf numFmtId="170" fontId="176" fillId="0" borderId="0" xfId="2" applyNumberFormat="1" applyFont="1" applyBorder="1" applyAlignment="1" applyProtection="1">
      <alignment horizontal="right"/>
      <protection locked="0"/>
    </xf>
    <xf numFmtId="170" fontId="176" fillId="0" borderId="18" xfId="2" applyNumberFormat="1" applyFont="1" applyBorder="1" applyAlignment="1"/>
    <xf numFmtId="174" fontId="176" fillId="0" borderId="20" xfId="2" applyNumberFormat="1" applyFont="1" applyBorder="1" applyAlignment="1"/>
    <xf numFmtId="174" fontId="176" fillId="0" borderId="18" xfId="2" applyNumberFormat="1" applyFont="1" applyBorder="1" applyAlignment="1"/>
    <xf numFmtId="166" fontId="177"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75"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5"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7" fillId="0" borderId="0" xfId="2" applyNumberFormat="1" applyFont="1" applyBorder="1"/>
    <xf numFmtId="37" fontId="65" fillId="0" borderId="0" xfId="2" applyNumberFormat="1" applyFont="1" applyBorder="1" applyAlignment="1"/>
    <xf numFmtId="37" fontId="138"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8" xfId="2" applyNumberFormat="1" applyFont="1" applyBorder="1" applyAlignment="1"/>
    <xf numFmtId="37" fontId="43" fillId="0" borderId="68" xfId="2" applyNumberFormat="1" applyFont="1" applyBorder="1" applyAlignment="1">
      <alignment horizontal="centerContinuous"/>
    </xf>
    <xf numFmtId="166" fontId="55" fillId="0" borderId="68" xfId="0" applyNumberFormat="1" applyFont="1" applyFill="1" applyBorder="1" applyAlignment="1"/>
    <xf numFmtId="165" fontId="39" fillId="0" borderId="68"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174" fontId="43" fillId="0" borderId="42" xfId="2" applyNumberFormat="1" applyFont="1" applyBorder="1" applyAlignment="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9"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80" xfId="2" applyNumberFormat="1" applyFont="1" applyBorder="1" applyAlignment="1"/>
    <xf numFmtId="37" fontId="43" fillId="0" borderId="27" xfId="2" applyNumberFormat="1" applyFont="1" applyBorder="1" applyAlignment="1"/>
    <xf numFmtId="37" fontId="43" fillId="0" borderId="81" xfId="2" applyNumberFormat="1" applyFont="1" applyBorder="1" applyAlignment="1">
      <alignment horizontal="center"/>
    </xf>
    <xf numFmtId="37" fontId="43" fillId="0" borderId="68"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28" xfId="2" applyNumberFormat="1" applyFont="1" applyBorder="1" applyAlignment="1">
      <alignment horizontal="right"/>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187" fontId="43" fillId="0" borderId="51" xfId="1767" applyNumberFormat="1" applyFont="1" applyBorder="1" applyAlignment="1" applyProtection="1">
      <alignment horizontal="center"/>
      <protection locked="0"/>
    </xf>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xf numFmtId="0" fontId="97" fillId="0" borderId="0" xfId="1767" applyNumberFormat="1" applyFont="1" applyFill="1" applyAlignment="1" applyProtection="1"/>
    <xf numFmtId="4" fontId="43" fillId="0" borderId="0" xfId="1767" applyNumberFormat="1" applyFont="1" applyFill="1" applyAlignment="1" applyProtection="1">
      <alignment horizontal="left"/>
    </xf>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Alignment="1">
      <alignment horizontal="right"/>
    </xf>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8"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9"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8"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8" xfId="1776" applyNumberFormat="1" applyFont="1" applyFill="1" applyBorder="1" applyAlignment="1"/>
    <xf numFmtId="43" fontId="43" fillId="0" borderId="68"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90" fillId="0" borderId="0" xfId="1776" applyNumberFormat="1" applyFont="1" applyAlignment="1"/>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8" xfId="1776" applyNumberFormat="1" applyFont="1" applyFill="1" applyBorder="1" applyAlignment="1" applyProtection="1">
      <alignment horizontal="right"/>
    </xf>
    <xf numFmtId="43" fontId="36" fillId="0" borderId="18" xfId="1776" applyNumberFormat="1" applyFont="1" applyBorder="1" applyAlignment="1"/>
    <xf numFmtId="43" fontId="43" fillId="0" borderId="68"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8"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91" fontId="174" fillId="0" borderId="0" xfId="1773" applyNumberFormat="1" applyFont="1" applyFill="1"/>
    <xf numFmtId="191" fontId="41" fillId="0" borderId="0" xfId="1773" applyNumberFormat="1" applyFont="1" applyFill="1"/>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8"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8"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0" fontId="43" fillId="0" borderId="0" xfId="1045" applyFont="1" applyFill="1" applyBorder="1"/>
    <xf numFmtId="0" fontId="42" fillId="0" borderId="0" xfId="1045" applyFont="1" applyFill="1" applyBorder="1"/>
    <xf numFmtId="0" fontId="162" fillId="0" borderId="16" xfId="0" applyNumberFormat="1" applyFont="1" applyFill="1" applyBorder="1" applyAlignment="1">
      <alignment horizontal="center"/>
    </xf>
    <xf numFmtId="0" fontId="41" fillId="0" borderId="0" xfId="1045" applyFont="1" applyFill="1" applyBorder="1" applyAlignment="1">
      <alignment horizontal="center"/>
    </xf>
    <xf numFmtId="191" fontId="0" fillId="0" borderId="0" xfId="0" applyNumberFormat="1"/>
    <xf numFmtId="37" fontId="41" fillId="0" borderId="0" xfId="1045" applyNumberFormat="1" applyFont="1" applyFill="1" applyBorder="1"/>
    <xf numFmtId="164" fontId="0" fillId="0" borderId="0" xfId="0" applyNumberFormat="1"/>
    <xf numFmtId="0" fontId="36" fillId="0" borderId="0" xfId="1045" applyNumberFormat="1" applyFont="1" applyFill="1" applyBorder="1" applyAlignment="1"/>
    <xf numFmtId="0" fontId="0" fillId="0" borderId="0" xfId="0" applyNumberFormat="1" applyAlignment="1"/>
    <xf numFmtId="0" fontId="36" fillId="0" borderId="0" xfId="1045" applyFont="1" applyFill="1" applyBorder="1" applyAlignment="1"/>
    <xf numFmtId="192" fontId="48" fillId="0" borderId="0" xfId="8" applyNumberFormat="1" applyFont="1" applyAlignment="1">
      <alignment horizontal="right" vertical="top"/>
    </xf>
    <xf numFmtId="0" fontId="48" fillId="0" borderId="0" xfId="1798" applyFont="1" applyAlignment="1">
      <alignment horizontal="left"/>
    </xf>
    <xf numFmtId="0" fontId="97" fillId="0" borderId="0" xfId="1798" applyFont="1"/>
    <xf numFmtId="0" fontId="48" fillId="0" borderId="0" xfId="1798" applyFont="1"/>
    <xf numFmtId="189" fontId="48" fillId="0" borderId="0" xfId="1798" applyNumberFormat="1" applyFont="1" applyBorder="1" applyAlignment="1"/>
    <xf numFmtId="189" fontId="48" fillId="0" borderId="0" xfId="1798" quotePrefix="1" applyNumberFormat="1" applyFont="1" applyAlignment="1">
      <alignment horizontal="right"/>
    </xf>
    <xf numFmtId="3" fontId="48" fillId="0" borderId="0" xfId="1798" quotePrefix="1" applyNumberFormat="1" applyFont="1" applyAlignment="1"/>
    <xf numFmtId="3" fontId="48" fillId="0" borderId="0" xfId="1798" quotePrefix="1" applyNumberFormat="1" applyFont="1" applyAlignment="1">
      <alignment horizontal="right"/>
    </xf>
    <xf numFmtId="3" fontId="48" fillId="0" borderId="0" xfId="1798" quotePrefix="1" applyNumberFormat="1" applyFont="1" applyAlignment="1">
      <alignment horizontal="center"/>
    </xf>
    <xf numFmtId="3" fontId="48" fillId="0" borderId="0" xfId="1798" quotePrefix="1" applyNumberFormat="1" applyFont="1" applyBorder="1" applyAlignment="1"/>
    <xf numFmtId="0" fontId="97" fillId="0" borderId="0" xfId="1798" applyFont="1" applyBorder="1"/>
    <xf numFmtId="3" fontId="48" fillId="0" borderId="0" xfId="1798" quotePrefix="1" applyNumberFormat="1" applyFont="1" applyBorder="1" applyAlignment="1">
      <alignment horizontal="center"/>
    </xf>
    <xf numFmtId="189" fontId="48" fillId="0" borderId="0" xfId="1798" applyNumberFormat="1" applyFont="1" applyBorder="1"/>
    <xf numFmtId="164" fontId="36" fillId="0" borderId="68"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8" xfId="2" quotePrefix="1" applyNumberFormat="1" applyFont="1" applyFill="1" applyBorder="1" applyAlignment="1">
      <alignment horizontal="center"/>
    </xf>
    <xf numFmtId="170" fontId="38" fillId="0" borderId="68" xfId="2" applyNumberFormat="1" applyFont="1" applyFill="1" applyBorder="1" applyAlignment="1"/>
    <xf numFmtId="174" fontId="41" fillId="0" borderId="0" xfId="4" applyNumberFormat="1" applyFont="1" applyFill="1"/>
    <xf numFmtId="0" fontId="116" fillId="0" borderId="0" xfId="1798" applyFont="1" applyAlignment="1">
      <alignment horizontal="center"/>
    </xf>
    <xf numFmtId="0" fontId="116" fillId="0" borderId="0" xfId="1798" applyFont="1" applyAlignment="1">
      <alignment horizontal="right"/>
    </xf>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7" fillId="0" borderId="68"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8" xfId="0" applyNumberFormat="1" applyFont="1" applyFill="1" applyBorder="1" applyAlignment="1">
      <alignment horizontal="center"/>
    </xf>
    <xf numFmtId="170" fontId="43" fillId="0" borderId="0" xfId="2" applyNumberFormat="1" applyFont="1" applyFill="1" applyBorder="1" applyAlignment="1">
      <alignment horizontal="right"/>
    </xf>
    <xf numFmtId="174" fontId="43" fillId="0" borderId="0" xfId="6" applyNumberFormat="1" applyFont="1" applyFill="1" applyBorder="1" applyAlignment="1"/>
    <xf numFmtId="172" fontId="176"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80" fillId="0" borderId="0" xfId="861" applyNumberFormat="1" applyFont="1" applyAlignment="1" applyProtection="1"/>
    <xf numFmtId="0" fontId="180" fillId="0" borderId="0" xfId="860" applyNumberFormat="1" applyFont="1" applyAlignment="1"/>
    <xf numFmtId="0" fontId="181" fillId="0" borderId="0" xfId="860" applyNumberFormat="1" applyFont="1" applyAlignment="1"/>
    <xf numFmtId="0" fontId="180" fillId="0" borderId="0" xfId="861" quotePrefix="1" applyNumberFormat="1" applyFont="1" applyBorder="1" applyAlignment="1" applyProtection="1">
      <alignment horizontal="left"/>
    </xf>
    <xf numFmtId="0" fontId="180" fillId="0" borderId="0" xfId="861" applyNumberFormat="1" applyFont="1" applyBorder="1" applyAlignment="1" applyProtection="1"/>
    <xf numFmtId="0" fontId="152"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78" fontId="43" fillId="0" borderId="68" xfId="740" quotePrefix="1" applyNumberFormat="1" applyFont="1" applyBorder="1" applyAlignment="1">
      <alignment horizontal="center"/>
    </xf>
    <xf numFmtId="178" fontId="0" fillId="0" borderId="0" xfId="0" applyNumberFormat="1"/>
    <xf numFmtId="195" fontId="36" fillId="0" borderId="0" xfId="2" applyNumberFormat="1" applyFont="1" applyAlignment="1"/>
    <xf numFmtId="166" fontId="36" fillId="0" borderId="21" xfId="2" applyNumberFormat="1" applyFont="1" applyBorder="1" applyAlignment="1"/>
    <xf numFmtId="170" fontId="36" fillId="0" borderId="47" xfId="2" applyNumberFormat="1" applyFont="1" applyBorder="1" applyAlignment="1"/>
    <xf numFmtId="170" fontId="38" fillId="0" borderId="82" xfId="4" applyNumberFormat="1" applyFont="1" applyFill="1" applyBorder="1"/>
    <xf numFmtId="164" fontId="43" fillId="0" borderId="0" xfId="2" applyNumberFormat="1" applyFont="1" applyAlignment="1" applyProtection="1">
      <protection locked="0"/>
    </xf>
    <xf numFmtId="175" fontId="38" fillId="0" borderId="82"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2" xfId="4" applyNumberFormat="1" applyFont="1" applyFill="1" applyBorder="1"/>
    <xf numFmtId="170" fontId="43" fillId="0" borderId="45" xfId="5" applyNumberFormat="1" applyFont="1" applyFill="1" applyBorder="1"/>
    <xf numFmtId="0" fontId="43" fillId="0" borderId="0" xfId="2" applyNumberFormat="1" applyFont="1" applyAlignment="1">
      <alignment horizontal="left"/>
    </xf>
    <xf numFmtId="174" fontId="172" fillId="0" borderId="13" xfId="2" applyNumberFormat="1" applyFont="1" applyFill="1" applyBorder="1" applyAlignment="1"/>
    <xf numFmtId="174" fontId="172" fillId="0" borderId="21" xfId="2" applyNumberFormat="1" applyFont="1" applyFill="1" applyBorder="1" applyAlignment="1"/>
    <xf numFmtId="174" fontId="172" fillId="0" borderId="0" xfId="2" applyNumberFormat="1" applyFont="1" applyFill="1" applyBorder="1"/>
    <xf numFmtId="174" fontId="173"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8"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0" xfId="2" quotePrefix="1" applyNumberFormat="1" applyFont="1" applyBorder="1" applyAlignment="1">
      <alignment horizontal="right"/>
    </xf>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8"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0" fontId="36" fillId="0" borderId="10" xfId="2" quotePrefix="1"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65" fontId="36" fillId="0" borderId="0" xfId="2" applyNumberFormat="1" applyFont="1" applyBorder="1" applyAlignment="1">
      <alignment horizontal="right"/>
    </xf>
    <xf numFmtId="178" fontId="36" fillId="0" borderId="0" xfId="0" applyNumberFormat="1" applyFont="1" applyAlignment="1">
      <alignment horizontal="center"/>
    </xf>
    <xf numFmtId="172" fontId="43" fillId="0" borderId="68" xfId="0" applyNumberFormat="1" applyFont="1" applyBorder="1" applyAlignment="1" applyProtection="1">
      <protection locked="0"/>
    </xf>
    <xf numFmtId="164" fontId="61" fillId="0" borderId="0" xfId="1940" applyNumberFormat="1" applyFont="1" applyAlignment="1"/>
    <xf numFmtId="170" fontId="66" fillId="0" borderId="68" xfId="2" applyNumberFormat="1" applyFont="1" applyBorder="1" applyAlignment="1"/>
    <xf numFmtId="170" fontId="61" fillId="0" borderId="68" xfId="2" applyNumberFormat="1" applyFont="1" applyBorder="1" applyAlignment="1"/>
    <xf numFmtId="164" fontId="36" fillId="0" borderId="68" xfId="1940" applyNumberFormat="1" applyFont="1" applyBorder="1" applyAlignment="1"/>
    <xf numFmtId="39" fontId="36" fillId="0" borderId="0" xfId="2" applyNumberFormat="1" applyFont="1" applyBorder="1"/>
    <xf numFmtId="174" fontId="36" fillId="0" borderId="0" xfId="2" quotePrefix="1" applyNumberFormat="1" applyFont="1" applyFill="1" applyAlignment="1"/>
    <xf numFmtId="170" fontId="36" fillId="0" borderId="21" xfId="2" applyNumberFormat="1" applyFont="1" applyFill="1" applyBorder="1" applyAlignment="1"/>
    <xf numFmtId="174" fontId="36" fillId="0" borderId="78" xfId="2" applyNumberFormat="1" applyFont="1" applyFill="1" applyBorder="1" applyAlignment="1"/>
    <xf numFmtId="174" fontId="36" fillId="0" borderId="15" xfId="2" applyNumberFormat="1" applyFont="1" applyFill="1" applyBorder="1" applyAlignment="1">
      <alignment horizontal="right"/>
    </xf>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0" fontId="182" fillId="0" borderId="0" xfId="8" applyFont="1"/>
    <xf numFmtId="0" fontId="172" fillId="0" borderId="0" xfId="8" applyFont="1"/>
    <xf numFmtId="166" fontId="48" fillId="0" borderId="0" xfId="8" applyNumberFormat="1" applyFont="1" applyAlignment="1">
      <alignment horizontal="right" vertical="top"/>
    </xf>
    <xf numFmtId="42" fontId="48" fillId="0" borderId="0" xfId="1798" quotePrefix="1" applyNumberFormat="1" applyFont="1" applyAlignment="1">
      <alignment horizontal="right"/>
    </xf>
    <xf numFmtId="41" fontId="48" fillId="0" borderId="0" xfId="1798" quotePrefix="1" applyNumberFormat="1" applyFont="1" applyAlignment="1">
      <alignment horizontal="center"/>
    </xf>
    <xf numFmtId="41" fontId="48" fillId="0" borderId="0" xfId="1798" quotePrefix="1" applyNumberFormat="1" applyFont="1" applyAlignment="1">
      <alignment horizontal="right"/>
    </xf>
    <xf numFmtId="41" fontId="36" fillId="0" borderId="0" xfId="8" applyNumberFormat="1" applyFont="1" applyAlignment="1">
      <alignment horizontal="right"/>
    </xf>
    <xf numFmtId="0" fontId="43" fillId="0" borderId="0" xfId="8" applyFont="1"/>
    <xf numFmtId="41" fontId="184" fillId="0" borderId="0" xfId="0" applyNumberFormat="1" applyFont="1" applyAlignment="1">
      <alignment horizontal="right" vertical="top"/>
    </xf>
    <xf numFmtId="41" fontId="183" fillId="0" borderId="0" xfId="0" applyNumberFormat="1" applyFont="1" applyAlignment="1">
      <alignment horizontal="right" vertical="top"/>
    </xf>
    <xf numFmtId="172" fontId="36" fillId="0" borderId="0" xfId="0" applyNumberFormat="1" applyFont="1" applyBorder="1" applyAlignment="1" applyProtection="1">
      <protection locked="0"/>
    </xf>
    <xf numFmtId="174" fontId="36" fillId="0" borderId="18" xfId="2" applyNumberFormat="1" applyFont="1" applyBorder="1" applyAlignment="1"/>
    <xf numFmtId="174" fontId="36" fillId="0" borderId="0" xfId="2" quotePrefix="1" applyNumberFormat="1" applyFont="1" applyFill="1" applyAlignment="1">
      <alignment horizontal="center"/>
    </xf>
    <xf numFmtId="170" fontId="38" fillId="0" borderId="10" xfId="2" applyNumberFormat="1" applyFont="1" applyFill="1" applyBorder="1" applyAlignment="1">
      <alignment horizontal="right"/>
    </xf>
    <xf numFmtId="0" fontId="66" fillId="0" borderId="0" xfId="2" applyNumberFormat="1" applyFont="1" applyFill="1" applyAlignment="1" applyProtection="1">
      <alignment horizontal="left" vertical="justify"/>
      <protection locked="0"/>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4" fontId="36" fillId="0" borderId="0" xfId="0" quotePrefix="1" applyNumberFormat="1" applyFont="1" applyAlignment="1" applyProtection="1">
      <alignment horizontal="right"/>
      <protection locked="0"/>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8"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3"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8" xfId="2" applyNumberFormat="1" applyFont="1" applyBorder="1" applyAlignment="1" applyProtection="1"/>
    <xf numFmtId="164" fontId="43" fillId="0" borderId="83"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8"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8"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8"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8"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8"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7"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3" fontId="43" fillId="0" borderId="0" xfId="0"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92" fontId="185" fillId="0" borderId="0" xfId="8" quotePrefix="1" applyNumberFormat="1" applyFont="1" applyAlignment="1">
      <alignment horizontal="right"/>
    </xf>
    <xf numFmtId="0" fontId="185" fillId="0" borderId="0" xfId="8" applyFont="1"/>
    <xf numFmtId="192" fontId="48" fillId="0" borderId="0" xfId="8" applyNumberFormat="1" applyFont="1" applyAlignment="1">
      <alignment horizontal="right"/>
    </xf>
    <xf numFmtId="172" fontId="43" fillId="0" borderId="35" xfId="2" applyNumberFormat="1" applyFont="1" applyBorder="1" applyAlignment="1"/>
    <xf numFmtId="165" fontId="0" fillId="0" borderId="0" xfId="2" quotePrefix="1" applyNumberFormat="1" applyFont="1" applyAlignment="1">
      <alignment horizontal="left"/>
    </xf>
    <xf numFmtId="0" fontId="66" fillId="0" borderId="0" xfId="1776" applyNumberFormat="1" applyFont="1" applyAlignment="1">
      <alignment horizontal="left"/>
    </xf>
    <xf numFmtId="170" fontId="0" fillId="0" borderId="0" xfId="0" applyNumberFormat="1" applyAlignment="1" applyProtection="1">
      <alignment horizontal="right"/>
      <protection locked="0"/>
    </xf>
    <xf numFmtId="172" fontId="176" fillId="0" borderId="35" xfId="1940" applyNumberFormat="1" applyFont="1" applyBorder="1" applyAlignment="1"/>
    <xf numFmtId="166" fontId="48" fillId="0" borderId="0" xfId="8" applyNumberFormat="1" applyFont="1" applyFill="1" applyAlignment="1">
      <alignment horizontal="right"/>
    </xf>
    <xf numFmtId="37" fontId="48" fillId="0" borderId="0" xfId="1798" quotePrefix="1" applyNumberFormat="1" applyFont="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72" fontId="43" fillId="0" borderId="84" xfId="0" applyNumberFormat="1" applyFont="1" applyBorder="1" applyAlignment="1" applyProtection="1"/>
    <xf numFmtId="165" fontId="36" fillId="0" borderId="0" xfId="2" quotePrefix="1" applyNumberFormat="1" applyFont="1" applyAlignment="1">
      <alignment horizontal="left"/>
    </xf>
    <xf numFmtId="170" fontId="38" fillId="0" borderId="86" xfId="2" applyNumberFormat="1" applyFont="1" applyFill="1" applyBorder="1" applyAlignment="1"/>
    <xf numFmtId="170" fontId="38" fillId="0" borderId="86" xfId="2" applyNumberFormat="1" applyFont="1" applyBorder="1" applyAlignment="1">
      <alignment horizontal="center"/>
    </xf>
    <xf numFmtId="170" fontId="59" fillId="0" borderId="10" xfId="2" applyNumberFormat="1" applyFont="1" applyBorder="1" applyAlignment="1">
      <alignment horizontal="center"/>
    </xf>
    <xf numFmtId="195" fontId="0" fillId="0" borderId="0" xfId="2" applyNumberFormat="1" applyFont="1" applyAlignment="1"/>
    <xf numFmtId="0" fontId="172" fillId="0" borderId="0" xfId="2" applyNumberFormat="1" applyFont="1" applyAlignment="1"/>
    <xf numFmtId="0" fontId="36" fillId="0" borderId="0" xfId="1776" applyFont="1" applyAlignment="1"/>
    <xf numFmtId="0" fontId="36" fillId="0" borderId="0" xfId="1776" applyFill="1" applyAlignment="1"/>
    <xf numFmtId="170" fontId="36" fillId="0" borderId="86" xfId="2" applyNumberFormat="1" applyFont="1" applyFill="1" applyBorder="1" applyAlignment="1"/>
    <xf numFmtId="170" fontId="38" fillId="0" borderId="86" xfId="4" applyNumberFormat="1" applyFont="1" applyFill="1" applyBorder="1"/>
    <xf numFmtId="0" fontId="116" fillId="0" borderId="0" xfId="8" quotePrefix="1" applyNumberFormat="1" applyFont="1" applyAlignment="1">
      <alignment horizontal="right"/>
    </xf>
    <xf numFmtId="170" fontId="43" fillId="0" borderId="43" xfId="2" applyNumberFormat="1" applyFont="1" applyFill="1" applyBorder="1" applyAlignment="1"/>
    <xf numFmtId="170" fontId="43" fillId="0" borderId="43" xfId="2" applyNumberFormat="1" applyFont="1" applyBorder="1" applyAlignment="1"/>
    <xf numFmtId="198" fontId="161" fillId="0" borderId="0" xfId="0" applyNumberFormat="1" applyFont="1" applyFill="1"/>
    <xf numFmtId="170" fontId="36" fillId="0" borderId="68"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8"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5" xfId="2" applyNumberFormat="1" applyFont="1" applyBorder="1" applyAlignment="1">
      <alignment horizontal="center"/>
    </xf>
    <xf numFmtId="170" fontId="0" fillId="0" borderId="0" xfId="2" applyNumberFormat="1" applyFont="1" applyAlignment="1">
      <alignment horizontal="center"/>
    </xf>
    <xf numFmtId="170" fontId="190" fillId="0" borderId="0" xfId="2" applyNumberFormat="1" applyFont="1" applyAlignment="1"/>
    <xf numFmtId="170" fontId="190" fillId="0" borderId="68" xfId="2" applyNumberFormat="1" applyFont="1" applyBorder="1" applyAlignment="1"/>
    <xf numFmtId="170" fontId="190" fillId="0" borderId="0" xfId="2" applyNumberFormat="1" applyFont="1" applyAlignment="1">
      <alignment horizontal="center"/>
    </xf>
    <xf numFmtId="170" fontId="190" fillId="0" borderId="68" xfId="2" applyNumberFormat="1" applyFont="1" applyBorder="1" applyAlignment="1">
      <alignment horizontal="center"/>
    </xf>
    <xf numFmtId="199"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63" fillId="0" borderId="0" xfId="5488" applyNumberFormat="1" applyFont="1" applyFill="1" applyAlignment="1">
      <alignment horizontal="right"/>
    </xf>
    <xf numFmtId="41" fontId="163" fillId="0" borderId="0" xfId="5488" applyNumberFormat="1" applyFont="1" applyFill="1" applyAlignment="1">
      <alignment horizontal="right"/>
    </xf>
    <xf numFmtId="172" fontId="43" fillId="0" borderId="0" xfId="0" applyNumberFormat="1" applyFont="1" applyBorder="1" applyAlignment="1" applyProtection="1"/>
    <xf numFmtId="172" fontId="43" fillId="0" borderId="0" xfId="0" applyNumberFormat="1" applyFont="1" applyBorder="1" applyAlignment="1" applyProtection="1">
      <protection locked="0"/>
    </xf>
    <xf numFmtId="0" fontId="193" fillId="0" borderId="0" xfId="9070"/>
    <xf numFmtId="165" fontId="36" fillId="0" borderId="0" xfId="9070" applyNumberFormat="1" applyFont="1" applyAlignment="1" applyProtection="1">
      <protection locked="0"/>
    </xf>
    <xf numFmtId="0" fontId="41" fillId="0" borderId="0" xfId="9070" applyNumberFormat="1" applyFont="1" applyFill="1"/>
    <xf numFmtId="0" fontId="41" fillId="0" borderId="0" xfId="9070" applyNumberFormat="1" applyFont="1" applyFill="1" applyAlignment="1">
      <alignment horizontal="right"/>
    </xf>
    <xf numFmtId="165" fontId="36" fillId="0" borderId="0" xfId="9070" applyNumberFormat="1" applyFont="1" applyFill="1" applyProtection="1">
      <protection locked="0"/>
    </xf>
    <xf numFmtId="0" fontId="66" fillId="0" borderId="0" xfId="9070" applyNumberFormat="1" applyFont="1" applyFill="1"/>
    <xf numFmtId="0" fontId="66" fillId="0" borderId="0" xfId="9070" quotePrefix="1" applyNumberFormat="1" applyFont="1" applyFill="1" applyAlignment="1">
      <alignment horizontal="left"/>
    </xf>
    <xf numFmtId="0" fontId="42" fillId="0" borderId="68" xfId="9070" applyNumberFormat="1" applyFont="1" applyFill="1" applyBorder="1" applyAlignment="1">
      <alignment horizontal="center"/>
    </xf>
    <xf numFmtId="0" fontId="42" fillId="0" borderId="0" xfId="9070" applyNumberFormat="1" applyFont="1" applyFill="1"/>
    <xf numFmtId="0" fontId="41" fillId="0" borderId="0" xfId="9070" applyNumberFormat="1" applyFont="1" applyFill="1" applyAlignment="1"/>
    <xf numFmtId="0" fontId="41" fillId="0" borderId="0" xfId="9070" quotePrefix="1" applyNumberFormat="1" applyFont="1" applyFill="1" applyAlignment="1"/>
    <xf numFmtId="0" fontId="41" fillId="0" borderId="0" xfId="9070" applyNumberFormat="1" applyFont="1" applyFill="1" applyBorder="1"/>
    <xf numFmtId="0" fontId="42" fillId="0" borderId="0" xfId="9070" applyNumberFormat="1" applyFont="1" applyFill="1" applyAlignment="1">
      <alignment horizontal="right"/>
    </xf>
    <xf numFmtId="7" fontId="42" fillId="0" borderId="0" xfId="9070" applyNumberFormat="1" applyFont="1" applyFill="1"/>
    <xf numFmtId="0" fontId="42" fillId="0" borderId="0" xfId="9070" quotePrefix="1" applyNumberFormat="1" applyFont="1" applyFill="1" applyAlignment="1"/>
    <xf numFmtId="0" fontId="42" fillId="0" borderId="0" xfId="9070" applyNumberFormat="1" applyFont="1" applyFill="1" applyAlignment="1">
      <alignment horizontal="right" vertical="top"/>
    </xf>
    <xf numFmtId="39" fontId="42" fillId="0" borderId="0" xfId="9070" applyNumberFormat="1" applyFont="1" applyFill="1" applyAlignment="1">
      <alignment horizontal="center" vertical="top"/>
    </xf>
    <xf numFmtId="0" fontId="41" fillId="0" borderId="0" xfId="9070" applyNumberFormat="1" applyFont="1" applyFill="1" applyAlignment="1">
      <alignment horizontal="right" vertical="top"/>
    </xf>
    <xf numFmtId="7" fontId="42" fillId="0" borderId="0" xfId="9070" applyNumberFormat="1" applyFont="1" applyFill="1" applyAlignment="1">
      <alignment horizontal="right" vertical="top"/>
    </xf>
    <xf numFmtId="43" fontId="42" fillId="0" borderId="0" xfId="9070" applyNumberFormat="1" applyFont="1" applyFill="1"/>
    <xf numFmtId="49" fontId="41" fillId="0" borderId="0" xfId="9070" applyNumberFormat="1" applyFont="1" applyFill="1" applyAlignment="1">
      <alignment horizontal="left" vertical="top"/>
    </xf>
    <xf numFmtId="0" fontId="41" fillId="0" borderId="0" xfId="9070" applyNumberFormat="1" applyFont="1" applyFill="1" applyBorder="1" applyAlignment="1"/>
    <xf numFmtId="166" fontId="36" fillId="35" borderId="0" xfId="0" applyNumberFormat="1" applyFont="1" applyFill="1" applyBorder="1" applyAlignment="1">
      <alignment horizontal="left"/>
    </xf>
    <xf numFmtId="41" fontId="48" fillId="0" borderId="0" xfId="1798" applyNumberFormat="1" applyFont="1" applyBorder="1" applyAlignment="1">
      <alignment horizontal="center"/>
    </xf>
    <xf numFmtId="41" fontId="48" fillId="0" borderId="0" xfId="1798" applyNumberFormat="1" applyFont="1" applyBorder="1" applyAlignment="1">
      <alignment horizontal="right"/>
    </xf>
    <xf numFmtId="37" fontId="48" fillId="0" borderId="0" xfId="1798" applyNumberFormat="1" applyFont="1" applyBorder="1" applyAlignment="1"/>
    <xf numFmtId="42" fontId="48" fillId="0" borderId="0" xfId="1798" applyNumberFormat="1" applyFont="1" applyBorder="1" applyAlignment="1">
      <alignment horizontal="right"/>
    </xf>
    <xf numFmtId="0" fontId="182" fillId="0" borderId="0" xfId="8" applyFont="1" applyBorder="1"/>
    <xf numFmtId="42" fontId="116" fillId="0" borderId="0" xfId="8" applyNumberFormat="1" applyFont="1" applyBorder="1"/>
    <xf numFmtId="0" fontId="48" fillId="0" borderId="0" xfId="8" applyFont="1" applyAlignment="1"/>
    <xf numFmtId="0" fontId="48" fillId="0" borderId="0" xfId="8" applyFont="1"/>
    <xf numFmtId="0" fontId="48" fillId="0" borderId="0" xfId="8" applyFont="1" applyAlignment="1">
      <alignment horizontal="left"/>
    </xf>
    <xf numFmtId="0" fontId="97" fillId="0" borderId="0" xfId="8" applyFont="1"/>
    <xf numFmtId="0" fontId="144" fillId="0" borderId="0" xfId="8" applyFont="1" applyAlignment="1">
      <alignment horizontal="left"/>
    </xf>
    <xf numFmtId="0" fontId="144" fillId="0" borderId="0" xfId="8" applyFont="1"/>
    <xf numFmtId="0" fontId="36" fillId="0" borderId="0" xfId="8" applyFont="1"/>
    <xf numFmtId="0" fontId="36" fillId="0" borderId="0" xfId="8" applyFont="1" applyAlignment="1"/>
    <xf numFmtId="0" fontId="144" fillId="0" borderId="0" xfId="8" applyFont="1" applyAlignment="1"/>
    <xf numFmtId="192" fontId="48" fillId="0" borderId="0" xfId="8" quotePrefix="1" applyNumberFormat="1" applyFont="1" applyAlignment="1">
      <alignment horizontal="right"/>
    </xf>
    <xf numFmtId="166" fontId="48" fillId="0" borderId="0" xfId="8" applyNumberFormat="1" applyFont="1" applyAlignment="1">
      <alignment horizontal="right"/>
    </xf>
    <xf numFmtId="0" fontId="116" fillId="0" borderId="0" xfId="8" applyFont="1" applyAlignment="1">
      <alignment horizontal="center"/>
    </xf>
    <xf numFmtId="3" fontId="48" fillId="0" borderId="0" xfId="8" quotePrefix="1" applyNumberFormat="1" applyFont="1" applyAlignment="1">
      <alignment horizontal="right"/>
    </xf>
    <xf numFmtId="41" fontId="48" fillId="0" borderId="0" xfId="1798" quotePrefix="1" applyNumberFormat="1" applyFont="1" applyAlignment="1">
      <alignment horizontal="right"/>
    </xf>
    <xf numFmtId="41" fontId="36" fillId="0" borderId="0" xfId="8" applyNumberFormat="1" applyFont="1" applyAlignment="1">
      <alignment horizontal="right"/>
    </xf>
    <xf numFmtId="3" fontId="84" fillId="0" borderId="0" xfId="23" quotePrefix="1" applyNumberFormat="1" applyFont="1" applyBorder="1" applyAlignment="1">
      <alignment horizontal="left"/>
    </xf>
    <xf numFmtId="4" fontId="82" fillId="0" borderId="0" xfId="1773" applyNumberFormat="1" applyFont="1" applyFill="1" applyAlignment="1">
      <alignment horizontal="right"/>
    </xf>
    <xf numFmtId="4" fontId="42" fillId="0" borderId="0" xfId="1773" applyNumberFormat="1" applyFont="1" applyFill="1" applyAlignment="1">
      <alignment horizontal="right"/>
    </xf>
    <xf numFmtId="0" fontId="115" fillId="0" borderId="0" xfId="23" applyFont="1" applyBorder="1"/>
    <xf numFmtId="4" fontId="114" fillId="0" borderId="0" xfId="1773" applyNumberFormat="1" applyFont="1" applyFill="1" applyBorder="1"/>
    <xf numFmtId="4" fontId="114" fillId="0" borderId="0" xfId="1773" applyNumberFormat="1" applyFont="1" applyBorder="1"/>
    <xf numFmtId="44" fontId="114" fillId="0" borderId="0" xfId="1773" applyNumberFormat="1" applyFont="1" applyFill="1" applyBorder="1" applyAlignment="1">
      <alignment horizontal="center"/>
    </xf>
    <xf numFmtId="44" fontId="114" fillId="0" borderId="0" xfId="1773" applyNumberFormat="1" applyFont="1" applyFill="1" applyBorder="1"/>
    <xf numFmtId="43" fontId="114" fillId="0" borderId="0" xfId="1773" applyNumberFormat="1" applyFont="1" applyFill="1" applyBorder="1" applyAlignment="1">
      <alignment horizontal="center"/>
    </xf>
    <xf numFmtId="43" fontId="114" fillId="0" borderId="0" xfId="1773" applyNumberFormat="1" applyFont="1" applyFill="1" applyBorder="1" applyAlignment="1">
      <alignment horizontal="right"/>
    </xf>
    <xf numFmtId="43" fontId="114" fillId="0" borderId="0" xfId="1773" applyNumberFormat="1" applyFont="1" applyFill="1" applyBorder="1" applyAlignment="1"/>
    <xf numFmtId="43" fontId="114" fillId="0" borderId="0" xfId="1773" applyNumberFormat="1" applyFont="1" applyFill="1" applyBorder="1" applyAlignment="1">
      <alignment horizontal="center" vertical="top"/>
    </xf>
    <xf numFmtId="4" fontId="114" fillId="0" borderId="0" xfId="1773" applyNumberFormat="1" applyFont="1" applyFill="1" applyBorder="1" applyAlignment="1">
      <alignment vertical="top"/>
    </xf>
    <xf numFmtId="4" fontId="114" fillId="0" borderId="0" xfId="1773" applyNumberFormat="1" applyFont="1" applyFill="1" applyBorder="1" applyAlignment="1"/>
    <xf numFmtId="4" fontId="113" fillId="0" borderId="0" xfId="1773" applyNumberFormat="1" applyFont="1" applyFill="1" applyBorder="1"/>
    <xf numFmtId="0" fontId="114" fillId="0" borderId="0" xfId="23" applyFont="1" applyBorder="1" applyAlignment="1"/>
    <xf numFmtId="43" fontId="114" fillId="0" borderId="0" xfId="1773" applyNumberFormat="1" applyFont="1" applyFill="1" applyBorder="1"/>
    <xf numFmtId="4" fontId="114" fillId="0" borderId="0" xfId="1773" applyNumberFormat="1" applyFont="1" applyFill="1"/>
    <xf numFmtId="43" fontId="114" fillId="0" borderId="0" xfId="1773" applyNumberFormat="1" applyFont="1" applyFill="1" applyBorder="1" applyAlignment="1">
      <alignment horizontal="right" vertical="top"/>
    </xf>
    <xf numFmtId="49" fontId="84" fillId="0" borderId="0" xfId="23" applyNumberFormat="1" applyFont="1" applyFill="1" applyBorder="1" applyAlignment="1">
      <alignment horizontal="left"/>
    </xf>
    <xf numFmtId="4" fontId="48" fillId="0" borderId="0" xfId="1773" applyNumberFormat="1" applyFont="1" applyFill="1" applyBorder="1"/>
    <xf numFmtId="4" fontId="114" fillId="0" borderId="0" xfId="1773" applyNumberFormat="1" applyFont="1"/>
    <xf numFmtId="44" fontId="113" fillId="0" borderId="84" xfId="1773" applyNumberFormat="1" applyFont="1" applyFill="1" applyBorder="1"/>
    <xf numFmtId="37" fontId="113" fillId="0" borderId="0" xfId="1773" applyNumberFormat="1" applyFont="1" applyFill="1" applyBorder="1"/>
    <xf numFmtId="4" fontId="113" fillId="0" borderId="0" xfId="1773" applyNumberFormat="1" applyFont="1" applyBorder="1"/>
    <xf numFmtId="177" fontId="115" fillId="0" borderId="0" xfId="23" applyNumberFormat="1" applyFont="1" applyBorder="1" applyAlignment="1"/>
    <xf numFmtId="177" fontId="115" fillId="0" borderId="0" xfId="23" applyNumberFormat="1" applyFont="1" applyBorder="1"/>
    <xf numFmtId="177" fontId="84" fillId="0" borderId="0" xfId="23" applyNumberFormat="1" applyFont="1" applyFill="1" applyBorder="1" applyAlignment="1">
      <alignment horizontal="lef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8"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95"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8" xfId="0" applyNumberFormat="1" applyFont="1" applyBorder="1" applyAlignment="1">
      <alignment horizontal="centerContinuous"/>
    </xf>
    <xf numFmtId="165" fontId="36" fillId="0" borderId="68" xfId="0" applyNumberFormat="1" applyFont="1" applyBorder="1" applyAlignment="1">
      <alignment horizontal="centerContinuous"/>
    </xf>
    <xf numFmtId="165" fontId="43" fillId="0" borderId="68" xfId="0" quotePrefix="1" applyNumberFormat="1" applyFont="1" applyBorder="1" applyAlignment="1"/>
    <xf numFmtId="165" fontId="36" fillId="0" borderId="68" xfId="0" applyNumberFormat="1" applyFont="1" applyBorder="1" applyAlignment="1"/>
    <xf numFmtId="165" fontId="43" fillId="0" borderId="85" xfId="0" applyNumberFormat="1" applyFont="1" applyBorder="1" applyAlignment="1">
      <alignment horizontal="center"/>
    </xf>
    <xf numFmtId="165" fontId="43" fillId="0" borderId="85" xfId="0" quotePrefix="1" applyNumberFormat="1" applyFont="1" applyBorder="1" applyAlignment="1" applyProtection="1">
      <alignment horizontal="center"/>
      <protection locked="0"/>
    </xf>
    <xf numFmtId="0" fontId="43" fillId="0" borderId="85" xfId="0" applyNumberFormat="1" applyFont="1" applyBorder="1" applyAlignment="1" applyProtection="1">
      <alignment horizontal="center"/>
      <protection locked="0"/>
    </xf>
    <xf numFmtId="165" fontId="43" fillId="0" borderId="85" xfId="0" applyNumberFormat="1" applyFont="1" applyBorder="1" applyAlignment="1" applyProtection="1">
      <alignment horizontal="center"/>
    </xf>
    <xf numFmtId="0" fontId="43" fillId="0" borderId="85"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7" xfId="0" applyNumberFormat="1" applyFont="1" applyBorder="1" applyAlignment="1">
      <alignment horizontal="center"/>
    </xf>
    <xf numFmtId="165" fontId="43" fillId="0" borderId="85" xfId="0" quotePrefix="1" applyNumberFormat="1" applyFont="1" applyBorder="1" applyAlignment="1">
      <alignment horizontal="center"/>
    </xf>
    <xf numFmtId="0" fontId="43" fillId="0" borderId="85" xfId="0" applyNumberFormat="1" applyFont="1" applyBorder="1" applyAlignment="1">
      <alignment horizontal="center"/>
    </xf>
    <xf numFmtId="0" fontId="43" fillId="0" borderId="68"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8"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5"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8" xfId="0" applyNumberFormat="1" applyFont="1" applyBorder="1" applyAlignment="1" applyProtection="1"/>
    <xf numFmtId="170" fontId="36" fillId="0" borderId="68" xfId="0" quotePrefix="1" applyNumberFormat="1" applyFont="1" applyBorder="1" applyAlignment="1" applyProtection="1"/>
    <xf numFmtId="164" fontId="63" fillId="0" borderId="68" xfId="0" quotePrefix="1" applyNumberFormat="1" applyFont="1" applyBorder="1" applyAlignment="1" applyProtection="1">
      <alignment horizontal="right"/>
    </xf>
    <xf numFmtId="170" fontId="43" fillId="0" borderId="88"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5"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8" xfId="0" quotePrefix="1" applyNumberFormat="1" applyFont="1" applyBorder="1" applyAlignment="1" applyProtection="1"/>
    <xf numFmtId="164" fontId="64" fillId="0" borderId="68"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5" xfId="0" quotePrefix="1" applyNumberFormat="1" applyFont="1" applyBorder="1" applyAlignment="1" applyProtection="1">
      <alignment horizontal="center"/>
    </xf>
    <xf numFmtId="170" fontId="36" fillId="0" borderId="85"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5" xfId="0" quotePrefix="1" applyNumberFormat="1" applyFont="1" applyBorder="1" applyAlignment="1" applyProtection="1">
      <alignment horizontal="right"/>
    </xf>
    <xf numFmtId="164" fontId="63" fillId="0" borderId="68" xfId="0" applyNumberFormat="1" applyFont="1" applyBorder="1" applyAlignment="1" applyProtection="1"/>
    <xf numFmtId="0" fontId="43" fillId="0" borderId="0" xfId="0" quotePrefix="1" applyNumberFormat="1" applyFont="1" applyAlignment="1">
      <alignment horizontal="left"/>
    </xf>
    <xf numFmtId="170" fontId="43" fillId="0" borderId="85" xfId="0" applyNumberFormat="1" applyFont="1" applyBorder="1" applyAlignment="1" applyProtection="1"/>
    <xf numFmtId="170" fontId="43" fillId="0" borderId="89" xfId="0" applyNumberFormat="1" applyFont="1" applyBorder="1" applyAlignment="1" applyProtection="1"/>
    <xf numFmtId="164" fontId="64" fillId="0" borderId="89" xfId="0" applyNumberFormat="1" applyFont="1" applyBorder="1" applyAlignment="1" applyProtection="1"/>
    <xf numFmtId="170" fontId="36" fillId="0" borderId="85" xfId="0" applyNumberFormat="1" applyFont="1" applyBorder="1" applyAlignment="1" applyProtection="1"/>
    <xf numFmtId="170" fontId="36" fillId="0" borderId="85" xfId="0" applyNumberFormat="1" applyFont="1" applyBorder="1" applyAlignment="1"/>
    <xf numFmtId="170" fontId="36" fillId="0" borderId="85"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5" xfId="0" applyNumberFormat="1" applyFont="1" applyBorder="1" applyAlignment="1"/>
    <xf numFmtId="170" fontId="43" fillId="0" borderId="85" xfId="0" quotePrefix="1" applyNumberFormat="1" applyFont="1" applyBorder="1" applyAlignment="1" applyProtection="1">
      <alignment horizontal="center"/>
    </xf>
    <xf numFmtId="170" fontId="43" fillId="0" borderId="89"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5" xfId="0" quotePrefix="1" applyNumberFormat="1" applyFont="1" applyBorder="1" applyAlignment="1" applyProtection="1"/>
    <xf numFmtId="166" fontId="43" fillId="0" borderId="85" xfId="0" applyNumberFormat="1" applyFont="1" applyBorder="1" applyAlignment="1" applyProtection="1"/>
    <xf numFmtId="166" fontId="43" fillId="0" borderId="85" xfId="0" applyNumberFormat="1" applyFont="1" applyBorder="1" applyAlignment="1"/>
    <xf numFmtId="166" fontId="43" fillId="0" borderId="85"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7" xfId="0" applyNumberFormat="1" applyFont="1" applyBorder="1" applyAlignment="1" applyProtection="1"/>
    <xf numFmtId="164" fontId="64" fillId="0" borderId="87" xfId="0" applyNumberFormat="1" applyFont="1" applyBorder="1" applyAlignment="1" applyProtection="1"/>
    <xf numFmtId="174" fontId="43" fillId="0" borderId="84"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8" xfId="1940" applyNumberFormat="1" applyFont="1" applyBorder="1" applyAlignment="1"/>
    <xf numFmtId="172" fontId="36" fillId="0" borderId="0" xfId="1940" applyNumberFormat="1" applyFont="1" applyBorder="1" applyAlignment="1" applyProtection="1"/>
    <xf numFmtId="0" fontId="196" fillId="0" borderId="0" xfId="9967"/>
    <xf numFmtId="187" fontId="42" fillId="0" borderId="68" xfId="9967" applyNumberFormat="1" applyFont="1" applyFill="1" applyBorder="1" applyAlignment="1">
      <alignment horizontal="center"/>
    </xf>
    <xf numFmtId="4" fontId="41" fillId="0" borderId="0" xfId="9967" applyNumberFormat="1" applyFont="1" applyFill="1" applyAlignment="1">
      <alignment horizontal="right"/>
    </xf>
    <xf numFmtId="44" fontId="42" fillId="0" borderId="90" xfId="9967" applyNumberFormat="1" applyFont="1" applyFill="1" applyBorder="1" applyAlignment="1">
      <alignment horizontal="right"/>
    </xf>
    <xf numFmtId="43" fontId="41" fillId="0" borderId="0" xfId="9967" applyNumberFormat="1" applyFont="1" applyFill="1"/>
    <xf numFmtId="0" fontId="41" fillId="0" borderId="0" xfId="9967" applyNumberFormat="1" applyFont="1" applyFill="1"/>
    <xf numFmtId="0" fontId="41" fillId="0" borderId="0" xfId="9967" applyNumberFormat="1" applyFont="1" applyFill="1" applyAlignment="1">
      <alignment horizontal="right"/>
    </xf>
    <xf numFmtId="0" fontId="41" fillId="0" borderId="0" xfId="9967" applyNumberFormat="1" applyFont="1" applyAlignment="1"/>
    <xf numFmtId="0" fontId="41" fillId="0" borderId="0" xfId="9967" applyNumberFormat="1" applyFont="1" applyFill="1" applyAlignment="1">
      <alignment horizontal="center"/>
    </xf>
    <xf numFmtId="0" fontId="42" fillId="0" borderId="68" xfId="9967" applyNumberFormat="1" applyFont="1" applyFill="1" applyBorder="1" applyAlignment="1">
      <alignment horizontal="center"/>
    </xf>
    <xf numFmtId="0" fontId="42" fillId="0" borderId="68" xfId="9967" applyNumberFormat="1" applyFont="1" applyBorder="1" applyAlignment="1">
      <alignment horizontal="center"/>
    </xf>
    <xf numFmtId="0" fontId="41" fillId="0" borderId="95" xfId="9967" applyNumberFormat="1" applyFont="1" applyFill="1" applyBorder="1"/>
    <xf numFmtId="0" fontId="42" fillId="0" borderId="68" xfId="9967" applyNumberFormat="1" applyFont="1" applyFill="1" applyBorder="1" applyAlignment="1">
      <alignment horizontal="centerContinuous"/>
    </xf>
    <xf numFmtId="0" fontId="42" fillId="0" borderId="0" xfId="9967" applyNumberFormat="1" applyFont="1" applyFill="1" applyAlignment="1">
      <alignment horizontal="center"/>
    </xf>
    <xf numFmtId="43" fontId="42" fillId="0" borderId="0" xfId="9967" applyNumberFormat="1" applyFont="1" applyFill="1" applyAlignment="1">
      <alignment horizontal="center"/>
    </xf>
    <xf numFmtId="0" fontId="41" fillId="0" borderId="75" xfId="9967" applyNumberFormat="1" applyFont="1" applyFill="1" applyBorder="1"/>
    <xf numFmtId="0" fontId="42" fillId="0" borderId="0" xfId="9967" quotePrefix="1" applyNumberFormat="1" applyFont="1" applyFill="1" applyAlignment="1">
      <alignment horizontal="center"/>
    </xf>
    <xf numFmtId="0" fontId="42" fillId="0" borderId="68" xfId="9967" quotePrefix="1" applyNumberFormat="1" applyFont="1" applyFill="1" applyBorder="1" applyAlignment="1">
      <alignment horizontal="center"/>
    </xf>
    <xf numFmtId="0" fontId="41" fillId="0" borderId="0" xfId="9967" applyNumberFormat="1" applyFont="1" applyFill="1" applyAlignment="1"/>
    <xf numFmtId="0" fontId="41" fillId="0" borderId="75" xfId="9967" applyNumberFormat="1" applyFont="1" applyFill="1" applyBorder="1" applyAlignment="1"/>
    <xf numFmtId="39" fontId="41" fillId="0" borderId="0" xfId="9967" applyNumberFormat="1" applyFont="1" applyFill="1" applyBorder="1" applyAlignment="1"/>
    <xf numFmtId="39" fontId="41" fillId="0" borderId="68" xfId="9967" quotePrefix="1" applyNumberFormat="1" applyFont="1" applyFill="1" applyBorder="1" applyAlignment="1">
      <alignment horizontal="center"/>
    </xf>
    <xf numFmtId="39" fontId="41" fillId="0" borderId="0" xfId="9967" quotePrefix="1" applyNumberFormat="1" applyFont="1" applyFill="1" applyBorder="1" applyAlignment="1">
      <alignment horizontal="right"/>
    </xf>
    <xf numFmtId="4" fontId="41" fillId="0" borderId="0" xfId="9967" applyNumberFormat="1" applyFont="1" applyFill="1" applyBorder="1" applyAlignment="1">
      <alignment horizontal="right"/>
    </xf>
    <xf numFmtId="43" fontId="41" fillId="0" borderId="0" xfId="9967" applyNumberFormat="1" applyFont="1" applyFill="1" applyBorder="1" applyAlignment="1"/>
    <xf numFmtId="0" fontId="42" fillId="0" borderId="0" xfId="9967" applyNumberFormat="1" applyFont="1" applyFill="1" applyAlignment="1">
      <alignment horizontal="right"/>
    </xf>
    <xf numFmtId="0" fontId="42" fillId="0" borderId="0" xfId="9967" applyNumberFormat="1" applyFont="1" applyFill="1" applyAlignment="1"/>
    <xf numFmtId="0" fontId="42" fillId="0" borderId="50" xfId="9967" applyNumberFormat="1" applyFont="1" applyFill="1" applyBorder="1" applyAlignment="1"/>
    <xf numFmtId="187" fontId="42" fillId="0" borderId="68" xfId="9967" quotePrefix="1" applyNumberFormat="1" applyFont="1" applyFill="1" applyBorder="1" applyAlignment="1">
      <alignment horizontal="center"/>
    </xf>
    <xf numFmtId="43" fontId="41" fillId="0" borderId="0" xfId="5497" quotePrefix="1" applyFont="1" applyFill="1" applyAlignment="1">
      <alignment horizontal="right"/>
    </xf>
    <xf numFmtId="43" fontId="41" fillId="0" borderId="0" xfId="5497" applyFont="1" applyFill="1" applyAlignment="1">
      <alignment horizontal="right"/>
    </xf>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8" xfId="5517" quotePrefix="1" applyNumberFormat="1" applyFont="1" applyBorder="1" applyAlignment="1">
      <alignment horizontal="center"/>
    </xf>
    <xf numFmtId="170" fontId="36" fillId="0" borderId="68" xfId="5517" applyNumberFormat="1" applyFont="1" applyFill="1" applyBorder="1"/>
    <xf numFmtId="170" fontId="36" fillId="0" borderId="68" xfId="1046" applyNumberFormat="1" applyFont="1" applyFill="1" applyBorder="1"/>
    <xf numFmtId="187" fontId="42" fillId="0" borderId="71"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170" fontId="197" fillId="0" borderId="0" xfId="8" applyNumberFormat="1" applyFont="1" applyFill="1" applyAlignment="1">
      <alignment horizontal="right"/>
    </xf>
    <xf numFmtId="170" fontId="197" fillId="0" borderId="0" xfId="8" applyNumberFormat="1" applyFont="1" applyAlignment="1">
      <alignment horizontal="right" vertical="top"/>
    </xf>
    <xf numFmtId="170" fontId="197" fillId="0" borderId="0" xfId="8" quotePrefix="1" applyNumberFormat="1" applyFont="1" applyAlignment="1">
      <alignment horizontal="right"/>
    </xf>
    <xf numFmtId="0" fontId="198" fillId="0" borderId="0" xfId="8" applyFont="1" applyAlignment="1">
      <alignment horizontal="left"/>
    </xf>
    <xf numFmtId="0" fontId="198" fillId="0" borderId="0" xfId="8" applyNumberFormat="1" applyFont="1" applyAlignment="1"/>
    <xf numFmtId="0" fontId="198" fillId="0" borderId="0" xfId="8" applyFont="1"/>
    <xf numFmtId="0" fontId="144" fillId="0" borderId="0" xfId="8" applyFont="1" applyAlignment="1">
      <alignment horizontal="center" vertical="top"/>
    </xf>
    <xf numFmtId="0" fontId="199" fillId="0" borderId="0" xfId="8" applyFont="1" applyAlignment="1">
      <alignment horizontal="center" vertical="top"/>
    </xf>
    <xf numFmtId="0" fontId="199" fillId="0" borderId="0" xfId="8" quotePrefix="1" applyNumberFormat="1" applyFont="1" applyAlignment="1">
      <alignment horizontal="center"/>
    </xf>
    <xf numFmtId="0" fontId="200" fillId="0" borderId="0" xfId="8" applyFont="1"/>
    <xf numFmtId="0" fontId="201" fillId="0" borderId="0" xfId="8" applyFont="1" applyAlignment="1"/>
    <xf numFmtId="0" fontId="0" fillId="0" borderId="0" xfId="8" applyFont="1"/>
    <xf numFmtId="0" fontId="198" fillId="0" borderId="0" xfId="8" quotePrefix="1" applyNumberFormat="1" applyFont="1" applyAlignment="1"/>
    <xf numFmtId="0" fontId="197" fillId="0" borderId="0" xfId="8" applyFont="1"/>
    <xf numFmtId="0" fontId="197" fillId="0" borderId="0" xfId="8" applyFont="1" applyAlignment="1"/>
    <xf numFmtId="42" fontId="197" fillId="0" borderId="0" xfId="8" applyNumberFormat="1" applyFont="1" applyAlignment="1">
      <alignment horizontal="right"/>
    </xf>
    <xf numFmtId="42" fontId="197" fillId="0" borderId="0" xfId="8" quotePrefix="1" applyNumberFormat="1" applyFont="1" applyAlignment="1">
      <alignment horizontal="right"/>
    </xf>
    <xf numFmtId="41" fontId="197" fillId="0" borderId="0" xfId="8" applyNumberFormat="1" applyFont="1" applyAlignment="1">
      <alignment horizontal="center"/>
    </xf>
    <xf numFmtId="37" fontId="197" fillId="0" borderId="0" xfId="8" applyNumberFormat="1" applyFont="1" applyAlignment="1"/>
    <xf numFmtId="0" fontId="201" fillId="0" borderId="0" xfId="8" applyFont="1"/>
    <xf numFmtId="0" fontId="48" fillId="0" borderId="0" xfId="8" quotePrefix="1" applyNumberFormat="1" applyFont="1" applyAlignment="1"/>
    <xf numFmtId="41" fontId="197" fillId="0" borderId="0" xfId="8" applyNumberFormat="1" applyFont="1" applyAlignment="1">
      <alignment horizontal="right"/>
    </xf>
    <xf numFmtId="41" fontId="0" fillId="0" borderId="0" xfId="8" applyNumberFormat="1" applyFont="1" applyAlignment="1">
      <alignment horizontal="right" vertical="top"/>
    </xf>
    <xf numFmtId="41" fontId="197" fillId="0" borderId="0" xfId="8" quotePrefix="1" applyNumberFormat="1" applyFont="1" applyAlignment="1">
      <alignment horizontal="right"/>
    </xf>
    <xf numFmtId="41" fontId="197" fillId="0" borderId="0" xfId="8" quotePrefix="1" applyNumberFormat="1" applyFont="1" applyAlignment="1">
      <alignment horizontal="center"/>
    </xf>
    <xf numFmtId="0" fontId="48" fillId="0" borderId="0" xfId="8" applyNumberFormat="1" applyFont="1" applyAlignment="1"/>
    <xf numFmtId="0" fontId="202" fillId="0" borderId="0" xfId="8" applyFont="1"/>
    <xf numFmtId="42" fontId="199" fillId="0" borderId="90" xfId="8" applyNumberFormat="1" applyFont="1" applyBorder="1"/>
    <xf numFmtId="0" fontId="203" fillId="0" borderId="0" xfId="8" applyFont="1"/>
    <xf numFmtId="42" fontId="199" fillId="0" borderId="90" xfId="8" applyNumberFormat="1" applyFont="1" applyBorder="1" applyAlignment="1"/>
    <xf numFmtId="0" fontId="153" fillId="0" borderId="0" xfId="1028" quotePrefix="1" applyNumberFormat="1" applyFont="1" applyFill="1" applyAlignment="1">
      <alignment horizontal="right"/>
    </xf>
    <xf numFmtId="4" fontId="43" fillId="0" borderId="0" xfId="1028" quotePrefix="1" applyNumberFormat="1" applyFont="1" applyFill="1" applyBorder="1" applyAlignment="1">
      <alignment horizontal="left"/>
    </xf>
    <xf numFmtId="4" fontId="43" fillId="0" borderId="0" xfId="0" applyNumberFormat="1" applyFont="1" applyFill="1" applyAlignment="1">
      <alignment horizontal="left"/>
    </xf>
    <xf numFmtId="164" fontId="36" fillId="0" borderId="0" xfId="0" applyFont="1" applyFill="1" applyBorder="1"/>
    <xf numFmtId="0" fontId="66" fillId="0" borderId="0" xfId="2" applyNumberFormat="1" applyFont="1" applyFill="1" applyAlignment="1" applyProtection="1">
      <alignment vertical="justify"/>
      <protection locked="0"/>
    </xf>
    <xf numFmtId="0" fontId="81" fillId="0" borderId="0" xfId="8" applyFont="1"/>
    <xf numFmtId="0" fontId="116" fillId="0" borderId="0" xfId="8" quotePrefix="1" applyFont="1" applyAlignment="1">
      <alignment horizontal="right" vertical="top"/>
    </xf>
    <xf numFmtId="0" fontId="48" fillId="0" borderId="0" xfId="8" applyFont="1" applyFill="1" applyAlignment="1">
      <alignment horizontal="left"/>
    </xf>
    <xf numFmtId="0" fontId="43" fillId="0" borderId="0" xfId="2" applyNumberFormat="1" applyFont="1" applyAlignment="1">
      <alignment horizontal="left"/>
    </xf>
    <xf numFmtId="170" fontId="43" fillId="0" borderId="97" xfId="2" applyNumberFormat="1" applyFont="1" applyBorder="1" applyAlignment="1"/>
    <xf numFmtId="0" fontId="141" fillId="0" borderId="0" xfId="0" applyNumberFormat="1" applyFont="1"/>
    <xf numFmtId="0" fontId="1" fillId="0" borderId="0" xfId="0" applyNumberFormat="1" applyFont="1" applyAlignment="1"/>
    <xf numFmtId="0" fontId="1" fillId="0" borderId="0" xfId="0" applyNumberFormat="1" applyFont="1"/>
    <xf numFmtId="37" fontId="204" fillId="0" borderId="0" xfId="2" applyNumberFormat="1" applyFont="1" applyBorder="1" applyAlignment="1"/>
    <xf numFmtId="174" fontId="204" fillId="0" borderId="0" xfId="2" applyNumberFormat="1" applyFont="1"/>
    <xf numFmtId="170" fontId="47" fillId="0" borderId="0" xfId="2" applyNumberFormat="1" applyFont="1" applyAlignment="1"/>
    <xf numFmtId="170" fontId="153" fillId="0" borderId="68" xfId="2" applyNumberFormat="1" applyFont="1" applyBorder="1" applyAlignment="1"/>
    <xf numFmtId="170" fontId="47" fillId="0" borderId="20" xfId="2" applyNumberFormat="1" applyFont="1" applyBorder="1" applyAlignment="1"/>
    <xf numFmtId="170" fontId="153" fillId="0" borderId="20" xfId="2" applyNumberFormat="1" applyFont="1" applyBorder="1" applyAlignment="1"/>
    <xf numFmtId="170" fontId="153" fillId="0" borderId="0" xfId="2" applyNumberFormat="1" applyFont="1" applyBorder="1" applyAlignment="1"/>
    <xf numFmtId="170" fontId="47" fillId="0" borderId="0" xfId="2" applyNumberFormat="1" applyFont="1" applyBorder="1"/>
    <xf numFmtId="174" fontId="153"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74" fillId="0" borderId="0" xfId="0" applyNumberFormat="1" applyFont="1"/>
    <xf numFmtId="41" fontId="174" fillId="0" borderId="0" xfId="0" applyNumberFormat="1" applyFont="1" applyAlignment="1">
      <alignment horizontal="right" vertical="top"/>
    </xf>
    <xf numFmtId="0" fontId="110" fillId="0" borderId="0" xfId="0" applyNumberFormat="1" applyFont="1" applyAlignment="1">
      <alignment horizontal="center" vertical="top"/>
    </xf>
    <xf numFmtId="0" fontId="174" fillId="0" borderId="0" xfId="0" applyNumberFormat="1" applyFont="1" applyAlignment="1">
      <alignment horizontal="left" vertical="top" wrapText="1"/>
    </xf>
    <xf numFmtId="170" fontId="43" fillId="0" borderId="96"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6" xfId="0" quotePrefix="1" applyNumberFormat="1" applyFont="1" applyBorder="1" applyAlignment="1">
      <alignment horizontal="left"/>
    </xf>
    <xf numFmtId="170" fontId="43" fillId="0" borderId="96" xfId="0" applyNumberFormat="1" applyFont="1" applyBorder="1" applyAlignment="1"/>
    <xf numFmtId="174" fontId="43" fillId="0" borderId="96" xfId="0" applyNumberFormat="1" applyFont="1" applyBorder="1" applyAlignment="1"/>
    <xf numFmtId="165" fontId="36" fillId="0" borderId="0" xfId="0" applyNumberFormat="1" applyFont="1" applyProtection="1">
      <protection locked="0"/>
    </xf>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Fill="1"/>
    <xf numFmtId="41" fontId="41" fillId="0" borderId="0" xfId="0" applyNumberFormat="1" applyFont="1" applyAlignment="1">
      <alignment horizontal="right"/>
    </xf>
    <xf numFmtId="0" fontId="42" fillId="0" borderId="68"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41" fontId="42" fillId="0" borderId="0" xfId="0" applyNumberFormat="1" applyFont="1" applyFill="1" applyAlignment="1">
      <alignment horizontal="center"/>
    </xf>
    <xf numFmtId="191" fontId="41" fillId="0" borderId="0" xfId="0" applyNumberFormat="1" applyFont="1" applyFill="1" applyAlignment="1"/>
    <xf numFmtId="42" fontId="41" fillId="0" borderId="0" xfId="0" quotePrefix="1" applyNumberFormat="1" applyFont="1" applyFill="1" applyAlignment="1">
      <alignment horizontal="center"/>
    </xf>
    <xf numFmtId="41" fontId="41" fillId="0" borderId="0" xfId="0" quotePrefix="1" applyNumberFormat="1" applyFont="1" applyFill="1" applyAlignment="1">
      <alignment horizontal="center"/>
    </xf>
    <xf numFmtId="41" fontId="41" fillId="0" borderId="0" xfId="0" applyNumberFormat="1" applyFont="1" applyFill="1" applyBorder="1" applyAlignment="1"/>
    <xf numFmtId="0" fontId="41" fillId="0" borderId="0" xfId="0" applyNumberFormat="1" applyFont="1" applyBorder="1" applyAlignment="1">
      <alignment horizontal="center" wrapText="1"/>
    </xf>
    <xf numFmtId="41" fontId="174" fillId="0" borderId="0" xfId="0" applyNumberFormat="1" applyFont="1" applyFill="1" applyAlignment="1"/>
    <xf numFmtId="41" fontId="41" fillId="0" borderId="0" xfId="0" applyNumberFormat="1" applyFont="1" applyBorder="1"/>
    <xf numFmtId="191" fontId="41" fillId="0" borderId="0" xfId="0" applyNumberFormat="1" applyFont="1" applyBorder="1"/>
    <xf numFmtId="191" fontId="174" fillId="0" borderId="0" xfId="0" applyNumberFormat="1" applyFont="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41" fontId="41" fillId="0" borderId="0" xfId="0" quotePrefix="1" applyNumberFormat="1" applyFont="1" applyFill="1" applyAlignment="1"/>
    <xf numFmtId="191" fontId="42" fillId="0" borderId="0" xfId="0" applyNumberFormat="1" applyFont="1" applyFill="1" applyAlignment="1">
      <alignment horizontal="center"/>
    </xf>
    <xf numFmtId="41" fontId="41" fillId="0" borderId="0" xfId="0" applyNumberFormat="1" applyFont="1" applyBorder="1" applyAlignment="1"/>
    <xf numFmtId="41" fontId="42" fillId="0" borderId="0" xfId="0" applyNumberFormat="1" applyFont="1" applyFill="1" applyAlignment="1"/>
    <xf numFmtId="191" fontId="110" fillId="0" borderId="0" xfId="0" applyNumberFormat="1" applyFont="1" applyAlignment="1">
      <alignment horizontal="center" vertical="top"/>
    </xf>
    <xf numFmtId="191" fontId="174" fillId="0" borderId="0" xfId="0" applyNumberFormat="1" applyFont="1" applyAlignment="1"/>
    <xf numFmtId="41" fontId="110" fillId="0" borderId="0" xfId="0" applyNumberFormat="1" applyFont="1" applyAlignment="1">
      <alignment horizontal="right" vertical="top"/>
    </xf>
    <xf numFmtId="0" fontId="174"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41" fontId="41" fillId="0" borderId="0" xfId="0" applyNumberFormat="1" applyFont="1" applyFill="1" applyAlignment="1"/>
    <xf numFmtId="0" fontId="174"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74" fillId="0" borderId="0" xfId="0" applyNumberFormat="1" applyFont="1" applyFill="1" applyBorder="1"/>
    <xf numFmtId="0" fontId="174"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41" fontId="110" fillId="0" borderId="87" xfId="0" applyNumberFormat="1" applyFont="1" applyBorder="1"/>
    <xf numFmtId="191" fontId="110" fillId="0" borderId="87" xfId="0" applyNumberFormat="1" applyFont="1" applyBorder="1" applyAlignment="1">
      <alignment horizontal="right"/>
    </xf>
    <xf numFmtId="41" fontId="110" fillId="0" borderId="87" xfId="0" quotePrefix="1" applyNumberFormat="1" applyFont="1" applyFill="1" applyBorder="1" applyAlignment="1"/>
    <xf numFmtId="49" fontId="174" fillId="0" borderId="0" xfId="0" applyNumberFormat="1" applyFont="1" applyAlignment="1">
      <alignment vertical="center" wrapText="1"/>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9" fontId="174" fillId="0" borderId="0" xfId="0" applyNumberFormat="1" applyFont="1" applyAlignment="1">
      <alignment vertical="top" wrapText="1"/>
    </xf>
    <xf numFmtId="41" fontId="174" fillId="0" borderId="0" xfId="0" quotePrefix="1" applyNumberFormat="1" applyFont="1" applyFill="1" applyAlignment="1">
      <alignment horizont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90"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110" fillId="0" borderId="0" xfId="0" applyNumberFormat="1" applyFont="1" applyAlignment="1">
      <alignment horizontal="center" vertical="top" wrapText="1"/>
    </xf>
    <xf numFmtId="41" fontId="174" fillId="0" borderId="0" xfId="0" applyNumberFormat="1" applyFont="1" applyFill="1" applyBorder="1" applyAlignment="1"/>
    <xf numFmtId="0" fontId="174" fillId="0" borderId="0" xfId="0" applyNumberFormat="1" applyFont="1" applyFill="1" applyAlignment="1">
      <alignment horizontal="left"/>
    </xf>
    <xf numFmtId="0" fontId="174" fillId="0" borderId="0" xfId="0" applyNumberFormat="1" applyFont="1" applyFill="1" applyAlignment="1">
      <alignment vertical="top"/>
    </xf>
    <xf numFmtId="0" fontId="174" fillId="0" borderId="0" xfId="0" applyNumberFormat="1" applyFont="1" applyFill="1" applyAlignment="1">
      <alignment horizontal="left" wrapText="1"/>
    </xf>
    <xf numFmtId="0" fontId="41" fillId="0" borderId="0" xfId="0" applyNumberFormat="1" applyFont="1" applyBorder="1" applyAlignment="1">
      <alignment horizontal="left"/>
    </xf>
    <xf numFmtId="172" fontId="61" fillId="0" borderId="0" xfId="0" applyNumberFormat="1" applyFont="1" applyBorder="1" applyAlignment="1" applyProtection="1"/>
    <xf numFmtId="0" fontId="58" fillId="0" borderId="0" xfId="2" quotePrefix="1" applyNumberFormat="1" applyFont="1" applyAlignment="1">
      <alignment horizontal="center"/>
    </xf>
    <xf numFmtId="0" fontId="43" fillId="0" borderId="0" xfId="1776" applyNumberFormat="1" applyFont="1" applyAlignment="1">
      <alignment horizontal="center"/>
    </xf>
    <xf numFmtId="43" fontId="43" fillId="0" borderId="90" xfId="1028" applyNumberFormat="1" applyFont="1" applyBorder="1" applyAlignment="1" applyProtection="1">
      <alignment horizontal="right"/>
    </xf>
    <xf numFmtId="43" fontId="36" fillId="0" borderId="0" xfId="17924" applyFont="1" applyFill="1" applyAlignment="1" applyProtection="1">
      <alignment horizontal="right"/>
      <protection locked="0"/>
    </xf>
    <xf numFmtId="44" fontId="41" fillId="0" borderId="0" xfId="0" applyNumberFormat="1" applyFont="1" applyFill="1" applyAlignment="1"/>
    <xf numFmtId="43" fontId="41" fillId="0" borderId="0" xfId="0" applyNumberFormat="1" applyFont="1" applyAlignment="1"/>
    <xf numFmtId="44" fontId="41" fillId="0" borderId="0" xfId="0" applyNumberFormat="1" applyFont="1" applyFill="1" applyAlignment="1">
      <alignment horizontal="right"/>
    </xf>
    <xf numFmtId="4" fontId="41" fillId="0" borderId="0" xfId="0" applyNumberFormat="1" applyFont="1" applyFill="1" applyAlignment="1">
      <alignment horizontal="right"/>
    </xf>
    <xf numFmtId="164" fontId="41" fillId="0" borderId="0" xfId="0" applyFont="1" applyFill="1" applyAlignment="1">
      <alignment horizontal="center"/>
    </xf>
    <xf numFmtId="43" fontId="41" fillId="0" borderId="0" xfId="0" applyNumberFormat="1" applyFont="1" applyFill="1" applyAlignment="1">
      <alignment horizontal="right"/>
    </xf>
    <xf numFmtId="43" fontId="41" fillId="0" borderId="0" xfId="0" applyNumberFormat="1" applyFont="1" applyAlignment="1">
      <alignment horizontal="right"/>
    </xf>
    <xf numFmtId="0" fontId="41" fillId="0" borderId="0" xfId="0" quotePrefix="1" applyNumberFormat="1" applyFont="1" applyFill="1" applyAlignment="1">
      <alignment horizontal="right"/>
    </xf>
    <xf numFmtId="4" fontId="41" fillId="0" borderId="0" xfId="0" quotePrefix="1" applyNumberFormat="1" applyFont="1" applyFill="1" applyAlignment="1">
      <alignment horizontal="right"/>
    </xf>
    <xf numFmtId="43" fontId="41" fillId="0" borderId="0" xfId="0" applyNumberFormat="1" applyFont="1" applyAlignment="1">
      <alignment horizontal="center"/>
    </xf>
    <xf numFmtId="43" fontId="41" fillId="0" borderId="0" xfId="0" quotePrefix="1" applyNumberFormat="1" applyFont="1" applyFill="1" applyAlignment="1">
      <alignment horizontal="right"/>
    </xf>
    <xf numFmtId="0" fontId="41" fillId="0" borderId="0" xfId="0" applyNumberFormat="1" applyFont="1" applyFill="1" applyAlignment="1">
      <alignment horizontal="center"/>
    </xf>
    <xf numFmtId="0" fontId="83" fillId="0" borderId="0" xfId="0" applyNumberFormat="1" applyFont="1" applyFill="1" applyAlignment="1">
      <alignment horizontal="right"/>
    </xf>
    <xf numFmtId="0" fontId="83" fillId="0" borderId="0" xfId="0" applyNumberFormat="1" applyFont="1" applyFill="1" applyAlignment="1"/>
    <xf numFmtId="43" fontId="0" fillId="0" borderId="0" xfId="0" applyNumberFormat="1" applyFill="1" applyAlignment="1"/>
    <xf numFmtId="39" fontId="82" fillId="0" borderId="0" xfId="0" applyNumberFormat="1" applyFont="1" applyFill="1" applyAlignment="1"/>
    <xf numFmtId="43" fontId="0" fillId="0" borderId="0" xfId="0" applyNumberFormat="1" applyFill="1" applyAlignment="1">
      <alignment horizontal="right"/>
    </xf>
    <xf numFmtId="164" fontId="43" fillId="0" borderId="0" xfId="1940" applyNumberFormat="1" applyFont="1" applyBorder="1" applyAlignment="1"/>
    <xf numFmtId="178" fontId="61" fillId="0" borderId="0" xfId="836" applyNumberFormat="1" applyFont="1" applyFill="1"/>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0" fontId="66" fillId="0" borderId="0" xfId="1776" applyNumberFormat="1" applyFont="1" applyAlignment="1">
      <alignment horizontal="lef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143" fillId="0" borderId="0" xfId="8" applyFont="1" applyAlignment="1"/>
    <xf numFmtId="0" fontId="48" fillId="0" borderId="0" xfId="8" applyFont="1" applyAlignment="1"/>
    <xf numFmtId="0" fontId="48" fillId="0" borderId="0" xfId="8" applyFont="1"/>
    <xf numFmtId="0" fontId="116" fillId="0" borderId="0" xfId="8" quotePrefix="1" applyFont="1" applyAlignment="1">
      <alignment horizontal="right"/>
    </xf>
    <xf numFmtId="0" fontId="48" fillId="0" borderId="0" xfId="8" applyFont="1" applyFill="1" applyAlignment="1"/>
    <xf numFmtId="0" fontId="97" fillId="0" borderId="0" xfId="8" applyFont="1"/>
    <xf numFmtId="172" fontId="0" fillId="0" borderId="0" xfId="0" applyNumberFormat="1" applyFont="1" applyBorder="1" applyAlignment="1" applyProtection="1"/>
    <xf numFmtId="164" fontId="43" fillId="0" borderId="84" xfId="0" applyNumberFormat="1" applyFont="1" applyBorder="1" applyAlignment="1" applyProtection="1">
      <protection locked="0"/>
    </xf>
    <xf numFmtId="164" fontId="0" fillId="0" borderId="42" xfId="2" applyNumberFormat="1" applyFont="1" applyBorder="1"/>
    <xf numFmtId="170" fontId="43" fillId="0" borderId="16" xfId="0" applyNumberFormat="1" applyFont="1" applyFill="1" applyBorder="1" applyAlignment="1" applyProtection="1"/>
    <xf numFmtId="170" fontId="43" fillId="0" borderId="68" xfId="2" applyNumberFormat="1" applyFont="1" applyFill="1" applyBorder="1" applyAlignment="1" applyProtection="1"/>
    <xf numFmtId="164" fontId="207" fillId="0" borderId="68" xfId="2" applyNumberFormat="1" applyFont="1" applyBorder="1" applyProtection="1"/>
    <xf numFmtId="170" fontId="0" fillId="0" borderId="0" xfId="0" applyNumberFormat="1" applyFill="1"/>
    <xf numFmtId="170" fontId="38" fillId="0" borderId="96" xfId="2" applyNumberFormat="1" applyFont="1" applyBorder="1" applyAlignment="1">
      <alignment horizontal="center"/>
    </xf>
    <xf numFmtId="170" fontId="38" fillId="0" borderId="96"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quotePrefix="1" applyNumberFormat="1" applyFont="1" applyFill="1" applyAlignment="1"/>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0" fontId="66" fillId="0" borderId="0" xfId="1776" applyNumberFormat="1" applyFont="1" applyAlignment="1">
      <alignment horizontal="left"/>
    </xf>
    <xf numFmtId="49" fontId="43" fillId="0" borderId="0" xfId="1776" applyNumberFormat="1" applyFont="1" applyAlignment="1">
      <alignment horizontal="center"/>
    </xf>
    <xf numFmtId="43" fontId="43" fillId="0" borderId="89" xfId="1776" applyNumberFormat="1" applyFont="1" applyBorder="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3" fillId="0" borderId="84" xfId="840" applyNumberFormat="1" applyFont="1" applyBorder="1" applyAlignment="1"/>
    <xf numFmtId="37" fontId="36" fillId="0" borderId="87" xfId="840" applyNumberFormat="1" applyFont="1" applyBorder="1" applyAlignment="1"/>
    <xf numFmtId="41" fontId="36" fillId="0" borderId="87" xfId="11" applyNumberFormat="1" applyFont="1" applyBorder="1" applyAlignment="1"/>
    <xf numFmtId="41" fontId="36" fillId="0" borderId="87" xfId="840" quotePrefix="1" applyNumberFormat="1" applyFont="1" applyBorder="1" applyAlignment="1">
      <alignment horizontal="right"/>
    </xf>
    <xf numFmtId="41" fontId="36" fillId="0" borderId="87" xfId="840" quotePrefix="1" applyNumberFormat="1" applyFont="1" applyBorder="1" applyAlignment="1">
      <alignment horizontal="center"/>
    </xf>
    <xf numFmtId="41" fontId="36" fillId="0" borderId="87" xfId="840" applyNumberFormat="1" applyFont="1" applyBorder="1"/>
    <xf numFmtId="41" fontId="43" fillId="0" borderId="89" xfId="840" quotePrefix="1" applyNumberFormat="1" applyFont="1" applyBorder="1" applyAlignment="1"/>
    <xf numFmtId="41" fontId="43" fillId="0" borderId="89" xfId="840" applyNumberFormat="1" applyFont="1" applyFill="1" applyBorder="1" applyAlignment="1"/>
    <xf numFmtId="41" fontId="43" fillId="0" borderId="89" xfId="840" applyNumberFormat="1" applyFont="1" applyBorder="1" applyAlignment="1"/>
    <xf numFmtId="191" fontId="36" fillId="0" borderId="85" xfId="11" applyNumberFormat="1" applyFont="1" applyBorder="1" applyAlignment="1"/>
    <xf numFmtId="39" fontId="36" fillId="0" borderId="85" xfId="840" applyNumberFormat="1" applyFont="1" applyBorder="1" applyAlignment="1"/>
    <xf numFmtId="170" fontId="43" fillId="0" borderId="0" xfId="2" applyNumberFormat="1" applyFont="1" applyBorder="1" applyAlignment="1">
      <alignment horizontal="center"/>
    </xf>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5" xfId="0" applyNumberFormat="1" applyFont="1" applyBorder="1" applyAlignment="1" applyProtection="1">
      <protection locked="0"/>
    </xf>
    <xf numFmtId="170" fontId="43" fillId="0" borderId="85" xfId="0" quotePrefix="1" applyNumberFormat="1" applyFont="1" applyBorder="1" applyAlignment="1" applyProtection="1">
      <alignment horizontal="center"/>
      <protection locked="0"/>
    </xf>
    <xf numFmtId="174" fontId="43" fillId="0" borderId="84" xfId="0" applyNumberFormat="1" applyFont="1" applyBorder="1" applyAlignment="1" applyProtection="1">
      <protection locked="0"/>
    </xf>
    <xf numFmtId="41" fontId="161" fillId="0" borderId="0" xfId="0" applyNumberFormat="1" applyFont="1" applyFill="1" applyBorder="1" applyAlignment="1">
      <alignment horizontal="center"/>
    </xf>
    <xf numFmtId="41" fontId="163" fillId="0" borderId="0" xfId="0" applyNumberFormat="1" applyFont="1" applyFill="1" applyBorder="1" applyAlignment="1"/>
    <xf numFmtId="0" fontId="66" fillId="0" borderId="0" xfId="1776" applyNumberFormat="1" applyFont="1" applyAlignment="1">
      <alignment horizontal="left"/>
    </xf>
    <xf numFmtId="174" fontId="43" fillId="0" borderId="0" xfId="0" applyNumberFormat="1" applyFont="1" applyAlignment="1">
      <alignment horizontal="center"/>
    </xf>
    <xf numFmtId="41" fontId="174" fillId="0" borderId="0" xfId="0" applyNumberFormat="1" applyFont="1" applyBorder="1"/>
    <xf numFmtId="0" fontId="110" fillId="0" borderId="0" xfId="0" applyNumberFormat="1" applyFont="1" applyFill="1" applyAlignment="1">
      <alignment horizontal="center"/>
    </xf>
    <xf numFmtId="42" fontId="110" fillId="0" borderId="0" xfId="0" applyNumberFormat="1" applyFont="1" applyFill="1" applyBorder="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69" fontId="209" fillId="0" borderId="0" xfId="8" applyNumberFormat="1" applyFont="1" applyAlignment="1">
      <alignment horizontal="right" vertical="top"/>
    </xf>
    <xf numFmtId="0" fontId="209" fillId="0" borderId="0" xfId="0" applyNumberFormat="1" applyFont="1" applyFill="1" applyBorder="1" applyAlignment="1" applyProtection="1"/>
    <xf numFmtId="166" fontId="209" fillId="0" borderId="0" xfId="8" applyNumberFormat="1" applyFont="1" applyAlignment="1">
      <alignment horizontal="right" vertical="top"/>
    </xf>
    <xf numFmtId="0" fontId="209" fillId="0" borderId="0" xfId="8" applyFont="1" applyAlignment="1"/>
    <xf numFmtId="0" fontId="209" fillId="0" borderId="0" xfId="8" applyFont="1" applyAlignment="1">
      <alignment horizontal="left"/>
    </xf>
    <xf numFmtId="170" fontId="0" fillId="0" borderId="0" xfId="2" quotePrefix="1" applyNumberFormat="1" applyFont="1" applyAlignment="1"/>
    <xf numFmtId="178" fontId="66" fillId="0" borderId="0" xfId="836" applyNumberFormat="1" applyFont="1" applyFill="1" applyBorder="1" applyAlignment="1">
      <alignment horizontal="right"/>
    </xf>
    <xf numFmtId="37" fontId="174" fillId="0" borderId="0" xfId="0" applyNumberFormat="1" applyFont="1"/>
    <xf numFmtId="37" fontId="174" fillId="0" borderId="0" xfId="0" applyNumberFormat="1" applyFont="1" applyAlignment="1"/>
    <xf numFmtId="41" fontId="42" fillId="0" borderId="0" xfId="0" applyNumberFormat="1" applyFont="1" applyFill="1"/>
    <xf numFmtId="49" fontId="42" fillId="0" borderId="68" xfId="0" applyNumberFormat="1" applyFont="1" applyFill="1" applyBorder="1" applyAlignment="1">
      <alignment horizontal="center" wrapText="1"/>
    </xf>
    <xf numFmtId="42" fontId="110" fillId="0" borderId="0" xfId="1773" applyNumberFormat="1" applyFont="1" applyFill="1"/>
    <xf numFmtId="191" fontId="41" fillId="0" borderId="0" xfId="0" applyNumberFormat="1" applyFont="1" applyFill="1"/>
    <xf numFmtId="41" fontId="41" fillId="0" borderId="0" xfId="0" applyNumberFormat="1" applyFont="1" applyAlignment="1">
      <alignment horizontal="right" vertical="center"/>
    </xf>
    <xf numFmtId="42" fontId="42" fillId="0" borderId="90" xfId="0" applyNumberFormat="1" applyFont="1" applyFill="1" applyBorder="1" applyAlignment="1">
      <alignment horizontal="right" vertical="top"/>
    </xf>
    <xf numFmtId="0" fontId="174" fillId="0" borderId="0" xfId="0" applyNumberFormat="1" applyFont="1" applyFill="1" applyAlignment="1">
      <alignment horizontal="left" vertical="top" wrapText="1"/>
    </xf>
    <xf numFmtId="0" fontId="174" fillId="0" borderId="0" xfId="0" applyNumberFormat="1" applyFont="1" applyFill="1" applyBorder="1" applyAlignment="1">
      <alignment horizontal="left" vertical="top" wrapText="1"/>
    </xf>
    <xf numFmtId="41" fontId="174" fillId="0" borderId="0" xfId="0" applyNumberFormat="1" applyFont="1" applyFill="1" applyAlignment="1">
      <alignment horizontal="right" vertical="center"/>
    </xf>
    <xf numFmtId="41" fontId="174" fillId="0" borderId="0" xfId="0" applyNumberFormat="1" applyFont="1" applyFill="1" applyBorder="1" applyAlignment="1">
      <alignment horizontal="right" vertical="center"/>
    </xf>
    <xf numFmtId="173" fontId="38" fillId="0" borderId="0" xfId="0" applyNumberFormat="1" applyFont="1" applyAlignment="1" applyProtection="1">
      <protection locked="0"/>
    </xf>
    <xf numFmtId="41" fontId="174" fillId="0" borderId="0" xfId="0" applyNumberFormat="1" applyFont="1" applyBorder="1" applyAlignment="1"/>
    <xf numFmtId="43" fontId="36" fillId="0" borderId="0" xfId="9049" applyFont="1" applyFill="1" applyAlignment="1" applyProtection="1">
      <alignment horizontal="right"/>
      <protection locked="0"/>
    </xf>
    <xf numFmtId="43" fontId="43" fillId="0" borderId="90" xfId="1767" applyNumberFormat="1" applyFont="1" applyFill="1" applyBorder="1" applyAlignment="1" applyProtection="1">
      <alignment horizontal="right"/>
    </xf>
    <xf numFmtId="43" fontId="43" fillId="0" borderId="90" xfId="0" applyNumberFormat="1" applyFont="1" applyBorder="1" applyAlignment="1">
      <alignment horizontal="right"/>
    </xf>
    <xf numFmtId="44" fontId="43" fillId="0" borderId="90" xfId="1767" applyNumberFormat="1" applyFont="1" applyFill="1" applyBorder="1" applyAlignment="1" applyProtection="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90" xfId="0" applyBorder="1"/>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0" fontId="210" fillId="0" borderId="0" xfId="8" applyFont="1" applyAlignment="1">
      <alignment horizontal="left"/>
    </xf>
    <xf numFmtId="166" fontId="210" fillId="0" borderId="0" xfId="8" applyNumberFormat="1" applyFont="1" applyAlignment="1">
      <alignment horizontal="right" vertical="top"/>
    </xf>
    <xf numFmtId="41" fontId="42" fillId="0" borderId="68" xfId="0" applyNumberFormat="1" applyFont="1" applyFill="1" applyBorder="1" applyAlignment="1">
      <alignment horizontal="center" wrapText="1"/>
    </xf>
    <xf numFmtId="164" fontId="110" fillId="0" borderId="0" xfId="0" applyFont="1"/>
    <xf numFmtId="191" fontId="110" fillId="0" borderId="0" xfId="24945" applyNumberFormat="1" applyFont="1" applyFill="1"/>
    <xf numFmtId="164" fontId="174" fillId="0" borderId="0" xfId="0" applyFont="1"/>
    <xf numFmtId="191" fontId="174" fillId="0" borderId="0" xfId="24945" applyNumberFormat="1" applyFont="1" applyFill="1"/>
    <xf numFmtId="164" fontId="174" fillId="0" borderId="0" xfId="0" applyFont="1" applyFill="1"/>
    <xf numFmtId="164" fontId="41" fillId="0" borderId="0" xfId="0" applyFont="1" applyFill="1"/>
    <xf numFmtId="164" fontId="41" fillId="0" borderId="0" xfId="0" applyFont="1"/>
    <xf numFmtId="3" fontId="84" fillId="0" borderId="0" xfId="18644" quotePrefix="1" applyNumberFormat="1" applyFont="1" applyAlignment="1">
      <alignment horizontal="left"/>
    </xf>
    <xf numFmtId="37" fontId="84" fillId="0" borderId="0" xfId="18644" quotePrefix="1" applyNumberFormat="1" applyFont="1" applyFill="1" applyAlignment="1">
      <alignment horizontal="left"/>
    </xf>
    <xf numFmtId="49" fontId="84" fillId="0" borderId="0" xfId="18644" applyNumberFormat="1" applyFont="1" applyFill="1" applyAlignment="1"/>
    <xf numFmtId="49" fontId="84" fillId="0" borderId="0" xfId="18644" applyNumberFormat="1" applyFont="1" applyFill="1" applyAlignment="1">
      <alignment horizontal="left"/>
    </xf>
    <xf numFmtId="37" fontId="113" fillId="0" borderId="0" xfId="18644" applyNumberFormat="1" applyFont="1" applyFill="1" applyBorder="1" applyAlignment="1">
      <alignment horizontal="center"/>
    </xf>
    <xf numFmtId="4" fontId="84" fillId="0" borderId="0" xfId="18644" applyNumberFormat="1" applyFont="1" applyFill="1" applyAlignment="1">
      <alignment horizontal="center"/>
    </xf>
    <xf numFmtId="37" fontId="84" fillId="0" borderId="0" xfId="18644" applyNumberFormat="1" applyFont="1" applyFill="1" applyAlignment="1">
      <alignment horizontal="center"/>
    </xf>
    <xf numFmtId="0" fontId="159" fillId="0" borderId="0" xfId="18644" applyFont="1"/>
    <xf numFmtId="0" fontId="114" fillId="0" borderId="0" xfId="18644" applyFont="1"/>
    <xf numFmtId="4" fontId="114" fillId="0" borderId="0" xfId="18644" applyNumberFormat="1" applyFont="1"/>
    <xf numFmtId="49" fontId="113" fillId="0" borderId="0" xfId="18644" applyNumberFormat="1" applyFont="1" applyAlignment="1">
      <alignment horizontal="center"/>
    </xf>
    <xf numFmtId="0" fontId="113" fillId="0" borderId="0" xfId="18644" applyFont="1" applyAlignment="1">
      <alignment horizontal="center"/>
    </xf>
    <xf numFmtId="37" fontId="113" fillId="0" borderId="0" xfId="18644" applyNumberFormat="1" applyFont="1" applyFill="1" applyAlignment="1">
      <alignment horizontal="center"/>
    </xf>
    <xf numFmtId="4" fontId="114" fillId="0" borderId="0" xfId="18644" applyNumberFormat="1" applyFont="1" applyAlignment="1">
      <alignment horizontal="center"/>
    </xf>
    <xf numFmtId="49" fontId="113" fillId="0" borderId="51" xfId="18644" applyNumberFormat="1" applyFont="1" applyBorder="1" applyAlignment="1">
      <alignment horizontal="center"/>
    </xf>
    <xf numFmtId="49" fontId="113" fillId="0" borderId="0" xfId="18644" applyNumberFormat="1" applyFont="1" applyBorder="1" applyAlignment="1">
      <alignment horizontal="center"/>
    </xf>
    <xf numFmtId="0" fontId="113" fillId="0" borderId="51" xfId="18644" applyFont="1" applyBorder="1" applyAlignment="1">
      <alignment horizontal="center"/>
    </xf>
    <xf numFmtId="0" fontId="113" fillId="0" borderId="0" xfId="18644" applyFont="1" applyBorder="1" applyAlignment="1">
      <alignment horizontal="center"/>
    </xf>
    <xf numFmtId="4" fontId="113" fillId="0" borderId="51" xfId="18644" applyNumberFormat="1" applyFont="1" applyFill="1" applyBorder="1" applyAlignment="1">
      <alignment horizontal="center"/>
    </xf>
    <xf numFmtId="4" fontId="113" fillId="0" borderId="0" xfId="18644" applyNumberFormat="1" applyFont="1" applyBorder="1" applyAlignment="1">
      <alignment horizontal="center"/>
    </xf>
    <xf numFmtId="37" fontId="113" fillId="0" borderId="51" xfId="18644" applyNumberFormat="1" applyFont="1" applyBorder="1" applyAlignment="1">
      <alignment horizontal="center"/>
    </xf>
    <xf numFmtId="0" fontId="115" fillId="0" borderId="0" xfId="18644" applyFont="1"/>
    <xf numFmtId="0" fontId="114" fillId="0" borderId="0" xfId="18644" applyFont="1" applyAlignment="1">
      <alignment horizontal="right"/>
    </xf>
    <xf numFmtId="177" fontId="114" fillId="0" borderId="0" xfId="18644" applyNumberFormat="1" applyFont="1" applyAlignment="1">
      <alignment horizontal="center" vertical="top"/>
    </xf>
    <xf numFmtId="0" fontId="114" fillId="0" borderId="0" xfId="18644" applyFont="1" applyAlignment="1">
      <alignment vertical="top"/>
    </xf>
    <xf numFmtId="0" fontId="114" fillId="0" borderId="0" xfId="18644" applyFont="1" applyAlignment="1">
      <alignment vertical="top" wrapText="1"/>
    </xf>
    <xf numFmtId="0" fontId="116" fillId="0" borderId="0" xfId="18644" applyFont="1" applyFill="1" applyBorder="1" applyAlignment="1">
      <alignment horizontal="right" vertical="top"/>
    </xf>
    <xf numFmtId="44" fontId="116" fillId="0" borderId="0" xfId="18644" applyNumberFormat="1" applyFont="1" applyFill="1" applyBorder="1" applyAlignment="1">
      <alignment horizontal="right" vertical="top"/>
    </xf>
    <xf numFmtId="4" fontId="116" fillId="0" borderId="0" xfId="18644" applyNumberFormat="1" applyFont="1" applyFill="1" applyBorder="1" applyAlignment="1">
      <alignment horizontal="right" vertical="top"/>
    </xf>
    <xf numFmtId="177" fontId="114" fillId="0" borderId="0" xfId="18644" applyNumberFormat="1" applyFont="1" applyAlignment="1">
      <alignment horizontal="center"/>
    </xf>
    <xf numFmtId="0" fontId="114" fillId="0" borderId="0" xfId="18644" applyFont="1" applyAlignment="1"/>
    <xf numFmtId="0" fontId="114" fillId="0" borderId="0" xfId="18644" applyFont="1" applyAlignment="1">
      <alignment wrapText="1"/>
    </xf>
    <xf numFmtId="4" fontId="114" fillId="0" borderId="0" xfId="18644" applyNumberFormat="1" applyFont="1" applyFill="1" applyAlignment="1"/>
    <xf numFmtId="4" fontId="114" fillId="0" borderId="0" xfId="18644" applyNumberFormat="1" applyFont="1" applyFill="1"/>
    <xf numFmtId="0" fontId="113" fillId="0" borderId="0" xfId="18644" applyFont="1" applyAlignment="1">
      <alignment horizontal="right"/>
    </xf>
    <xf numFmtId="0" fontId="115" fillId="0" borderId="0" xfId="18644" applyFont="1" applyAlignment="1"/>
    <xf numFmtId="49" fontId="114" fillId="0" borderId="0" xfId="18644" applyNumberFormat="1" applyFont="1"/>
    <xf numFmtId="177" fontId="114" fillId="0" borderId="0" xfId="18644" applyNumberFormat="1" applyFont="1"/>
    <xf numFmtId="43" fontId="114" fillId="0" borderId="0" xfId="18644" applyNumberFormat="1" applyFont="1" applyFill="1"/>
    <xf numFmtId="4" fontId="114" fillId="0" borderId="0" xfId="18644" applyNumberFormat="1" applyFont="1" applyFill="1" applyAlignment="1">
      <alignment vertical="top"/>
    </xf>
    <xf numFmtId="49" fontId="114" fillId="0" borderId="0" xfId="18644" applyNumberFormat="1" applyFont="1" applyAlignment="1">
      <alignment horizontal="center"/>
    </xf>
    <xf numFmtId="49" fontId="114" fillId="0" borderId="0" xfId="18644" applyNumberFormat="1" applyFont="1" applyAlignment="1">
      <alignment horizontal="center" vertical="top"/>
    </xf>
    <xf numFmtId="0" fontId="116" fillId="0" borderId="0" xfId="18644" applyFont="1" applyFill="1" applyAlignment="1">
      <alignment vertical="top"/>
    </xf>
    <xf numFmtId="0" fontId="115" fillId="0" borderId="0" xfId="18644" applyFont="1" applyAlignment="1">
      <alignment vertical="top"/>
    </xf>
    <xf numFmtId="177" fontId="115" fillId="0" borderId="0" xfId="18644" applyNumberFormat="1" applyFont="1" applyAlignment="1"/>
    <xf numFmtId="43" fontId="114" fillId="0" borderId="0" xfId="18644" applyNumberFormat="1" applyFont="1" applyFill="1" applyBorder="1"/>
    <xf numFmtId="4" fontId="114" fillId="0" borderId="0" xfId="18644" applyNumberFormat="1" applyFont="1" applyFill="1" applyBorder="1"/>
    <xf numFmtId="0" fontId="116" fillId="0" borderId="0" xfId="18644" applyFont="1" applyFill="1" applyAlignment="1">
      <alignment horizontal="right"/>
    </xf>
    <xf numFmtId="44" fontId="116" fillId="0" borderId="0" xfId="18644" applyNumberFormat="1" applyFont="1" applyFill="1" applyBorder="1" applyAlignment="1">
      <alignment horizontal="right"/>
    </xf>
    <xf numFmtId="4" fontId="116" fillId="0" borderId="0" xfId="18644" applyNumberFormat="1" applyFont="1" applyFill="1" applyAlignment="1">
      <alignment horizontal="right"/>
    </xf>
    <xf numFmtId="0" fontId="48" fillId="0" borderId="0" xfId="18644" applyFont="1" applyAlignment="1">
      <alignment horizontal="left"/>
    </xf>
    <xf numFmtId="0" fontId="114" fillId="0" borderId="0" xfId="18644" applyNumberFormat="1" applyFont="1" applyAlignment="1"/>
    <xf numFmtId="37" fontId="114" fillId="0" borderId="0" xfId="18644" applyNumberFormat="1" applyFont="1" applyFill="1" applyAlignment="1"/>
    <xf numFmtId="4" fontId="114" fillId="0" borderId="0" xfId="18644" applyNumberFormat="1" applyFont="1" applyAlignment="1"/>
    <xf numFmtId="0" fontId="206" fillId="0" borderId="0" xfId="18644" applyNumberFormat="1" applyFont="1" applyAlignment="1">
      <alignment horizontal="left" wrapText="1"/>
    </xf>
    <xf numFmtId="0" fontId="114" fillId="0" borderId="0" xfId="18644" applyNumberFormat="1" applyFont="1" applyAlignment="1">
      <alignment horizontal="left" wrapText="1"/>
    </xf>
    <xf numFmtId="37" fontId="114" fillId="0" borderId="0" xfId="18644" applyNumberFormat="1" applyFont="1" applyFill="1" applyAlignment="1">
      <alignment horizontal="left" wrapText="1"/>
    </xf>
    <xf numFmtId="4" fontId="114" fillId="0" borderId="0" xfId="18644" applyNumberFormat="1" applyFont="1" applyAlignment="1">
      <alignment horizontal="left" wrapText="1"/>
    </xf>
    <xf numFmtId="0" fontId="48" fillId="0" borderId="0" xfId="18644" applyNumberFormat="1" applyFont="1" applyAlignment="1">
      <alignment horizontal="left"/>
    </xf>
    <xf numFmtId="0" fontId="48" fillId="0" borderId="0" xfId="18644" applyNumberFormat="1" applyFont="1" applyAlignment="1">
      <alignment horizontal="left" wrapText="1"/>
    </xf>
    <xf numFmtId="37" fontId="48" fillId="0" borderId="0" xfId="18644" applyNumberFormat="1" applyFont="1" applyFill="1" applyAlignment="1">
      <alignment horizontal="left" wrapText="1"/>
    </xf>
    <xf numFmtId="4" fontId="48" fillId="0" borderId="0" xfId="18644" applyNumberFormat="1" applyFont="1" applyAlignment="1">
      <alignment horizontal="left" wrapText="1"/>
    </xf>
    <xf numFmtId="0" fontId="66" fillId="0" borderId="0" xfId="1776" applyNumberFormat="1" applyFont="1" applyAlignment="1">
      <alignment horizontal="left"/>
    </xf>
    <xf numFmtId="39" fontId="36" fillId="0" borderId="85" xfId="1776" applyNumberFormat="1" applyFont="1" applyBorder="1" applyAlignment="1"/>
    <xf numFmtId="43" fontId="36" fillId="0" borderId="85" xfId="1776" applyNumberFormat="1" applyFont="1" applyBorder="1" applyAlignment="1"/>
    <xf numFmtId="43" fontId="43" fillId="0" borderId="98" xfId="1776" applyNumberFormat="1" applyFont="1" applyFill="1" applyBorder="1" applyAlignment="1"/>
    <xf numFmtId="43" fontId="43" fillId="0" borderId="85" xfId="1776" applyNumberFormat="1" applyFont="1" applyFill="1" applyBorder="1" applyAlignment="1"/>
    <xf numFmtId="43" fontId="36" fillId="0" borderId="85" xfId="1776" applyNumberFormat="1" applyFont="1" applyFill="1" applyBorder="1" applyAlignment="1"/>
    <xf numFmtId="43" fontId="43" fillId="0" borderId="99" xfId="1776" applyNumberFormat="1" applyFont="1" applyFill="1" applyBorder="1" applyAlignment="1"/>
    <xf numFmtId="44" fontId="43" fillId="0" borderId="84" xfId="1776" applyNumberFormat="1" applyFont="1" applyFill="1" applyBorder="1" applyAlignment="1">
      <alignment horizontal="right"/>
    </xf>
    <xf numFmtId="170" fontId="36" fillId="0" borderId="0" xfId="1" quotePrefix="1" applyNumberFormat="1" applyFont="1" applyFill="1" applyAlignment="1"/>
    <xf numFmtId="0" fontId="61" fillId="0" borderId="0" xfId="1776" applyFont="1" applyFill="1" applyBorder="1" applyAlignment="1">
      <alignment horizontal="left"/>
    </xf>
    <xf numFmtId="0" fontId="36" fillId="0" borderId="0" xfId="1776" applyFont="1" applyFill="1" applyBorder="1" applyAlignment="1">
      <alignment horizontal="center"/>
    </xf>
    <xf numFmtId="39" fontId="36" fillId="0" borderId="100" xfId="1776" applyNumberFormat="1" applyFont="1" applyFill="1" applyBorder="1" applyAlignment="1"/>
    <xf numFmtId="44" fontId="43" fillId="0" borderId="100" xfId="1776" applyNumberFormat="1" applyFont="1" applyFill="1" applyBorder="1" applyAlignment="1"/>
    <xf numFmtId="43" fontId="36" fillId="0" borderId="100" xfId="1776" applyNumberFormat="1" applyFont="1" applyFill="1" applyBorder="1" applyAlignment="1"/>
    <xf numFmtId="43" fontId="43" fillId="0" borderId="100" xfId="1776" applyNumberFormat="1" applyFont="1" applyFill="1" applyBorder="1" applyAlignment="1"/>
    <xf numFmtId="43" fontId="43" fillId="0" borderId="100" xfId="1776" applyNumberFormat="1" applyFont="1" applyFill="1" applyBorder="1" applyAlignment="1">
      <alignment horizontal="right"/>
    </xf>
    <xf numFmtId="43" fontId="36" fillId="0" borderId="100" xfId="1776" applyNumberFormat="1" applyFont="1" applyFill="1" applyBorder="1" applyAlignment="1" applyProtection="1"/>
    <xf numFmtId="43" fontId="36" fillId="0" borderId="100" xfId="1776" applyNumberFormat="1" applyFont="1" applyFill="1" applyBorder="1" applyAlignment="1" applyProtection="1">
      <alignment horizontal="right"/>
    </xf>
    <xf numFmtId="44" fontId="43" fillId="0" borderId="100" xfId="1776" applyNumberFormat="1" applyFont="1" applyFill="1" applyBorder="1" applyAlignment="1">
      <alignment horizontal="right"/>
    </xf>
    <xf numFmtId="43" fontId="43" fillId="0" borderId="90" xfId="17924" applyFont="1" applyFill="1" applyBorder="1" applyAlignment="1" applyProtection="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43" fillId="0" borderId="90" xfId="17924" applyFont="1" applyBorder="1" applyAlignment="1">
      <alignment horizontal="right"/>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8" xfId="0" applyNumberFormat="1" applyFont="1" applyBorder="1" applyAlignment="1" applyProtection="1"/>
    <xf numFmtId="164" fontId="66" fillId="0" borderId="0" xfId="1940" applyNumberFormat="1" applyFont="1" applyAlignment="1"/>
    <xf numFmtId="170" fontId="38" fillId="0" borderId="100" xfId="2" applyNumberFormat="1" applyFont="1" applyFill="1" applyBorder="1" applyAlignment="1"/>
    <xf numFmtId="170" fontId="38" fillId="0" borderId="100" xfId="2" applyNumberFormat="1" applyFont="1" applyBorder="1" applyAlignment="1">
      <alignment horizontal="center"/>
    </xf>
    <xf numFmtId="41" fontId="174"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41" fillId="0" borderId="0" xfId="0" quotePrefix="1" applyNumberFormat="1" applyFont="1" applyFill="1" applyAlignment="1">
      <alignment horizontal="right"/>
    </xf>
    <xf numFmtId="41" fontId="174" fillId="0" borderId="0" xfId="0" quotePrefix="1" applyNumberFormat="1" applyFont="1" applyFill="1" applyAlignment="1">
      <alignment horizontal="right"/>
    </xf>
    <xf numFmtId="41" fontId="174" fillId="0" borderId="0" xfId="0" applyNumberFormat="1" applyFont="1" applyFill="1" applyBorder="1" applyAlignment="1">
      <alignment horizontal="right" vertical="top"/>
    </xf>
    <xf numFmtId="170" fontId="0" fillId="0" borderId="0" xfId="2" applyNumberFormat="1" applyFont="1" applyAlignment="1"/>
    <xf numFmtId="0" fontId="66" fillId="0" borderId="0" xfId="1776" applyNumberFormat="1" applyFont="1" applyAlignment="1">
      <alignment horizontal="left"/>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0" fillId="0" borderId="0" xfId="0" applyProtection="1"/>
    <xf numFmtId="0" fontId="43" fillId="0" borderId="10" xfId="2" quotePrefix="1" applyNumberFormat="1" applyFont="1" applyBorder="1" applyAlignment="1">
      <alignment horizontal="center"/>
    </xf>
    <xf numFmtId="166" fontId="48" fillId="0" borderId="0" xfId="8" quotePrefix="1" applyNumberFormat="1" applyFont="1" applyFill="1" applyAlignment="1"/>
    <xf numFmtId="164" fontId="211" fillId="0" borderId="68" xfId="2" applyNumberFormat="1" applyFont="1" applyBorder="1" applyAlignment="1" applyProtection="1"/>
    <xf numFmtId="192" fontId="48" fillId="0" borderId="0" xfId="8" quotePrefix="1" applyNumberFormat="1" applyFont="1" applyFill="1" applyAlignment="1">
      <alignment horizontal="right"/>
    </xf>
    <xf numFmtId="41" fontId="0" fillId="0" borderId="0" xfId="0" applyNumberFormat="1" applyAlignment="1">
      <alignment horizontal="center"/>
    </xf>
    <xf numFmtId="41" fontId="0" fillId="0" borderId="0" xfId="0" applyNumberFormat="1" applyAlignment="1">
      <alignment horizontal="right"/>
    </xf>
    <xf numFmtId="42" fontId="110" fillId="0" borderId="0" xfId="0" applyNumberFormat="1" applyFont="1" applyFill="1" applyBorder="1" applyAlignment="1">
      <alignment horizontal="right"/>
    </xf>
    <xf numFmtId="42" fontId="110" fillId="0" borderId="0" xfId="0" applyNumberFormat="1" applyFont="1" applyAlignment="1">
      <alignment horizontal="center" vertical="top"/>
    </xf>
    <xf numFmtId="42" fontId="110" fillId="0" borderId="0" xfId="0" applyNumberFormat="1" applyFont="1" applyFill="1" applyAlignment="1">
      <alignment horizontal="center" vertical="top"/>
    </xf>
    <xf numFmtId="42" fontId="212" fillId="0" borderId="0" xfId="0" applyNumberFormat="1" applyFont="1" applyAlignment="1">
      <alignment horizontal="right"/>
    </xf>
    <xf numFmtId="0" fontId="41" fillId="0" borderId="0" xfId="0" applyNumberFormat="1" applyFont="1" applyFill="1" applyBorder="1" applyAlignment="1">
      <alignment horizontal="left" vertical="top" wrapText="1"/>
    </xf>
    <xf numFmtId="41" fontId="174" fillId="0" borderId="0" xfId="1773" applyNumberFormat="1" applyFont="1" applyFill="1" applyAlignment="1">
      <alignment horizontal="right"/>
    </xf>
    <xf numFmtId="43" fontId="113" fillId="0" borderId="99" xfId="1773" applyNumberFormat="1" applyFont="1" applyFill="1" applyBorder="1" applyAlignment="1"/>
    <xf numFmtId="43" fontId="36" fillId="0" borderId="0" xfId="9049" applyNumberFormat="1" applyFont="1" applyFill="1" applyAlignment="1" applyProtection="1">
      <alignment horizontal="right"/>
      <protection locked="0"/>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11" xfId="0" applyNumberFormat="1" applyFont="1" applyBorder="1" applyAlignment="1" applyProtection="1">
      <alignment horizontal="left"/>
      <protection locked="0"/>
    </xf>
    <xf numFmtId="164" fontId="36" fillId="0" borderId="10" xfId="0" applyFont="1" applyBorder="1" applyAlignment="1" applyProtection="1">
      <alignment horizontal="left"/>
      <protection locked="0"/>
    </xf>
    <xf numFmtId="164" fontId="36" fillId="0" borderId="12"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8"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8" xfId="2" applyFont="1" applyFill="1" applyBorder="1" applyAlignment="1">
      <alignment horizontal="center"/>
    </xf>
    <xf numFmtId="0" fontId="43" fillId="0" borderId="68"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8" xfId="2" applyNumberFormat="1" applyFont="1" applyBorder="1" applyAlignment="1" applyProtection="1">
      <alignment horizontal="left"/>
      <protection locked="0"/>
    </xf>
    <xf numFmtId="0" fontId="43" fillId="0" borderId="10" xfId="2" quotePrefix="1" applyNumberFormat="1" applyFont="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0" fillId="0" borderId="10" xfId="2" applyFont="1" applyBorder="1" applyAlignment="1"/>
    <xf numFmtId="166" fontId="66" fillId="0" borderId="68" xfId="2" applyNumberFormat="1" applyFont="1" applyBorder="1" applyAlignment="1" applyProtection="1">
      <alignment horizontal="center"/>
      <protection locked="0"/>
    </xf>
    <xf numFmtId="165" fontId="66" fillId="0" borderId="68"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8" xfId="2" quotePrefix="1" applyNumberFormat="1" applyFont="1" applyBorder="1" applyAlignment="1">
      <alignment horizontal="center"/>
    </xf>
    <xf numFmtId="0" fontId="176" fillId="0" borderId="0" xfId="2" quotePrefix="1" applyNumberFormat="1" applyFont="1" applyBorder="1" applyAlignment="1">
      <alignment horizontal="center"/>
    </xf>
    <xf numFmtId="0" fontId="177" fillId="0" borderId="0" xfId="2" applyFont="1" applyBorder="1" applyAlignment="1">
      <alignment horizontal="center"/>
    </xf>
    <xf numFmtId="0" fontId="176" fillId="0" borderId="68" xfId="2" quotePrefix="1" applyNumberFormat="1" applyFont="1" applyBorder="1" applyAlignment="1">
      <alignment horizontal="center"/>
    </xf>
    <xf numFmtId="182" fontId="41" fillId="0" borderId="0" xfId="836" quotePrefix="1" applyNumberFormat="1" applyFont="1" applyAlignment="1">
      <alignment horizontal="justify" vertical="top"/>
    </xf>
    <xf numFmtId="0" fontId="38" fillId="0" borderId="0" xfId="836" applyAlignment="1">
      <alignment horizontal="justify"/>
    </xf>
    <xf numFmtId="182" fontId="41" fillId="0" borderId="0" xfId="836" quotePrefix="1" applyNumberFormat="1" applyFont="1" applyAlignment="1">
      <alignment horizontal="justify" vertical="top" wrapText="1"/>
    </xf>
    <xf numFmtId="0" fontId="38" fillId="0" borderId="0" xfId="836" applyFont="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2" fillId="0" borderId="68" xfId="9967" applyNumberFormat="1" applyFont="1" applyFill="1" applyBorder="1" applyAlignment="1" applyProtection="1">
      <alignment horizontal="center"/>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142</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140</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10"/>
  <sheetViews>
    <sheetView showGridLines="0" tabSelected="1" showOutlineSymbols="0" zoomScale="95" zoomScaleNormal="100" zoomScaleSheetLayoutView="100" workbookViewId="0"/>
  </sheetViews>
  <sheetFormatPr defaultColWidth="8.90625" defaultRowHeight="13.2"/>
  <cols>
    <col min="1" max="1" width="2.1796875" style="1088" customWidth="1"/>
    <col min="2" max="2" width="22.81640625" style="1088" customWidth="1"/>
    <col min="3" max="3" width="6" style="1088" customWidth="1"/>
    <col min="4" max="4" width="24.08984375" style="1088" customWidth="1"/>
    <col min="5" max="6" width="12.453125" style="1088" customWidth="1"/>
    <col min="7" max="7" width="4" style="1088" customWidth="1"/>
    <col min="8" max="8" width="12.453125" style="1088" customWidth="1"/>
    <col min="9" max="9" width="12" style="1088" customWidth="1"/>
    <col min="10" max="10" width="3.90625" style="1088" customWidth="1"/>
    <col min="11" max="11" width="28.453125" style="1088" customWidth="1"/>
    <col min="12" max="16384" width="8.90625" style="1088"/>
  </cols>
  <sheetData>
    <row r="1" spans="1:10" s="1085" customFormat="1">
      <c r="A1" s="1083"/>
      <c r="B1" s="1083"/>
      <c r="C1" s="1083"/>
      <c r="D1" s="1083"/>
      <c r="E1" s="1083"/>
      <c r="F1" s="1083"/>
      <c r="G1" s="1083"/>
      <c r="H1" s="1083"/>
      <c r="I1" s="1083"/>
      <c r="J1" s="1084"/>
    </row>
    <row r="2" spans="1:10" s="1085" customFormat="1">
      <c r="A2" s="1083"/>
      <c r="B2" s="1083"/>
      <c r="C2" s="1083"/>
      <c r="D2" s="1083"/>
      <c r="E2" s="1083"/>
      <c r="F2" s="1083"/>
      <c r="G2" s="1083"/>
      <c r="H2" s="1083"/>
      <c r="I2" s="1083"/>
      <c r="J2" s="1084"/>
    </row>
    <row r="3" spans="1:10" s="1085" customFormat="1">
      <c r="A3" s="1083"/>
      <c r="B3" s="1083"/>
      <c r="C3" s="1083"/>
      <c r="D3" s="1083"/>
      <c r="E3" s="1083"/>
      <c r="F3" s="1083"/>
      <c r="G3" s="1083"/>
      <c r="H3" s="1083"/>
      <c r="I3" s="1083"/>
      <c r="J3" s="1084"/>
    </row>
    <row r="4" spans="1:10" s="1085" customFormat="1">
      <c r="A4" s="1083" t="s">
        <v>1172</v>
      </c>
      <c r="B4" s="1083"/>
      <c r="C4" s="1083"/>
      <c r="D4" s="1083"/>
      <c r="E4" s="1083"/>
      <c r="F4" s="1083"/>
      <c r="G4" s="1083"/>
      <c r="H4" s="1083"/>
      <c r="I4" s="1560" t="s">
        <v>1168</v>
      </c>
      <c r="J4" s="1084"/>
    </row>
    <row r="5" spans="1:10" ht="17.399999999999999">
      <c r="A5" s="1083" t="s">
        <v>1170</v>
      </c>
      <c r="B5" s="1086"/>
      <c r="C5" s="1086"/>
      <c r="D5" s="1086"/>
      <c r="E5" s="1086"/>
      <c r="F5" s="1086"/>
      <c r="G5" s="1086"/>
      <c r="H5" s="1086"/>
      <c r="I5" s="1560" t="s">
        <v>1169</v>
      </c>
      <c r="J5" s="1087"/>
    </row>
    <row r="6" spans="1:10" ht="17.399999999999999">
      <c r="A6" s="1083" t="s">
        <v>1024</v>
      </c>
      <c r="B6" s="1086"/>
      <c r="C6" s="1086"/>
      <c r="D6" s="1086"/>
      <c r="E6" s="1086"/>
      <c r="F6" s="1086"/>
      <c r="G6" s="1086"/>
      <c r="H6" s="1086"/>
      <c r="I6" s="1086"/>
      <c r="J6" s="1087"/>
    </row>
    <row r="7" spans="1:10" ht="17.399999999999999">
      <c r="A7" s="1083" t="s">
        <v>1025</v>
      </c>
      <c r="B7" s="1086"/>
      <c r="C7" s="1086"/>
      <c r="D7" s="1086"/>
      <c r="E7" s="1086"/>
      <c r="F7" s="1086"/>
      <c r="G7" s="1086"/>
      <c r="H7" s="1086"/>
      <c r="I7" s="1086"/>
      <c r="J7" s="1087"/>
    </row>
    <row r="8" spans="1:10" ht="18" thickBot="1">
      <c r="A8" s="1086"/>
      <c r="B8" s="1086"/>
      <c r="C8" s="1086"/>
      <c r="D8" s="1086"/>
      <c r="E8" s="1086"/>
      <c r="F8" s="1086"/>
      <c r="G8" s="1086"/>
      <c r="H8" s="1086"/>
      <c r="I8" s="1086"/>
      <c r="J8" s="1087"/>
    </row>
    <row r="9" spans="1:10" ht="18" thickTop="1">
      <c r="A9" s="1089" t="s">
        <v>1026</v>
      </c>
      <c r="B9" s="1090"/>
      <c r="C9" s="1090"/>
      <c r="D9" s="1090"/>
      <c r="E9" s="1090"/>
      <c r="F9" s="1090"/>
      <c r="G9" s="1090"/>
      <c r="H9" s="1090"/>
      <c r="I9" s="1090"/>
      <c r="J9" s="1091"/>
    </row>
    <row r="10" spans="1:10" ht="18" thickBot="1">
      <c r="A10" s="3165" t="s">
        <v>1658</v>
      </c>
      <c r="B10" s="1086"/>
      <c r="C10" s="1086"/>
      <c r="D10" s="1086"/>
      <c r="E10" s="1086"/>
      <c r="F10" s="1086"/>
      <c r="G10" s="1086"/>
      <c r="H10" s="1086"/>
      <c r="I10" s="1086"/>
      <c r="J10" s="1091"/>
    </row>
    <row r="11" spans="1:10" ht="18" thickTop="1">
      <c r="A11" s="1092"/>
      <c r="B11" s="1093"/>
      <c r="C11" s="1093"/>
      <c r="D11" s="1093"/>
      <c r="E11" s="1093"/>
      <c r="F11" s="1093"/>
      <c r="G11" s="1093"/>
      <c r="H11" s="1093"/>
      <c r="I11" s="1093"/>
      <c r="J11" s="1094"/>
    </row>
    <row r="12" spans="1:10">
      <c r="A12" s="1083" t="s">
        <v>1027</v>
      </c>
      <c r="B12" s="1086"/>
      <c r="C12" s="1086"/>
      <c r="D12" s="1086"/>
      <c r="E12" s="1083"/>
      <c r="F12" s="1083"/>
      <c r="G12" s="1083"/>
      <c r="H12" s="1086"/>
      <c r="I12" s="1086"/>
      <c r="J12" s="1095"/>
    </row>
    <row r="13" spans="1:10">
      <c r="A13" s="1085"/>
      <c r="J13" s="1095"/>
    </row>
    <row r="14" spans="1:10">
      <c r="A14" s="1085" t="s">
        <v>1028</v>
      </c>
      <c r="B14" s="1098"/>
      <c r="J14" s="1096"/>
    </row>
    <row r="15" spans="1:10">
      <c r="A15" s="1085"/>
      <c r="B15" s="1204"/>
      <c r="J15" s="1096"/>
    </row>
    <row r="16" spans="1:10">
      <c r="A16" s="1085"/>
      <c r="B16" s="2688" t="s">
        <v>1061</v>
      </c>
      <c r="D16" s="1097" t="s">
        <v>1029</v>
      </c>
      <c r="F16" s="1098"/>
      <c r="J16" s="1205">
        <v>2</v>
      </c>
    </row>
    <row r="17" spans="1:255">
      <c r="A17" s="1085"/>
      <c r="B17" s="2688" t="s">
        <v>1062</v>
      </c>
      <c r="D17" s="1088" t="s">
        <v>1443</v>
      </c>
      <c r="E17" s="1100"/>
      <c r="F17" s="1101"/>
      <c r="G17" s="1100"/>
      <c r="H17" s="1100"/>
      <c r="I17" s="1100"/>
      <c r="J17" s="1205">
        <v>3</v>
      </c>
      <c r="M17" s="1102"/>
    </row>
    <row r="18" spans="1:255">
      <c r="A18" s="1103"/>
      <c r="B18" s="2683" t="s">
        <v>1063</v>
      </c>
      <c r="D18" s="1105" t="s">
        <v>1215</v>
      </c>
      <c r="E18" s="1097"/>
      <c r="F18" s="1097"/>
      <c r="G18" s="1097"/>
      <c r="H18" s="1097"/>
      <c r="I18" s="1097"/>
      <c r="J18" s="1205">
        <v>4</v>
      </c>
    </row>
    <row r="19" spans="1:255">
      <c r="A19" s="1085"/>
      <c r="B19" s="2683" t="s">
        <v>1064</v>
      </c>
      <c r="D19" s="1104" t="s">
        <v>1030</v>
      </c>
      <c r="E19" s="1104"/>
      <c r="F19" s="1104"/>
      <c r="G19" s="1104"/>
      <c r="H19" s="1104"/>
      <c r="I19" s="1104"/>
      <c r="J19" s="1205">
        <v>6</v>
      </c>
      <c r="M19" s="1102"/>
    </row>
    <row r="20" spans="1:255">
      <c r="A20" s="1085"/>
      <c r="B20" s="2683" t="s">
        <v>1065</v>
      </c>
      <c r="D20" s="1104" t="s">
        <v>1031</v>
      </c>
      <c r="E20" s="1104"/>
      <c r="F20" s="1104"/>
      <c r="G20" s="1104"/>
      <c r="H20" s="1104"/>
      <c r="I20" s="1104"/>
      <c r="J20" s="1205">
        <v>7</v>
      </c>
      <c r="M20" s="1102"/>
    </row>
    <row r="21" spans="1:255">
      <c r="A21" s="1085"/>
      <c r="B21" s="2683" t="s">
        <v>1403</v>
      </c>
      <c r="D21" s="1105" t="s">
        <v>1444</v>
      </c>
      <c r="E21" s="1104"/>
      <c r="F21" s="1104"/>
      <c r="G21" s="1104"/>
      <c r="H21" s="1104"/>
      <c r="I21" s="1104"/>
      <c r="J21" s="1205">
        <v>8</v>
      </c>
      <c r="M21" s="1102"/>
    </row>
    <row r="22" spans="1:255">
      <c r="A22" s="1085"/>
      <c r="B22" s="2683" t="s">
        <v>1404</v>
      </c>
      <c r="D22" s="1105" t="s">
        <v>1445</v>
      </c>
      <c r="E22" s="1104"/>
      <c r="F22" s="1104"/>
      <c r="G22" s="1104"/>
      <c r="H22" s="1104"/>
      <c r="I22" s="1104"/>
      <c r="J22" s="1205">
        <v>9</v>
      </c>
      <c r="M22" s="1102"/>
    </row>
    <row r="23" spans="1:255">
      <c r="A23" s="1085"/>
      <c r="B23" s="2683" t="s">
        <v>1405</v>
      </c>
      <c r="D23" s="1105" t="s">
        <v>1452</v>
      </c>
      <c r="E23" s="1104"/>
      <c r="F23" s="1104"/>
      <c r="G23" s="1104"/>
      <c r="H23" s="1104"/>
      <c r="I23" s="1104"/>
      <c r="J23" s="1205">
        <v>10</v>
      </c>
      <c r="M23" s="1102"/>
    </row>
    <row r="24" spans="1:255">
      <c r="A24" s="1085"/>
      <c r="B24" s="2683" t="s">
        <v>1406</v>
      </c>
      <c r="D24" s="1105" t="s">
        <v>1446</v>
      </c>
      <c r="E24" s="1104"/>
      <c r="F24" s="1104"/>
      <c r="G24" s="1104"/>
      <c r="H24" s="1104"/>
      <c r="I24" s="1104"/>
      <c r="J24" s="1205">
        <v>11</v>
      </c>
      <c r="M24" s="1102"/>
    </row>
    <row r="25" spans="1:255">
      <c r="A25" s="1085"/>
      <c r="B25" s="2683" t="s">
        <v>1407</v>
      </c>
      <c r="D25" s="1105" t="s">
        <v>1447</v>
      </c>
      <c r="E25" s="1104"/>
      <c r="F25" s="1104"/>
      <c r="G25" s="1104"/>
      <c r="H25" s="1104"/>
      <c r="I25" s="1104"/>
      <c r="J25" s="1205">
        <v>12</v>
      </c>
      <c r="M25" s="1102"/>
    </row>
    <row r="26" spans="1:255">
      <c r="A26" s="1085"/>
      <c r="B26" s="2683" t="s">
        <v>1408</v>
      </c>
      <c r="D26" s="1105" t="s">
        <v>1448</v>
      </c>
      <c r="E26" s="1104"/>
      <c r="F26" s="1104"/>
      <c r="G26" s="1104"/>
      <c r="H26" s="1104"/>
      <c r="I26" s="1104"/>
      <c r="J26" s="1205">
        <v>13</v>
      </c>
      <c r="M26" s="1102"/>
    </row>
    <row r="27" spans="1:255">
      <c r="A27" s="1085"/>
      <c r="B27" s="2683" t="s">
        <v>1409</v>
      </c>
      <c r="D27" s="1105" t="s">
        <v>1449</v>
      </c>
      <c r="E27" s="1104"/>
      <c r="F27" s="1104"/>
      <c r="G27" s="1104"/>
      <c r="H27" s="1104"/>
      <c r="I27" s="1104"/>
      <c r="J27" s="1205">
        <v>14</v>
      </c>
      <c r="M27" s="1102"/>
    </row>
    <row r="28" spans="1:255">
      <c r="A28" s="1085"/>
      <c r="B28" s="2683" t="s">
        <v>1410</v>
      </c>
      <c r="D28" s="1105" t="s">
        <v>1450</v>
      </c>
      <c r="E28" s="1104"/>
      <c r="F28" s="1104"/>
      <c r="G28" s="1104"/>
      <c r="H28" s="1104"/>
      <c r="I28" s="1104"/>
      <c r="J28" s="1205">
        <v>15</v>
      </c>
      <c r="M28" s="1102"/>
    </row>
    <row r="29" spans="1:255">
      <c r="A29" s="1085"/>
      <c r="B29" s="2683" t="s">
        <v>1066</v>
      </c>
      <c r="D29" s="1106" t="s">
        <v>1032</v>
      </c>
      <c r="E29" s="1104"/>
      <c r="F29" s="1104"/>
      <c r="G29" s="1104"/>
      <c r="H29" s="1104"/>
      <c r="I29" s="1104"/>
      <c r="J29" s="1205">
        <v>16</v>
      </c>
      <c r="M29" s="1102"/>
    </row>
    <row r="30" spans="1:255">
      <c r="A30" s="1085"/>
      <c r="B30" s="2688" t="s">
        <v>1089</v>
      </c>
      <c r="D30" s="1105" t="s">
        <v>1451</v>
      </c>
      <c r="E30" s="1105"/>
      <c r="F30" s="1105"/>
      <c r="G30" s="1105"/>
      <c r="H30" s="1105"/>
      <c r="I30" s="1105"/>
      <c r="J30" s="1205">
        <v>17</v>
      </c>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85"/>
      <c r="BF30" s="1085"/>
      <c r="BG30" s="1085"/>
      <c r="BH30" s="1085"/>
      <c r="BI30" s="1085"/>
      <c r="BJ30" s="1085"/>
      <c r="BK30" s="1085"/>
      <c r="BL30" s="1085"/>
      <c r="BM30" s="1085"/>
      <c r="BN30" s="1085"/>
      <c r="BO30" s="1085"/>
      <c r="BP30" s="1085"/>
      <c r="BQ30" s="1085"/>
      <c r="BR30" s="1085"/>
      <c r="BS30" s="1085"/>
      <c r="BT30" s="1085"/>
      <c r="BU30" s="1085"/>
      <c r="BV30" s="1085"/>
      <c r="BW30" s="1085"/>
      <c r="BX30" s="1085"/>
      <c r="BY30" s="1085"/>
      <c r="BZ30" s="1085"/>
      <c r="CA30" s="1085"/>
      <c r="CB30" s="1085"/>
      <c r="CC30" s="1085"/>
      <c r="CD30" s="1085"/>
      <c r="CE30" s="1085"/>
      <c r="CF30" s="1085"/>
      <c r="CG30" s="1085"/>
      <c r="CH30" s="1085"/>
      <c r="CI30" s="1085"/>
      <c r="CJ30" s="1085"/>
      <c r="CK30" s="1085"/>
      <c r="CL30" s="1085"/>
      <c r="CM30" s="1085"/>
      <c r="CN30" s="1085"/>
      <c r="CO30" s="1085"/>
      <c r="CP30" s="1085"/>
      <c r="CQ30" s="1085"/>
      <c r="CR30" s="1085"/>
      <c r="CS30" s="1085"/>
      <c r="CT30" s="1085"/>
      <c r="CU30" s="1085"/>
      <c r="CV30" s="1085"/>
      <c r="CW30" s="1085"/>
      <c r="CX30" s="1085"/>
      <c r="CY30" s="1085"/>
      <c r="CZ30" s="1085"/>
      <c r="DA30" s="1085"/>
      <c r="DB30" s="1085"/>
      <c r="DC30" s="1085"/>
      <c r="DD30" s="1085"/>
      <c r="DE30" s="1085"/>
      <c r="DF30" s="1085"/>
      <c r="DG30" s="1085"/>
      <c r="DH30" s="1085"/>
      <c r="DI30" s="1085"/>
      <c r="DJ30" s="1085"/>
      <c r="DK30" s="1085"/>
      <c r="DL30" s="1085"/>
      <c r="DM30" s="1085"/>
      <c r="DN30" s="1085"/>
      <c r="DO30" s="1085"/>
      <c r="DP30" s="1085"/>
      <c r="DQ30" s="1085"/>
      <c r="DR30" s="1085"/>
      <c r="DS30" s="1085"/>
      <c r="DT30" s="1085"/>
      <c r="DU30" s="1085"/>
      <c r="DV30" s="1085"/>
      <c r="DW30" s="1085"/>
      <c r="DX30" s="1085"/>
      <c r="DY30" s="1085"/>
      <c r="DZ30" s="1085"/>
      <c r="EA30" s="1085"/>
      <c r="EB30" s="1085"/>
      <c r="EC30" s="1085"/>
      <c r="ED30" s="1085"/>
      <c r="EE30" s="1085"/>
      <c r="EF30" s="1085"/>
      <c r="EG30" s="1085"/>
      <c r="EH30" s="1085"/>
      <c r="EI30" s="1085"/>
      <c r="EJ30" s="1085"/>
      <c r="EK30" s="1085"/>
      <c r="EL30" s="1085"/>
      <c r="EM30" s="1085"/>
      <c r="EN30" s="1085"/>
      <c r="EO30" s="1085"/>
      <c r="EP30" s="1085"/>
      <c r="EQ30" s="1085"/>
      <c r="ER30" s="1085"/>
      <c r="ES30" s="1085"/>
      <c r="ET30" s="1085"/>
      <c r="EU30" s="1085"/>
      <c r="EV30" s="1085"/>
      <c r="EW30" s="1085"/>
      <c r="EX30" s="1085"/>
      <c r="EY30" s="1085"/>
      <c r="EZ30" s="1085"/>
      <c r="FA30" s="1085"/>
      <c r="FB30" s="1085"/>
      <c r="FC30" s="1085"/>
      <c r="FD30" s="1085"/>
      <c r="FE30" s="1085"/>
      <c r="FF30" s="1085"/>
      <c r="FG30" s="1085"/>
      <c r="FH30" s="1085"/>
      <c r="FI30" s="1085"/>
      <c r="FJ30" s="1085"/>
      <c r="FK30" s="1085"/>
      <c r="FL30" s="1085"/>
      <c r="FM30" s="1085"/>
      <c r="FN30" s="1085"/>
      <c r="FO30" s="1085"/>
      <c r="FP30" s="1085"/>
      <c r="FQ30" s="1085"/>
      <c r="FR30" s="1085"/>
      <c r="FS30" s="1085"/>
      <c r="FT30" s="1085"/>
      <c r="FU30" s="1085"/>
      <c r="FV30" s="1085"/>
      <c r="FW30" s="1085"/>
      <c r="FX30" s="1085"/>
      <c r="FY30" s="1085"/>
      <c r="FZ30" s="1085"/>
      <c r="GA30" s="1085"/>
      <c r="GB30" s="1085"/>
      <c r="GC30" s="1085"/>
      <c r="GD30" s="1085"/>
      <c r="GE30" s="1085"/>
      <c r="GF30" s="1085"/>
      <c r="GG30" s="1085"/>
      <c r="GH30" s="1085"/>
      <c r="GI30" s="1085"/>
      <c r="GJ30" s="1085"/>
      <c r="GK30" s="1085"/>
      <c r="GL30" s="1085"/>
      <c r="GM30" s="1085"/>
      <c r="GN30" s="1085"/>
      <c r="GO30" s="1085"/>
      <c r="GP30" s="1085"/>
      <c r="GQ30" s="1085"/>
      <c r="GR30" s="1085"/>
      <c r="GS30" s="1085"/>
      <c r="GT30" s="1085"/>
      <c r="GU30" s="1085"/>
      <c r="GV30" s="1085"/>
      <c r="GW30" s="1085"/>
      <c r="GX30" s="1085"/>
      <c r="GY30" s="1085"/>
      <c r="GZ30" s="1085"/>
      <c r="HA30" s="1085"/>
      <c r="HB30" s="1085"/>
      <c r="HC30" s="1085"/>
      <c r="HD30" s="1085"/>
      <c r="HE30" s="1085"/>
      <c r="HF30" s="1085"/>
      <c r="HG30" s="1085"/>
      <c r="HH30" s="1085"/>
      <c r="HI30" s="1085"/>
      <c r="HJ30" s="1085"/>
      <c r="HK30" s="1085"/>
      <c r="HL30" s="1085"/>
      <c r="HM30" s="1085"/>
      <c r="HN30" s="1085"/>
      <c r="HO30" s="1085"/>
      <c r="HP30" s="1085"/>
      <c r="HQ30" s="1085"/>
      <c r="HR30" s="1085"/>
      <c r="HS30" s="1085"/>
      <c r="HT30" s="1085"/>
      <c r="HU30" s="1085"/>
      <c r="HV30" s="1085"/>
      <c r="HW30" s="1085"/>
      <c r="HX30" s="1085"/>
      <c r="HY30" s="1085"/>
      <c r="HZ30" s="1085"/>
      <c r="IA30" s="1085"/>
      <c r="IB30" s="1085"/>
      <c r="IC30" s="1085"/>
      <c r="ID30" s="1085"/>
      <c r="IE30" s="1085"/>
      <c r="IF30" s="1085"/>
      <c r="IG30" s="1085"/>
      <c r="IH30" s="1085"/>
      <c r="II30" s="1085"/>
      <c r="IJ30" s="1085"/>
      <c r="IK30" s="1085"/>
      <c r="IL30" s="1085"/>
      <c r="IM30" s="1085"/>
      <c r="IN30" s="1085"/>
      <c r="IO30" s="1085"/>
      <c r="IP30" s="1085"/>
      <c r="IQ30" s="1085"/>
      <c r="IR30" s="1085"/>
      <c r="IS30" s="1085"/>
      <c r="IT30" s="1085"/>
      <c r="IU30" s="1085"/>
    </row>
    <row r="31" spans="1:255">
      <c r="A31" s="1085"/>
      <c r="B31" s="2683" t="s">
        <v>1411</v>
      </c>
      <c r="D31" s="1105" t="s">
        <v>1443</v>
      </c>
      <c r="E31" s="1100"/>
      <c r="F31" s="1100"/>
      <c r="G31" s="1100"/>
      <c r="H31" s="1100"/>
      <c r="I31" s="1100"/>
      <c r="J31" s="1205">
        <v>19</v>
      </c>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085"/>
      <c r="ES31" s="1085"/>
      <c r="ET31" s="1085"/>
      <c r="EU31" s="1085"/>
      <c r="EV31" s="1085"/>
      <c r="EW31" s="1085"/>
      <c r="EX31" s="1085"/>
      <c r="EY31" s="1085"/>
      <c r="EZ31" s="1085"/>
      <c r="FA31" s="1085"/>
      <c r="FB31" s="1085"/>
      <c r="FC31" s="1085"/>
      <c r="FD31" s="1085"/>
      <c r="FE31" s="1085"/>
      <c r="FF31" s="1085"/>
      <c r="FG31" s="1085"/>
      <c r="FH31" s="1085"/>
      <c r="FI31" s="1085"/>
      <c r="FJ31" s="1085"/>
      <c r="FK31" s="1085"/>
      <c r="FL31" s="1085"/>
      <c r="FM31" s="1085"/>
      <c r="FN31" s="1085"/>
      <c r="FO31" s="1085"/>
      <c r="FP31" s="1085"/>
      <c r="FQ31" s="1085"/>
      <c r="FR31" s="1085"/>
      <c r="FS31" s="1085"/>
      <c r="FT31" s="1085"/>
      <c r="FU31" s="1085"/>
      <c r="FV31" s="1085"/>
      <c r="FW31" s="1085"/>
      <c r="FX31" s="1085"/>
      <c r="FY31" s="1085"/>
      <c r="FZ31" s="1085"/>
      <c r="GA31" s="1085"/>
      <c r="GB31" s="1085"/>
      <c r="GC31" s="1085"/>
      <c r="GD31" s="1085"/>
      <c r="GE31" s="1085"/>
      <c r="GF31" s="1085"/>
      <c r="GG31" s="1085"/>
      <c r="GH31" s="1085"/>
      <c r="GI31" s="1085"/>
      <c r="GJ31" s="1085"/>
      <c r="GK31" s="1085"/>
      <c r="GL31" s="1085"/>
      <c r="GM31" s="1085"/>
      <c r="GN31" s="1085"/>
      <c r="GO31" s="1085"/>
      <c r="GP31" s="1085"/>
      <c r="GQ31" s="1085"/>
      <c r="GR31" s="1085"/>
      <c r="GS31" s="1085"/>
      <c r="GT31" s="1085"/>
      <c r="GU31" s="1085"/>
      <c r="GV31" s="1085"/>
      <c r="GW31" s="1085"/>
      <c r="GX31" s="1085"/>
      <c r="GY31" s="1085"/>
      <c r="GZ31" s="1085"/>
      <c r="HA31" s="1085"/>
      <c r="HB31" s="1085"/>
      <c r="HC31" s="1085"/>
      <c r="HD31" s="1085"/>
      <c r="HE31" s="1085"/>
      <c r="HF31" s="1085"/>
      <c r="HG31" s="1085"/>
      <c r="HH31" s="1085"/>
      <c r="HI31" s="1085"/>
      <c r="HJ31" s="1085"/>
      <c r="HK31" s="1085"/>
      <c r="HL31" s="1085"/>
      <c r="HM31" s="1085"/>
      <c r="HN31" s="1085"/>
      <c r="HO31" s="1085"/>
      <c r="HP31" s="1085"/>
      <c r="HQ31" s="1085"/>
      <c r="HR31" s="1085"/>
      <c r="HS31" s="1085"/>
      <c r="HT31" s="1085"/>
      <c r="HU31" s="1085"/>
      <c r="HV31" s="1085"/>
      <c r="HW31" s="1085"/>
      <c r="HX31" s="1085"/>
      <c r="HY31" s="1085"/>
      <c r="HZ31" s="1085"/>
      <c r="IA31" s="1085"/>
      <c r="IB31" s="1085"/>
      <c r="IC31" s="1085"/>
      <c r="ID31" s="1085"/>
      <c r="IE31" s="1085"/>
      <c r="IF31" s="1085"/>
      <c r="IG31" s="1085"/>
      <c r="IH31" s="1085"/>
      <c r="II31" s="1085"/>
      <c r="IJ31" s="1085"/>
      <c r="IK31" s="1085"/>
      <c r="IL31" s="1085"/>
      <c r="IM31" s="1085"/>
      <c r="IN31" s="1085"/>
      <c r="IO31" s="1085"/>
      <c r="IP31" s="1085"/>
      <c r="IQ31" s="1085"/>
      <c r="IR31" s="1085"/>
      <c r="IS31" s="1085"/>
      <c r="IT31" s="1085"/>
      <c r="IU31" s="1085"/>
    </row>
    <row r="32" spans="1:255">
      <c r="A32" s="1085"/>
      <c r="B32" s="2683"/>
      <c r="D32" s="1107"/>
      <c r="E32" s="1107"/>
      <c r="F32" s="1107"/>
      <c r="G32" s="1107"/>
      <c r="H32" s="1107"/>
      <c r="I32" s="1107"/>
      <c r="J32" s="1205"/>
      <c r="K32" s="1085"/>
      <c r="L32" s="1085"/>
      <c r="M32" s="1085"/>
      <c r="N32" s="1085"/>
      <c r="O32" s="1085"/>
      <c r="P32" s="1085"/>
      <c r="Q32" s="1085"/>
      <c r="R32" s="1085"/>
      <c r="S32" s="1085"/>
      <c r="T32" s="1085"/>
      <c r="U32" s="1085"/>
      <c r="V32" s="1085"/>
      <c r="W32" s="1085"/>
      <c r="X32" s="1085"/>
      <c r="Y32" s="1085"/>
      <c r="Z32" s="1085"/>
      <c r="AA32" s="1085"/>
      <c r="AB32" s="1085"/>
      <c r="AC32" s="1085"/>
      <c r="AD32" s="1085"/>
      <c r="AE32" s="1085"/>
      <c r="AF32" s="1085"/>
      <c r="AG32" s="1085"/>
      <c r="AH32" s="1085"/>
      <c r="AI32" s="1085"/>
      <c r="AJ32" s="1085"/>
      <c r="AK32" s="1085"/>
      <c r="AL32" s="1085"/>
      <c r="AM32" s="1085"/>
      <c r="AN32" s="1085"/>
      <c r="AO32" s="1085"/>
      <c r="AP32" s="1085"/>
      <c r="AQ32" s="1085"/>
      <c r="AR32" s="1085"/>
      <c r="AS32" s="1085"/>
      <c r="AT32" s="1085"/>
      <c r="AU32" s="1085"/>
      <c r="AV32" s="1085"/>
      <c r="AW32" s="1085"/>
      <c r="AX32" s="1085"/>
      <c r="AY32" s="1085"/>
      <c r="AZ32" s="1085"/>
      <c r="BA32" s="1085"/>
      <c r="BB32" s="1085"/>
      <c r="BC32" s="1085"/>
      <c r="BD32" s="1085"/>
      <c r="BE32" s="1085"/>
      <c r="BF32" s="1085"/>
      <c r="BG32" s="1085"/>
      <c r="BH32" s="1085"/>
      <c r="BI32" s="1085"/>
      <c r="BJ32" s="1085"/>
      <c r="BK32" s="1085"/>
      <c r="BL32" s="1085"/>
      <c r="BM32" s="1085"/>
      <c r="BN32" s="1085"/>
      <c r="BO32" s="1085"/>
      <c r="BP32" s="1085"/>
      <c r="BQ32" s="1085"/>
      <c r="BR32" s="1085"/>
      <c r="BS32" s="1085"/>
      <c r="BT32" s="1085"/>
      <c r="BU32" s="1085"/>
      <c r="BV32" s="1085"/>
      <c r="BW32" s="1085"/>
      <c r="BX32" s="1085"/>
      <c r="BY32" s="1085"/>
      <c r="BZ32" s="1085"/>
      <c r="CA32" s="1085"/>
      <c r="CB32" s="1085"/>
      <c r="CC32" s="1085"/>
      <c r="CD32" s="1085"/>
      <c r="CE32" s="1085"/>
      <c r="CF32" s="1085"/>
      <c r="CG32" s="1085"/>
      <c r="CH32" s="1085"/>
      <c r="CI32" s="1085"/>
      <c r="CJ32" s="1085"/>
      <c r="CK32" s="1085"/>
      <c r="CL32" s="1085"/>
      <c r="CM32" s="1085"/>
      <c r="CN32" s="1085"/>
      <c r="CO32" s="1085"/>
      <c r="CP32" s="1085"/>
      <c r="CQ32" s="1085"/>
      <c r="CR32" s="1085"/>
      <c r="CS32" s="1085"/>
      <c r="CT32" s="1085"/>
      <c r="CU32" s="1085"/>
      <c r="CV32" s="1085"/>
      <c r="CW32" s="1085"/>
      <c r="CX32" s="1085"/>
      <c r="CY32" s="1085"/>
      <c r="CZ32" s="1085"/>
      <c r="DA32" s="1085"/>
      <c r="DB32" s="1085"/>
      <c r="DC32" s="1085"/>
      <c r="DD32" s="1085"/>
      <c r="DE32" s="1085"/>
      <c r="DF32" s="1085"/>
      <c r="DG32" s="1085"/>
      <c r="DH32" s="1085"/>
      <c r="DI32" s="1085"/>
      <c r="DJ32" s="1085"/>
      <c r="DK32" s="1085"/>
      <c r="DL32" s="1085"/>
      <c r="DM32" s="1085"/>
      <c r="DN32" s="1085"/>
      <c r="DO32" s="1085"/>
      <c r="DP32" s="1085"/>
      <c r="DQ32" s="1085"/>
      <c r="DR32" s="1085"/>
      <c r="DS32" s="1085"/>
      <c r="DT32" s="1085"/>
      <c r="DU32" s="1085"/>
      <c r="DV32" s="1085"/>
      <c r="DW32" s="1085"/>
      <c r="DX32" s="1085"/>
      <c r="DY32" s="1085"/>
      <c r="DZ32" s="1085"/>
      <c r="EA32" s="1085"/>
      <c r="EB32" s="1085"/>
      <c r="EC32" s="1085"/>
      <c r="ED32" s="1085"/>
      <c r="EE32" s="1085"/>
      <c r="EF32" s="1085"/>
      <c r="EG32" s="1085"/>
      <c r="EH32" s="1085"/>
      <c r="EI32" s="1085"/>
      <c r="EJ32" s="1085"/>
      <c r="EK32" s="1085"/>
      <c r="EL32" s="1085"/>
      <c r="EM32" s="1085"/>
      <c r="EN32" s="1085"/>
      <c r="EO32" s="1085"/>
      <c r="EP32" s="1085"/>
      <c r="EQ32" s="1085"/>
      <c r="ER32" s="1085"/>
      <c r="ES32" s="1085"/>
      <c r="ET32" s="1085"/>
      <c r="EU32" s="1085"/>
      <c r="EV32" s="1085"/>
      <c r="EW32" s="1085"/>
      <c r="EX32" s="1085"/>
      <c r="EY32" s="1085"/>
      <c r="EZ32" s="1085"/>
      <c r="FA32" s="1085"/>
      <c r="FB32" s="1085"/>
      <c r="FC32" s="1085"/>
      <c r="FD32" s="1085"/>
      <c r="FE32" s="1085"/>
      <c r="FF32" s="1085"/>
      <c r="FG32" s="1085"/>
      <c r="FH32" s="1085"/>
      <c r="FI32" s="1085"/>
      <c r="FJ32" s="1085"/>
      <c r="FK32" s="1085"/>
      <c r="FL32" s="1085"/>
      <c r="FM32" s="1085"/>
      <c r="FN32" s="1085"/>
      <c r="FO32" s="1085"/>
      <c r="FP32" s="1085"/>
      <c r="FQ32" s="1085"/>
      <c r="FR32" s="1085"/>
      <c r="FS32" s="1085"/>
      <c r="FT32" s="1085"/>
      <c r="FU32" s="1085"/>
      <c r="FV32" s="1085"/>
      <c r="FW32" s="1085"/>
      <c r="FX32" s="1085"/>
      <c r="FY32" s="1085"/>
      <c r="FZ32" s="1085"/>
      <c r="GA32" s="1085"/>
      <c r="GB32" s="1085"/>
      <c r="GC32" s="1085"/>
      <c r="GD32" s="1085"/>
      <c r="GE32" s="1085"/>
      <c r="GF32" s="1085"/>
      <c r="GG32" s="1085"/>
      <c r="GH32" s="1085"/>
      <c r="GI32" s="1085"/>
      <c r="GJ32" s="1085"/>
      <c r="GK32" s="1085"/>
      <c r="GL32" s="1085"/>
      <c r="GM32" s="1085"/>
      <c r="GN32" s="1085"/>
      <c r="GO32" s="1085"/>
      <c r="GP32" s="1085"/>
      <c r="GQ32" s="1085"/>
      <c r="GR32" s="1085"/>
      <c r="GS32" s="1085"/>
      <c r="GT32" s="1085"/>
      <c r="GU32" s="1085"/>
      <c r="GV32" s="1085"/>
      <c r="GW32" s="1085"/>
      <c r="GX32" s="1085"/>
      <c r="GY32" s="1085"/>
      <c r="GZ32" s="1085"/>
      <c r="HA32" s="1085"/>
      <c r="HB32" s="1085"/>
      <c r="HC32" s="1085"/>
      <c r="HD32" s="1085"/>
      <c r="HE32" s="1085"/>
      <c r="HF32" s="1085"/>
      <c r="HG32" s="1085"/>
      <c r="HH32" s="1085"/>
      <c r="HI32" s="1085"/>
      <c r="HJ32" s="1085"/>
      <c r="HK32" s="1085"/>
      <c r="HL32" s="1085"/>
      <c r="HM32" s="1085"/>
      <c r="HN32" s="1085"/>
      <c r="HO32" s="1085"/>
      <c r="HP32" s="1085"/>
      <c r="HQ32" s="1085"/>
      <c r="HR32" s="1085"/>
      <c r="HS32" s="1085"/>
      <c r="HT32" s="1085"/>
      <c r="HU32" s="1085"/>
      <c r="HV32" s="1085"/>
      <c r="HW32" s="1085"/>
      <c r="HX32" s="1085"/>
      <c r="HY32" s="1085"/>
      <c r="HZ32" s="1085"/>
      <c r="IA32" s="1085"/>
      <c r="IB32" s="1085"/>
      <c r="IC32" s="1085"/>
      <c r="ID32" s="1085"/>
      <c r="IE32" s="1085"/>
      <c r="IF32" s="1085"/>
      <c r="IG32" s="1085"/>
      <c r="IH32" s="1085"/>
      <c r="II32" s="1085"/>
      <c r="IJ32" s="1085"/>
      <c r="IK32" s="1085"/>
      <c r="IL32" s="1085"/>
      <c r="IM32" s="1085"/>
      <c r="IN32" s="1085"/>
      <c r="IO32" s="1085"/>
      <c r="IP32" s="1085"/>
      <c r="IQ32" s="1085"/>
      <c r="IR32" s="1085"/>
      <c r="IS32" s="1085"/>
      <c r="IT32" s="1085"/>
      <c r="IU32" s="1085"/>
    </row>
    <row r="33" spans="1:255">
      <c r="A33" s="1085"/>
      <c r="B33" s="2684"/>
      <c r="D33" s="1107"/>
      <c r="E33" s="1107"/>
      <c r="F33" s="1107"/>
      <c r="G33" s="1107"/>
      <c r="H33" s="1107"/>
      <c r="I33" s="1107"/>
      <c r="J33" s="1205"/>
      <c r="M33" s="1102"/>
    </row>
    <row r="34" spans="1:255">
      <c r="A34" s="1085" t="s">
        <v>1033</v>
      </c>
      <c r="B34" s="2685"/>
      <c r="C34" s="1085"/>
      <c r="D34" s="1085"/>
      <c r="E34" s="1085"/>
      <c r="F34" s="1085"/>
      <c r="G34" s="1085"/>
      <c r="H34" s="1085"/>
      <c r="I34" s="1085"/>
      <c r="J34" s="1206"/>
      <c r="M34" s="1102"/>
    </row>
    <row r="35" spans="1:255">
      <c r="A35" s="1085"/>
      <c r="B35" s="2685"/>
      <c r="C35" s="1085"/>
      <c r="D35" s="1108"/>
      <c r="E35" s="1108"/>
      <c r="F35" s="1108"/>
      <c r="G35" s="1108"/>
      <c r="H35" s="1108"/>
      <c r="I35" s="1108"/>
      <c r="J35" s="1207"/>
      <c r="M35" s="1102"/>
    </row>
    <row r="36" spans="1:255">
      <c r="A36" s="1085"/>
      <c r="B36" s="2688" t="s">
        <v>1067</v>
      </c>
      <c r="D36" s="1097" t="s">
        <v>1094</v>
      </c>
      <c r="E36" s="1097"/>
      <c r="F36" s="1097"/>
      <c r="G36" s="1097"/>
      <c r="H36" s="1097"/>
      <c r="I36" s="1097"/>
      <c r="J36" s="1205">
        <v>21</v>
      </c>
      <c r="M36" s="1102"/>
    </row>
    <row r="37" spans="1:255">
      <c r="A37" s="1085"/>
      <c r="B37" s="2688" t="s">
        <v>1034</v>
      </c>
      <c r="D37" s="1107" t="s">
        <v>1086</v>
      </c>
      <c r="E37" s="1107"/>
      <c r="F37" s="1107"/>
      <c r="G37" s="1107"/>
      <c r="H37" s="1107"/>
      <c r="I37" s="1107"/>
      <c r="J37" s="1205">
        <v>23</v>
      </c>
      <c r="M37" s="1102"/>
    </row>
    <row r="38" spans="1:255">
      <c r="A38" s="1085"/>
      <c r="B38" s="2688" t="s">
        <v>1068</v>
      </c>
      <c r="D38" s="1104" t="s">
        <v>1035</v>
      </c>
      <c r="E38" s="1104"/>
      <c r="F38" s="1104"/>
      <c r="G38" s="1104"/>
      <c r="H38" s="1104"/>
      <c r="I38" s="1104"/>
      <c r="J38" s="1205">
        <v>25</v>
      </c>
      <c r="M38" s="1102"/>
    </row>
    <row r="39" spans="1:255">
      <c r="A39" s="1085"/>
      <c r="B39" s="2688" t="s">
        <v>1069</v>
      </c>
      <c r="D39" s="1104" t="s">
        <v>1087</v>
      </c>
      <c r="E39" s="1104"/>
      <c r="F39" s="1104"/>
      <c r="G39" s="1104"/>
      <c r="H39" s="1104"/>
      <c r="I39" s="1104"/>
      <c r="J39" s="1205">
        <v>27</v>
      </c>
      <c r="M39" s="1102"/>
    </row>
    <row r="40" spans="1:255">
      <c r="A40" s="1085"/>
      <c r="B40" s="2683" t="s">
        <v>1036</v>
      </c>
      <c r="D40" s="1104" t="s">
        <v>1289</v>
      </c>
      <c r="E40" s="1104"/>
      <c r="F40" s="1104"/>
      <c r="G40" s="1104"/>
      <c r="H40" s="1104"/>
      <c r="I40" s="1104"/>
      <c r="J40" s="1205">
        <v>29</v>
      </c>
      <c r="M40" s="1102"/>
    </row>
    <row r="41" spans="1:255">
      <c r="A41" s="1085"/>
      <c r="B41" s="2688" t="s">
        <v>1037</v>
      </c>
      <c r="D41" s="1104" t="s">
        <v>1235</v>
      </c>
      <c r="E41" s="1104"/>
      <c r="F41" s="1104"/>
      <c r="G41" s="1104"/>
      <c r="H41" s="1104"/>
      <c r="I41" s="1104"/>
      <c r="J41" s="1205">
        <v>30</v>
      </c>
      <c r="M41" s="1102"/>
    </row>
    <row r="42" spans="1:255">
      <c r="A42" s="1085"/>
      <c r="B42" s="2683" t="s">
        <v>1070</v>
      </c>
      <c r="D42" s="1104" t="s">
        <v>1088</v>
      </c>
      <c r="E42" s="1104"/>
      <c r="F42" s="1104"/>
      <c r="G42" s="1104"/>
      <c r="H42" s="1104"/>
      <c r="I42" s="1104"/>
      <c r="J42" s="1205">
        <v>32</v>
      </c>
      <c r="M42" s="1102"/>
    </row>
    <row r="43" spans="1:255">
      <c r="A43" s="1085"/>
      <c r="B43" s="2688" t="s">
        <v>1071</v>
      </c>
      <c r="D43" s="1104" t="s">
        <v>1090</v>
      </c>
      <c r="E43" s="1104"/>
      <c r="F43" s="1104"/>
      <c r="G43" s="1104"/>
      <c r="H43" s="1104"/>
      <c r="I43" s="1104"/>
      <c r="J43" s="1205">
        <v>34</v>
      </c>
      <c r="M43" s="1102"/>
    </row>
    <row r="44" spans="1:255">
      <c r="A44" s="1085"/>
      <c r="B44" s="2683" t="s">
        <v>1038</v>
      </c>
      <c r="D44" s="1104" t="s">
        <v>1095</v>
      </c>
      <c r="E44" s="1104"/>
      <c r="F44" s="1104"/>
      <c r="G44" s="1104"/>
      <c r="H44" s="1104"/>
      <c r="I44" s="1104"/>
      <c r="J44" s="1205">
        <v>35</v>
      </c>
      <c r="M44" s="1102"/>
    </row>
    <row r="45" spans="1:255">
      <c r="A45" s="1085"/>
      <c r="B45" s="2683" t="s">
        <v>1039</v>
      </c>
      <c r="D45" s="1104" t="s">
        <v>1091</v>
      </c>
      <c r="E45" s="1104"/>
      <c r="F45" s="1104"/>
      <c r="G45" s="1104"/>
      <c r="H45" s="1104"/>
      <c r="I45" s="1104"/>
      <c r="J45" s="1205">
        <v>36</v>
      </c>
      <c r="M45" s="1102"/>
    </row>
    <row r="46" spans="1:255">
      <c r="A46" s="1085"/>
      <c r="B46" s="2683" t="s">
        <v>1040</v>
      </c>
      <c r="D46" s="1104" t="s">
        <v>1092</v>
      </c>
      <c r="E46" s="1104"/>
      <c r="F46" s="1104"/>
      <c r="G46" s="1104"/>
      <c r="H46" s="1104"/>
      <c r="I46" s="1104"/>
      <c r="J46" s="1205">
        <v>37</v>
      </c>
      <c r="M46" s="1102"/>
    </row>
    <row r="47" spans="1:255">
      <c r="A47" s="1085"/>
      <c r="B47" s="2683" t="s">
        <v>1041</v>
      </c>
      <c r="D47" s="1105" t="s">
        <v>1093</v>
      </c>
      <c r="E47" s="1105"/>
      <c r="F47" s="1105"/>
      <c r="G47" s="1105"/>
      <c r="H47" s="1105"/>
      <c r="I47" s="1105"/>
      <c r="J47" s="1205">
        <v>38</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c r="DV47" s="1085"/>
      <c r="DW47" s="1085"/>
      <c r="DX47" s="1085"/>
      <c r="DY47" s="1085"/>
      <c r="DZ47" s="1085"/>
      <c r="EA47" s="1085"/>
      <c r="EB47" s="1085"/>
      <c r="EC47" s="1085"/>
      <c r="ED47" s="1085"/>
      <c r="EE47" s="1085"/>
      <c r="EF47" s="1085"/>
      <c r="EG47" s="1085"/>
      <c r="EH47" s="1085"/>
      <c r="EI47" s="1085"/>
      <c r="EJ47" s="1085"/>
      <c r="EK47" s="1085"/>
      <c r="EL47" s="1085"/>
      <c r="EM47" s="1085"/>
      <c r="EN47" s="1085"/>
      <c r="EO47" s="1085"/>
      <c r="EP47" s="1085"/>
      <c r="EQ47" s="1085"/>
      <c r="ER47" s="1085"/>
      <c r="ES47" s="1085"/>
      <c r="ET47" s="1085"/>
      <c r="EU47" s="1085"/>
      <c r="EV47" s="1085"/>
      <c r="EW47" s="1085"/>
      <c r="EX47" s="1085"/>
      <c r="EY47" s="1085"/>
      <c r="EZ47" s="1085"/>
      <c r="FA47" s="1085"/>
      <c r="FB47" s="1085"/>
      <c r="FC47" s="1085"/>
      <c r="FD47" s="1085"/>
      <c r="FE47" s="1085"/>
      <c r="FF47" s="1085"/>
      <c r="FG47" s="1085"/>
      <c r="FH47" s="1085"/>
      <c r="FI47" s="1085"/>
      <c r="FJ47" s="1085"/>
      <c r="FK47" s="1085"/>
      <c r="FL47" s="1085"/>
      <c r="FM47" s="1085"/>
      <c r="FN47" s="1085"/>
      <c r="FO47" s="1085"/>
      <c r="FP47" s="1085"/>
      <c r="FQ47" s="1085"/>
      <c r="FR47" s="1085"/>
      <c r="FS47" s="1085"/>
      <c r="FT47" s="1085"/>
      <c r="FU47" s="1085"/>
      <c r="FV47" s="1085"/>
      <c r="FW47" s="1085"/>
      <c r="FX47" s="1085"/>
      <c r="FY47" s="1085"/>
      <c r="FZ47" s="1085"/>
      <c r="GA47" s="1085"/>
      <c r="GB47" s="1085"/>
      <c r="GC47" s="1085"/>
      <c r="GD47" s="1085"/>
      <c r="GE47" s="1085"/>
      <c r="GF47" s="1085"/>
      <c r="GG47" s="1085"/>
      <c r="GH47" s="1085"/>
      <c r="GI47" s="1085"/>
      <c r="GJ47" s="1085"/>
      <c r="GK47" s="1085"/>
      <c r="GL47" s="1085"/>
      <c r="GM47" s="1085"/>
      <c r="GN47" s="1085"/>
      <c r="GO47" s="1085"/>
      <c r="GP47" s="1085"/>
      <c r="GQ47" s="1085"/>
      <c r="GR47" s="1085"/>
      <c r="GS47" s="1085"/>
      <c r="GT47" s="1085"/>
      <c r="GU47" s="1085"/>
      <c r="GV47" s="1085"/>
      <c r="GW47" s="1085"/>
      <c r="GX47" s="1085"/>
      <c r="GY47" s="1085"/>
      <c r="GZ47" s="1085"/>
      <c r="HA47" s="1085"/>
      <c r="HB47" s="1085"/>
      <c r="HC47" s="1085"/>
      <c r="HD47" s="1085"/>
      <c r="HE47" s="1085"/>
      <c r="HF47" s="1085"/>
      <c r="HG47" s="1085"/>
      <c r="HH47" s="1085"/>
      <c r="HI47" s="1085"/>
      <c r="HJ47" s="1085"/>
      <c r="HK47" s="1085"/>
      <c r="HL47" s="1085"/>
      <c r="HM47" s="1085"/>
      <c r="HN47" s="1085"/>
      <c r="HO47" s="1085"/>
      <c r="HP47" s="1085"/>
      <c r="HQ47" s="1085"/>
      <c r="HR47" s="1085"/>
      <c r="HS47" s="1085"/>
      <c r="HT47" s="1085"/>
      <c r="HU47" s="1085"/>
      <c r="HV47" s="1085"/>
      <c r="HW47" s="1085"/>
      <c r="HX47" s="1085"/>
      <c r="HY47" s="1085"/>
      <c r="HZ47" s="1085"/>
      <c r="IA47" s="1085"/>
      <c r="IB47" s="1085"/>
      <c r="IC47" s="1085"/>
      <c r="ID47" s="1085"/>
      <c r="IE47" s="1085"/>
      <c r="IF47" s="1085"/>
      <c r="IG47" s="1085"/>
      <c r="IH47" s="1085"/>
      <c r="II47" s="1085"/>
      <c r="IJ47" s="1085"/>
      <c r="IK47" s="1085"/>
      <c r="IL47" s="1085"/>
      <c r="IM47" s="1085"/>
      <c r="IN47" s="1085"/>
      <c r="IO47" s="1085"/>
      <c r="IP47" s="1085"/>
      <c r="IQ47" s="1085"/>
      <c r="IR47" s="1085"/>
      <c r="IS47" s="1085"/>
      <c r="IT47" s="1085"/>
      <c r="IU47" s="1085"/>
    </row>
    <row r="48" spans="1:255">
      <c r="A48" s="1085"/>
      <c r="B48" s="2684"/>
      <c r="D48" s="1107"/>
      <c r="E48" s="1107"/>
      <c r="F48" s="1107"/>
      <c r="G48" s="1107"/>
      <c r="H48" s="1107"/>
      <c r="I48" s="1107"/>
      <c r="J48" s="1205"/>
      <c r="M48" s="1102"/>
    </row>
    <row r="49" spans="1:13">
      <c r="A49" s="1085" t="s">
        <v>1042</v>
      </c>
      <c r="B49" s="2684"/>
      <c r="D49" s="1107"/>
      <c r="E49" s="1107"/>
      <c r="F49" s="1107"/>
      <c r="G49" s="1107"/>
      <c r="H49" s="1107"/>
      <c r="I49" s="1107"/>
      <c r="J49" s="1205"/>
      <c r="M49" s="1102"/>
    </row>
    <row r="50" spans="1:13">
      <c r="A50" s="1085"/>
      <c r="B50" s="2685"/>
      <c r="C50" s="1085"/>
      <c r="D50" s="1108"/>
      <c r="E50" s="1108"/>
      <c r="F50" s="1108"/>
      <c r="G50" s="1108"/>
      <c r="H50" s="1108"/>
      <c r="I50" s="1108"/>
      <c r="J50" s="1206"/>
      <c r="M50" s="1102"/>
    </row>
    <row r="51" spans="1:13">
      <c r="A51" s="1085"/>
      <c r="B51" s="2683" t="s">
        <v>1043</v>
      </c>
      <c r="D51" s="1107" t="s">
        <v>1096</v>
      </c>
      <c r="E51" s="1107"/>
      <c r="F51" s="1107"/>
      <c r="G51" s="1107"/>
      <c r="H51" s="1107"/>
      <c r="I51" s="1107"/>
      <c r="J51" s="1205">
        <v>39</v>
      </c>
      <c r="M51" s="1102"/>
    </row>
    <row r="52" spans="1:13">
      <c r="A52" s="1085"/>
      <c r="B52" s="2683" t="s">
        <v>1044</v>
      </c>
      <c r="D52" s="1104" t="s">
        <v>1097</v>
      </c>
      <c r="E52" s="1104"/>
      <c r="F52" s="1104"/>
      <c r="G52" s="1104"/>
      <c r="H52" s="1104"/>
      <c r="I52" s="1104"/>
      <c r="J52" s="1205">
        <v>42</v>
      </c>
      <c r="M52" s="1102"/>
    </row>
    <row r="53" spans="1:13">
      <c r="A53" s="1085"/>
      <c r="B53" s="2683" t="s">
        <v>1045</v>
      </c>
      <c r="D53" s="1104" t="s">
        <v>1098</v>
      </c>
      <c r="E53" s="1104"/>
      <c r="F53" s="1104"/>
      <c r="G53" s="1104"/>
      <c r="H53" s="1104"/>
      <c r="I53" s="1104"/>
      <c r="J53" s="1205">
        <v>43</v>
      </c>
      <c r="M53" s="1102"/>
    </row>
    <row r="54" spans="1:13">
      <c r="A54" s="1085"/>
      <c r="B54" s="2683" t="s">
        <v>1046</v>
      </c>
      <c r="D54" s="1104" t="s">
        <v>1101</v>
      </c>
      <c r="E54" s="1104"/>
      <c r="F54" s="1104"/>
      <c r="G54" s="1104"/>
      <c r="H54" s="1104"/>
      <c r="I54" s="1104"/>
      <c r="J54" s="1205">
        <v>44</v>
      </c>
      <c r="M54" s="1102"/>
    </row>
    <row r="55" spans="1:13">
      <c r="A55" s="1085"/>
      <c r="B55" s="2683" t="s">
        <v>1047</v>
      </c>
      <c r="D55" s="1104" t="s">
        <v>1099</v>
      </c>
      <c r="E55" s="1104"/>
      <c r="F55" s="1104"/>
      <c r="G55" s="1104"/>
      <c r="H55" s="1104"/>
      <c r="I55" s="1104"/>
      <c r="J55" s="1205">
        <v>45</v>
      </c>
      <c r="K55" s="1109"/>
      <c r="M55" s="1102"/>
    </row>
    <row r="56" spans="1:13">
      <c r="A56" s="1085"/>
      <c r="B56" s="2683" t="s">
        <v>1048</v>
      </c>
      <c r="D56" s="1104" t="s">
        <v>1100</v>
      </c>
      <c r="E56" s="1104"/>
      <c r="F56" s="1104"/>
      <c r="G56" s="1104"/>
      <c r="H56" s="1104"/>
      <c r="I56" s="1104"/>
      <c r="J56" s="1205">
        <v>46</v>
      </c>
      <c r="K56" s="1095"/>
    </row>
    <row r="57" spans="1:13">
      <c r="A57" s="1085"/>
      <c r="B57" s="2683" t="s">
        <v>1049</v>
      </c>
      <c r="D57" s="1105" t="s">
        <v>1050</v>
      </c>
      <c r="E57" s="1105"/>
      <c r="F57" s="1105"/>
      <c r="G57" s="1105"/>
      <c r="H57" s="1105"/>
      <c r="I57" s="1105"/>
      <c r="J57" s="1205">
        <v>47</v>
      </c>
      <c r="K57" s="1095"/>
    </row>
    <row r="58" spans="1:13">
      <c r="A58" s="1085"/>
      <c r="B58" s="2686" t="s">
        <v>1072</v>
      </c>
      <c r="D58" s="1097" t="s">
        <v>1051</v>
      </c>
      <c r="E58" s="1097"/>
      <c r="F58" s="1097"/>
      <c r="G58" s="1097"/>
      <c r="H58" s="1097"/>
      <c r="I58" s="1097"/>
      <c r="J58" s="1205">
        <v>48</v>
      </c>
      <c r="K58" s="1095"/>
      <c r="M58" s="1102"/>
    </row>
    <row r="59" spans="1:13">
      <c r="A59" s="1085"/>
      <c r="B59" s="2687" t="s">
        <v>1073</v>
      </c>
      <c r="D59" s="1100" t="s">
        <v>1052</v>
      </c>
      <c r="E59" s="1100"/>
      <c r="F59" s="1100"/>
      <c r="G59" s="1100"/>
      <c r="H59" s="1100"/>
      <c r="I59" s="1100"/>
      <c r="J59" s="1205">
        <v>49</v>
      </c>
      <c r="K59" s="1095"/>
      <c r="M59" s="1102"/>
    </row>
    <row r="60" spans="1:13">
      <c r="A60" s="1085"/>
      <c r="B60" s="2687" t="s">
        <v>1074</v>
      </c>
      <c r="D60" s="1100" t="s">
        <v>1102</v>
      </c>
      <c r="E60" s="1100"/>
      <c r="F60" s="1100"/>
      <c r="G60" s="1100"/>
      <c r="H60" s="1100"/>
      <c r="I60" s="1100"/>
      <c r="J60" s="1205">
        <v>51</v>
      </c>
      <c r="K60" s="1095"/>
      <c r="M60" s="1102"/>
    </row>
    <row r="61" spans="1:13">
      <c r="A61" s="1085"/>
      <c r="B61" s="2687" t="s">
        <v>1075</v>
      </c>
      <c r="D61" s="1110" t="s">
        <v>1053</v>
      </c>
      <c r="E61" s="1100"/>
      <c r="F61" s="1110"/>
      <c r="G61" s="1100"/>
      <c r="H61" s="1100"/>
      <c r="I61" s="1100"/>
      <c r="J61" s="1205">
        <v>53</v>
      </c>
      <c r="K61" s="1095"/>
      <c r="M61" s="1102"/>
    </row>
    <row r="62" spans="1:13">
      <c r="A62" s="1085"/>
      <c r="B62" s="2687" t="s">
        <v>1076</v>
      </c>
      <c r="D62" s="1100" t="s">
        <v>1054</v>
      </c>
      <c r="E62" s="1100"/>
      <c r="F62" s="1100"/>
      <c r="G62" s="1100"/>
      <c r="H62" s="1100"/>
      <c r="I62" s="1100"/>
      <c r="J62" s="1205">
        <v>54</v>
      </c>
      <c r="K62" s="1107"/>
      <c r="M62" s="1102"/>
    </row>
    <row r="63" spans="1:13">
      <c r="A63" s="1085"/>
      <c r="B63" s="2687" t="s">
        <v>1077</v>
      </c>
      <c r="D63" s="1100" t="s">
        <v>1214</v>
      </c>
      <c r="E63" s="1100"/>
      <c r="F63" s="1100"/>
      <c r="G63" s="1100"/>
      <c r="H63" s="1101"/>
      <c r="I63" s="1100"/>
      <c r="J63" s="1205">
        <v>55</v>
      </c>
      <c r="K63" s="1107"/>
      <c r="M63" s="1102"/>
    </row>
    <row r="64" spans="1:13">
      <c r="A64" s="1085"/>
      <c r="B64" s="2687" t="s">
        <v>1078</v>
      </c>
      <c r="D64" s="1100" t="s">
        <v>1055</v>
      </c>
      <c r="E64" s="1100"/>
      <c r="F64" s="1100"/>
      <c r="G64" s="1100"/>
      <c r="H64" s="1101"/>
      <c r="I64" s="1100"/>
      <c r="J64" s="1205">
        <v>56</v>
      </c>
      <c r="K64" s="1107"/>
      <c r="M64" s="1102"/>
    </row>
    <row r="65" spans="1:13">
      <c r="A65" s="1085"/>
      <c r="B65" s="2688" t="s">
        <v>1593</v>
      </c>
      <c r="D65" s="1100" t="s">
        <v>1627</v>
      </c>
      <c r="E65" s="1100"/>
      <c r="F65" s="1100"/>
      <c r="G65" s="1100"/>
      <c r="H65" s="1101"/>
      <c r="I65" s="1100"/>
      <c r="J65" s="1205">
        <v>60</v>
      </c>
      <c r="K65" s="1107"/>
      <c r="M65" s="1102"/>
    </row>
    <row r="66" spans="1:13" ht="12.9" customHeight="1">
      <c r="A66" s="1085"/>
      <c r="B66" s="1111"/>
      <c r="D66" s="1112"/>
      <c r="E66" s="1112"/>
      <c r="F66" s="1112"/>
      <c r="G66" s="1112"/>
      <c r="H66" s="1112"/>
      <c r="I66" s="1112"/>
      <c r="J66" s="1099"/>
      <c r="K66" s="1107"/>
      <c r="M66" s="1102"/>
    </row>
    <row r="67" spans="1:13" ht="12.9" customHeight="1">
      <c r="A67" s="1085"/>
      <c r="B67" s="1111"/>
      <c r="D67" s="1112"/>
      <c r="E67" s="1112"/>
      <c r="F67" s="1112"/>
      <c r="G67" s="1112"/>
      <c r="H67" s="1112"/>
      <c r="I67" s="1112"/>
      <c r="J67" s="1099"/>
      <c r="K67" s="1107"/>
      <c r="M67" s="1102"/>
    </row>
    <row r="68" spans="1:13" ht="12.9" customHeight="1">
      <c r="A68" s="1085"/>
      <c r="B68" s="1111"/>
      <c r="D68" s="1112"/>
      <c r="E68" s="1112"/>
      <c r="F68" s="1112"/>
      <c r="G68" s="1112"/>
      <c r="H68" s="1112"/>
      <c r="I68" s="1112"/>
      <c r="J68" s="1099"/>
      <c r="K68" s="1107"/>
      <c r="M68" s="1102"/>
    </row>
    <row r="69" spans="1:13" ht="12.9" customHeight="1">
      <c r="A69" s="1085"/>
      <c r="B69" s="1111"/>
      <c r="D69" s="1112"/>
      <c r="E69" s="1112"/>
      <c r="F69" s="1112"/>
      <c r="G69" s="1112"/>
      <c r="H69" s="1112"/>
      <c r="I69" s="1112"/>
      <c r="J69" s="1099"/>
      <c r="K69" s="1107"/>
      <c r="M69" s="1102"/>
    </row>
    <row r="70" spans="1:13" ht="12.9" customHeight="1">
      <c r="A70" s="1085"/>
      <c r="B70" s="1111"/>
      <c r="D70" s="1112"/>
      <c r="E70" s="1112"/>
      <c r="F70" s="1112"/>
      <c r="G70" s="1112"/>
      <c r="H70" s="1112"/>
      <c r="I70" s="1112"/>
      <c r="J70" s="1099"/>
      <c r="K70" s="1107"/>
      <c r="M70" s="1102"/>
    </row>
    <row r="71" spans="1:13" ht="12.9" customHeight="1">
      <c r="A71" s="1085"/>
      <c r="B71" s="1111"/>
      <c r="D71" s="1112"/>
      <c r="E71" s="1112"/>
      <c r="F71" s="1112"/>
      <c r="G71" s="1112"/>
      <c r="H71" s="1112"/>
      <c r="I71" s="1112"/>
      <c r="J71" s="1099"/>
      <c r="K71" s="1107"/>
      <c r="M71" s="1102"/>
    </row>
    <row r="72" spans="1:13" ht="12.9" customHeight="1">
      <c r="A72" s="1085"/>
      <c r="B72" s="1111"/>
      <c r="D72" s="1112"/>
      <c r="E72" s="1112"/>
      <c r="F72" s="1112"/>
      <c r="G72" s="1112"/>
      <c r="H72" s="1112"/>
      <c r="I72" s="1112"/>
      <c r="J72" s="1099"/>
      <c r="K72" s="1107"/>
      <c r="M72" s="1102"/>
    </row>
    <row r="73" spans="1:13" ht="12.9" customHeight="1">
      <c r="A73" s="1085"/>
      <c r="B73" s="1111"/>
      <c r="D73" s="1112"/>
      <c r="E73" s="1112"/>
      <c r="F73" s="1112"/>
      <c r="G73" s="1112"/>
      <c r="H73" s="1112"/>
      <c r="I73" s="1112"/>
      <c r="J73" s="1099"/>
      <c r="K73" s="1107"/>
      <c r="M73" s="1102"/>
    </row>
    <row r="74" spans="1:13" ht="12.9" customHeight="1">
      <c r="A74" s="1085"/>
      <c r="B74" s="1111"/>
      <c r="D74" s="1112"/>
      <c r="E74" s="1112"/>
      <c r="F74" s="1112"/>
      <c r="G74" s="1112"/>
      <c r="H74" s="1112"/>
      <c r="I74" s="1112"/>
      <c r="J74" s="1099"/>
      <c r="K74" s="1107"/>
      <c r="M74" s="1102"/>
    </row>
    <row r="75" spans="1:13" ht="12.9" customHeight="1">
      <c r="A75" s="1085"/>
      <c r="B75" s="1111"/>
      <c r="D75" s="1112"/>
      <c r="E75" s="1112"/>
      <c r="F75" s="1112"/>
      <c r="G75" s="1112"/>
      <c r="H75" s="1112"/>
      <c r="I75" s="1112"/>
      <c r="J75" s="1099"/>
      <c r="K75" s="1107"/>
      <c r="M75" s="1102"/>
    </row>
    <row r="76" spans="1:13" ht="12.9" customHeight="1">
      <c r="A76" s="1085"/>
      <c r="B76" s="1111"/>
      <c r="D76" s="1112"/>
      <c r="E76" s="1112"/>
      <c r="F76" s="1112"/>
      <c r="G76" s="1112"/>
      <c r="H76" s="1112"/>
      <c r="I76" s="1112"/>
      <c r="J76" s="1099"/>
      <c r="K76" s="1107"/>
      <c r="M76" s="1102"/>
    </row>
    <row r="77" spans="1:13" ht="12.9" customHeight="1">
      <c r="A77" s="1085"/>
      <c r="B77" s="1111"/>
      <c r="D77" s="1112"/>
      <c r="E77" s="1112"/>
      <c r="F77" s="1112"/>
      <c r="G77" s="1112"/>
      <c r="H77" s="1112"/>
      <c r="I77" s="1112"/>
      <c r="J77" s="1099"/>
      <c r="K77" s="1107"/>
      <c r="M77" s="1102"/>
    </row>
    <row r="78" spans="1:13" ht="12.9" customHeight="1">
      <c r="A78" s="1085"/>
      <c r="B78" s="1111"/>
      <c r="D78" s="1112"/>
      <c r="E78" s="1112"/>
      <c r="F78" s="1112"/>
      <c r="G78" s="1112"/>
      <c r="H78" s="1112"/>
      <c r="I78" s="1112"/>
      <c r="J78" s="1099"/>
      <c r="K78" s="1107"/>
      <c r="M78" s="1102"/>
    </row>
    <row r="79" spans="1:13" ht="12.9" customHeight="1">
      <c r="A79" s="1085"/>
      <c r="B79" s="1111"/>
      <c r="D79" s="1112"/>
      <c r="E79" s="1112"/>
      <c r="F79" s="1112"/>
      <c r="G79" s="1112"/>
      <c r="H79" s="1112"/>
      <c r="I79" s="1112"/>
      <c r="J79" s="1099"/>
      <c r="K79" s="1107"/>
      <c r="M79" s="1102"/>
    </row>
    <row r="80" spans="1:13" ht="12.9" customHeight="1">
      <c r="A80" s="1085"/>
      <c r="B80" s="1111"/>
      <c r="D80" s="1112"/>
      <c r="E80" s="1112"/>
      <c r="F80" s="1112"/>
      <c r="G80" s="1112"/>
      <c r="H80" s="1112"/>
      <c r="I80" s="1112"/>
      <c r="J80" s="1099"/>
      <c r="K80" s="1107"/>
      <c r="M80" s="1102"/>
    </row>
    <row r="81" spans="1:13" ht="12.9" customHeight="1">
      <c r="A81" s="1085"/>
      <c r="B81" s="1111"/>
      <c r="D81" s="1112"/>
      <c r="E81" s="1112"/>
      <c r="F81" s="1112"/>
      <c r="G81" s="1112"/>
      <c r="H81" s="1112"/>
      <c r="I81" s="1112"/>
      <c r="J81" s="1099"/>
      <c r="K81" s="1107"/>
      <c r="M81" s="1102"/>
    </row>
    <row r="82" spans="1:13" ht="12.9" customHeight="1">
      <c r="A82" s="1085"/>
      <c r="B82" s="1111"/>
      <c r="D82" s="1112"/>
      <c r="E82" s="1112"/>
      <c r="F82" s="1112"/>
      <c r="G82" s="1112"/>
      <c r="H82" s="1112"/>
      <c r="I82" s="1112"/>
      <c r="J82" s="1099"/>
      <c r="K82" s="1107"/>
      <c r="M82" s="1102"/>
    </row>
    <row r="83" spans="1:13" ht="12.9" customHeight="1">
      <c r="A83" s="1085"/>
      <c r="B83" s="1111"/>
      <c r="D83" s="1112"/>
      <c r="E83" s="1112"/>
      <c r="F83" s="1112"/>
      <c r="G83" s="1112"/>
      <c r="H83" s="1112"/>
      <c r="I83" s="1112"/>
      <c r="J83" s="1099"/>
      <c r="K83" s="1107"/>
      <c r="M83" s="1102"/>
    </row>
    <row r="84" spans="1:13" ht="12.9" customHeight="1">
      <c r="A84" s="1085"/>
      <c r="B84" s="1111"/>
      <c r="D84" s="1112"/>
      <c r="E84" s="1112"/>
      <c r="F84" s="1112"/>
      <c r="G84" s="1112"/>
      <c r="H84" s="1112"/>
      <c r="I84" s="1112"/>
      <c r="J84" s="1099"/>
      <c r="K84" s="1107"/>
      <c r="M84" s="1102"/>
    </row>
    <row r="85" spans="1:13" ht="12.9" customHeight="1">
      <c r="A85" s="1085"/>
      <c r="B85" s="1111"/>
      <c r="D85" s="1112"/>
      <c r="E85" s="1112"/>
      <c r="F85" s="1112"/>
      <c r="G85" s="1112"/>
      <c r="H85" s="1112"/>
      <c r="I85" s="1112"/>
      <c r="J85" s="1099"/>
      <c r="K85" s="1107"/>
      <c r="M85" s="1102"/>
    </row>
    <row r="86" spans="1:13" ht="12.9" customHeight="1">
      <c r="A86" s="1085"/>
      <c r="B86" s="1111"/>
      <c r="D86" s="1112"/>
      <c r="E86" s="1112"/>
      <c r="F86" s="1112"/>
      <c r="G86" s="1112"/>
      <c r="H86" s="1112"/>
      <c r="I86" s="1112"/>
      <c r="J86" s="1099"/>
      <c r="K86" s="1107"/>
      <c r="M86" s="1102"/>
    </row>
    <row r="87" spans="1:13" ht="12.9" customHeight="1">
      <c r="A87" s="1085"/>
      <c r="B87" s="1111"/>
      <c r="D87" s="1112"/>
      <c r="E87" s="1112"/>
      <c r="F87" s="1112"/>
      <c r="G87" s="1112"/>
      <c r="H87" s="1112"/>
      <c r="I87" s="1112"/>
      <c r="J87" s="1099"/>
      <c r="K87" s="1107"/>
      <c r="M87" s="1102"/>
    </row>
    <row r="88" spans="1:13" ht="12.9" customHeight="1">
      <c r="A88" s="1085"/>
      <c r="B88" s="1111"/>
      <c r="D88" s="1112"/>
      <c r="E88" s="1112"/>
      <c r="F88" s="1112"/>
      <c r="G88" s="1112"/>
      <c r="H88" s="1112"/>
      <c r="I88" s="1112"/>
      <c r="J88" s="1099"/>
      <c r="K88" s="1107"/>
      <c r="M88" s="1102"/>
    </row>
    <row r="89" spans="1:13" ht="12.9" customHeight="1">
      <c r="A89" s="1085"/>
      <c r="B89" s="1111"/>
      <c r="D89" s="1112"/>
      <c r="E89" s="1112"/>
      <c r="F89" s="1112"/>
      <c r="G89" s="1112"/>
      <c r="H89" s="1112"/>
      <c r="I89" s="1112"/>
      <c r="J89" s="1099"/>
      <c r="K89" s="1107"/>
      <c r="M89" s="1102"/>
    </row>
    <row r="90" spans="1:13" ht="12.9" customHeight="1">
      <c r="A90" s="1085"/>
      <c r="B90" s="1111"/>
      <c r="D90" s="1112"/>
      <c r="E90" s="1112"/>
      <c r="F90" s="1112"/>
      <c r="G90" s="1112"/>
      <c r="H90" s="1112"/>
      <c r="I90" s="1112"/>
      <c r="J90" s="1099"/>
      <c r="K90" s="1107"/>
      <c r="M90" s="1102"/>
    </row>
    <row r="91" spans="1:13" ht="12.9" customHeight="1">
      <c r="A91" s="1085"/>
      <c r="B91" s="1111"/>
      <c r="D91" s="1112"/>
      <c r="E91" s="1112"/>
      <c r="F91" s="1112"/>
      <c r="G91" s="1112"/>
      <c r="H91" s="1112"/>
      <c r="I91" s="1112"/>
      <c r="J91" s="1099"/>
      <c r="K91" s="1107"/>
      <c r="M91" s="1102"/>
    </row>
    <row r="92" spans="1:13" ht="12.9" customHeight="1">
      <c r="A92" s="1085"/>
      <c r="B92" s="1111"/>
      <c r="D92" s="1112"/>
      <c r="E92" s="1112"/>
      <c r="F92" s="1112"/>
      <c r="G92" s="1112"/>
      <c r="H92" s="1112"/>
      <c r="I92" s="1112"/>
      <c r="J92" s="1099"/>
      <c r="K92" s="1107"/>
      <c r="M92" s="1102"/>
    </row>
    <row r="93" spans="1:13" ht="12.9" customHeight="1">
      <c r="A93" s="1085"/>
      <c r="B93" s="1111"/>
      <c r="D93" s="1112"/>
      <c r="E93" s="1112"/>
      <c r="F93" s="1112"/>
      <c r="G93" s="1112"/>
      <c r="H93" s="1112"/>
      <c r="I93" s="1112"/>
      <c r="J93" s="1099"/>
      <c r="M93" s="1102"/>
    </row>
    <row r="94" spans="1:13" ht="12.9" customHeight="1">
      <c r="A94" s="1085"/>
      <c r="B94" s="1111"/>
      <c r="D94" s="1112"/>
      <c r="E94" s="1112"/>
      <c r="F94" s="1112"/>
      <c r="G94" s="1112"/>
      <c r="H94" s="1112"/>
      <c r="I94" s="1112"/>
      <c r="J94" s="1099"/>
      <c r="M94" s="1102"/>
    </row>
    <row r="95" spans="1:13" ht="12.9" customHeight="1">
      <c r="A95" s="1085"/>
      <c r="B95" s="1111"/>
      <c r="D95" s="1112"/>
      <c r="E95" s="1112"/>
      <c r="F95" s="1112"/>
      <c r="G95" s="1112"/>
      <c r="H95" s="1112"/>
      <c r="I95" s="1112"/>
      <c r="J95" s="1099"/>
      <c r="M95" s="1102"/>
    </row>
    <row r="96" spans="1:13" ht="12.9" customHeight="1">
      <c r="A96" s="1085"/>
      <c r="B96" s="1111"/>
      <c r="D96" s="1112"/>
      <c r="E96" s="1112"/>
      <c r="F96" s="1112"/>
      <c r="G96" s="1112"/>
      <c r="H96" s="1112"/>
      <c r="I96" s="1112"/>
      <c r="J96" s="1099"/>
      <c r="M96" s="1102"/>
    </row>
    <row r="97" spans="1:13" ht="12.9" customHeight="1">
      <c r="A97" s="1085"/>
      <c r="B97" s="1111"/>
      <c r="D97" s="1112"/>
      <c r="E97" s="1112"/>
      <c r="F97" s="1112"/>
      <c r="G97" s="1112"/>
      <c r="H97" s="1112"/>
      <c r="I97" s="1112"/>
      <c r="J97" s="1099"/>
      <c r="M97" s="1102"/>
    </row>
    <row r="98" spans="1:13" ht="12.9" customHeight="1">
      <c r="A98" s="1085"/>
      <c r="B98" s="1111"/>
      <c r="D98" s="1112"/>
      <c r="E98" s="1112"/>
      <c r="F98" s="1112"/>
      <c r="G98" s="1112"/>
      <c r="H98" s="1112"/>
      <c r="I98" s="1112"/>
      <c r="J98" s="1099"/>
      <c r="M98" s="1102"/>
    </row>
    <row r="99" spans="1:13" ht="12.9" customHeight="1">
      <c r="A99" s="1085"/>
      <c r="B99" s="1111"/>
      <c r="D99" s="1112"/>
      <c r="E99" s="1112"/>
      <c r="F99" s="1112"/>
      <c r="G99" s="1112"/>
      <c r="H99" s="1112"/>
      <c r="I99" s="1112"/>
      <c r="J99" s="1099"/>
      <c r="M99" s="1102"/>
    </row>
    <row r="100" spans="1:13" ht="12.9" customHeight="1">
      <c r="A100" s="1085"/>
      <c r="B100" s="1111"/>
      <c r="D100" s="1112"/>
      <c r="E100" s="1112"/>
      <c r="F100" s="1112"/>
      <c r="G100" s="1112"/>
      <c r="H100" s="1112"/>
      <c r="I100" s="1112"/>
      <c r="J100" s="1099"/>
      <c r="M100" s="1102"/>
    </row>
    <row r="101" spans="1:13" ht="12.9" customHeight="1">
      <c r="A101" s="1085"/>
      <c r="B101" s="1111"/>
      <c r="D101" s="1112"/>
      <c r="E101" s="1112"/>
      <c r="F101" s="1112"/>
      <c r="G101" s="1112"/>
      <c r="H101" s="1112"/>
      <c r="I101" s="1112"/>
      <c r="J101" s="1099"/>
      <c r="M101" s="1102"/>
    </row>
    <row r="102" spans="1:13">
      <c r="A102" s="1107"/>
      <c r="B102" s="1113"/>
      <c r="C102" s="1107"/>
      <c r="D102" s="1107"/>
      <c r="E102" s="1107"/>
      <c r="F102" s="1107"/>
      <c r="G102" s="1107"/>
      <c r="H102" s="1107"/>
      <c r="I102" s="1107"/>
      <c r="J102" s="1115"/>
    </row>
    <row r="103" spans="1:13">
      <c r="B103" s="1111"/>
      <c r="J103" s="1114"/>
    </row>
    <row r="104" spans="1:13">
      <c r="B104" s="1111"/>
      <c r="J104" s="1114"/>
    </row>
    <row r="105" spans="1:13">
      <c r="B105" s="1111"/>
    </row>
    <row r="106" spans="1:13">
      <c r="B106" s="1111"/>
    </row>
    <row r="107" spans="1:13">
      <c r="B107" s="1111"/>
    </row>
    <row r="108" spans="1:13">
      <c r="B108" s="1111"/>
    </row>
    <row r="109" spans="1:13">
      <c r="B109" s="1111"/>
    </row>
    <row r="110" spans="1:13">
      <c r="B110" s="1111"/>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ARRA '!A1" display="Appendix C"/>
    <hyperlink ref="B61" location="'Public Goods '!A1" display="Appendix D"/>
    <hyperlink ref="B62" location="'Medicaid Disp Share'!B1" display="Appendix E"/>
    <hyperlink ref="B63" location="'Appendix F'!A1" display="Appendix F"/>
    <hyperlink ref="B64" location="'Appendix G'!D1" display="Appendix G"/>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5" location="'Appendix H'!A1" display="Appendix H"/>
  </hyperlinks>
  <printOptions horizontalCentered="1" verticalCentered="1"/>
  <pageMargins left="1" right="0.5" top="0.45" bottom="0.35" header="0" footer="0"/>
  <pageSetup scale="62" orientation="landscape" r:id="rId2"/>
  <headerFooter alignWithMargins="0"/>
  <rowBreaks count="3" manualBreakCount="3">
    <brk id="104" max="9" man="1"/>
    <brk id="117" max="9" man="1"/>
    <brk id="131"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showGridLines="0" zoomScale="80" zoomScaleNormal="80" workbookViewId="0"/>
  </sheetViews>
  <sheetFormatPr defaultColWidth="8.90625" defaultRowHeight="15"/>
  <cols>
    <col min="1" max="1" width="50.36328125" style="1896" customWidth="1"/>
    <col min="2" max="2" width="3.6328125" style="1149" customWidth="1"/>
    <col min="3" max="3" width="16.6328125" style="1149" customWidth="1"/>
    <col min="4" max="4" width="4.81640625" style="1149" customWidth="1"/>
    <col min="5" max="5" width="16.453125" style="791" customWidth="1"/>
    <col min="6" max="6" width="4.81640625" style="1900" customWidth="1"/>
    <col min="7" max="7" width="14.36328125" style="1900" customWidth="1"/>
    <col min="8" max="8" width="4.81640625" style="1900" customWidth="1"/>
    <col min="9" max="9" width="16.08984375" style="1900" customWidth="1"/>
    <col min="10" max="10" width="4.81640625" style="1149" customWidth="1"/>
    <col min="11" max="11" width="12.5429687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0"/>
    <col min="31" max="16384" width="8.90625" style="1896"/>
  </cols>
  <sheetData>
    <row r="1" spans="1:24">
      <c r="A1" s="1184" t="s">
        <v>1217</v>
      </c>
      <c r="B1" s="389"/>
      <c r="C1" s="389"/>
      <c r="D1" s="389"/>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89"/>
      <c r="C2" s="389"/>
      <c r="D2" s="389"/>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9"/>
      <c r="C3" s="359"/>
      <c r="D3" s="359"/>
      <c r="E3" s="788"/>
      <c r="F3" s="345"/>
      <c r="G3" s="345"/>
      <c r="H3" s="345"/>
      <c r="I3" s="1729"/>
      <c r="J3" s="345"/>
      <c r="K3" s="1729" t="s">
        <v>86</v>
      </c>
      <c r="L3" s="359"/>
      <c r="M3" s="359"/>
      <c r="N3" s="359"/>
      <c r="O3" s="359"/>
      <c r="P3" s="359"/>
      <c r="Q3" s="359"/>
      <c r="R3" s="359"/>
      <c r="S3" s="359"/>
      <c r="T3" s="359"/>
      <c r="U3" s="359"/>
      <c r="V3" s="359"/>
      <c r="W3" s="359"/>
      <c r="X3" s="395"/>
    </row>
    <row r="4" spans="1:24" ht="21.75" customHeight="1">
      <c r="A4" s="394" t="s">
        <v>85</v>
      </c>
      <c r="B4" s="359"/>
      <c r="C4" s="359"/>
      <c r="D4" s="359"/>
      <c r="E4" s="788"/>
      <c r="F4" s="345"/>
      <c r="G4" s="345"/>
      <c r="H4" s="345"/>
      <c r="I4" s="1730"/>
      <c r="J4" s="345"/>
      <c r="K4" s="1730" t="s">
        <v>107</v>
      </c>
      <c r="L4" s="359"/>
      <c r="M4" s="359"/>
      <c r="N4" s="359"/>
      <c r="O4" s="359"/>
      <c r="P4" s="359"/>
      <c r="Q4" s="359"/>
      <c r="R4" s="359"/>
      <c r="S4" s="359"/>
      <c r="T4" s="359"/>
      <c r="U4" s="359"/>
      <c r="V4" s="359"/>
      <c r="W4" s="359"/>
      <c r="X4" s="359"/>
    </row>
    <row r="5" spans="1:24" ht="21.75" customHeight="1">
      <c r="A5" s="3204" t="s">
        <v>1524</v>
      </c>
      <c r="B5" s="359"/>
      <c r="C5" s="359"/>
      <c r="D5" s="359"/>
      <c r="E5" s="788"/>
      <c r="F5" s="345"/>
      <c r="G5" s="345"/>
      <c r="H5" s="345"/>
      <c r="I5" s="345"/>
      <c r="J5" s="345"/>
      <c r="K5" s="359"/>
      <c r="L5" s="359"/>
      <c r="M5" s="359"/>
      <c r="N5" s="359"/>
      <c r="O5" s="359"/>
      <c r="P5" s="359"/>
      <c r="Q5" s="359"/>
      <c r="R5" s="359"/>
      <c r="S5" s="359"/>
      <c r="T5" s="359"/>
      <c r="U5" s="359"/>
      <c r="V5" s="359"/>
      <c r="W5" s="359"/>
      <c r="X5" s="359"/>
    </row>
    <row r="6" spans="1:24" ht="17.25" customHeight="1">
      <c r="A6" s="2865" t="str">
        <f>+'Exh D-Governmental  '!A6</f>
        <v>FOR NINE MONTHS ENDED DECEMBER 31, 2015</v>
      </c>
      <c r="B6" s="359"/>
      <c r="C6" s="359"/>
      <c r="D6" s="359"/>
      <c r="E6" s="788"/>
      <c r="F6" s="345"/>
      <c r="G6" s="345"/>
      <c r="H6" s="345"/>
      <c r="I6" s="345"/>
      <c r="J6" s="345"/>
      <c r="K6" s="359"/>
      <c r="L6" s="359"/>
      <c r="M6" s="359"/>
      <c r="N6" s="359"/>
      <c r="O6" s="359"/>
      <c r="P6" s="359"/>
      <c r="Q6" s="359"/>
      <c r="R6" s="359"/>
      <c r="S6" s="359"/>
      <c r="T6" s="359"/>
      <c r="U6" s="359"/>
      <c r="V6" s="359"/>
      <c r="W6" s="359"/>
      <c r="X6" s="359"/>
    </row>
    <row r="7" spans="1:24" ht="17.399999999999999">
      <c r="A7" s="394" t="s">
        <v>1104</v>
      </c>
      <c r="B7" s="359"/>
      <c r="C7" s="359"/>
      <c r="D7" s="359"/>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9"/>
      <c r="C8" s="359"/>
      <c r="D8" s="359"/>
      <c r="E8" s="788"/>
      <c r="F8" s="345"/>
      <c r="G8" s="345"/>
      <c r="H8" s="345"/>
      <c r="I8" s="345"/>
      <c r="J8" s="345"/>
      <c r="K8" s="359"/>
      <c r="L8" s="359"/>
      <c r="M8" s="359"/>
      <c r="N8" s="359"/>
      <c r="O8" s="359"/>
      <c r="P8" s="359"/>
      <c r="Q8" s="359"/>
      <c r="R8" s="359"/>
      <c r="S8" s="359"/>
      <c r="T8" s="359"/>
      <c r="U8" s="359"/>
      <c r="V8" s="359"/>
      <c r="W8" s="359"/>
      <c r="X8" s="359"/>
    </row>
    <row r="9" spans="1:24">
      <c r="A9" s="353"/>
      <c r="B9" s="359"/>
      <c r="C9" s="359"/>
      <c r="D9" s="359"/>
      <c r="E9" s="788"/>
      <c r="F9" s="345"/>
      <c r="G9" s="345"/>
      <c r="H9" s="345"/>
      <c r="I9" s="345"/>
      <c r="J9" s="345"/>
      <c r="K9" s="359"/>
      <c r="L9" s="359"/>
      <c r="M9" s="359"/>
      <c r="N9" s="359"/>
      <c r="O9" s="359"/>
      <c r="P9" s="359"/>
      <c r="Q9" s="359"/>
      <c r="R9" s="359"/>
      <c r="S9" s="359"/>
      <c r="T9" s="359"/>
      <c r="U9" s="359"/>
      <c r="V9" s="359"/>
      <c r="W9" s="359"/>
      <c r="X9" s="359"/>
    </row>
    <row r="10" spans="1:24">
      <c r="A10" s="353"/>
      <c r="B10" s="359"/>
      <c r="C10" s="359"/>
      <c r="D10" s="359"/>
      <c r="E10" s="787"/>
      <c r="F10" s="351"/>
      <c r="G10" s="351"/>
      <c r="H10" s="351"/>
      <c r="I10" s="351"/>
      <c r="J10" s="345"/>
      <c r="K10" s="359"/>
      <c r="L10" s="359"/>
      <c r="M10" s="359"/>
      <c r="N10" s="359"/>
      <c r="O10" s="359"/>
      <c r="P10" s="359"/>
      <c r="Q10" s="359"/>
      <c r="R10" s="359"/>
      <c r="S10" s="359"/>
      <c r="T10" s="359"/>
      <c r="U10" s="359"/>
      <c r="V10" s="359"/>
      <c r="W10" s="359"/>
      <c r="X10" s="359"/>
    </row>
    <row r="11" spans="1:24" ht="15.6">
      <c r="A11" s="1358"/>
      <c r="C11" s="2348"/>
      <c r="D11" s="2348"/>
      <c r="E11" s="2381" t="s">
        <v>1417</v>
      </c>
      <c r="F11" s="2355"/>
      <c r="G11" s="2355"/>
      <c r="H11" s="2355"/>
      <c r="I11" s="2355"/>
      <c r="J11" s="2358"/>
      <c r="K11" s="2347"/>
      <c r="L11" s="397"/>
      <c r="M11" s="397"/>
      <c r="N11" s="397"/>
      <c r="O11" s="397"/>
      <c r="P11" s="397"/>
      <c r="Q11" s="397"/>
      <c r="R11" s="354"/>
      <c r="S11" s="397"/>
      <c r="T11" s="398"/>
      <c r="U11" s="397"/>
      <c r="V11" s="397"/>
      <c r="W11" s="397"/>
      <c r="X11" s="397"/>
    </row>
    <row r="12" spans="1:24" ht="15.6">
      <c r="A12" s="1358"/>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8"/>
      <c r="E13" s="792"/>
      <c r="F13" s="399"/>
      <c r="G13" s="400"/>
      <c r="H13" s="399"/>
      <c r="I13" s="402" t="s">
        <v>1111</v>
      </c>
      <c r="J13" s="354"/>
      <c r="K13" s="402" t="s">
        <v>1111</v>
      </c>
      <c r="L13" s="397"/>
      <c r="M13" s="397"/>
      <c r="N13" s="397"/>
      <c r="O13" s="397"/>
      <c r="P13" s="397"/>
      <c r="Q13" s="397"/>
      <c r="R13" s="354"/>
      <c r="S13" s="397"/>
      <c r="T13" s="398"/>
      <c r="U13" s="397"/>
      <c r="V13" s="397"/>
      <c r="W13" s="397"/>
      <c r="X13" s="397"/>
    </row>
    <row r="14" spans="1:24" ht="15.6">
      <c r="A14" s="1358"/>
      <c r="B14" s="354"/>
      <c r="C14" s="357" t="s">
        <v>1356</v>
      </c>
      <c r="D14" s="354"/>
      <c r="E14" s="356" t="s">
        <v>1357</v>
      </c>
      <c r="F14" s="401"/>
      <c r="G14" s="401"/>
      <c r="H14" s="401"/>
      <c r="I14" s="356" t="s">
        <v>88</v>
      </c>
      <c r="J14" s="354"/>
      <c r="K14" s="356" t="s">
        <v>88</v>
      </c>
      <c r="L14" s="354"/>
      <c r="M14" s="354"/>
      <c r="N14" s="354"/>
      <c r="O14" s="354"/>
      <c r="P14" s="403"/>
      <c r="Q14" s="404"/>
      <c r="R14" s="354"/>
      <c r="S14" s="354"/>
      <c r="T14" s="354"/>
      <c r="U14" s="354"/>
      <c r="V14" s="354"/>
      <c r="W14" s="354"/>
      <c r="X14" s="403"/>
    </row>
    <row r="15" spans="1:24" ht="15.6">
      <c r="A15" s="1358"/>
      <c r="B15" s="405"/>
      <c r="C15" s="356" t="s">
        <v>1400</v>
      </c>
      <c r="D15" s="405"/>
      <c r="E15" s="356" t="s">
        <v>1400</v>
      </c>
      <c r="F15" s="355"/>
      <c r="G15" s="355"/>
      <c r="H15" s="355"/>
      <c r="I15" s="356" t="s">
        <v>1356</v>
      </c>
      <c r="J15" s="354"/>
      <c r="K15" s="356" t="s">
        <v>1357</v>
      </c>
      <c r="L15" s="404"/>
      <c r="M15" s="354"/>
      <c r="N15" s="354"/>
      <c r="O15" s="354"/>
      <c r="P15" s="403"/>
      <c r="Q15" s="404"/>
      <c r="R15" s="354"/>
      <c r="S15" s="403"/>
      <c r="T15" s="404"/>
      <c r="U15" s="354"/>
      <c r="V15" s="354"/>
      <c r="W15" s="354"/>
      <c r="X15" s="403"/>
    </row>
    <row r="16" spans="1:24" ht="15.6">
      <c r="A16" s="1358"/>
      <c r="B16" s="404"/>
      <c r="C16" s="2357" t="s">
        <v>1401</v>
      </c>
      <c r="D16" s="404"/>
      <c r="E16" s="356" t="s">
        <v>1614</v>
      </c>
      <c r="F16" s="355"/>
      <c r="G16" s="357" t="s">
        <v>87</v>
      </c>
      <c r="H16" s="355"/>
      <c r="I16" s="356" t="s">
        <v>89</v>
      </c>
      <c r="J16" s="354"/>
      <c r="K16" s="2357" t="s">
        <v>89</v>
      </c>
      <c r="L16" s="404"/>
      <c r="M16" s="354"/>
      <c r="N16" s="403"/>
      <c r="O16" s="354"/>
      <c r="P16" s="403"/>
      <c r="Q16" s="404"/>
      <c r="R16" s="354"/>
      <c r="S16" s="404"/>
      <c r="T16" s="404"/>
      <c r="U16" s="354"/>
      <c r="V16" s="403"/>
      <c r="W16" s="354"/>
      <c r="X16" s="403"/>
    </row>
    <row r="17" spans="1:24">
      <c r="A17" s="358"/>
      <c r="B17" s="359"/>
      <c r="C17" s="359"/>
      <c r="D17" s="359"/>
      <c r="E17" s="360"/>
      <c r="F17" s="345"/>
      <c r="G17" s="360"/>
      <c r="H17" s="345"/>
      <c r="I17" s="360"/>
      <c r="J17" s="359"/>
      <c r="K17" s="359"/>
      <c r="L17" s="359"/>
      <c r="M17" s="359"/>
      <c r="N17" s="359"/>
      <c r="O17" s="359"/>
      <c r="P17" s="359"/>
      <c r="Q17" s="359"/>
      <c r="R17" s="359"/>
      <c r="S17" s="359"/>
      <c r="T17" s="359"/>
      <c r="U17" s="359"/>
      <c r="V17" s="359"/>
      <c r="W17" s="359"/>
      <c r="X17" s="359"/>
    </row>
    <row r="18" spans="1:24" ht="15.6">
      <c r="A18" s="221" t="s">
        <v>15</v>
      </c>
      <c r="B18" s="1888"/>
      <c r="C18" s="1888"/>
      <c r="D18" s="1888"/>
      <c r="E18" s="1251"/>
      <c r="F18" s="1251"/>
      <c r="G18" s="1251"/>
      <c r="H18" s="1251"/>
      <c r="I18" s="1251"/>
      <c r="J18" s="1888"/>
      <c r="K18" s="1888"/>
      <c r="L18" s="1888"/>
      <c r="M18" s="1888"/>
      <c r="N18" s="1888"/>
      <c r="O18" s="1888"/>
      <c r="P18" s="1888"/>
      <c r="Q18" s="1888"/>
      <c r="R18" s="1888"/>
      <c r="S18" s="1888"/>
      <c r="T18" s="1888"/>
      <c r="U18" s="1888"/>
      <c r="V18" s="1888"/>
      <c r="W18" s="1888"/>
      <c r="X18" s="1888"/>
    </row>
    <row r="19" spans="1:24">
      <c r="A19" s="1720" t="s">
        <v>90</v>
      </c>
      <c r="B19" s="1889"/>
      <c r="C19" s="1889"/>
      <c r="D19" s="1889"/>
      <c r="E19" s="1251"/>
      <c r="F19" s="1251"/>
      <c r="G19" s="1251"/>
      <c r="H19" s="1889"/>
      <c r="I19" s="1251"/>
      <c r="J19" s="1888"/>
      <c r="K19" s="3213"/>
      <c r="L19" s="1888"/>
      <c r="M19" s="1888"/>
      <c r="N19" s="1888"/>
      <c r="O19" s="1888"/>
      <c r="P19" s="1888"/>
      <c r="Q19" s="1888"/>
      <c r="R19" s="1888"/>
      <c r="S19" s="1888"/>
      <c r="T19" s="1888"/>
      <c r="U19" s="1888"/>
      <c r="V19" s="1888"/>
      <c r="W19" s="1888"/>
      <c r="X19" s="1888"/>
    </row>
    <row r="20" spans="1:24">
      <c r="A20" s="1720" t="s">
        <v>91</v>
      </c>
      <c r="B20" s="1889"/>
      <c r="C20" s="1906">
        <f>+'Exh D Special Revenue State Fed'!C20</f>
        <v>806</v>
      </c>
      <c r="D20" s="1889"/>
      <c r="E20" s="1906">
        <f>+'Exh D Special Revenue State Fed'!E20</f>
        <v>775</v>
      </c>
      <c r="F20" s="1254"/>
      <c r="G20" s="1906">
        <f>+'Exh D Special Revenue State Fed'!G20</f>
        <v>774.5</v>
      </c>
      <c r="H20" s="1254"/>
      <c r="I20" s="1252">
        <f t="shared" ref="I20:I26" si="0">ROUND(SUM(G20)-SUM(C20),1)</f>
        <v>-31.5</v>
      </c>
      <c r="J20" s="1888"/>
      <c r="K20" s="1252">
        <f>ROUND(SUM(G20)-SUM(E20),1)</f>
        <v>-0.5</v>
      </c>
      <c r="L20" s="1888"/>
      <c r="M20" s="1888"/>
      <c r="N20" s="1888"/>
      <c r="O20" s="1888"/>
      <c r="P20" s="1888"/>
      <c r="Q20" s="1888"/>
      <c r="R20" s="1888"/>
      <c r="S20" s="1888"/>
      <c r="T20" s="1888"/>
      <c r="U20" s="1888"/>
      <c r="V20" s="1888"/>
      <c r="W20" s="1888"/>
      <c r="X20" s="1888"/>
    </row>
    <row r="21" spans="1:24">
      <c r="A21" s="1720" t="s">
        <v>92</v>
      </c>
      <c r="B21" s="1888"/>
      <c r="C21" s="1171">
        <f>+'Exh D Special Revenue State Fed'!C21</f>
        <v>1596</v>
      </c>
      <c r="D21" s="1888"/>
      <c r="E21" s="1171">
        <f>+'Exh D Special Revenue State Fed'!E21</f>
        <v>1581</v>
      </c>
      <c r="F21" s="1171"/>
      <c r="G21" s="1171">
        <f>+'Exh D Special Revenue State Fed'!G21</f>
        <v>1582.5</v>
      </c>
      <c r="H21" s="1171"/>
      <c r="I21" s="1171">
        <f t="shared" si="0"/>
        <v>-13.5</v>
      </c>
      <c r="J21" s="1908"/>
      <c r="K21" s="3151">
        <f t="shared" ref="K21:K26" si="1">ROUND(SUM(G21)-SUM(E21),1)</f>
        <v>1.5</v>
      </c>
      <c r="L21" s="1888"/>
      <c r="M21" s="1888"/>
      <c r="N21" s="1888"/>
      <c r="O21" s="1888"/>
      <c r="P21" s="1888"/>
      <c r="Q21" s="1888"/>
      <c r="R21" s="1888"/>
      <c r="S21" s="1888"/>
      <c r="T21" s="1888"/>
      <c r="U21" s="1888"/>
      <c r="V21" s="1888"/>
      <c r="W21" s="1888"/>
      <c r="X21" s="1888"/>
    </row>
    <row r="22" spans="1:24">
      <c r="A22" s="1720" t="s">
        <v>93</v>
      </c>
      <c r="B22" s="1889"/>
      <c r="C22" s="1171">
        <f>+'Exh D Special Revenue State Fed'!C22</f>
        <v>1062</v>
      </c>
      <c r="D22" s="1889"/>
      <c r="E22" s="1171">
        <f>+'Exh D Special Revenue State Fed'!E22</f>
        <v>1077</v>
      </c>
      <c r="F22" s="1327"/>
      <c r="G22" s="1171">
        <f>+'Exh D Special Revenue State Fed'!G22</f>
        <v>1076.5999999999999</v>
      </c>
      <c r="H22" s="1327"/>
      <c r="I22" s="1171">
        <f t="shared" si="0"/>
        <v>14.6</v>
      </c>
      <c r="J22" s="1909"/>
      <c r="K22" s="3151">
        <f t="shared" si="1"/>
        <v>-0.4</v>
      </c>
      <c r="L22" s="1888"/>
      <c r="M22" s="1910"/>
      <c r="N22" s="1888"/>
      <c r="O22" s="1910"/>
      <c r="P22" s="1888"/>
      <c r="Q22" s="1888"/>
      <c r="R22" s="1910"/>
      <c r="S22" s="1888"/>
      <c r="T22" s="1888"/>
      <c r="U22" s="1910"/>
      <c r="V22" s="406"/>
      <c r="W22" s="1910"/>
      <c r="X22" s="1888"/>
    </row>
    <row r="23" spans="1:24">
      <c r="A23" s="1720" t="s">
        <v>94</v>
      </c>
      <c r="B23" s="1888"/>
      <c r="C23" s="1171">
        <f>+'Exh D Special Revenue State Fed'!C23</f>
        <v>905</v>
      </c>
      <c r="D23" s="1888"/>
      <c r="E23" s="1171">
        <f>+'Exh D Special Revenue State Fed'!E23</f>
        <v>890</v>
      </c>
      <c r="F23" s="1171"/>
      <c r="G23" s="1171">
        <f>+'Exh D Special Revenue State Fed'!G23</f>
        <v>889.5</v>
      </c>
      <c r="H23" s="1171"/>
      <c r="I23" s="1171">
        <f t="shared" si="0"/>
        <v>-15.5</v>
      </c>
      <c r="J23" s="1908"/>
      <c r="K23" s="3151">
        <f t="shared" si="1"/>
        <v>-0.5</v>
      </c>
      <c r="L23" s="1888"/>
      <c r="M23" s="1888"/>
      <c r="N23" s="1888"/>
      <c r="O23" s="1888"/>
      <c r="P23" s="1888"/>
      <c r="Q23" s="1888"/>
      <c r="R23" s="1888"/>
      <c r="S23" s="1888"/>
      <c r="T23" s="1888"/>
      <c r="U23" s="1888"/>
      <c r="V23" s="1888"/>
      <c r="W23" s="1888"/>
      <c r="X23" s="1888"/>
    </row>
    <row r="24" spans="1:24" ht="15" customHeight="1">
      <c r="A24" s="1720" t="s">
        <v>21</v>
      </c>
      <c r="B24" s="1888"/>
      <c r="C24" s="1171">
        <f>+'Exh D Special Revenue State Fed'!C24+'Exh D Special Revenue State Fed'!N24</f>
        <v>11619</v>
      </c>
      <c r="D24" s="1888"/>
      <c r="E24" s="1171">
        <f>+'Exh D Special Revenue State Fed'!E24+'Exh D Special Revenue State Fed'!P24</f>
        <v>11827</v>
      </c>
      <c r="F24" s="1171"/>
      <c r="G24" s="1171">
        <f>+'Exh D Special Revenue State Fed'!G24+'Exh D Special Revenue State Fed'!R24</f>
        <v>12036.4</v>
      </c>
      <c r="H24" s="1171"/>
      <c r="I24" s="1171">
        <f t="shared" si="0"/>
        <v>417.4</v>
      </c>
      <c r="J24" s="1908"/>
      <c r="K24" s="3151">
        <f t="shared" si="1"/>
        <v>209.4</v>
      </c>
      <c r="L24" s="1888"/>
      <c r="M24" s="1888"/>
      <c r="N24" s="1888"/>
      <c r="O24" s="1888"/>
      <c r="P24" s="1888"/>
      <c r="Q24" s="1888"/>
      <c r="R24" s="1888"/>
      <c r="S24" s="1888"/>
      <c r="T24" s="1888"/>
      <c r="U24" s="1888"/>
      <c r="V24" s="1888"/>
      <c r="W24" s="1888"/>
      <c r="X24" s="1888"/>
    </row>
    <row r="25" spans="1:24" ht="15" customHeight="1">
      <c r="A25" s="1720" t="s">
        <v>22</v>
      </c>
      <c r="B25" s="1888"/>
      <c r="C25" s="1171">
        <f>+'Exh D Special Revenue State Fed'!C25+'Exh D Special Revenue State Fed'!N25</f>
        <v>34732</v>
      </c>
      <c r="D25" s="1888"/>
      <c r="E25" s="1171">
        <f>+'Exh D Special Revenue State Fed'!E25+'Exh D Special Revenue State Fed'!P25</f>
        <v>35485</v>
      </c>
      <c r="F25" s="1171"/>
      <c r="G25" s="1171">
        <f>+'Exh D Special Revenue State Fed'!G25+'Exh D Special Revenue State Fed'!R25</f>
        <v>35486.399999999994</v>
      </c>
      <c r="H25" s="1171"/>
      <c r="I25" s="1171">
        <f t="shared" si="0"/>
        <v>754.4</v>
      </c>
      <c r="J25" s="1908"/>
      <c r="K25" s="3151">
        <f t="shared" si="1"/>
        <v>1.4</v>
      </c>
      <c r="L25" s="1913"/>
      <c r="M25" s="1888"/>
      <c r="N25" s="1913"/>
      <c r="O25" s="1888"/>
      <c r="P25" s="1913"/>
      <c r="Q25" s="1914"/>
      <c r="R25" s="1888"/>
      <c r="S25" s="1888"/>
      <c r="T25" s="1888"/>
      <c r="U25" s="1888"/>
      <c r="V25" s="1888"/>
      <c r="W25" s="1888"/>
      <c r="X25" s="1888"/>
    </row>
    <row r="26" spans="1:24">
      <c r="A26" s="1720" t="s">
        <v>1619</v>
      </c>
      <c r="B26" s="1913"/>
      <c r="C26" s="1893">
        <f>+'Exh D Special Revenue State Fed'!C26</f>
        <v>7298</v>
      </c>
      <c r="D26" s="1913"/>
      <c r="E26" s="1893">
        <f>+'Exh D Special Revenue State Fed'!E26</f>
        <v>7202</v>
      </c>
      <c r="F26" s="1171"/>
      <c r="G26" s="1893">
        <f>+'Exh D Special Revenue State Fed'!G26</f>
        <v>7206.4</v>
      </c>
      <c r="H26" s="1171"/>
      <c r="I26" s="1894">
        <f t="shared" si="0"/>
        <v>-91.6</v>
      </c>
      <c r="J26" s="1908"/>
      <c r="K26" s="1894">
        <f t="shared" si="1"/>
        <v>4.4000000000000004</v>
      </c>
      <c r="L26" s="1913"/>
      <c r="M26" s="1888"/>
      <c r="N26" s="1913"/>
      <c r="O26" s="1888"/>
      <c r="P26" s="1913"/>
      <c r="Q26" s="1914"/>
      <c r="R26" s="1888"/>
      <c r="S26" s="1888"/>
      <c r="T26" s="1888"/>
      <c r="U26" s="1888"/>
      <c r="V26" s="1888"/>
      <c r="W26" s="1888"/>
      <c r="X26" s="1888"/>
    </row>
    <row r="27" spans="1:24" ht="18" customHeight="1">
      <c r="A27" s="2244" t="s">
        <v>113</v>
      </c>
      <c r="B27" s="354"/>
      <c r="C27" s="1738">
        <f>ROUND(SUM(C20:C26),1)</f>
        <v>58018</v>
      </c>
      <c r="D27" s="354"/>
      <c r="E27" s="1738">
        <f>ROUND(SUM(E20:E26),1)</f>
        <v>58837</v>
      </c>
      <c r="F27" s="1886"/>
      <c r="G27" s="1738">
        <f>ROUND(SUM(G20:G26),1)</f>
        <v>59052.3</v>
      </c>
      <c r="H27" s="1886"/>
      <c r="I27" s="1738">
        <f>ROUND(SUM(I20:I26),1)</f>
        <v>1034.3</v>
      </c>
      <c r="J27" s="273"/>
      <c r="K27" s="3216">
        <f>ROUND(SUM(K20:K26),1)</f>
        <v>215.3</v>
      </c>
      <c r="L27" s="354"/>
      <c r="M27" s="354"/>
      <c r="N27" s="354"/>
      <c r="O27" s="354"/>
      <c r="P27" s="354"/>
      <c r="Q27" s="354"/>
      <c r="R27" s="354"/>
      <c r="S27" s="354"/>
      <c r="T27" s="354"/>
      <c r="U27" s="354"/>
      <c r="V27" s="354"/>
      <c r="W27" s="354"/>
      <c r="X27" s="354"/>
    </row>
    <row r="28" spans="1:24">
      <c r="A28" s="1358"/>
      <c r="B28" s="1888"/>
      <c r="C28" s="1908"/>
      <c r="D28" s="1888"/>
      <c r="E28" s="1356"/>
      <c r="F28" s="1171"/>
      <c r="G28" s="1356"/>
      <c r="H28" s="1171"/>
      <c r="I28" s="1356"/>
      <c r="J28" s="1908"/>
      <c r="K28" s="1356"/>
      <c r="L28" s="1888"/>
      <c r="M28" s="1888"/>
      <c r="N28" s="1888"/>
      <c r="O28" s="1888"/>
      <c r="P28" s="1888"/>
      <c r="Q28" s="1888"/>
      <c r="R28" s="1888"/>
      <c r="S28" s="1888"/>
      <c r="T28" s="1888"/>
      <c r="U28" s="1888"/>
      <c r="V28" s="1888"/>
      <c r="W28" s="1888"/>
      <c r="X28" s="1888"/>
    </row>
    <row r="29" spans="1:24" ht="15.6">
      <c r="A29" s="221" t="s">
        <v>24</v>
      </c>
      <c r="B29" s="1888"/>
      <c r="C29" s="1908"/>
      <c r="D29" s="1888"/>
      <c r="E29" s="1171"/>
      <c r="F29" s="1171"/>
      <c r="G29" s="1171"/>
      <c r="H29" s="1171"/>
      <c r="I29" s="1171"/>
      <c r="J29" s="1908"/>
      <c r="K29" s="3215"/>
      <c r="L29" s="1888"/>
      <c r="M29" s="1888"/>
      <c r="N29" s="1888"/>
      <c r="O29" s="1888"/>
      <c r="P29" s="1888"/>
      <c r="Q29" s="1888"/>
      <c r="R29" s="1888"/>
      <c r="S29" s="1888"/>
      <c r="T29" s="1888"/>
      <c r="U29" s="1888"/>
      <c r="V29" s="1888"/>
      <c r="W29" s="1888"/>
      <c r="X29" s="1888"/>
    </row>
    <row r="30" spans="1:24">
      <c r="A30" s="1720" t="s">
        <v>96</v>
      </c>
      <c r="B30" s="1910"/>
      <c r="C30" s="1327">
        <f>+'Exh D Special Revenue State Fed'!C30+'Exh D Special Revenue State Fed'!N30</f>
        <v>45172</v>
      </c>
      <c r="D30" s="1910"/>
      <c r="E30" s="1327">
        <f>+'Exh D Special Revenue State Fed'!E30+'Exh D Special Revenue State Fed'!P30</f>
        <v>45578</v>
      </c>
      <c r="F30" s="1171"/>
      <c r="G30" s="1327">
        <f>+'Exh D Special Revenue State Fed'!G30+'Exh D Special Revenue State Fed'!R30</f>
        <v>45501</v>
      </c>
      <c r="H30" s="1171"/>
      <c r="I30" s="1171">
        <f>ROUND(SUM(G30)-SUM(C30),1)</f>
        <v>329</v>
      </c>
      <c r="J30" s="1908"/>
      <c r="K30" s="3151">
        <f>ROUND(SUM(G30)-SUM(E30),1)</f>
        <v>-77</v>
      </c>
      <c r="L30" s="1913"/>
      <c r="M30" s="1888"/>
      <c r="N30" s="1913"/>
      <c r="O30" s="1888"/>
      <c r="P30" s="1913"/>
      <c r="Q30" s="1914"/>
      <c r="R30" s="1888"/>
      <c r="S30" s="1888"/>
      <c r="T30" s="1888"/>
      <c r="U30" s="1888"/>
      <c r="V30" s="1888"/>
      <c r="W30" s="1888"/>
      <c r="X30" s="1888"/>
    </row>
    <row r="31" spans="1:24">
      <c r="A31" s="1720" t="s">
        <v>97</v>
      </c>
      <c r="B31" s="1910"/>
      <c r="C31" s="1327">
        <f>+'Exh D Special Revenue State Fed'!C31+'Exh D Special Revenue State Fed'!N31</f>
        <v>9165</v>
      </c>
      <c r="D31" s="1910"/>
      <c r="E31" s="1327">
        <f>+'Exh D Special Revenue State Fed'!E31+'Exh D Special Revenue State Fed'!P31</f>
        <v>9140</v>
      </c>
      <c r="F31" s="1171"/>
      <c r="G31" s="1327">
        <f>+'Exh D Special Revenue State Fed'!G31+'Exh D Special Revenue State Fed'!R31</f>
        <v>9148.6</v>
      </c>
      <c r="H31" s="1171"/>
      <c r="I31" s="1171">
        <f>ROUND(SUM(G31)-SUM(C31),1)</f>
        <v>-16.399999999999999</v>
      </c>
      <c r="J31" s="1908"/>
      <c r="K31" s="3151">
        <f>ROUND(SUM(G31)-SUM(E31),1)</f>
        <v>8.6</v>
      </c>
      <c r="L31" s="1910"/>
      <c r="M31" s="1888"/>
      <c r="N31" s="1910"/>
      <c r="O31" s="1888"/>
      <c r="P31" s="1913"/>
      <c r="Q31" s="1888"/>
      <c r="R31" s="1888"/>
      <c r="S31" s="1913"/>
      <c r="T31" s="1913"/>
      <c r="U31" s="1888"/>
      <c r="V31" s="1913"/>
      <c r="W31" s="1888"/>
      <c r="X31" s="1913"/>
    </row>
    <row r="32" spans="1:24">
      <c r="A32" s="1720" t="s">
        <v>72</v>
      </c>
      <c r="B32" s="1910"/>
      <c r="C32" s="1327">
        <f>+'Exh D Special Revenue State Fed'!C32+'Exh D Special Revenue State Fed'!N32</f>
        <v>1889</v>
      </c>
      <c r="D32" s="1910"/>
      <c r="E32" s="1351">
        <f>+'Exh D Special Revenue State Fed'!E32+'Exh D Special Revenue State Fed'!P32</f>
        <v>1676</v>
      </c>
      <c r="F32" s="1171"/>
      <c r="G32" s="1327">
        <f>+'Exh D Special Revenue State Fed'!G32+'Exh D Special Revenue State Fed'!R32</f>
        <v>1674.3000000000002</v>
      </c>
      <c r="H32" s="1171"/>
      <c r="I32" s="1171">
        <f>ROUND(SUM(G32)-SUM(C32),1)</f>
        <v>-214.7</v>
      </c>
      <c r="J32" s="1908"/>
      <c r="K32" s="3151">
        <f>ROUND(SUM(G32)-SUM(E32),1)</f>
        <v>-1.7</v>
      </c>
      <c r="L32" s="1913"/>
      <c r="M32" s="1888"/>
      <c r="N32" s="1913"/>
      <c r="O32" s="1888"/>
      <c r="P32" s="1913"/>
      <c r="Q32" s="1914"/>
      <c r="R32" s="1888"/>
      <c r="S32" s="1913"/>
      <c r="T32" s="1913"/>
      <c r="U32" s="1888"/>
      <c r="V32" s="1913"/>
      <c r="W32" s="1888"/>
      <c r="X32" s="1913"/>
    </row>
    <row r="33" spans="1:24">
      <c r="A33" s="1720" t="s">
        <v>43</v>
      </c>
      <c r="B33" s="1910"/>
      <c r="C33" s="1354">
        <f>+'Exh D Special Revenue State Fed'!C33+'Exh D Special Revenue State Fed'!N33</f>
        <v>0</v>
      </c>
      <c r="D33" s="1910"/>
      <c r="E33" s="1354">
        <f>+'Exh D Special Revenue State Fed'!E33+'Exh D Special Revenue State Fed'!P33</f>
        <v>0</v>
      </c>
      <c r="F33" s="1171"/>
      <c r="G33" s="1354">
        <f>+'Exh D Special Revenue State Fed'!G33+'Exh D Special Revenue State Fed'!R33</f>
        <v>0.9</v>
      </c>
      <c r="H33" s="1171"/>
      <c r="I33" s="1171">
        <f>ROUND(SUM(G33)-SUM(C33),1)</f>
        <v>0.9</v>
      </c>
      <c r="J33" s="1908"/>
      <c r="K33" s="3151">
        <f>ROUND(SUM(G33)-SUM(E33),1)</f>
        <v>0.9</v>
      </c>
      <c r="L33" s="1913"/>
      <c r="M33" s="1888"/>
      <c r="N33" s="1913"/>
      <c r="O33" s="1888"/>
      <c r="P33" s="1913"/>
      <c r="Q33" s="1914"/>
      <c r="R33" s="1888"/>
      <c r="S33" s="1888"/>
      <c r="T33" s="1888"/>
      <c r="U33" s="1888"/>
      <c r="V33" s="1888"/>
      <c r="W33" s="1888"/>
      <c r="X33" s="1888"/>
    </row>
    <row r="34" spans="1:24">
      <c r="A34" s="1720" t="s">
        <v>1620</v>
      </c>
      <c r="B34" s="1910"/>
      <c r="C34" s="1327">
        <f>+'Exh D Special Revenue State Fed'!C34+'Exh D Special Revenue State Fed'!N34</f>
        <v>1743</v>
      </c>
      <c r="D34" s="1910"/>
      <c r="E34" s="1327">
        <f>+'Exh D Special Revenue State Fed'!E34+'Exh D Special Revenue State Fed'!P34</f>
        <v>1584</v>
      </c>
      <c r="F34" s="1171"/>
      <c r="G34" s="1327">
        <f>+'Exh D Special Revenue State Fed'!G34+'Exh D Special Revenue State Fed'!R34</f>
        <v>1654.5</v>
      </c>
      <c r="H34" s="1171"/>
      <c r="I34" s="1171">
        <f>ROUND(SUM(G34)-SUM(C34),1)</f>
        <v>-88.5</v>
      </c>
      <c r="J34" s="1908"/>
      <c r="K34" s="3151">
        <f>ROUND(SUM(G34)-SUM(E34),1)</f>
        <v>70.5</v>
      </c>
      <c r="L34" s="1913"/>
      <c r="M34" s="1888"/>
      <c r="N34" s="1913"/>
      <c r="O34" s="1888"/>
      <c r="P34" s="1913"/>
      <c r="Q34" s="1914"/>
      <c r="R34" s="1888"/>
      <c r="S34" s="1888"/>
      <c r="T34" s="1888"/>
      <c r="U34" s="1888"/>
      <c r="V34" s="1888"/>
      <c r="W34" s="1888"/>
      <c r="X34" s="1888"/>
    </row>
    <row r="35" spans="1:24" ht="18" customHeight="1">
      <c r="A35" s="3208" t="s">
        <v>16</v>
      </c>
      <c r="B35" s="354"/>
      <c r="C35" s="545">
        <f>ROUND(SUM(C30:C34),1)</f>
        <v>57969</v>
      </c>
      <c r="D35" s="354"/>
      <c r="E35" s="420">
        <f>ROUND(SUM(E30:E34),1)</f>
        <v>57978</v>
      </c>
      <c r="F35" s="1886"/>
      <c r="G35" s="420">
        <f>ROUND(SUM(G30:G34),1)</f>
        <v>57979.3</v>
      </c>
      <c r="H35" s="1886"/>
      <c r="I35" s="420">
        <f>ROUND(SUM(I30:I34),1)</f>
        <v>10.3</v>
      </c>
      <c r="J35" s="273"/>
      <c r="K35" s="3218">
        <f>ROUND(SUM(K30:K34),1)</f>
        <v>1.3</v>
      </c>
      <c r="L35" s="354"/>
      <c r="M35" s="354"/>
      <c r="N35" s="354"/>
      <c r="O35" s="354"/>
      <c r="P35" s="354"/>
      <c r="Q35" s="354"/>
      <c r="R35" s="354"/>
      <c r="S35" s="354"/>
      <c r="T35" s="354"/>
      <c r="U35" s="354"/>
      <c r="V35" s="354"/>
      <c r="W35" s="354"/>
      <c r="X35" s="354"/>
    </row>
    <row r="36" spans="1:24">
      <c r="A36" s="1358"/>
      <c r="B36" s="1888"/>
      <c r="C36" s="1908"/>
      <c r="D36" s="1888"/>
      <c r="E36" s="1356"/>
      <c r="F36" s="1171"/>
      <c r="G36" s="1356"/>
      <c r="H36" s="1171"/>
      <c r="I36" s="1356"/>
      <c r="J36" s="1908"/>
      <c r="K36" s="3217"/>
      <c r="L36" s="1888"/>
      <c r="M36" s="1888"/>
      <c r="N36" s="1888"/>
      <c r="O36" s="1888"/>
      <c r="P36" s="1888"/>
      <c r="Q36" s="1888"/>
      <c r="R36" s="1888"/>
      <c r="S36" s="1888"/>
      <c r="T36" s="1888"/>
      <c r="U36" s="1888"/>
      <c r="V36" s="1888"/>
      <c r="W36" s="1888"/>
      <c r="X36" s="1888"/>
    </row>
    <row r="37" spans="1:24" ht="15.6">
      <c r="A37" s="221" t="s">
        <v>123</v>
      </c>
      <c r="B37" s="1888"/>
      <c r="C37" s="1908"/>
      <c r="D37" s="1888"/>
      <c r="E37" s="1171"/>
      <c r="F37" s="1171"/>
      <c r="G37" s="1171"/>
      <c r="H37" s="1171"/>
      <c r="I37" s="1171"/>
      <c r="J37" s="1908"/>
      <c r="K37" s="3215"/>
      <c r="L37" s="1888"/>
      <c r="M37" s="1888"/>
      <c r="N37" s="1888"/>
      <c r="O37" s="1888"/>
      <c r="P37" s="1888"/>
      <c r="Q37" s="1888"/>
      <c r="R37" s="1888"/>
      <c r="S37" s="1888"/>
      <c r="T37" s="1888"/>
      <c r="U37" s="1888"/>
      <c r="V37" s="1888"/>
      <c r="W37" s="1888"/>
      <c r="X37" s="1888"/>
    </row>
    <row r="38" spans="1:24" ht="15.6">
      <c r="A38" s="221" t="s">
        <v>124</v>
      </c>
      <c r="B38" s="1888"/>
      <c r="C38" s="1908"/>
      <c r="D38" s="1888"/>
      <c r="E38" s="1171"/>
      <c r="F38" s="1171"/>
      <c r="G38" s="1171"/>
      <c r="H38" s="1171"/>
      <c r="I38" s="1171"/>
      <c r="J38" s="1908"/>
      <c r="K38" s="3215"/>
      <c r="L38" s="1888"/>
      <c r="M38" s="1888"/>
      <c r="N38" s="1888"/>
      <c r="O38" s="1888"/>
      <c r="P38" s="1888"/>
      <c r="Q38" s="1888"/>
      <c r="R38" s="1888"/>
      <c r="S38" s="1888"/>
      <c r="T38" s="1888"/>
      <c r="U38" s="1888"/>
      <c r="V38" s="1888"/>
      <c r="W38" s="1888"/>
      <c r="X38" s="1888"/>
    </row>
    <row r="39" spans="1:24" ht="15.6">
      <c r="A39" s="2244" t="s">
        <v>105</v>
      </c>
      <c r="B39" s="378"/>
      <c r="C39" s="273">
        <f>ROUND(SUM(C27)-SUM(C35),1)</f>
        <v>49</v>
      </c>
      <c r="D39" s="378"/>
      <c r="E39" s="273">
        <f>ROUND(SUM(E27)-SUM(E35),1)</f>
        <v>859</v>
      </c>
      <c r="F39" s="284"/>
      <c r="G39" s="273">
        <f>ROUND(SUM(G27)-SUM(G35),1)</f>
        <v>1073</v>
      </c>
      <c r="H39" s="284"/>
      <c r="I39" s="273">
        <f>ROUND(SUM(I27)-SUM(I35),1)</f>
        <v>1024</v>
      </c>
      <c r="J39" s="743"/>
      <c r="K39" s="3219">
        <f>ROUND(SUM(K27)-SUM(K35),1)</f>
        <v>214</v>
      </c>
      <c r="L39" s="354"/>
      <c r="M39" s="377"/>
      <c r="N39" s="354"/>
      <c r="O39" s="377"/>
      <c r="P39" s="354"/>
      <c r="Q39" s="354"/>
      <c r="R39" s="377"/>
      <c r="S39" s="354"/>
      <c r="T39" s="354"/>
      <c r="U39" s="377"/>
      <c r="V39" s="354"/>
      <c r="W39" s="377"/>
      <c r="X39" s="354"/>
    </row>
    <row r="40" spans="1:24" ht="15" customHeight="1">
      <c r="C40" s="1269"/>
      <c r="E40" s="1269"/>
      <c r="F40" s="1897"/>
      <c r="G40" s="1269"/>
      <c r="H40" s="1897"/>
      <c r="I40" s="1269"/>
      <c r="J40" s="1269"/>
      <c r="K40" s="3220"/>
    </row>
    <row r="41" spans="1:24" ht="15.6">
      <c r="A41" s="2244" t="str">
        <f>+'Exh D-Governmental  '!A49</f>
        <v>Fund Balances (Deficits) at April 1</v>
      </c>
      <c r="C41" s="273">
        <v>2661</v>
      </c>
      <c r="E41" s="273">
        <v>2661</v>
      </c>
      <c r="F41" s="1897"/>
      <c r="G41" s="3152">
        <f>+'Exh D Special Revenue State Fed'!G41+'Exh D Special Revenue State Fed'!R41</f>
        <v>2661.8</v>
      </c>
      <c r="H41" s="1897"/>
      <c r="I41" s="281">
        <f>ROUND(SUM(G41-C41),1)</f>
        <v>0.8</v>
      </c>
      <c r="J41" s="1269"/>
      <c r="K41" s="281">
        <f>ROUND(SUM(G41-E41),1)</f>
        <v>0.8</v>
      </c>
    </row>
    <row r="42" spans="1:24" ht="18" customHeight="1" thickBot="1">
      <c r="A42" s="2626" t="str">
        <f>+'Exh D-Governmental  '!A50</f>
        <v>Fund Balances (Deficits) at December 31, 2015</v>
      </c>
      <c r="B42" s="378"/>
      <c r="C42" s="299">
        <f>ROUND(SUM(C39:C41),1)</f>
        <v>2710</v>
      </c>
      <c r="D42" s="378"/>
      <c r="E42" s="299">
        <f>ROUND(SUM(E39:E41),1)</f>
        <v>3520</v>
      </c>
      <c r="F42" s="384"/>
      <c r="G42" s="299">
        <f>ROUND(SUM(G39:G41),1)</f>
        <v>3734.8</v>
      </c>
      <c r="H42" s="384"/>
      <c r="I42" s="299">
        <f>ROUND(SUM(I39:I41),1)</f>
        <v>1024.8</v>
      </c>
      <c r="K42" s="3221">
        <f>ROUND(SUM(K39:K41),1)</f>
        <v>214.8</v>
      </c>
    </row>
    <row r="43" spans="1:24" ht="15" customHeight="1" thickTop="1">
      <c r="A43" s="358"/>
      <c r="E43" s="1357"/>
      <c r="F43" s="1916"/>
      <c r="G43" s="1916"/>
      <c r="H43" s="1916"/>
      <c r="I43" s="1916"/>
      <c r="K43" s="3214"/>
    </row>
    <row r="44" spans="1:24">
      <c r="A44" s="1901" t="str">
        <f>+'Exh D Special Revenue State Fed'!A44</f>
        <v>(*)      Source:  2015-16 Enacted Budget dated May 13, 2015.</v>
      </c>
    </row>
    <row r="45" spans="1:24">
      <c r="A45" s="1195" t="s">
        <v>1685</v>
      </c>
    </row>
    <row r="46" spans="1:24">
      <c r="A46" s="2995" t="s">
        <v>1634</v>
      </c>
    </row>
    <row r="47" spans="1:24">
      <c r="A47" s="2995" t="s">
        <v>1556</v>
      </c>
    </row>
    <row r="48" spans="1:24">
      <c r="A48" s="1917"/>
    </row>
    <row r="50" spans="1:1">
      <c r="A50" s="407"/>
    </row>
    <row r="51" spans="1:1">
      <c r="A51" s="407"/>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1"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50"/>
  <sheetViews>
    <sheetView showGridLines="0" zoomScale="80" zoomScaleNormal="70" workbookViewId="0"/>
  </sheetViews>
  <sheetFormatPr defaultColWidth="8.90625" defaultRowHeight="15"/>
  <cols>
    <col min="1" max="1" width="53.08984375" style="1896" customWidth="1"/>
    <col min="2" max="2" width="0.81640625" style="1149" customWidth="1"/>
    <col min="3" max="3" width="15.81640625" style="791" customWidth="1"/>
    <col min="4" max="4" width="0.81640625" style="1900" customWidth="1"/>
    <col min="5" max="5" width="15.81640625" style="791" customWidth="1"/>
    <col min="6" max="6" width="0.81640625" style="1900" customWidth="1"/>
    <col min="7" max="7" width="15.81640625" style="1900" customWidth="1"/>
    <col min="8" max="8" width="0.6328125" style="1900" customWidth="1"/>
    <col min="9" max="9" width="15.81640625" style="1900" customWidth="1"/>
    <col min="10" max="10" width="0.81640625" style="1900" customWidth="1"/>
    <col min="11" max="11" width="15.81640625" style="1900" customWidth="1"/>
    <col min="12" max="12" width="1.6328125" style="1149" customWidth="1"/>
    <col min="13" max="13" width="0.6328125" style="1149" customWidth="1"/>
    <col min="14" max="14" width="15.81640625" style="1149" customWidth="1"/>
    <col min="15" max="15" width="1.36328125" style="1149" customWidth="1"/>
    <col min="16" max="16" width="15.81640625" style="1149" customWidth="1"/>
    <col min="17" max="17" width="1.36328125" style="1149" customWidth="1"/>
    <col min="18" max="18" width="15.81640625" style="1149" customWidth="1"/>
    <col min="19" max="19" width="0.54296875" style="1149" customWidth="1"/>
    <col min="20" max="20" width="15.81640625" style="1149" customWidth="1"/>
    <col min="21" max="21" width="1.36328125" style="1149" customWidth="1"/>
    <col min="22" max="22" width="15.81640625" style="791" customWidth="1"/>
    <col min="23" max="23" width="1" style="1149" customWidth="1"/>
    <col min="24" max="24" width="3.6328125" style="791" customWidth="1"/>
    <col min="25" max="25" width="1" style="1149" customWidth="1"/>
    <col min="26" max="26" width="15.81640625" style="1149" customWidth="1"/>
    <col min="27" max="27" width="0.81640625" style="1149" customWidth="1"/>
    <col min="28" max="28" width="15.81640625" style="1149" customWidth="1"/>
    <col min="29" max="29" width="0.36328125" style="1149" customWidth="1"/>
    <col min="30" max="30" width="11.90625" style="1149" customWidth="1"/>
    <col min="31" max="31" width="11.453125" style="1149" customWidth="1"/>
    <col min="32" max="32" width="1.90625" style="1149" customWidth="1"/>
    <col min="33" max="33" width="11.6328125" style="1149" customWidth="1"/>
    <col min="34" max="34" width="2.08984375" style="1149" customWidth="1"/>
    <col min="35" max="35" width="11.453125" style="1149" customWidth="1"/>
    <col min="36" max="36" width="0.54296875" style="1149" customWidth="1"/>
    <col min="37" max="37" width="2.36328125" style="1149" customWidth="1"/>
    <col min="38" max="38" width="10.54296875" style="1149" customWidth="1"/>
    <col min="39" max="39" width="11.08984375" style="1149" customWidth="1"/>
    <col min="40" max="40" width="2.1796875" style="1149" customWidth="1"/>
    <col min="41" max="41" width="11.08984375" style="1149" customWidth="1"/>
    <col min="42" max="42" width="2.08984375" style="1149" customWidth="1"/>
    <col min="43" max="43" width="12.453125" style="1149" customWidth="1"/>
    <col min="44" max="48" width="8.90625" style="1149"/>
    <col min="49" max="49" width="8.90625" style="1900"/>
    <col min="50" max="16384" width="8.90625" style="1896"/>
  </cols>
  <sheetData>
    <row r="1" spans="1:49">
      <c r="A1" s="1902" t="s">
        <v>1217</v>
      </c>
      <c r="B1" s="389"/>
      <c r="C1" s="785"/>
      <c r="D1" s="390"/>
      <c r="E1" s="785"/>
      <c r="F1" s="390"/>
      <c r="G1" s="390"/>
      <c r="H1" s="390"/>
      <c r="I1" s="390"/>
      <c r="J1" s="390"/>
      <c r="K1" s="390"/>
      <c r="L1" s="389"/>
      <c r="M1" s="389"/>
      <c r="N1" s="389"/>
      <c r="O1" s="389"/>
      <c r="P1" s="389"/>
      <c r="Q1" s="389"/>
      <c r="R1" s="389"/>
      <c r="S1" s="389"/>
      <c r="T1" s="389"/>
      <c r="U1" s="389"/>
      <c r="V1" s="2359"/>
      <c r="W1" s="389"/>
      <c r="X1" s="2359"/>
      <c r="Y1" s="389"/>
      <c r="Z1" s="389"/>
      <c r="AA1" s="389"/>
      <c r="AB1" s="389"/>
      <c r="AC1" s="390"/>
      <c r="AD1" s="389"/>
      <c r="AE1" s="389"/>
      <c r="AF1" s="389"/>
      <c r="AG1" s="389"/>
      <c r="AH1" s="389"/>
      <c r="AI1" s="389"/>
      <c r="AJ1" s="389"/>
      <c r="AK1" s="389"/>
      <c r="AL1" s="389"/>
      <c r="AM1" s="389"/>
      <c r="AN1" s="389"/>
      <c r="AO1" s="389"/>
      <c r="AP1" s="389"/>
      <c r="AQ1" s="389"/>
      <c r="AR1" s="1896"/>
      <c r="AS1" s="1896"/>
      <c r="AT1" s="1896"/>
      <c r="AU1" s="1896"/>
      <c r="AV1" s="1896"/>
      <c r="AW1" s="1896"/>
    </row>
    <row r="2" spans="1:49" ht="17.25" customHeight="1">
      <c r="A2" s="391"/>
      <c r="B2" s="392"/>
      <c r="C2" s="786"/>
      <c r="D2" s="390"/>
      <c r="E2" s="786"/>
      <c r="F2" s="390"/>
      <c r="G2" s="390"/>
      <c r="H2" s="390"/>
      <c r="I2" s="390"/>
      <c r="J2" s="390"/>
      <c r="K2" s="390"/>
      <c r="L2" s="389"/>
      <c r="M2" s="389"/>
      <c r="N2" s="389"/>
      <c r="O2" s="389"/>
      <c r="P2" s="389"/>
      <c r="Q2" s="389"/>
      <c r="R2" s="389"/>
      <c r="S2" s="389"/>
      <c r="T2" s="389"/>
      <c r="U2" s="389"/>
      <c r="V2" s="2359"/>
      <c r="W2" s="389"/>
      <c r="X2" s="2359"/>
      <c r="Y2" s="389"/>
      <c r="Z2" s="2360"/>
      <c r="AA2" s="389"/>
      <c r="AB2" s="389"/>
      <c r="AC2" s="390"/>
      <c r="AD2" s="389"/>
      <c r="AE2" s="389"/>
      <c r="AF2" s="389"/>
      <c r="AG2" s="389"/>
      <c r="AH2" s="389"/>
      <c r="AI2" s="389"/>
      <c r="AJ2" s="389"/>
      <c r="AK2" s="389"/>
      <c r="AL2" s="389"/>
      <c r="AM2" s="389"/>
      <c r="AN2" s="389"/>
      <c r="AO2" s="389"/>
      <c r="AP2" s="389"/>
      <c r="AQ2" s="389"/>
      <c r="AR2" s="1896"/>
      <c r="AS2" s="1896"/>
      <c r="AT2" s="1896"/>
      <c r="AU2" s="1896"/>
      <c r="AV2" s="1896"/>
      <c r="AW2" s="1896"/>
    </row>
    <row r="3" spans="1:49" ht="21" customHeight="1">
      <c r="A3" s="394" t="s">
        <v>0</v>
      </c>
      <c r="B3" s="351"/>
      <c r="C3" s="787"/>
      <c r="D3" s="345"/>
      <c r="E3" s="787"/>
      <c r="F3" s="345"/>
      <c r="G3" s="345"/>
      <c r="H3" s="345"/>
      <c r="I3" s="345"/>
      <c r="J3" s="345"/>
      <c r="K3" s="345"/>
      <c r="L3" s="359"/>
      <c r="M3" s="359"/>
      <c r="N3" s="359"/>
      <c r="O3" s="359"/>
      <c r="P3" s="359"/>
      <c r="Q3" s="359"/>
      <c r="R3" s="359"/>
      <c r="S3" s="359"/>
      <c r="T3" s="1729"/>
      <c r="U3" s="359"/>
      <c r="V3" s="1729" t="s">
        <v>86</v>
      </c>
      <c r="W3" s="359"/>
      <c r="X3" s="2361"/>
      <c r="Y3" s="359"/>
      <c r="Z3" s="359"/>
      <c r="AA3" s="359"/>
      <c r="AB3" s="2362"/>
      <c r="AC3" s="345"/>
      <c r="AD3" s="359"/>
      <c r="AE3" s="359"/>
      <c r="AF3" s="359"/>
      <c r="AG3" s="359"/>
      <c r="AH3" s="359"/>
      <c r="AI3" s="359"/>
      <c r="AJ3" s="359"/>
      <c r="AK3" s="359"/>
      <c r="AL3" s="359"/>
      <c r="AM3" s="359"/>
      <c r="AN3" s="359"/>
      <c r="AO3" s="359"/>
      <c r="AP3" s="359"/>
      <c r="AQ3" s="395"/>
      <c r="AR3" s="1896"/>
      <c r="AS3" s="1896"/>
      <c r="AT3" s="1896"/>
      <c r="AU3" s="1896"/>
      <c r="AV3" s="1896"/>
      <c r="AW3" s="1896"/>
    </row>
    <row r="4" spans="1:49" ht="21.75" customHeight="1">
      <c r="A4" s="394" t="s">
        <v>85</v>
      </c>
      <c r="B4" s="351"/>
      <c r="C4" s="787"/>
      <c r="D4" s="345"/>
      <c r="E4" s="787"/>
      <c r="F4" s="345"/>
      <c r="G4" s="345"/>
      <c r="H4" s="345"/>
      <c r="I4" s="345"/>
      <c r="J4" s="345"/>
      <c r="K4" s="345"/>
      <c r="L4" s="359"/>
      <c r="M4" s="359"/>
      <c r="N4" s="359"/>
      <c r="O4" s="359"/>
      <c r="P4" s="359"/>
      <c r="Q4" s="359"/>
      <c r="R4" s="359"/>
      <c r="S4" s="359"/>
      <c r="T4" s="1730"/>
      <c r="U4" s="359"/>
      <c r="V4" s="1730" t="s">
        <v>107</v>
      </c>
      <c r="W4" s="359"/>
      <c r="X4" s="2361"/>
      <c r="Y4" s="359"/>
      <c r="Z4" s="359"/>
      <c r="AA4" s="359"/>
      <c r="AB4" s="2363"/>
      <c r="AC4" s="345"/>
      <c r="AD4" s="359"/>
      <c r="AE4" s="359"/>
      <c r="AF4" s="359"/>
      <c r="AG4" s="359"/>
      <c r="AH4" s="359"/>
      <c r="AI4" s="359"/>
      <c r="AJ4" s="359"/>
      <c r="AK4" s="359"/>
      <c r="AL4" s="359"/>
      <c r="AM4" s="359"/>
      <c r="AN4" s="359"/>
      <c r="AO4" s="359"/>
      <c r="AP4" s="359"/>
      <c r="AQ4" s="359"/>
      <c r="AR4" s="1896"/>
      <c r="AS4" s="1896"/>
      <c r="AT4" s="1896"/>
      <c r="AU4" s="1896"/>
      <c r="AV4" s="1896"/>
      <c r="AW4" s="1896"/>
    </row>
    <row r="5" spans="1:49" ht="21.75" customHeight="1">
      <c r="A5" s="3564" t="s">
        <v>1524</v>
      </c>
      <c r="B5" s="3565"/>
      <c r="C5" s="3565"/>
      <c r="D5" s="3565"/>
      <c r="E5" s="3565"/>
      <c r="F5" s="345"/>
      <c r="G5" s="1714"/>
      <c r="H5" s="345"/>
      <c r="I5" s="345"/>
      <c r="J5" s="345"/>
      <c r="K5" s="345"/>
      <c r="L5" s="359"/>
      <c r="M5" s="359"/>
      <c r="N5" s="359"/>
      <c r="O5" s="359"/>
      <c r="P5" s="359"/>
      <c r="Q5" s="359"/>
      <c r="R5" s="359"/>
      <c r="S5" s="359"/>
      <c r="T5" s="359"/>
      <c r="U5" s="359"/>
      <c r="V5" s="2361"/>
      <c r="W5" s="359"/>
      <c r="X5" s="2361"/>
      <c r="Y5" s="359"/>
      <c r="Z5" s="359"/>
      <c r="AA5" s="359"/>
      <c r="AB5" s="359"/>
      <c r="AC5" s="345"/>
      <c r="AD5" s="359"/>
      <c r="AE5" s="359"/>
      <c r="AF5" s="359"/>
      <c r="AG5" s="359"/>
      <c r="AH5" s="359"/>
      <c r="AI5" s="359"/>
      <c r="AJ5" s="359"/>
      <c r="AK5" s="359"/>
      <c r="AL5" s="359"/>
      <c r="AM5" s="359"/>
      <c r="AN5" s="359"/>
      <c r="AO5" s="359"/>
      <c r="AP5" s="359"/>
      <c r="AQ5" s="359"/>
      <c r="AR5" s="1896"/>
      <c r="AS5" s="1896"/>
      <c r="AT5" s="1896"/>
      <c r="AU5" s="1896"/>
      <c r="AV5" s="1896"/>
      <c r="AW5" s="1896"/>
    </row>
    <row r="6" spans="1:49" ht="17.25" customHeight="1">
      <c r="A6" s="349" t="str">
        <f>'Exh D-Governmental  '!A6</f>
        <v>FOR NINE MONTHS ENDED DECEMBER 31, 2015</v>
      </c>
      <c r="B6" s="350"/>
      <c r="C6" s="787"/>
      <c r="D6" s="345"/>
      <c r="E6" s="787"/>
      <c r="F6" s="345"/>
      <c r="G6" s="345"/>
      <c r="H6" s="345"/>
      <c r="I6" s="345"/>
      <c r="J6" s="345"/>
      <c r="K6" s="345"/>
      <c r="L6" s="359"/>
      <c r="M6" s="359"/>
      <c r="N6" s="359"/>
      <c r="O6" s="359"/>
      <c r="P6" s="359"/>
      <c r="Q6" s="359"/>
      <c r="R6" s="359"/>
      <c r="S6" s="359"/>
      <c r="T6" s="359"/>
      <c r="U6" s="359"/>
      <c r="V6" s="2361"/>
      <c r="W6" s="359"/>
      <c r="X6" s="2361"/>
      <c r="Y6" s="359"/>
      <c r="Z6" s="359"/>
      <c r="AA6" s="359"/>
      <c r="AB6" s="359"/>
      <c r="AC6" s="345"/>
      <c r="AD6" s="359"/>
      <c r="AE6" s="359"/>
      <c r="AF6" s="359"/>
      <c r="AG6" s="359"/>
      <c r="AH6" s="359"/>
      <c r="AI6" s="359"/>
      <c r="AJ6" s="359"/>
      <c r="AK6" s="359"/>
      <c r="AL6" s="359"/>
      <c r="AM6" s="359"/>
      <c r="AN6" s="359"/>
      <c r="AO6" s="359"/>
      <c r="AP6" s="359"/>
      <c r="AQ6" s="359"/>
      <c r="AR6" s="1896"/>
      <c r="AS6" s="1896"/>
      <c r="AT6" s="1896"/>
      <c r="AU6" s="1896"/>
      <c r="AV6" s="1896"/>
      <c r="AW6" s="1896"/>
    </row>
    <row r="7" spans="1:49" ht="17.399999999999999">
      <c r="A7" s="394" t="s">
        <v>1104</v>
      </c>
      <c r="B7" s="351"/>
      <c r="C7" s="787"/>
      <c r="D7" s="345"/>
      <c r="E7" s="787"/>
      <c r="F7" s="345"/>
      <c r="G7" s="345"/>
      <c r="H7" s="345"/>
      <c r="I7" s="345"/>
      <c r="J7" s="345"/>
      <c r="K7" s="345"/>
      <c r="L7" s="359"/>
      <c r="M7" s="359"/>
      <c r="N7" s="359"/>
      <c r="O7" s="359"/>
      <c r="P7" s="359"/>
      <c r="Q7" s="359"/>
      <c r="R7" s="359"/>
      <c r="S7" s="359"/>
      <c r="T7" s="359"/>
      <c r="U7" s="359"/>
      <c r="V7" s="2361"/>
      <c r="W7" s="359"/>
      <c r="X7" s="2361"/>
      <c r="Y7" s="359"/>
      <c r="Z7" s="359"/>
      <c r="AA7" s="359"/>
      <c r="AB7" s="359"/>
      <c r="AC7" s="345"/>
      <c r="AD7" s="359"/>
      <c r="AE7" s="359"/>
      <c r="AF7" s="359"/>
      <c r="AG7" s="359"/>
      <c r="AH7" s="359"/>
      <c r="AI7" s="359"/>
      <c r="AJ7" s="359"/>
      <c r="AK7" s="359"/>
      <c r="AL7" s="359"/>
      <c r="AM7" s="359"/>
      <c r="AN7" s="359"/>
      <c r="AO7" s="359"/>
      <c r="AP7" s="359"/>
      <c r="AQ7" s="359"/>
      <c r="AR7" s="1896"/>
      <c r="AS7" s="1896"/>
      <c r="AT7" s="1896"/>
      <c r="AU7" s="1896"/>
      <c r="AV7" s="1896"/>
      <c r="AW7" s="1896"/>
    </row>
    <row r="8" spans="1:49" ht="15" customHeight="1">
      <c r="A8" s="396"/>
      <c r="B8" s="350"/>
      <c r="C8" s="787"/>
      <c r="D8" s="345"/>
      <c r="E8" s="787"/>
      <c r="F8" s="345"/>
      <c r="G8" s="345"/>
      <c r="H8" s="345"/>
      <c r="I8" s="345"/>
      <c r="J8" s="345"/>
      <c r="K8" s="345"/>
      <c r="L8" s="359"/>
      <c r="M8" s="359"/>
      <c r="N8" s="359"/>
      <c r="O8" s="359"/>
      <c r="P8" s="359"/>
      <c r="Q8" s="359"/>
      <c r="R8" s="359"/>
      <c r="S8" s="359"/>
      <c r="T8" s="359"/>
      <c r="U8" s="359"/>
      <c r="V8" s="2361"/>
      <c r="W8" s="359"/>
      <c r="X8" s="2361"/>
      <c r="Y8" s="359"/>
      <c r="Z8" s="359"/>
      <c r="AA8" s="359"/>
      <c r="AB8" s="359"/>
      <c r="AC8" s="345"/>
      <c r="AD8" s="359"/>
      <c r="AE8" s="359"/>
      <c r="AF8" s="359"/>
      <c r="AG8" s="359"/>
      <c r="AH8" s="359"/>
      <c r="AI8" s="359"/>
      <c r="AJ8" s="359"/>
      <c r="AK8" s="359"/>
      <c r="AL8" s="359"/>
      <c r="AM8" s="359"/>
      <c r="AN8" s="359"/>
      <c r="AO8" s="359"/>
      <c r="AP8" s="359"/>
      <c r="AQ8" s="359"/>
      <c r="AR8" s="1896"/>
      <c r="AS8" s="1896"/>
      <c r="AT8" s="1896"/>
      <c r="AU8" s="1896"/>
      <c r="AV8" s="1896"/>
      <c r="AW8" s="1896"/>
    </row>
    <row r="9" spans="1:49">
      <c r="A9" s="353"/>
      <c r="B9" s="359"/>
      <c r="C9" s="788"/>
      <c r="D9" s="345"/>
      <c r="E9" s="788"/>
      <c r="F9" s="345"/>
      <c r="G9" s="345"/>
      <c r="H9" s="345"/>
      <c r="I9" s="345"/>
      <c r="J9" s="345"/>
      <c r="K9" s="345"/>
      <c r="L9" s="359"/>
      <c r="M9" s="359"/>
      <c r="N9" s="359"/>
      <c r="O9" s="359"/>
      <c r="P9" s="359"/>
      <c r="Q9" s="359"/>
      <c r="R9" s="359"/>
      <c r="S9" s="359"/>
      <c r="T9" s="359"/>
      <c r="U9" s="359"/>
      <c r="V9" s="2361"/>
      <c r="W9" s="359"/>
      <c r="X9" s="2361"/>
      <c r="Y9" s="359"/>
      <c r="Z9" s="359"/>
      <c r="AA9" s="359"/>
      <c r="AB9" s="359"/>
      <c r="AC9" s="345"/>
      <c r="AD9" s="359"/>
      <c r="AE9" s="359"/>
      <c r="AF9" s="359"/>
      <c r="AG9" s="359"/>
      <c r="AH9" s="359"/>
      <c r="AI9" s="359"/>
      <c r="AJ9" s="359"/>
      <c r="AK9" s="359"/>
      <c r="AL9" s="359"/>
      <c r="AM9" s="359"/>
      <c r="AN9" s="359"/>
      <c r="AO9" s="359"/>
      <c r="AP9" s="359"/>
      <c r="AQ9" s="359"/>
      <c r="AR9" s="1896"/>
      <c r="AS9" s="1896"/>
      <c r="AT9" s="1896"/>
      <c r="AU9" s="1896"/>
      <c r="AV9" s="1896"/>
      <c r="AW9" s="1896"/>
    </row>
    <row r="10" spans="1:49">
      <c r="A10" s="353"/>
      <c r="B10" s="359"/>
      <c r="C10" s="788"/>
      <c r="D10" s="345"/>
      <c r="E10" s="788"/>
      <c r="F10" s="345"/>
      <c r="G10" s="345"/>
      <c r="H10" s="345"/>
      <c r="I10" s="345"/>
      <c r="J10" s="345"/>
      <c r="K10" s="345"/>
      <c r="L10" s="359"/>
      <c r="M10" s="359"/>
      <c r="N10" s="359"/>
      <c r="O10" s="359"/>
      <c r="P10" s="359"/>
      <c r="Q10" s="359"/>
      <c r="R10" s="359"/>
      <c r="S10" s="359"/>
      <c r="T10" s="359"/>
      <c r="U10" s="359"/>
      <c r="V10" s="1968"/>
      <c r="W10" s="350"/>
      <c r="X10" s="1968"/>
      <c r="Y10" s="350"/>
      <c r="Z10" s="350"/>
      <c r="AA10" s="350"/>
      <c r="AB10" s="350"/>
      <c r="AC10" s="345"/>
      <c r="AD10" s="359"/>
      <c r="AE10" s="359"/>
      <c r="AF10" s="359"/>
      <c r="AG10" s="359"/>
      <c r="AH10" s="359"/>
      <c r="AI10" s="359"/>
      <c r="AJ10" s="359"/>
      <c r="AK10" s="359"/>
      <c r="AL10" s="359"/>
      <c r="AM10" s="359"/>
      <c r="AN10" s="359"/>
      <c r="AO10" s="359"/>
      <c r="AP10" s="359"/>
      <c r="AQ10" s="359"/>
      <c r="AR10" s="1896"/>
      <c r="AS10" s="1896"/>
      <c r="AT10" s="1896"/>
      <c r="AU10" s="1896"/>
      <c r="AV10" s="1896"/>
      <c r="AW10" s="1896"/>
    </row>
    <row r="11" spans="1:49" ht="15.6">
      <c r="A11" s="1358"/>
      <c r="C11" s="3567" t="s">
        <v>1413</v>
      </c>
      <c r="D11" s="3567"/>
      <c r="E11" s="3567"/>
      <c r="F11" s="3567"/>
      <c r="G11" s="3567"/>
      <c r="H11" s="3567"/>
      <c r="I11" s="3567"/>
      <c r="J11" s="2355"/>
      <c r="K11" s="2355"/>
      <c r="L11" s="399"/>
      <c r="M11" s="397"/>
      <c r="N11" s="3567" t="s">
        <v>1414</v>
      </c>
      <c r="O11" s="3567"/>
      <c r="P11" s="3567"/>
      <c r="Q11" s="3567"/>
      <c r="R11" s="3567"/>
      <c r="S11" s="3567"/>
      <c r="T11" s="3567"/>
      <c r="U11" s="2364"/>
      <c r="V11" s="2790"/>
      <c r="W11" s="2816"/>
      <c r="X11" s="2816"/>
      <c r="Y11" s="2816"/>
      <c r="Z11" s="2816"/>
      <c r="AA11" s="2816"/>
      <c r="AB11" s="2816"/>
      <c r="AC11" s="354"/>
      <c r="AD11" s="397"/>
      <c r="AE11" s="397"/>
      <c r="AF11" s="397"/>
      <c r="AG11" s="397"/>
      <c r="AH11" s="397"/>
      <c r="AI11" s="397"/>
      <c r="AJ11" s="397"/>
      <c r="AK11" s="354"/>
      <c r="AL11" s="397"/>
      <c r="AM11" s="398"/>
      <c r="AN11" s="397"/>
      <c r="AO11" s="397"/>
      <c r="AP11" s="397"/>
      <c r="AQ11" s="397"/>
      <c r="AR11" s="1896"/>
      <c r="AS11" s="1896"/>
      <c r="AT11" s="1896"/>
      <c r="AU11" s="1896"/>
      <c r="AV11" s="1896"/>
      <c r="AW11" s="1896"/>
    </row>
    <row r="12" spans="1:49" ht="15.6">
      <c r="A12" s="1358"/>
      <c r="C12" s="789"/>
      <c r="D12" s="399"/>
      <c r="E12" s="789"/>
      <c r="F12" s="399"/>
      <c r="G12" s="400"/>
      <c r="H12" s="399"/>
      <c r="I12" s="399" t="s">
        <v>87</v>
      </c>
      <c r="J12" s="399"/>
      <c r="K12" s="399" t="s">
        <v>87</v>
      </c>
      <c r="L12" s="399"/>
      <c r="M12" s="2390"/>
      <c r="N12" s="789"/>
      <c r="O12" s="399"/>
      <c r="P12" s="789"/>
      <c r="Q12" s="399"/>
      <c r="R12" s="400"/>
      <c r="S12" s="399"/>
      <c r="T12" s="399" t="s">
        <v>87</v>
      </c>
      <c r="U12" s="397"/>
      <c r="V12" s="399" t="s">
        <v>87</v>
      </c>
      <c r="W12" s="399"/>
      <c r="X12" s="792"/>
      <c r="Y12" s="399"/>
      <c r="Z12" s="400"/>
      <c r="AA12" s="399"/>
      <c r="AB12" s="399"/>
      <c r="AC12" s="354"/>
      <c r="AD12" s="397"/>
      <c r="AE12" s="397"/>
      <c r="AF12" s="397"/>
      <c r="AG12" s="397"/>
      <c r="AH12" s="397"/>
      <c r="AI12" s="397"/>
      <c r="AJ12" s="397"/>
      <c r="AK12" s="354"/>
      <c r="AL12" s="397"/>
      <c r="AM12" s="398"/>
      <c r="AN12" s="397"/>
      <c r="AO12" s="397"/>
      <c r="AP12" s="397"/>
      <c r="AQ12" s="397"/>
      <c r="AR12" s="1896"/>
      <c r="AS12" s="1896"/>
      <c r="AT12" s="1896"/>
      <c r="AU12" s="1896"/>
      <c r="AV12" s="1896"/>
      <c r="AW12" s="1896"/>
    </row>
    <row r="13" spans="1:49" ht="15.6">
      <c r="A13" s="1358"/>
      <c r="B13" s="354"/>
      <c r="C13" s="790"/>
      <c r="D13" s="401"/>
      <c r="E13" s="790"/>
      <c r="F13" s="401"/>
      <c r="G13" s="401"/>
      <c r="H13" s="401"/>
      <c r="I13" s="402" t="s">
        <v>1111</v>
      </c>
      <c r="J13" s="402"/>
      <c r="K13" s="402" t="s">
        <v>1111</v>
      </c>
      <c r="L13" s="1971"/>
      <c r="M13" s="2391"/>
      <c r="N13" s="790"/>
      <c r="O13" s="401"/>
      <c r="P13" s="790"/>
      <c r="Q13" s="401"/>
      <c r="R13" s="401"/>
      <c r="S13" s="401"/>
      <c r="T13" s="402" t="s">
        <v>1111</v>
      </c>
      <c r="U13" s="404"/>
      <c r="V13" s="402" t="s">
        <v>1111</v>
      </c>
      <c r="W13" s="1970"/>
      <c r="X13" s="1969"/>
      <c r="Y13" s="1970"/>
      <c r="Z13" s="1970"/>
      <c r="AA13" s="1970"/>
      <c r="AB13" s="1971"/>
      <c r="AC13" s="354"/>
      <c r="AD13" s="354"/>
      <c r="AE13" s="354"/>
      <c r="AF13" s="354"/>
      <c r="AG13" s="354"/>
      <c r="AH13" s="354"/>
      <c r="AI13" s="403"/>
      <c r="AJ13" s="404"/>
      <c r="AK13" s="354"/>
      <c r="AL13" s="354"/>
      <c r="AM13" s="354"/>
      <c r="AN13" s="354"/>
      <c r="AO13" s="354"/>
      <c r="AP13" s="354"/>
      <c r="AQ13" s="403"/>
      <c r="AR13" s="1896"/>
      <c r="AS13" s="1896"/>
      <c r="AT13" s="1896"/>
      <c r="AU13" s="1896"/>
      <c r="AV13" s="1896"/>
      <c r="AW13" s="1896"/>
    </row>
    <row r="14" spans="1:49" ht="15.6">
      <c r="A14" s="1358"/>
      <c r="B14" s="405"/>
      <c r="C14" s="357" t="s">
        <v>1356</v>
      </c>
      <c r="D14" s="1896"/>
      <c r="E14" s="356" t="s">
        <v>1357</v>
      </c>
      <c r="F14" s="355"/>
      <c r="G14" s="355"/>
      <c r="H14" s="355"/>
      <c r="I14" s="356" t="s">
        <v>88</v>
      </c>
      <c r="J14" s="356"/>
      <c r="K14" s="356" t="s">
        <v>88</v>
      </c>
      <c r="L14" s="404"/>
      <c r="M14" s="2391"/>
      <c r="N14" s="357" t="s">
        <v>1356</v>
      </c>
      <c r="O14" s="1896"/>
      <c r="P14" s="356" t="s">
        <v>1357</v>
      </c>
      <c r="Q14" s="355"/>
      <c r="R14" s="355"/>
      <c r="S14" s="355"/>
      <c r="T14" s="356" t="s">
        <v>88</v>
      </c>
      <c r="U14" s="404"/>
      <c r="V14" s="356" t="s">
        <v>88</v>
      </c>
      <c r="W14" s="1363"/>
      <c r="X14" s="404"/>
      <c r="Y14" s="354"/>
      <c r="Z14" s="354"/>
      <c r="AA14" s="354"/>
      <c r="AB14" s="404"/>
      <c r="AC14" s="354"/>
      <c r="AD14" s="403"/>
      <c r="AE14" s="404"/>
      <c r="AF14" s="354"/>
      <c r="AG14" s="354"/>
      <c r="AH14" s="354"/>
      <c r="AI14" s="403"/>
      <c r="AJ14" s="404"/>
      <c r="AK14" s="354"/>
      <c r="AL14" s="403"/>
      <c r="AM14" s="404"/>
      <c r="AN14" s="354"/>
      <c r="AO14" s="354"/>
      <c r="AP14" s="354"/>
      <c r="AQ14" s="403"/>
      <c r="AR14" s="1896"/>
      <c r="AS14" s="1896"/>
      <c r="AT14" s="1896"/>
      <c r="AU14" s="1896"/>
      <c r="AV14" s="1896"/>
      <c r="AW14" s="1896"/>
    </row>
    <row r="15" spans="1:49" ht="15.6">
      <c r="A15" s="1358"/>
      <c r="B15" s="405"/>
      <c r="C15" s="356" t="s">
        <v>1400</v>
      </c>
      <c r="D15" s="355"/>
      <c r="E15" s="356" t="s">
        <v>1400</v>
      </c>
      <c r="F15" s="355"/>
      <c r="G15" s="355"/>
      <c r="H15" s="355"/>
      <c r="I15" s="356" t="s">
        <v>1356</v>
      </c>
      <c r="J15" s="356"/>
      <c r="K15" s="356" t="s">
        <v>1357</v>
      </c>
      <c r="L15" s="404"/>
      <c r="M15" s="2391"/>
      <c r="N15" s="356" t="s">
        <v>1400</v>
      </c>
      <c r="O15" s="355"/>
      <c r="P15" s="356" t="s">
        <v>1400</v>
      </c>
      <c r="Q15" s="355"/>
      <c r="R15" s="355"/>
      <c r="S15" s="355"/>
      <c r="T15" s="356" t="s">
        <v>1356</v>
      </c>
      <c r="U15" s="404"/>
      <c r="V15" s="356" t="s">
        <v>1357</v>
      </c>
      <c r="W15" s="354"/>
      <c r="X15" s="404"/>
      <c r="Y15" s="354"/>
      <c r="Z15" s="354"/>
      <c r="AA15" s="354"/>
      <c r="AB15" s="404"/>
      <c r="AC15" s="354"/>
      <c r="AD15" s="403"/>
      <c r="AE15" s="404"/>
      <c r="AF15" s="354"/>
      <c r="AG15" s="354"/>
      <c r="AH15" s="354"/>
      <c r="AI15" s="403"/>
      <c r="AJ15" s="404"/>
      <c r="AK15" s="354"/>
      <c r="AL15" s="403"/>
      <c r="AM15" s="404"/>
      <c r="AN15" s="354"/>
      <c r="AO15" s="354"/>
      <c r="AP15" s="354"/>
      <c r="AQ15" s="403"/>
      <c r="AR15" s="1896"/>
      <c r="AS15" s="1896"/>
      <c r="AT15" s="1896"/>
      <c r="AU15" s="1896"/>
      <c r="AV15" s="1896"/>
      <c r="AW15" s="1896"/>
    </row>
    <row r="16" spans="1:49" ht="15.6">
      <c r="A16" s="1358"/>
      <c r="B16" s="404"/>
      <c r="C16" s="356" t="s">
        <v>1401</v>
      </c>
      <c r="D16" s="355"/>
      <c r="E16" s="356" t="s">
        <v>1614</v>
      </c>
      <c r="F16" s="355"/>
      <c r="G16" s="357" t="s">
        <v>87</v>
      </c>
      <c r="H16" s="355"/>
      <c r="I16" s="356" t="s">
        <v>89</v>
      </c>
      <c r="J16" s="404"/>
      <c r="K16" s="356" t="s">
        <v>89</v>
      </c>
      <c r="L16" s="404"/>
      <c r="M16" s="2398"/>
      <c r="N16" s="2399" t="s">
        <v>1401</v>
      </c>
      <c r="O16" s="355"/>
      <c r="P16" s="356" t="s">
        <v>1614</v>
      </c>
      <c r="Q16" s="355"/>
      <c r="R16" s="357" t="s">
        <v>87</v>
      </c>
      <c r="S16" s="355"/>
      <c r="T16" s="356" t="s">
        <v>89</v>
      </c>
      <c r="U16" s="404"/>
      <c r="V16" s="356" t="s">
        <v>89</v>
      </c>
      <c r="W16" s="354"/>
      <c r="X16" s="404"/>
      <c r="Y16" s="354"/>
      <c r="Z16" s="403"/>
      <c r="AA16" s="354"/>
      <c r="AB16" s="404"/>
      <c r="AC16" s="354"/>
      <c r="AD16" s="404"/>
      <c r="AE16" s="404"/>
      <c r="AF16" s="354"/>
      <c r="AG16" s="403"/>
      <c r="AH16" s="354"/>
      <c r="AI16" s="403"/>
      <c r="AJ16" s="404"/>
      <c r="AK16" s="354"/>
      <c r="AL16" s="404"/>
      <c r="AM16" s="404"/>
      <c r="AN16" s="354"/>
      <c r="AO16" s="403"/>
      <c r="AP16" s="354"/>
      <c r="AQ16" s="403"/>
      <c r="AR16" s="1896"/>
      <c r="AS16" s="1896"/>
      <c r="AT16" s="1896"/>
      <c r="AU16" s="1896"/>
      <c r="AV16" s="1896"/>
      <c r="AW16" s="1896"/>
    </row>
    <row r="17" spans="1:49">
      <c r="A17" s="358"/>
      <c r="B17" s="359"/>
      <c r="C17" s="360"/>
      <c r="D17" s="345"/>
      <c r="E17" s="360"/>
      <c r="F17" s="345"/>
      <c r="G17" s="360"/>
      <c r="H17" s="345"/>
      <c r="I17" s="360"/>
      <c r="J17" s="359"/>
      <c r="K17" s="360"/>
      <c r="L17" s="359"/>
      <c r="M17" s="2392"/>
      <c r="N17" s="359"/>
      <c r="O17" s="345"/>
      <c r="P17" s="360"/>
      <c r="Q17" s="345"/>
      <c r="R17" s="360"/>
      <c r="S17" s="345"/>
      <c r="T17" s="360"/>
      <c r="U17" s="359"/>
      <c r="V17" s="360"/>
      <c r="W17" s="359"/>
      <c r="X17" s="359"/>
      <c r="Y17" s="359"/>
      <c r="Z17" s="359"/>
      <c r="AA17" s="359"/>
      <c r="AB17" s="359"/>
      <c r="AC17" s="359"/>
      <c r="AD17" s="359"/>
      <c r="AE17" s="359"/>
      <c r="AF17" s="359"/>
      <c r="AG17" s="359"/>
      <c r="AH17" s="359"/>
      <c r="AI17" s="359"/>
      <c r="AJ17" s="359"/>
      <c r="AK17" s="359"/>
      <c r="AL17" s="359"/>
      <c r="AM17" s="359"/>
      <c r="AN17" s="359"/>
      <c r="AO17" s="359"/>
      <c r="AP17" s="359"/>
      <c r="AQ17" s="359"/>
      <c r="AR17" s="1896"/>
      <c r="AS17" s="1896"/>
      <c r="AT17" s="1896"/>
      <c r="AU17" s="1896"/>
      <c r="AV17" s="1896"/>
      <c r="AW17" s="1896"/>
    </row>
    <row r="18" spans="1:49" ht="15.6">
      <c r="A18" s="221" t="s">
        <v>15</v>
      </c>
      <c r="B18" s="1888"/>
      <c r="C18" s="1251"/>
      <c r="D18" s="1251"/>
      <c r="E18" s="1251"/>
      <c r="F18" s="1251"/>
      <c r="G18" s="1251"/>
      <c r="H18" s="1251"/>
      <c r="I18" s="1888"/>
      <c r="J18" s="1251"/>
      <c r="K18" s="1888"/>
      <c r="L18" s="1888"/>
      <c r="M18" s="2393"/>
      <c r="N18" s="1251"/>
      <c r="O18" s="1251"/>
      <c r="P18" s="1251"/>
      <c r="Q18" s="1251"/>
      <c r="R18" s="1251"/>
      <c r="S18" s="1251"/>
      <c r="T18" s="1251"/>
      <c r="U18" s="1888"/>
      <c r="V18" s="1888"/>
      <c r="W18" s="1888"/>
      <c r="X18" s="1888"/>
      <c r="Y18" s="1888"/>
      <c r="Z18" s="1888"/>
      <c r="AA18" s="1888"/>
      <c r="AB18" s="1888"/>
      <c r="AC18" s="1888"/>
      <c r="AD18" s="1888"/>
      <c r="AE18" s="1888"/>
      <c r="AF18" s="1888"/>
      <c r="AG18" s="1888"/>
      <c r="AH18" s="1888"/>
      <c r="AI18" s="1888"/>
      <c r="AJ18" s="1888"/>
      <c r="AK18" s="1888"/>
      <c r="AL18" s="1888"/>
      <c r="AM18" s="1888"/>
      <c r="AN18" s="1888"/>
      <c r="AO18" s="1888"/>
      <c r="AP18" s="1888"/>
      <c r="AQ18" s="1888"/>
      <c r="AR18" s="1896"/>
      <c r="AS18" s="1896"/>
      <c r="AT18" s="1896"/>
      <c r="AU18" s="1896"/>
      <c r="AV18" s="1896"/>
      <c r="AW18" s="1896"/>
    </row>
    <row r="19" spans="1:49">
      <c r="A19" s="1720" t="s">
        <v>90</v>
      </c>
      <c r="B19" s="1889"/>
      <c r="C19" s="1251"/>
      <c r="D19" s="1889"/>
      <c r="E19" s="1251"/>
      <c r="F19" s="1889"/>
      <c r="G19" s="1251"/>
      <c r="H19" s="1889"/>
      <c r="I19" s="1888"/>
      <c r="J19" s="1251"/>
      <c r="K19" s="1888"/>
      <c r="L19" s="1888"/>
      <c r="M19" s="2393"/>
      <c r="N19" s="1251"/>
      <c r="O19" s="1889"/>
      <c r="P19" s="1251"/>
      <c r="Q19" s="1889"/>
      <c r="R19" s="1251"/>
      <c r="S19" s="1889"/>
      <c r="T19" s="1251"/>
      <c r="U19" s="1888"/>
      <c r="V19" s="1888"/>
      <c r="W19" s="1888"/>
      <c r="X19" s="1888"/>
      <c r="Y19" s="1888"/>
      <c r="Z19" s="1888"/>
      <c r="AA19" s="1910"/>
      <c r="AB19" s="1888"/>
      <c r="AC19" s="1888"/>
      <c r="AD19" s="1888"/>
      <c r="AE19" s="1888"/>
      <c r="AF19" s="1888"/>
      <c r="AG19" s="1888"/>
      <c r="AH19" s="1888"/>
      <c r="AI19" s="1888"/>
      <c r="AJ19" s="1888"/>
      <c r="AK19" s="1888"/>
      <c r="AL19" s="1888"/>
      <c r="AM19" s="1888"/>
      <c r="AN19" s="1888"/>
      <c r="AO19" s="1888"/>
      <c r="AP19" s="1888"/>
      <c r="AQ19" s="1888"/>
      <c r="AR19" s="1896"/>
      <c r="AS19" s="1896"/>
      <c r="AT19" s="1896"/>
      <c r="AU19" s="1896"/>
      <c r="AV19" s="1896"/>
      <c r="AW19" s="1896"/>
    </row>
    <row r="20" spans="1:49">
      <c r="A20" s="1720" t="s">
        <v>91</v>
      </c>
      <c r="B20" s="1889" t="s">
        <v>16</v>
      </c>
      <c r="C20" s="1252">
        <v>806</v>
      </c>
      <c r="D20" s="1254"/>
      <c r="E20" s="1252">
        <v>775</v>
      </c>
      <c r="F20" s="1254"/>
      <c r="G20" s="1252">
        <f>'Exhibit G state'!AE16</f>
        <v>774.5</v>
      </c>
      <c r="H20" s="1254"/>
      <c r="I20" s="1975">
        <f t="shared" ref="I20:I26" si="0">ROUND(SUM(G20)-SUM(C20),1)</f>
        <v>-31.5</v>
      </c>
      <c r="J20" s="1252"/>
      <c r="K20" s="1975">
        <f>ROUND(SUM(G20)-SUM(E20),1)</f>
        <v>-0.5</v>
      </c>
      <c r="L20" s="1975"/>
      <c r="M20" s="2393"/>
      <c r="N20" s="1252">
        <v>0</v>
      </c>
      <c r="O20" s="1254"/>
      <c r="P20" s="1252">
        <v>0</v>
      </c>
      <c r="Q20" s="1254"/>
      <c r="R20" s="1252">
        <v>0</v>
      </c>
      <c r="S20" s="1254"/>
      <c r="T20" s="1252">
        <f t="shared" ref="T20:T26" si="1">ROUND(SUM(R20)-SUM(N20),1)</f>
        <v>0</v>
      </c>
      <c r="U20" s="1888"/>
      <c r="V20" s="1975">
        <f>ROUND(SUM(R20)-SUM(P20),1)</f>
        <v>0</v>
      </c>
      <c r="W20" s="1973"/>
      <c r="X20" s="1976"/>
      <c r="Y20" s="1973"/>
      <c r="Z20" s="1974"/>
      <c r="AA20" s="1973"/>
      <c r="AB20" s="1975"/>
      <c r="AC20" s="1888"/>
      <c r="AD20" s="1888"/>
      <c r="AE20" s="1888"/>
      <c r="AF20" s="1888"/>
      <c r="AG20" s="1888"/>
      <c r="AH20" s="1888"/>
      <c r="AI20" s="1888"/>
      <c r="AJ20" s="1888"/>
      <c r="AK20" s="1888"/>
      <c r="AL20" s="1888"/>
      <c r="AM20" s="1888"/>
      <c r="AN20" s="1888"/>
      <c r="AO20" s="1888"/>
      <c r="AP20" s="1888"/>
      <c r="AQ20" s="1888"/>
      <c r="AR20" s="1896"/>
      <c r="AS20" s="1896"/>
      <c r="AT20" s="1896"/>
      <c r="AU20" s="1896"/>
      <c r="AV20" s="1896"/>
      <c r="AW20" s="1896"/>
    </row>
    <row r="21" spans="1:49">
      <c r="A21" s="1720" t="s">
        <v>92</v>
      </c>
      <c r="B21" s="1888" t="s">
        <v>16</v>
      </c>
      <c r="C21" s="1907">
        <v>1596</v>
      </c>
      <c r="D21" s="1171"/>
      <c r="E21" s="1907">
        <v>1581</v>
      </c>
      <c r="F21" s="1171"/>
      <c r="G21" s="1171">
        <f>'Exhibit G state'!AE27</f>
        <v>1582.5</v>
      </c>
      <c r="H21" s="1171"/>
      <c r="I21" s="1908">
        <f t="shared" si="0"/>
        <v>-13.5</v>
      </c>
      <c r="J21" s="1171"/>
      <c r="K21" s="1908">
        <f t="shared" ref="K21:K26" si="2">ROUND(SUM(G21)-SUM(E21),1)</f>
        <v>1.5</v>
      </c>
      <c r="L21" s="1908"/>
      <c r="M21" s="2393"/>
      <c r="N21" s="1907">
        <v>0</v>
      </c>
      <c r="O21" s="1171"/>
      <c r="P21" s="1907">
        <v>0</v>
      </c>
      <c r="Q21" s="1171"/>
      <c r="R21" s="1171">
        <v>0</v>
      </c>
      <c r="S21" s="1171"/>
      <c r="T21" s="1171">
        <f t="shared" si="1"/>
        <v>0</v>
      </c>
      <c r="U21" s="1888"/>
      <c r="V21" s="1908">
        <f t="shared" ref="V21:V26" si="3">ROUND(SUM(R21)-SUM(P21),1)</f>
        <v>0</v>
      </c>
      <c r="W21" s="1908"/>
      <c r="X21" s="1976"/>
      <c r="Y21" s="1908"/>
      <c r="Z21" s="1908"/>
      <c r="AA21" s="1908"/>
      <c r="AB21" s="1908"/>
      <c r="AC21" s="1908"/>
      <c r="AD21" s="1908"/>
      <c r="AE21" s="1888"/>
      <c r="AF21" s="1888"/>
      <c r="AG21" s="1888"/>
      <c r="AH21" s="1888"/>
      <c r="AI21" s="1888"/>
      <c r="AJ21" s="1888"/>
      <c r="AK21" s="1888"/>
      <c r="AL21" s="1888"/>
      <c r="AM21" s="1888"/>
      <c r="AN21" s="1888"/>
      <c r="AO21" s="1888"/>
      <c r="AP21" s="1888"/>
      <c r="AQ21" s="1888"/>
      <c r="AR21" s="1896"/>
      <c r="AS21" s="1896"/>
      <c r="AT21" s="1896"/>
      <c r="AU21" s="1896"/>
      <c r="AV21" s="1896"/>
      <c r="AW21" s="1896"/>
    </row>
    <row r="22" spans="1:49">
      <c r="A22" s="1720" t="s">
        <v>93</v>
      </c>
      <c r="B22" s="1889" t="s">
        <v>16</v>
      </c>
      <c r="C22" s="1907">
        <v>1062</v>
      </c>
      <c r="D22" s="1327"/>
      <c r="E22" s="1907">
        <v>1077</v>
      </c>
      <c r="F22" s="1327"/>
      <c r="G22" s="1171">
        <f>'Exhibit G state'!AE34</f>
        <v>1076.5999999999999</v>
      </c>
      <c r="H22" s="1327"/>
      <c r="I22" s="1908">
        <f t="shared" si="0"/>
        <v>14.6</v>
      </c>
      <c r="J22" s="1171"/>
      <c r="K22" s="1908">
        <f t="shared" si="2"/>
        <v>-0.4</v>
      </c>
      <c r="L22" s="1908"/>
      <c r="M22" s="2393"/>
      <c r="N22" s="1907">
        <v>0</v>
      </c>
      <c r="O22" s="1327"/>
      <c r="P22" s="1907">
        <v>0</v>
      </c>
      <c r="Q22" s="1327"/>
      <c r="R22" s="1897">
        <v>0</v>
      </c>
      <c r="S22" s="1327"/>
      <c r="T22" s="1171">
        <f t="shared" si="1"/>
        <v>0</v>
      </c>
      <c r="U22" s="1888"/>
      <c r="V22" s="1908">
        <f t="shared" si="3"/>
        <v>0</v>
      </c>
      <c r="W22" s="1909"/>
      <c r="X22" s="1976"/>
      <c r="Y22" s="1909"/>
      <c r="Z22" s="1908"/>
      <c r="AA22" s="1909"/>
      <c r="AB22" s="1908"/>
      <c r="AC22" s="1909"/>
      <c r="AD22" s="1908"/>
      <c r="AE22" s="1888"/>
      <c r="AF22" s="1910"/>
      <c r="AG22" s="1888"/>
      <c r="AH22" s="1910"/>
      <c r="AI22" s="1888"/>
      <c r="AJ22" s="1888"/>
      <c r="AK22" s="1910"/>
      <c r="AL22" s="1888"/>
      <c r="AM22" s="1888"/>
      <c r="AN22" s="1910"/>
      <c r="AO22" s="406"/>
      <c r="AP22" s="1910"/>
      <c r="AQ22" s="1888"/>
      <c r="AR22" s="1896"/>
      <c r="AS22" s="1896"/>
      <c r="AT22" s="1896"/>
      <c r="AU22" s="1896"/>
      <c r="AV22" s="1896"/>
      <c r="AW22" s="1896"/>
    </row>
    <row r="23" spans="1:49">
      <c r="A23" s="1720" t="s">
        <v>94</v>
      </c>
      <c r="B23" s="1888" t="s">
        <v>16</v>
      </c>
      <c r="C23" s="1907">
        <v>905</v>
      </c>
      <c r="D23" s="1171"/>
      <c r="E23" s="1907">
        <v>890</v>
      </c>
      <c r="F23" s="1171"/>
      <c r="G23" s="1171">
        <f>'Exhibit G state'!AE37</f>
        <v>889.5</v>
      </c>
      <c r="H23" s="1171"/>
      <c r="I23" s="1908">
        <f t="shared" si="0"/>
        <v>-15.5</v>
      </c>
      <c r="J23" s="1171"/>
      <c r="K23" s="1908">
        <f t="shared" si="2"/>
        <v>-0.5</v>
      </c>
      <c r="L23" s="1908"/>
      <c r="M23" s="2393"/>
      <c r="N23" s="1907">
        <v>0</v>
      </c>
      <c r="O23" s="1171"/>
      <c r="P23" s="1907">
        <v>0</v>
      </c>
      <c r="Q23" s="1171"/>
      <c r="R23" s="1171">
        <v>0</v>
      </c>
      <c r="S23" s="1171"/>
      <c r="T23" s="1171">
        <f t="shared" si="1"/>
        <v>0</v>
      </c>
      <c r="U23" s="1888"/>
      <c r="V23" s="1908">
        <f t="shared" si="3"/>
        <v>0</v>
      </c>
      <c r="W23" s="1908"/>
      <c r="X23" s="1976"/>
      <c r="Y23" s="1908"/>
      <c r="Z23" s="1908"/>
      <c r="AA23" s="1908"/>
      <c r="AB23" s="1908"/>
      <c r="AC23" s="1908"/>
      <c r="AD23" s="1908"/>
      <c r="AE23" s="1888"/>
      <c r="AF23" s="1888"/>
      <c r="AG23" s="1888"/>
      <c r="AH23" s="1888"/>
      <c r="AI23" s="1888"/>
      <c r="AJ23" s="1888"/>
      <c r="AK23" s="1888"/>
      <c r="AL23" s="1888"/>
      <c r="AM23" s="1888"/>
      <c r="AN23" s="1888"/>
      <c r="AO23" s="1888"/>
      <c r="AP23" s="1888"/>
      <c r="AQ23" s="1888"/>
      <c r="AR23" s="1896"/>
      <c r="AS23" s="1896"/>
      <c r="AT23" s="1896"/>
      <c r="AU23" s="1896"/>
      <c r="AV23" s="1896"/>
      <c r="AW23" s="1896"/>
    </row>
    <row r="24" spans="1:49" ht="15" customHeight="1">
      <c r="A24" s="1720" t="s">
        <v>21</v>
      </c>
      <c r="B24" s="1888" t="s">
        <v>16</v>
      </c>
      <c r="C24" s="1907">
        <v>11546</v>
      </c>
      <c r="D24" s="1907"/>
      <c r="E24" s="1907">
        <v>11693</v>
      </c>
      <c r="F24" s="1907"/>
      <c r="G24" s="1171">
        <f>+'Exhibit G state'!AE81</f>
        <v>11893.5</v>
      </c>
      <c r="H24" s="1171"/>
      <c r="I24" s="1908">
        <f t="shared" si="0"/>
        <v>347.5</v>
      </c>
      <c r="J24" s="1171"/>
      <c r="K24" s="1908">
        <f t="shared" si="2"/>
        <v>200.5</v>
      </c>
      <c r="L24" s="1908"/>
      <c r="M24" s="2393"/>
      <c r="N24" s="1907">
        <v>73</v>
      </c>
      <c r="O24" s="1907"/>
      <c r="P24" s="1907">
        <v>134</v>
      </c>
      <c r="Q24" s="1907"/>
      <c r="R24" s="1354">
        <f>+'Exhibit G Federal'!AE52</f>
        <v>142.9</v>
      </c>
      <c r="S24" s="1171"/>
      <c r="T24" s="1171">
        <f t="shared" si="1"/>
        <v>69.900000000000006</v>
      </c>
      <c r="U24" s="1888"/>
      <c r="V24" s="1908">
        <f t="shared" si="3"/>
        <v>8.9</v>
      </c>
      <c r="W24" s="1908"/>
      <c r="X24" s="1976"/>
      <c r="Y24" s="1908"/>
      <c r="Z24" s="1908"/>
      <c r="AA24" s="1908"/>
      <c r="AB24" s="1908"/>
      <c r="AC24" s="1908"/>
      <c r="AD24" s="1908"/>
      <c r="AE24" s="1888"/>
      <c r="AF24" s="1888"/>
      <c r="AG24" s="1888"/>
      <c r="AH24" s="1888"/>
      <c r="AI24" s="1888"/>
      <c r="AJ24" s="1888"/>
      <c r="AK24" s="1888"/>
      <c r="AL24" s="1888"/>
      <c r="AM24" s="1888"/>
      <c r="AN24" s="1888"/>
      <c r="AO24" s="1888"/>
      <c r="AP24" s="1888"/>
      <c r="AQ24" s="1888"/>
      <c r="AR24" s="1896"/>
      <c r="AS24" s="1896"/>
      <c r="AT24" s="1896"/>
      <c r="AU24" s="1896"/>
      <c r="AV24" s="1896"/>
      <c r="AW24" s="1896"/>
    </row>
    <row r="25" spans="1:49" ht="15" customHeight="1">
      <c r="A25" s="1720" t="s">
        <v>22</v>
      </c>
      <c r="B25" s="1888" t="s">
        <v>16</v>
      </c>
      <c r="C25" s="1253">
        <v>0</v>
      </c>
      <c r="D25" s="1171"/>
      <c r="E25" s="1253">
        <v>1</v>
      </c>
      <c r="F25" s="1171"/>
      <c r="G25" s="1354">
        <f>+'Exhibit G state'!AE83</f>
        <v>0.7</v>
      </c>
      <c r="H25" s="1171"/>
      <c r="I25" s="1908">
        <f t="shared" si="0"/>
        <v>0.7</v>
      </c>
      <c r="J25" s="1171"/>
      <c r="K25" s="1908">
        <f t="shared" si="2"/>
        <v>-0.3</v>
      </c>
      <c r="L25" s="1908"/>
      <c r="M25" s="2393"/>
      <c r="N25" s="1253">
        <v>34732</v>
      </c>
      <c r="O25" s="1171"/>
      <c r="P25" s="1355">
        <v>35484</v>
      </c>
      <c r="Q25" s="1171"/>
      <c r="R25" s="1354">
        <f>+'Exhibit G Federal'!AE54</f>
        <v>35485.699999999997</v>
      </c>
      <c r="S25" s="1171"/>
      <c r="T25" s="1171">
        <f t="shared" si="1"/>
        <v>753.7</v>
      </c>
      <c r="U25" s="1888"/>
      <c r="V25" s="1908">
        <f t="shared" si="3"/>
        <v>1.7</v>
      </c>
      <c r="W25" s="1908"/>
      <c r="X25" s="1976"/>
      <c r="Y25" s="1908"/>
      <c r="Z25" s="1908"/>
      <c r="AA25" s="1908"/>
      <c r="AB25" s="1908"/>
      <c r="AC25" s="1908"/>
      <c r="AD25" s="1912"/>
      <c r="AE25" s="1913"/>
      <c r="AF25" s="1888"/>
      <c r="AG25" s="1913"/>
      <c r="AH25" s="1888"/>
      <c r="AI25" s="1913"/>
      <c r="AJ25" s="1914"/>
      <c r="AK25" s="1888"/>
      <c r="AL25" s="1888"/>
      <c r="AM25" s="1888"/>
      <c r="AN25" s="1888"/>
      <c r="AO25" s="1888"/>
      <c r="AP25" s="1888"/>
      <c r="AQ25" s="1888"/>
      <c r="AR25" s="1896"/>
      <c r="AS25" s="1896"/>
      <c r="AT25" s="1896"/>
      <c r="AU25" s="1896"/>
      <c r="AV25" s="1896"/>
      <c r="AW25" s="1896"/>
    </row>
    <row r="26" spans="1:49">
      <c r="A26" s="1720" t="s">
        <v>1619</v>
      </c>
      <c r="B26" s="1914" t="s">
        <v>16</v>
      </c>
      <c r="C26" s="1908">
        <v>7298</v>
      </c>
      <c r="D26" s="1908"/>
      <c r="E26" s="1908">
        <v>7202</v>
      </c>
      <c r="F26" s="1908"/>
      <c r="G26" s="2053">
        <f>+'Exhibit G state'!AE112</f>
        <v>7206.4</v>
      </c>
      <c r="H26" s="1171"/>
      <c r="I26" s="1908">
        <f t="shared" si="0"/>
        <v>-91.6</v>
      </c>
      <c r="J26" s="1908"/>
      <c r="K26" s="1908">
        <f t="shared" si="2"/>
        <v>4.4000000000000004</v>
      </c>
      <c r="L26" s="1908"/>
      <c r="M26" s="2394"/>
      <c r="N26" s="1908">
        <v>0</v>
      </c>
      <c r="O26" s="1171"/>
      <c r="P26" s="1908">
        <v>0</v>
      </c>
      <c r="Q26" s="1908"/>
      <c r="R26" s="2053">
        <f>+'Exhibit G Federal'!AE83</f>
        <v>0</v>
      </c>
      <c r="S26" s="1171"/>
      <c r="T26" s="1171">
        <f t="shared" si="1"/>
        <v>0</v>
      </c>
      <c r="U26" s="1914"/>
      <c r="V26" s="1908">
        <f t="shared" si="3"/>
        <v>0</v>
      </c>
      <c r="W26" s="1908"/>
      <c r="X26" s="1976"/>
      <c r="Y26" s="1908"/>
      <c r="Z26" s="1909"/>
      <c r="AA26" s="1908"/>
      <c r="AB26" s="1908"/>
      <c r="AC26" s="1908"/>
      <c r="AD26" s="1912"/>
      <c r="AE26" s="1913"/>
      <c r="AF26" s="1888"/>
      <c r="AG26" s="1913"/>
      <c r="AH26" s="1888"/>
      <c r="AI26" s="1913"/>
      <c r="AJ26" s="1914"/>
      <c r="AK26" s="1888"/>
      <c r="AL26" s="1888"/>
      <c r="AM26" s="1888"/>
      <c r="AN26" s="1888"/>
      <c r="AO26" s="1888"/>
      <c r="AP26" s="1888"/>
      <c r="AQ26" s="1888"/>
      <c r="AR26" s="1896"/>
      <c r="AS26" s="1896"/>
      <c r="AT26" s="1896"/>
      <c r="AU26" s="1896"/>
      <c r="AV26" s="1896"/>
      <c r="AW26" s="1896"/>
    </row>
    <row r="27" spans="1:49" ht="18" customHeight="1">
      <c r="A27" s="376" t="s">
        <v>113</v>
      </c>
      <c r="B27" s="354" t="s">
        <v>16</v>
      </c>
      <c r="C27" s="420">
        <f>ROUND(SUM(C20:C26),1)</f>
        <v>23213</v>
      </c>
      <c r="D27" s="1886"/>
      <c r="E27" s="420">
        <f>ROUND(SUM(E20:E26),1)</f>
        <v>23219</v>
      </c>
      <c r="F27" s="1886"/>
      <c r="G27" s="420">
        <f>ROUND(SUM(G20:G26),1)</f>
        <v>23423.7</v>
      </c>
      <c r="H27" s="1886"/>
      <c r="I27" s="3209">
        <f>ROUND(SUM(I20:I26),1)</f>
        <v>210.7</v>
      </c>
      <c r="J27" s="273"/>
      <c r="K27" s="3209">
        <f>ROUND(SUM(K20:K26),1)</f>
        <v>204.7</v>
      </c>
      <c r="L27" s="273"/>
      <c r="M27" s="2393"/>
      <c r="N27" s="3209">
        <f>ROUND(SUM(N20:N26),1)</f>
        <v>34805</v>
      </c>
      <c r="O27" s="1886"/>
      <c r="P27" s="420">
        <f>ROUND(SUM(P20:P26),1)</f>
        <v>35618</v>
      </c>
      <c r="Q27" s="1886"/>
      <c r="R27" s="545">
        <f>ROUND(SUM(R20:R26),1)</f>
        <v>35628.6</v>
      </c>
      <c r="S27" s="1886"/>
      <c r="T27" s="545">
        <f>ROUND(SUM(T20:T26),1)</f>
        <v>823.6</v>
      </c>
      <c r="U27" s="354"/>
      <c r="V27" s="545">
        <f>ROUND(SUM(V20:V26),1)</f>
        <v>10.6</v>
      </c>
      <c r="W27" s="273"/>
      <c r="X27" s="273"/>
      <c r="Y27" s="273"/>
      <c r="Z27" s="273"/>
      <c r="AA27" s="273"/>
      <c r="AB27" s="273"/>
      <c r="AC27" s="273"/>
      <c r="AD27" s="273"/>
      <c r="AE27" s="354"/>
      <c r="AF27" s="354"/>
      <c r="AG27" s="354"/>
      <c r="AH27" s="354"/>
      <c r="AI27" s="354"/>
      <c r="AJ27" s="354"/>
      <c r="AK27" s="354"/>
      <c r="AL27" s="354"/>
      <c r="AM27" s="354"/>
      <c r="AN27" s="354"/>
      <c r="AO27" s="354"/>
      <c r="AP27" s="354"/>
      <c r="AQ27" s="354"/>
      <c r="AR27" s="1896"/>
      <c r="AS27" s="1896"/>
      <c r="AT27" s="1896"/>
      <c r="AU27" s="1896"/>
      <c r="AV27" s="1896"/>
      <c r="AW27" s="1896"/>
    </row>
    <row r="28" spans="1:49">
      <c r="A28" s="1358"/>
      <c r="B28" s="1888"/>
      <c r="C28" s="1356"/>
      <c r="D28" s="1171"/>
      <c r="E28" s="1356"/>
      <c r="F28" s="1171"/>
      <c r="G28" s="1356"/>
      <c r="H28" s="1171"/>
      <c r="I28" s="1908"/>
      <c r="J28" s="1908"/>
      <c r="K28" s="1908"/>
      <c r="L28" s="1908"/>
      <c r="M28" s="2393"/>
      <c r="N28" s="1908"/>
      <c r="O28" s="1171"/>
      <c r="P28" s="1356"/>
      <c r="Q28" s="1171"/>
      <c r="R28" s="1356"/>
      <c r="S28" s="1171"/>
      <c r="T28" s="1908"/>
      <c r="U28" s="1888"/>
      <c r="V28" s="1908"/>
      <c r="W28" s="1908"/>
      <c r="X28" s="1908"/>
      <c r="Y28" s="1908"/>
      <c r="Z28" s="1908"/>
      <c r="AA28" s="1908"/>
      <c r="AB28" s="1908"/>
      <c r="AC28" s="1908"/>
      <c r="AD28" s="1908"/>
      <c r="AE28" s="1888"/>
      <c r="AF28" s="1888"/>
      <c r="AG28" s="1888"/>
      <c r="AH28" s="1888"/>
      <c r="AI28" s="1888"/>
      <c r="AJ28" s="1888"/>
      <c r="AK28" s="1888"/>
      <c r="AL28" s="1888"/>
      <c r="AM28" s="1888"/>
      <c r="AN28" s="1888"/>
      <c r="AO28" s="1888"/>
      <c r="AP28" s="1888"/>
      <c r="AQ28" s="1888"/>
      <c r="AR28" s="1896"/>
      <c r="AS28" s="1896"/>
      <c r="AT28" s="1896"/>
      <c r="AU28" s="1896"/>
      <c r="AV28" s="1896"/>
      <c r="AW28" s="1896"/>
    </row>
    <row r="29" spans="1:49" ht="15.6">
      <c r="A29" s="221" t="s">
        <v>24</v>
      </c>
      <c r="B29" s="1888"/>
      <c r="C29" s="1171"/>
      <c r="D29" s="1171"/>
      <c r="E29" s="1171"/>
      <c r="F29" s="1171"/>
      <c r="G29" s="1171"/>
      <c r="H29" s="1171"/>
      <c r="I29" s="1908"/>
      <c r="J29" s="1908"/>
      <c r="K29" s="1908"/>
      <c r="L29" s="1908"/>
      <c r="M29" s="2393"/>
      <c r="N29" s="1171"/>
      <c r="O29" s="1171"/>
      <c r="P29" s="1171"/>
      <c r="Q29" s="1171"/>
      <c r="R29" s="1171"/>
      <c r="S29" s="1171"/>
      <c r="T29" s="1171"/>
      <c r="U29" s="1888"/>
      <c r="V29" s="1908"/>
      <c r="W29" s="1908"/>
      <c r="X29" s="1908"/>
      <c r="Y29" s="1908"/>
      <c r="Z29" s="1908"/>
      <c r="AA29" s="1908"/>
      <c r="AB29" s="1908"/>
      <c r="AC29" s="1908"/>
      <c r="AD29" s="1908"/>
      <c r="AE29" s="1888"/>
      <c r="AF29" s="1888"/>
      <c r="AG29" s="1888"/>
      <c r="AH29" s="1888"/>
      <c r="AI29" s="1888"/>
      <c r="AJ29" s="1888"/>
      <c r="AK29" s="1888"/>
      <c r="AL29" s="1888"/>
      <c r="AM29" s="1888"/>
      <c r="AN29" s="1888"/>
      <c r="AO29" s="1888"/>
      <c r="AP29" s="1888"/>
      <c r="AQ29" s="1888"/>
      <c r="AR29" s="1896"/>
      <c r="AS29" s="1896"/>
      <c r="AT29" s="1896"/>
      <c r="AU29" s="1896"/>
      <c r="AV29" s="1896"/>
      <c r="AW29" s="1896"/>
    </row>
    <row r="30" spans="1:49">
      <c r="A30" s="1720" t="s">
        <v>96</v>
      </c>
      <c r="B30" s="1910" t="s">
        <v>16</v>
      </c>
      <c r="C30" s="1327">
        <v>13348</v>
      </c>
      <c r="D30" s="1171"/>
      <c r="E30" s="1327">
        <v>13488</v>
      </c>
      <c r="F30" s="1171"/>
      <c r="G30" s="1327">
        <f>+'Exhibit G state'!AE99</f>
        <v>13489</v>
      </c>
      <c r="H30" s="1171"/>
      <c r="I30" s="1908">
        <f>ROUND(SUM(G30)-SUM(C30),1)</f>
        <v>141</v>
      </c>
      <c r="J30" s="1908"/>
      <c r="K30" s="1908">
        <f>ROUND(SUM(G30)-SUM(E30),1)</f>
        <v>1</v>
      </c>
      <c r="L30" s="1908"/>
      <c r="M30" s="2393"/>
      <c r="N30" s="1327">
        <v>31824</v>
      </c>
      <c r="O30" s="1171"/>
      <c r="P30" s="1327">
        <v>32090</v>
      </c>
      <c r="Q30" s="1171"/>
      <c r="R30" s="1327">
        <f>+'Exhibit G Federal'!AE70</f>
        <v>32012</v>
      </c>
      <c r="S30" s="1171"/>
      <c r="T30" s="1171">
        <f>ROUND(SUM(R30)-SUM(N30),1)</f>
        <v>188</v>
      </c>
      <c r="U30" s="1888"/>
      <c r="V30" s="1908">
        <f>ROUND(SUM(R30)-SUM(P30),1)</f>
        <v>-78</v>
      </c>
      <c r="W30" s="1908"/>
      <c r="X30" s="1976"/>
      <c r="Y30" s="1908"/>
      <c r="Z30" s="1908"/>
      <c r="AA30" s="1908"/>
      <c r="AB30" s="1908"/>
      <c r="AC30" s="1908"/>
      <c r="AD30" s="1912"/>
      <c r="AE30" s="1913"/>
      <c r="AF30" s="1888"/>
      <c r="AG30" s="1913"/>
      <c r="AH30" s="1888"/>
      <c r="AI30" s="1913"/>
      <c r="AJ30" s="1914"/>
      <c r="AK30" s="1888"/>
      <c r="AL30" s="1888"/>
      <c r="AM30" s="1888"/>
      <c r="AN30" s="1888"/>
      <c r="AO30" s="1888"/>
      <c r="AP30" s="1888"/>
      <c r="AQ30" s="1888"/>
      <c r="AR30" s="1896"/>
      <c r="AS30" s="1896"/>
      <c r="AT30" s="1896"/>
      <c r="AU30" s="1896"/>
      <c r="AV30" s="1896"/>
      <c r="AW30" s="1896"/>
    </row>
    <row r="31" spans="1:49">
      <c r="A31" s="1720" t="s">
        <v>97</v>
      </c>
      <c r="B31" s="1910" t="s">
        <v>16</v>
      </c>
      <c r="C31" s="1327">
        <v>7868</v>
      </c>
      <c r="D31" s="1171"/>
      <c r="E31" s="1327">
        <v>7824</v>
      </c>
      <c r="F31" s="1171"/>
      <c r="G31" s="1327">
        <f>+'Exhibit G state'!AE102+'Exhibit G state'!AE101</f>
        <v>7832.4</v>
      </c>
      <c r="H31" s="1171"/>
      <c r="I31" s="1908">
        <f>ROUND(SUM(G31)-SUM(C31),1)</f>
        <v>-35.6</v>
      </c>
      <c r="J31" s="1908"/>
      <c r="K31" s="1908">
        <f>ROUND(SUM(G31)-SUM(E31),1)</f>
        <v>8.4</v>
      </c>
      <c r="L31" s="1908"/>
      <c r="M31" s="2393"/>
      <c r="N31" s="1327">
        <v>1297</v>
      </c>
      <c r="O31" s="1171"/>
      <c r="P31" s="1327">
        <v>1316</v>
      </c>
      <c r="Q31" s="1171"/>
      <c r="R31" s="1327">
        <f>+'Exhibit G Federal'!AE72+'Exhibit G Federal'!AE73</f>
        <v>1316.2</v>
      </c>
      <c r="S31" s="1171"/>
      <c r="T31" s="1171">
        <f>ROUND(SUM(R31)-SUM(N31),1)</f>
        <v>19.2</v>
      </c>
      <c r="U31" s="1888"/>
      <c r="V31" s="1908">
        <f>ROUND(SUM(R31)-SUM(P31),1)</f>
        <v>0.2</v>
      </c>
      <c r="W31" s="1908"/>
      <c r="X31" s="1976"/>
      <c r="Y31" s="1908"/>
      <c r="Z31" s="1908"/>
      <c r="AA31" s="1908"/>
      <c r="AB31" s="1908"/>
      <c r="AC31" s="1908"/>
      <c r="AD31" s="1909"/>
      <c r="AE31" s="1910"/>
      <c r="AF31" s="1888"/>
      <c r="AG31" s="1910"/>
      <c r="AH31" s="1888"/>
      <c r="AI31" s="1913"/>
      <c r="AJ31" s="1888"/>
      <c r="AK31" s="1888"/>
      <c r="AL31" s="1913"/>
      <c r="AM31" s="1913"/>
      <c r="AN31" s="1888"/>
      <c r="AO31" s="1913"/>
      <c r="AP31" s="1888"/>
      <c r="AQ31" s="1913"/>
      <c r="AR31" s="1896"/>
      <c r="AS31" s="1896"/>
      <c r="AT31" s="1896"/>
      <c r="AU31" s="1896"/>
      <c r="AV31" s="1896"/>
      <c r="AW31" s="1896"/>
    </row>
    <row r="32" spans="1:49">
      <c r="A32" s="1720" t="s">
        <v>72</v>
      </c>
      <c r="B32" s="1910" t="s">
        <v>16</v>
      </c>
      <c r="C32" s="1327">
        <v>1671</v>
      </c>
      <c r="D32" s="1171"/>
      <c r="E32" s="1327">
        <v>1472</v>
      </c>
      <c r="F32" s="1171"/>
      <c r="G32" s="1327">
        <f>+'Exhibit G state'!AE103</f>
        <v>1472.9</v>
      </c>
      <c r="H32" s="1171"/>
      <c r="I32" s="1908">
        <f>ROUND(SUM(G32)-SUM(C32),1)</f>
        <v>-198.1</v>
      </c>
      <c r="J32" s="1908"/>
      <c r="K32" s="1908">
        <f>ROUND(SUM(G32)-SUM(E32),1)</f>
        <v>0.9</v>
      </c>
      <c r="L32" s="1908"/>
      <c r="M32" s="2393"/>
      <c r="N32" s="1327">
        <v>218</v>
      </c>
      <c r="O32" s="1171"/>
      <c r="P32" s="1327">
        <v>204</v>
      </c>
      <c r="Q32" s="1171"/>
      <c r="R32" s="1327">
        <f>+'Exhibit G Federal'!AE74</f>
        <v>201.4</v>
      </c>
      <c r="S32" s="1171"/>
      <c r="T32" s="1171">
        <f>ROUND(SUM(R32)-SUM(N32),1)</f>
        <v>-16.600000000000001</v>
      </c>
      <c r="U32" s="1888"/>
      <c r="V32" s="1908">
        <f>ROUND(SUM(R32)-SUM(P32),1)</f>
        <v>-2.6</v>
      </c>
      <c r="W32" s="1908"/>
      <c r="X32" s="1976"/>
      <c r="Y32" s="1908"/>
      <c r="Z32" s="1908"/>
      <c r="AA32" s="1908"/>
      <c r="AB32" s="1908"/>
      <c r="AC32" s="1908"/>
      <c r="AD32" s="1912"/>
      <c r="AE32" s="1913"/>
      <c r="AF32" s="1888"/>
      <c r="AG32" s="1913"/>
      <c r="AH32" s="1888"/>
      <c r="AI32" s="1913"/>
      <c r="AJ32" s="1914"/>
      <c r="AK32" s="1888"/>
      <c r="AL32" s="1913"/>
      <c r="AM32" s="1913"/>
      <c r="AN32" s="1888"/>
      <c r="AO32" s="1913"/>
      <c r="AP32" s="1888"/>
      <c r="AQ32" s="1913"/>
      <c r="AR32" s="1896"/>
      <c r="AS32" s="1896"/>
      <c r="AT32" s="1896"/>
      <c r="AU32" s="1896"/>
      <c r="AV32" s="1896"/>
      <c r="AW32" s="1896"/>
    </row>
    <row r="33" spans="1:49">
      <c r="A33" s="1720" t="s">
        <v>43</v>
      </c>
      <c r="B33" s="1914" t="s">
        <v>16</v>
      </c>
      <c r="C33" s="1253">
        <v>0</v>
      </c>
      <c r="D33" s="1171"/>
      <c r="E33" s="1253">
        <v>0</v>
      </c>
      <c r="F33" s="1171"/>
      <c r="G33" s="1253">
        <f>+'Exhibit G state'!AE104</f>
        <v>0.9</v>
      </c>
      <c r="H33" s="1171"/>
      <c r="I33" s="1908">
        <f>ROUND(SUM(G33)-SUM(C33),1)</f>
        <v>0.9</v>
      </c>
      <c r="J33" s="1908"/>
      <c r="K33" s="1908">
        <f>ROUND(SUM(G33)-SUM(E33),1)</f>
        <v>0.9</v>
      </c>
      <c r="L33" s="1908"/>
      <c r="M33" s="2394"/>
      <c r="N33" s="1253">
        <v>0</v>
      </c>
      <c r="O33" s="1171"/>
      <c r="P33" s="1253">
        <v>0</v>
      </c>
      <c r="Q33" s="1171"/>
      <c r="R33" s="1253">
        <v>0</v>
      </c>
      <c r="S33" s="1171"/>
      <c r="T33" s="1171">
        <f>ROUND(SUM(R33)-SUM(N33),1)</f>
        <v>0</v>
      </c>
      <c r="U33" s="1914"/>
      <c r="V33" s="1908">
        <f>ROUND(SUM(R33)-SUM(P33),1)</f>
        <v>0</v>
      </c>
      <c r="W33" s="1908"/>
      <c r="X33" s="1976"/>
      <c r="Y33" s="1908"/>
      <c r="Z33" s="1908"/>
      <c r="AA33" s="1908"/>
      <c r="AB33" s="1908"/>
      <c r="AC33" s="1908"/>
      <c r="AD33" s="1912"/>
      <c r="AE33" s="1913"/>
      <c r="AF33" s="1888"/>
      <c r="AG33" s="1913"/>
      <c r="AH33" s="1888"/>
      <c r="AI33" s="1913"/>
      <c r="AJ33" s="1914"/>
      <c r="AK33" s="1888"/>
      <c r="AL33" s="1888"/>
      <c r="AM33" s="1888"/>
      <c r="AN33" s="1888"/>
      <c r="AO33" s="1888"/>
      <c r="AP33" s="1888"/>
      <c r="AQ33" s="1888"/>
      <c r="AR33" s="1896"/>
      <c r="AS33" s="1896"/>
      <c r="AT33" s="1896"/>
      <c r="AU33" s="1896"/>
      <c r="AV33" s="1896"/>
      <c r="AW33" s="1896"/>
    </row>
    <row r="34" spans="1:49">
      <c r="A34" s="1720" t="s">
        <v>1620</v>
      </c>
      <c r="B34" s="1914" t="s">
        <v>16</v>
      </c>
      <c r="C34" s="1354">
        <v>581</v>
      </c>
      <c r="D34" s="1171"/>
      <c r="E34" s="1354">
        <v>492</v>
      </c>
      <c r="F34" s="1171"/>
      <c r="G34" s="1354">
        <f>-'Exhibit G state'!AE113</f>
        <v>492.1</v>
      </c>
      <c r="H34" s="1171"/>
      <c r="I34" s="1908">
        <f>ROUND(SUM(G34)-SUM(C34),1)</f>
        <v>-88.9</v>
      </c>
      <c r="J34" s="1908"/>
      <c r="K34" s="1908">
        <f>ROUND(SUM(G34)-SUM(E34),1)</f>
        <v>0.1</v>
      </c>
      <c r="L34" s="1908"/>
      <c r="M34" s="2394"/>
      <c r="N34" s="1354">
        <v>1162</v>
      </c>
      <c r="O34" s="1171"/>
      <c r="P34" s="1354">
        <v>1092</v>
      </c>
      <c r="Q34" s="1171"/>
      <c r="R34" s="1354">
        <f>-'Exhibit G Federal'!AE84</f>
        <v>1162.4000000000001</v>
      </c>
      <c r="S34" s="1171"/>
      <c r="T34" s="1171">
        <f>ROUND(SUM(R34)-SUM(N34),1)</f>
        <v>0.4</v>
      </c>
      <c r="U34" s="1914"/>
      <c r="V34" s="1908">
        <f>ROUND(SUM(R34)-SUM(P34),1)</f>
        <v>70.400000000000006</v>
      </c>
      <c r="W34" s="1908"/>
      <c r="X34" s="1976"/>
      <c r="Y34" s="1908"/>
      <c r="Z34" s="1909"/>
      <c r="AA34" s="1908"/>
      <c r="AB34" s="1908"/>
      <c r="AC34" s="1908"/>
      <c r="AD34" s="1912"/>
      <c r="AE34" s="1913"/>
      <c r="AF34" s="1888"/>
      <c r="AG34" s="1913"/>
      <c r="AH34" s="1888"/>
      <c r="AI34" s="1913"/>
      <c r="AJ34" s="1914"/>
      <c r="AK34" s="1888"/>
      <c r="AL34" s="1888"/>
      <c r="AM34" s="1888"/>
      <c r="AN34" s="1888"/>
      <c r="AO34" s="1888"/>
      <c r="AP34" s="1888"/>
      <c r="AQ34" s="1888"/>
      <c r="AR34" s="1896"/>
      <c r="AS34" s="1896"/>
      <c r="AT34" s="1896"/>
      <c r="AU34" s="1896"/>
      <c r="AV34" s="1896"/>
      <c r="AW34" s="1896"/>
    </row>
    <row r="35" spans="1:49" ht="18" customHeight="1">
      <c r="A35" s="376" t="s">
        <v>122</v>
      </c>
      <c r="B35" s="354" t="s">
        <v>16</v>
      </c>
      <c r="C35" s="545">
        <f>ROUND(SUM(C30:C34),1)</f>
        <v>23468</v>
      </c>
      <c r="D35" s="1886"/>
      <c r="E35" s="545">
        <f>ROUND(SUM(E30:E34),1)</f>
        <v>23276</v>
      </c>
      <c r="F35" s="1886"/>
      <c r="G35" s="545">
        <f>ROUND(SUM(G30:G34),1)</f>
        <v>23287.3</v>
      </c>
      <c r="H35" s="1886"/>
      <c r="I35" s="545">
        <f>ROUND(SUM(I30:I34),1)</f>
        <v>-180.7</v>
      </c>
      <c r="J35" s="273"/>
      <c r="K35" s="545">
        <f>ROUND(SUM(K30:K34),1)</f>
        <v>11.3</v>
      </c>
      <c r="L35" s="273"/>
      <c r="M35" s="2397"/>
      <c r="N35" s="545">
        <f>ROUND(SUM(N30:N34),1)</f>
        <v>34501</v>
      </c>
      <c r="O35" s="1886"/>
      <c r="P35" s="545">
        <f>ROUND(SUM(P30:P34),1)</f>
        <v>34702</v>
      </c>
      <c r="Q35" s="1886"/>
      <c r="R35" s="545">
        <f>ROUND(SUM(R30:R34),1)</f>
        <v>34692</v>
      </c>
      <c r="S35" s="1886"/>
      <c r="T35" s="545">
        <f>ROUND(SUM(T30:T34),1)</f>
        <v>191</v>
      </c>
      <c r="U35" s="354"/>
      <c r="V35" s="545">
        <f>ROUND(SUM(V30:V34),1)</f>
        <v>-10</v>
      </c>
      <c r="W35" s="273"/>
      <c r="X35" s="273"/>
      <c r="Y35" s="273"/>
      <c r="Z35" s="273"/>
      <c r="AA35" s="273"/>
      <c r="AB35" s="273"/>
      <c r="AC35" s="273"/>
      <c r="AD35" s="273"/>
      <c r="AE35" s="354"/>
      <c r="AF35" s="354"/>
      <c r="AG35" s="354"/>
      <c r="AH35" s="354"/>
      <c r="AI35" s="354"/>
      <c r="AJ35" s="354"/>
      <c r="AK35" s="354"/>
      <c r="AL35" s="354"/>
      <c r="AM35" s="354"/>
      <c r="AN35" s="354"/>
      <c r="AO35" s="354"/>
      <c r="AP35" s="354"/>
      <c r="AQ35" s="354"/>
      <c r="AR35" s="1896"/>
      <c r="AS35" s="1896"/>
      <c r="AT35" s="1896"/>
      <c r="AU35" s="1896"/>
      <c r="AV35" s="1896"/>
      <c r="AW35" s="1896"/>
    </row>
    <row r="36" spans="1:49">
      <c r="A36" s="1358"/>
      <c r="B36" s="1888"/>
      <c r="C36" s="1356"/>
      <c r="D36" s="1171"/>
      <c r="E36" s="1356"/>
      <c r="F36" s="1171"/>
      <c r="G36" s="1356"/>
      <c r="H36" s="1171"/>
      <c r="I36" s="1908"/>
      <c r="J36" s="1908"/>
      <c r="K36" s="1908"/>
      <c r="L36" s="1908"/>
      <c r="M36" s="2393"/>
      <c r="N36" s="1908"/>
      <c r="O36" s="1171"/>
      <c r="P36" s="1356"/>
      <c r="Q36" s="1171"/>
      <c r="R36" s="1356"/>
      <c r="S36" s="1171"/>
      <c r="T36" s="1908"/>
      <c r="U36" s="1888"/>
      <c r="V36" s="1908"/>
      <c r="W36" s="1908"/>
      <c r="X36" s="1908"/>
      <c r="Y36" s="1908"/>
      <c r="Z36" s="1908"/>
      <c r="AA36" s="1908"/>
      <c r="AB36" s="1908"/>
      <c r="AC36" s="1908"/>
      <c r="AD36" s="1908"/>
      <c r="AE36" s="1888"/>
      <c r="AF36" s="1888"/>
      <c r="AG36" s="1888"/>
      <c r="AH36" s="1888"/>
      <c r="AI36" s="1888"/>
      <c r="AJ36" s="1888"/>
      <c r="AK36" s="1888"/>
      <c r="AL36" s="1888"/>
      <c r="AM36" s="1888"/>
      <c r="AN36" s="1888"/>
      <c r="AO36" s="1888"/>
      <c r="AP36" s="1888"/>
      <c r="AQ36" s="1888"/>
      <c r="AR36" s="1896"/>
      <c r="AS36" s="1896"/>
      <c r="AT36" s="1896"/>
      <c r="AU36" s="1896"/>
      <c r="AV36" s="1896"/>
      <c r="AW36" s="1896"/>
    </row>
    <row r="37" spans="1:49" ht="15.6">
      <c r="A37" s="221" t="s">
        <v>123</v>
      </c>
      <c r="B37" s="1888"/>
      <c r="C37" s="1171"/>
      <c r="D37" s="1171"/>
      <c r="E37" s="1171"/>
      <c r="F37" s="1171"/>
      <c r="G37" s="1171"/>
      <c r="H37" s="1171"/>
      <c r="I37" s="1908"/>
      <c r="J37" s="1908"/>
      <c r="K37" s="1908"/>
      <c r="L37" s="1908"/>
      <c r="M37" s="2393"/>
      <c r="N37" s="1171"/>
      <c r="O37" s="1171"/>
      <c r="P37" s="1171"/>
      <c r="Q37" s="1171"/>
      <c r="R37" s="1171"/>
      <c r="S37" s="1171"/>
      <c r="T37" s="1171"/>
      <c r="U37" s="1888"/>
      <c r="V37" s="1908"/>
      <c r="W37" s="1908"/>
      <c r="X37" s="1908"/>
      <c r="Y37" s="1908"/>
      <c r="Z37" s="1908"/>
      <c r="AA37" s="1908"/>
      <c r="AB37" s="1908"/>
      <c r="AC37" s="1908"/>
      <c r="AD37" s="1908"/>
      <c r="AE37" s="1888"/>
      <c r="AF37" s="1888"/>
      <c r="AG37" s="1888"/>
      <c r="AH37" s="1888"/>
      <c r="AI37" s="1888"/>
      <c r="AJ37" s="1888"/>
      <c r="AK37" s="1888"/>
      <c r="AL37" s="1888"/>
      <c r="AM37" s="1888"/>
      <c r="AN37" s="1888"/>
      <c r="AO37" s="1888"/>
      <c r="AP37" s="1888"/>
      <c r="AQ37" s="1888"/>
      <c r="AR37" s="1896"/>
      <c r="AS37" s="1896"/>
      <c r="AT37" s="1896"/>
      <c r="AU37" s="1896"/>
      <c r="AV37" s="1896"/>
      <c r="AW37" s="1896"/>
    </row>
    <row r="38" spans="1:49" ht="15.6">
      <c r="A38" s="221" t="s">
        <v>124</v>
      </c>
      <c r="B38" s="1888"/>
      <c r="C38" s="1171"/>
      <c r="D38" s="1171"/>
      <c r="E38" s="1171"/>
      <c r="F38" s="1171"/>
      <c r="G38" s="1171"/>
      <c r="H38" s="1171"/>
      <c r="I38" s="1908"/>
      <c r="J38" s="1908"/>
      <c r="K38" s="1908"/>
      <c r="L38" s="1908"/>
      <c r="M38" s="2393"/>
      <c r="N38" s="1171"/>
      <c r="O38" s="1171"/>
      <c r="P38" s="1171"/>
      <c r="Q38" s="1171"/>
      <c r="R38" s="1171"/>
      <c r="S38" s="1171"/>
      <c r="T38" s="1171"/>
      <c r="U38" s="1888"/>
      <c r="V38" s="1908"/>
      <c r="W38" s="1908"/>
      <c r="X38" s="1908"/>
      <c r="Y38" s="1908"/>
      <c r="Z38" s="1908"/>
      <c r="AA38" s="1908"/>
      <c r="AB38" s="1908"/>
      <c r="AC38" s="1908"/>
      <c r="AD38" s="1908"/>
      <c r="AE38" s="1888"/>
      <c r="AF38" s="1888"/>
      <c r="AG38" s="1888"/>
      <c r="AH38" s="1888"/>
      <c r="AI38" s="1888"/>
      <c r="AJ38" s="1888"/>
      <c r="AK38" s="1888"/>
      <c r="AL38" s="1888"/>
      <c r="AM38" s="1888"/>
      <c r="AN38" s="1888"/>
      <c r="AO38" s="1888"/>
      <c r="AP38" s="1888"/>
      <c r="AQ38" s="1888"/>
      <c r="AR38" s="1896"/>
      <c r="AS38" s="1896"/>
      <c r="AT38" s="1896"/>
      <c r="AU38" s="1896"/>
      <c r="AV38" s="1896"/>
      <c r="AW38" s="1896"/>
    </row>
    <row r="39" spans="1:49" ht="15.6">
      <c r="A39" s="376" t="s">
        <v>105</v>
      </c>
      <c r="B39" s="1885" t="s">
        <v>16</v>
      </c>
      <c r="C39" s="273">
        <f>ROUND(SUM(C27)-SUM(C35),1)</f>
        <v>-255</v>
      </c>
      <c r="D39" s="284"/>
      <c r="E39" s="273">
        <f>ROUND(SUM(E27)-SUM(E35),1)</f>
        <v>-57</v>
      </c>
      <c r="F39" s="284"/>
      <c r="G39" s="273">
        <f>ROUND(SUM(G27)-SUM(G35),1)</f>
        <v>136.4</v>
      </c>
      <c r="H39" s="284"/>
      <c r="I39" s="273">
        <f>ROUND(SUM(I27)-SUM(I35),1)</f>
        <v>391.4</v>
      </c>
      <c r="J39" s="273"/>
      <c r="K39" s="3152">
        <f>ROUND(SUM(G39)-SUM(E39),1)</f>
        <v>193.4</v>
      </c>
      <c r="L39" s="273"/>
      <c r="M39" s="2395"/>
      <c r="N39" s="273">
        <f>ROUND(SUM(N27)-SUM(N35),1)</f>
        <v>304</v>
      </c>
      <c r="O39" s="284"/>
      <c r="P39" s="273">
        <f>ROUND(SUM(P27)-SUM(P35),1)</f>
        <v>916</v>
      </c>
      <c r="Q39" s="284"/>
      <c r="R39" s="273">
        <f>ROUND(SUM(R27)-SUM(R35),1)</f>
        <v>936.6</v>
      </c>
      <c r="S39" s="284"/>
      <c r="T39" s="273">
        <f>ROUND(SUM(T27)-SUM(T35),1)</f>
        <v>632.6</v>
      </c>
      <c r="U39" s="354"/>
      <c r="V39" s="3152">
        <f>ROUND(SUM(R39)-SUM(P39),1)</f>
        <v>20.6</v>
      </c>
      <c r="W39" s="743"/>
      <c r="X39" s="273"/>
      <c r="Y39" s="743"/>
      <c r="Z39" s="273"/>
      <c r="AA39" s="743"/>
      <c r="AB39" s="273"/>
      <c r="AC39" s="743"/>
      <c r="AD39" s="273"/>
      <c r="AE39" s="354"/>
      <c r="AF39" s="377"/>
      <c r="AG39" s="354"/>
      <c r="AH39" s="377"/>
      <c r="AI39" s="354"/>
      <c r="AJ39" s="354"/>
      <c r="AK39" s="377"/>
      <c r="AL39" s="354"/>
      <c r="AM39" s="354"/>
      <c r="AN39" s="377"/>
      <c r="AO39" s="354"/>
      <c r="AP39" s="377"/>
      <c r="AQ39" s="354"/>
      <c r="AR39" s="1896"/>
      <c r="AS39" s="1896"/>
      <c r="AT39" s="1896"/>
      <c r="AU39" s="1896"/>
      <c r="AV39" s="1896"/>
      <c r="AW39" s="1896"/>
    </row>
    <row r="40" spans="1:49" ht="15" customHeight="1">
      <c r="C40" s="1269"/>
      <c r="D40" s="1897"/>
      <c r="E40" s="1269"/>
      <c r="F40" s="1897"/>
      <c r="G40" s="1269"/>
      <c r="H40" s="1897"/>
      <c r="I40" s="273"/>
      <c r="J40" s="273"/>
      <c r="K40" s="3152"/>
      <c r="L40" s="273"/>
      <c r="M40" s="2395"/>
      <c r="N40" s="1269"/>
      <c r="O40" s="1897"/>
      <c r="P40" s="1269"/>
      <c r="Q40" s="1897"/>
      <c r="R40" s="1269"/>
      <c r="S40" s="1897"/>
      <c r="T40" s="273"/>
      <c r="U40" s="354"/>
      <c r="V40" s="3152"/>
      <c r="W40" s="1269"/>
      <c r="X40" s="1269"/>
      <c r="Y40" s="1269"/>
      <c r="Z40" s="1269"/>
      <c r="AA40" s="1269"/>
      <c r="AB40" s="1269"/>
      <c r="AC40" s="1269"/>
      <c r="AD40" s="1269"/>
      <c r="AR40" s="1896"/>
      <c r="AS40" s="1896"/>
      <c r="AT40" s="1896"/>
      <c r="AU40" s="1896"/>
      <c r="AV40" s="1896"/>
      <c r="AW40" s="1896"/>
    </row>
    <row r="41" spans="1:49" ht="15.6">
      <c r="A41" s="376" t="str">
        <f>+'Exh D-Governmental  '!A49</f>
        <v>Fund Balances (Deficits) at April 1</v>
      </c>
      <c r="B41" s="1149" t="s">
        <v>16</v>
      </c>
      <c r="C41" s="273">
        <v>2010</v>
      </c>
      <c r="D41" s="1897"/>
      <c r="E41" s="273">
        <v>2010</v>
      </c>
      <c r="F41" s="1897"/>
      <c r="G41" s="273">
        <v>2010.2</v>
      </c>
      <c r="H41" s="1897"/>
      <c r="I41" s="281">
        <f>ROUND(SUM(G41-C41),1)</f>
        <v>0.2</v>
      </c>
      <c r="J41" s="281"/>
      <c r="K41" s="3152">
        <f>ROUND(SUM(G41)-SUM(E41),1)</f>
        <v>0.2</v>
      </c>
      <c r="L41" s="281"/>
      <c r="M41" s="2395"/>
      <c r="N41" s="273">
        <v>651</v>
      </c>
      <c r="O41" s="1897"/>
      <c r="P41" s="273">
        <v>651</v>
      </c>
      <c r="Q41" s="1897"/>
      <c r="R41" s="273">
        <v>651.6</v>
      </c>
      <c r="S41" s="1897"/>
      <c r="T41" s="281">
        <f>ROUND(SUM(R41-N41),1)</f>
        <v>0.6</v>
      </c>
      <c r="U41" s="354"/>
      <c r="V41" s="3152">
        <f>ROUND(SUM(R41)-SUM(P41),1)</f>
        <v>0.6</v>
      </c>
      <c r="W41" s="1269"/>
      <c r="X41" s="273"/>
      <c r="Y41" s="1269"/>
      <c r="Z41" s="273"/>
      <c r="AA41" s="1269"/>
      <c r="AB41" s="281"/>
      <c r="AC41" s="1269"/>
      <c r="AD41" s="1269"/>
      <c r="AR41" s="1896"/>
      <c r="AS41" s="1896"/>
      <c r="AT41" s="1896"/>
      <c r="AU41" s="1896"/>
      <c r="AV41" s="1896"/>
      <c r="AW41" s="1896"/>
    </row>
    <row r="42" spans="1:49" ht="18" customHeight="1" thickBot="1">
      <c r="A42" s="2626" t="str">
        <f>+'Exh D-Governmental  '!A50</f>
        <v>Fund Balances (Deficits) at December 31, 2015</v>
      </c>
      <c r="B42" s="383" t="s">
        <v>16</v>
      </c>
      <c r="C42" s="299">
        <f>ROUND(SUM(C39:C41),1)</f>
        <v>1755</v>
      </c>
      <c r="D42" s="384"/>
      <c r="E42" s="299">
        <f>ROUND(SUM(E39:E41),1)</f>
        <v>1953</v>
      </c>
      <c r="F42" s="384"/>
      <c r="G42" s="299">
        <f>ROUND(SUM(G39:G41),1)</f>
        <v>2146.6</v>
      </c>
      <c r="H42" s="384"/>
      <c r="I42" s="299">
        <f>ROUND(SUM(I39:I41),1)</f>
        <v>391.6</v>
      </c>
      <c r="J42" s="424"/>
      <c r="K42" s="299">
        <f>ROUND(SUM(K39:K41),1)</f>
        <v>193.6</v>
      </c>
      <c r="L42" s="424"/>
      <c r="M42" s="2396"/>
      <c r="N42" s="299">
        <f>ROUND(SUM(N39:N41),1)</f>
        <v>955</v>
      </c>
      <c r="O42" s="299">
        <f>ROUND(SUM(O39:O41),1)</f>
        <v>0</v>
      </c>
      <c r="P42" s="299">
        <f>ROUND(SUM(P39:P41),1)</f>
        <v>1567</v>
      </c>
      <c r="Q42" s="384"/>
      <c r="R42" s="299">
        <f>ROUND(SUM(R39:R41),1)</f>
        <v>1588.2</v>
      </c>
      <c r="S42" s="384"/>
      <c r="T42" s="299">
        <f>ROUND(SUM(T39:T41),1)</f>
        <v>633.20000000000005</v>
      </c>
      <c r="U42" s="354"/>
      <c r="V42" s="299">
        <f>ROUND(SUM(V39:V41),1)</f>
        <v>21.2</v>
      </c>
      <c r="W42" s="1979"/>
      <c r="X42" s="424"/>
      <c r="Y42" s="1979"/>
      <c r="Z42" s="424"/>
      <c r="AA42" s="1979"/>
      <c r="AB42" s="424"/>
      <c r="AR42" s="1896"/>
      <c r="AS42" s="1896"/>
      <c r="AT42" s="1896"/>
      <c r="AU42" s="1896"/>
      <c r="AV42" s="1896"/>
      <c r="AW42" s="1896"/>
    </row>
    <row r="43" spans="1:49" ht="15" customHeight="1" thickTop="1">
      <c r="A43" s="358"/>
      <c r="G43" s="1149"/>
      <c r="J43" s="1149"/>
      <c r="V43" s="1149"/>
      <c r="W43" s="1980"/>
      <c r="X43" s="1357"/>
      <c r="Y43" s="1980"/>
      <c r="Z43" s="1980"/>
      <c r="AA43" s="1980"/>
      <c r="AB43" s="1980"/>
      <c r="AR43" s="1896"/>
      <c r="AS43" s="1896"/>
      <c r="AT43" s="1896"/>
      <c r="AU43" s="1896"/>
      <c r="AV43" s="1896"/>
      <c r="AW43" s="1896"/>
    </row>
    <row r="44" spans="1:49">
      <c r="A44" s="1901" t="str">
        <f>+'Exh D General Fund  '!A52</f>
        <v>(*)      Source:  2015-16 Enacted Budget dated May 13, 2015.</v>
      </c>
      <c r="AR44" s="1896"/>
      <c r="AS44" s="1896"/>
      <c r="AT44" s="1896"/>
      <c r="AU44" s="1896"/>
      <c r="AV44" s="1896"/>
      <c r="AW44" s="1896"/>
    </row>
    <row r="45" spans="1:49">
      <c r="A45" s="1195" t="s">
        <v>1685</v>
      </c>
      <c r="AR45" s="1896"/>
      <c r="AS45" s="1896"/>
      <c r="AT45" s="1896"/>
      <c r="AU45" s="1896"/>
      <c r="AV45" s="1896"/>
      <c r="AW45" s="1896"/>
    </row>
    <row r="46" spans="1:49">
      <c r="A46" s="2995" t="s">
        <v>1654</v>
      </c>
      <c r="B46" s="1896"/>
      <c r="C46" s="1896"/>
      <c r="D46" s="1896"/>
      <c r="E46" s="1896"/>
      <c r="F46" s="1896"/>
      <c r="G46" s="1896"/>
      <c r="H46" s="1896"/>
      <c r="I46" s="1896"/>
      <c r="J46" s="1896"/>
      <c r="K46" s="1896"/>
      <c r="L46" s="1363"/>
      <c r="M46" s="1363"/>
      <c r="N46" s="1896"/>
      <c r="O46" s="1896"/>
      <c r="P46" s="1896"/>
      <c r="Q46" s="1896"/>
      <c r="R46" s="1896"/>
      <c r="S46" s="1896"/>
      <c r="T46" s="1896"/>
      <c r="U46" s="1896"/>
      <c r="V46" s="1363"/>
      <c r="W46" s="1363"/>
      <c r="X46" s="1363"/>
      <c r="Y46" s="1363"/>
      <c r="Z46" s="1363"/>
      <c r="AA46" s="1363"/>
      <c r="AB46" s="1363"/>
      <c r="AC46" s="1896"/>
      <c r="AD46" s="1896"/>
      <c r="AE46" s="1896"/>
      <c r="AF46" s="1896"/>
      <c r="AG46" s="1896"/>
      <c r="AH46" s="1896"/>
      <c r="AI46" s="1896"/>
      <c r="AJ46" s="1896"/>
      <c r="AK46" s="1896"/>
      <c r="AL46" s="1896"/>
      <c r="AM46" s="1896"/>
      <c r="AN46" s="1896"/>
      <c r="AO46" s="1896"/>
      <c r="AP46" s="1896"/>
      <c r="AQ46" s="1896"/>
      <c r="AR46" s="1896"/>
      <c r="AS46" s="1896"/>
      <c r="AT46" s="1896"/>
      <c r="AU46" s="1896"/>
      <c r="AV46" s="1896"/>
      <c r="AW46" s="1896"/>
    </row>
    <row r="47" spans="1:49">
      <c r="A47" s="2995" t="s">
        <v>1556</v>
      </c>
      <c r="B47" s="1896"/>
      <c r="C47" s="1916"/>
      <c r="D47" s="1896"/>
      <c r="E47" s="1896"/>
      <c r="F47" s="1896"/>
      <c r="G47" s="1896"/>
      <c r="H47" s="1896"/>
      <c r="I47" s="1896"/>
      <c r="J47" s="1896"/>
      <c r="K47" s="1896"/>
      <c r="L47" s="1363"/>
      <c r="M47" s="1363"/>
      <c r="N47" s="1896"/>
      <c r="O47" s="1896"/>
      <c r="P47" s="1896"/>
      <c r="Q47" s="1896"/>
      <c r="R47" s="1896"/>
      <c r="S47" s="1896"/>
      <c r="T47" s="1896"/>
      <c r="U47" s="1896"/>
      <c r="V47" s="1363"/>
      <c r="W47" s="1363"/>
      <c r="X47" s="1363"/>
      <c r="Y47" s="1363"/>
      <c r="Z47" s="1363"/>
      <c r="AA47" s="1363"/>
      <c r="AB47" s="1363"/>
      <c r="AC47" s="1896"/>
      <c r="AD47" s="1896"/>
      <c r="AE47" s="1896"/>
      <c r="AF47" s="1896"/>
      <c r="AG47" s="1896"/>
      <c r="AH47" s="1896"/>
      <c r="AI47" s="1896"/>
      <c r="AJ47" s="1896"/>
      <c r="AK47" s="1896"/>
      <c r="AL47" s="1896"/>
      <c r="AM47" s="1896"/>
      <c r="AN47" s="1896"/>
      <c r="AO47" s="1896"/>
      <c r="AP47" s="1896"/>
      <c r="AQ47" s="1896"/>
      <c r="AR47" s="1896"/>
      <c r="AS47" s="1896"/>
      <c r="AT47" s="1896"/>
      <c r="AU47" s="1896"/>
      <c r="AV47" s="1896"/>
      <c r="AW47" s="1896"/>
    </row>
    <row r="48" spans="1:49">
      <c r="A48" s="1855"/>
    </row>
    <row r="49" spans="1:49">
      <c r="A49" s="407"/>
      <c r="B49" s="1896"/>
      <c r="C49" s="1896"/>
      <c r="D49" s="1896"/>
      <c r="E49" s="1896"/>
      <c r="F49" s="1896"/>
      <c r="G49" s="1896"/>
      <c r="H49" s="1896"/>
      <c r="I49" s="1896"/>
      <c r="J49" s="1896"/>
      <c r="K49" s="1896"/>
      <c r="L49" s="1363"/>
      <c r="M49" s="1363"/>
      <c r="N49" s="1896"/>
      <c r="O49" s="1896"/>
      <c r="P49" s="1896"/>
      <c r="Q49" s="1896"/>
      <c r="R49" s="1896"/>
      <c r="S49" s="1896"/>
      <c r="T49" s="1896"/>
      <c r="U49" s="1896"/>
      <c r="V49" s="1363"/>
      <c r="W49" s="1363"/>
      <c r="X49" s="1363"/>
      <c r="Y49" s="1363"/>
      <c r="Z49" s="1363"/>
      <c r="AA49" s="1363"/>
      <c r="AB49" s="1363"/>
      <c r="AC49" s="1896"/>
      <c r="AD49" s="1896"/>
      <c r="AE49" s="1896"/>
      <c r="AF49" s="1896"/>
      <c r="AG49" s="1896"/>
      <c r="AH49" s="1896"/>
      <c r="AI49" s="1896"/>
      <c r="AJ49" s="1896"/>
      <c r="AK49" s="1896"/>
      <c r="AL49" s="1896"/>
      <c r="AM49" s="1896"/>
      <c r="AN49" s="1896"/>
      <c r="AO49" s="1896"/>
      <c r="AP49" s="1896"/>
      <c r="AQ49" s="1896"/>
      <c r="AR49" s="1896"/>
      <c r="AS49" s="1896"/>
      <c r="AT49" s="1896"/>
      <c r="AU49" s="1896"/>
      <c r="AV49" s="1896"/>
      <c r="AW49" s="1896"/>
    </row>
    <row r="50" spans="1:49">
      <c r="A50" s="407"/>
      <c r="B50" s="1896"/>
      <c r="C50" s="1896"/>
      <c r="D50" s="1896"/>
      <c r="E50" s="1896"/>
      <c r="F50" s="1896"/>
      <c r="G50" s="1896"/>
      <c r="H50" s="1896"/>
      <c r="I50" s="1896"/>
      <c r="J50" s="1896"/>
      <c r="K50" s="1896"/>
      <c r="L50" s="1363"/>
      <c r="M50" s="1363"/>
      <c r="N50" s="1896"/>
      <c r="O50" s="1896"/>
      <c r="P50" s="1896"/>
      <c r="Q50" s="1896"/>
      <c r="R50" s="1896"/>
      <c r="S50" s="1896"/>
      <c r="T50" s="1896"/>
      <c r="U50" s="1896"/>
      <c r="V50" s="1363"/>
      <c r="W50" s="1363"/>
      <c r="X50" s="1363"/>
      <c r="Y50" s="1363"/>
      <c r="Z50" s="1363"/>
      <c r="AA50" s="1363"/>
      <c r="AB50" s="1363"/>
      <c r="AC50" s="1896"/>
      <c r="AD50" s="1896"/>
      <c r="AE50" s="1896"/>
      <c r="AF50" s="1896"/>
      <c r="AG50" s="1896"/>
      <c r="AH50" s="1896"/>
      <c r="AI50" s="1896"/>
      <c r="AJ50" s="1896"/>
      <c r="AK50" s="1896"/>
      <c r="AL50" s="1896"/>
      <c r="AM50" s="1896"/>
      <c r="AN50" s="1896"/>
      <c r="AO50" s="1896"/>
      <c r="AP50" s="1896"/>
      <c r="AQ50" s="1896"/>
      <c r="AR50" s="1896"/>
      <c r="AS50" s="1896"/>
      <c r="AT50" s="1896"/>
      <c r="AU50" s="1896"/>
      <c r="AV50" s="1896"/>
      <c r="AW50" s="1896"/>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2"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7"/>
  <sheetViews>
    <sheetView showGridLines="0" zoomScale="70" zoomScaleNormal="70" zoomScaleSheetLayoutView="70" workbookViewId="0"/>
  </sheetViews>
  <sheetFormatPr defaultColWidth="8.90625" defaultRowHeight="15"/>
  <cols>
    <col min="1" max="1" width="47.90625" style="1896" customWidth="1"/>
    <col min="2" max="2" width="2" style="1149" customWidth="1"/>
    <col min="3" max="3" width="15.81640625" style="791" customWidth="1"/>
    <col min="4" max="4" width="4.81640625" style="1900" customWidth="1"/>
    <col min="5" max="5" width="15.81640625" style="791" customWidth="1"/>
    <col min="6" max="6" width="4.81640625" style="1900" customWidth="1"/>
    <col min="7" max="7" width="15.81640625" style="1900" customWidth="1"/>
    <col min="8" max="8" width="4.81640625" style="1900" customWidth="1"/>
    <col min="9" max="9" width="15.81640625" style="1900" customWidth="1"/>
    <col min="10" max="10" width="2" style="1149" customWidth="1"/>
    <col min="11" max="11" width="11.90625" style="1149" customWidth="1"/>
    <col min="12" max="12" width="11.453125" style="1149" customWidth="1"/>
    <col min="13" max="13" width="1.90625" style="1149" customWidth="1"/>
    <col min="14" max="14" width="11.6328125" style="1149" customWidth="1"/>
    <col min="15" max="15" width="2.08984375" style="1149" customWidth="1"/>
    <col min="16" max="16" width="11.453125" style="1149" customWidth="1"/>
    <col min="17" max="17" width="0.54296875" style="1149" customWidth="1"/>
    <col min="18" max="18" width="2.36328125" style="1149" customWidth="1"/>
    <col min="19" max="19" width="10.54296875" style="1149" customWidth="1"/>
    <col min="20" max="20" width="11.08984375" style="1149" customWidth="1"/>
    <col min="21" max="21" width="2.1796875" style="1149" customWidth="1"/>
    <col min="22" max="22" width="11.08984375" style="1149" customWidth="1"/>
    <col min="23" max="23" width="2.08984375" style="1149" customWidth="1"/>
    <col min="24" max="24" width="12.453125" style="1149" customWidth="1"/>
    <col min="25" max="29" width="8.90625" style="1149"/>
    <col min="30" max="30" width="8.90625" style="1900"/>
    <col min="31" max="16384" width="8.90625" style="1896"/>
  </cols>
  <sheetData>
    <row r="1" spans="1:24">
      <c r="A1" s="1902" t="s">
        <v>1217</v>
      </c>
      <c r="B1" s="389"/>
      <c r="C1" s="785"/>
      <c r="D1" s="390"/>
      <c r="E1" s="785"/>
      <c r="F1" s="390"/>
      <c r="G1" s="390"/>
      <c r="H1" s="390"/>
      <c r="I1" s="390"/>
      <c r="J1" s="390"/>
      <c r="K1" s="389"/>
      <c r="L1" s="389"/>
      <c r="M1" s="389"/>
      <c r="N1" s="389"/>
      <c r="O1" s="389"/>
      <c r="P1" s="389"/>
      <c r="Q1" s="389"/>
      <c r="R1" s="389"/>
      <c r="S1" s="389"/>
      <c r="T1" s="389"/>
      <c r="U1" s="389"/>
      <c r="V1" s="389"/>
      <c r="W1" s="389"/>
      <c r="X1" s="389"/>
    </row>
    <row r="2" spans="1:24" ht="17.25" customHeight="1">
      <c r="A2" s="391"/>
      <c r="B2" s="392"/>
      <c r="C2" s="785"/>
      <c r="D2" s="390"/>
      <c r="E2" s="785"/>
      <c r="F2" s="390"/>
      <c r="G2" s="393"/>
      <c r="H2" s="390"/>
      <c r="I2" s="390"/>
      <c r="J2" s="390"/>
      <c r="K2" s="389"/>
      <c r="L2" s="389"/>
      <c r="M2" s="389"/>
      <c r="N2" s="389"/>
      <c r="O2" s="389"/>
      <c r="P2" s="389"/>
      <c r="Q2" s="389"/>
      <c r="R2" s="389"/>
      <c r="S2" s="389"/>
      <c r="T2" s="389"/>
      <c r="U2" s="389"/>
      <c r="V2" s="389"/>
      <c r="W2" s="389"/>
      <c r="X2" s="389"/>
    </row>
    <row r="3" spans="1:24" ht="21" customHeight="1">
      <c r="A3" s="394" t="s">
        <v>0</v>
      </c>
      <c r="B3" s="351"/>
      <c r="C3" s="788"/>
      <c r="D3" s="345"/>
      <c r="E3" s="788"/>
      <c r="F3" s="345"/>
      <c r="G3" s="345"/>
      <c r="H3" s="345"/>
      <c r="I3" s="1729"/>
      <c r="J3" s="345"/>
      <c r="K3" s="1729" t="s">
        <v>86</v>
      </c>
      <c r="L3" s="359"/>
      <c r="M3" s="359"/>
      <c r="N3" s="359"/>
      <c r="O3" s="359"/>
      <c r="P3" s="359"/>
      <c r="Q3" s="359"/>
      <c r="R3" s="359"/>
      <c r="S3" s="359"/>
      <c r="T3" s="359"/>
      <c r="U3" s="359"/>
      <c r="V3" s="359"/>
      <c r="W3" s="359"/>
      <c r="X3" s="395"/>
    </row>
    <row r="4" spans="1:24" ht="21.75" customHeight="1">
      <c r="A4" s="394" t="s">
        <v>85</v>
      </c>
      <c r="B4" s="351"/>
      <c r="C4" s="788"/>
      <c r="D4" s="345"/>
      <c r="E4" s="788"/>
      <c r="F4" s="345"/>
      <c r="G4" s="345"/>
      <c r="H4" s="345"/>
      <c r="I4" s="1730"/>
      <c r="J4" s="345"/>
      <c r="K4" s="1730" t="s">
        <v>107</v>
      </c>
      <c r="L4" s="359"/>
      <c r="M4" s="359"/>
      <c r="N4" s="359"/>
      <c r="O4" s="359"/>
      <c r="P4" s="359"/>
      <c r="Q4" s="359"/>
      <c r="R4" s="359"/>
      <c r="S4" s="359"/>
      <c r="T4" s="359"/>
      <c r="U4" s="359"/>
      <c r="V4" s="359"/>
      <c r="W4" s="359"/>
      <c r="X4" s="359"/>
    </row>
    <row r="5" spans="1:24" ht="21.75" customHeight="1">
      <c r="A5" s="3564" t="s">
        <v>1524</v>
      </c>
      <c r="B5" s="3565"/>
      <c r="C5" s="788"/>
      <c r="D5" s="345"/>
      <c r="E5" s="788"/>
      <c r="F5" s="345"/>
      <c r="G5" s="345"/>
      <c r="H5" s="345"/>
      <c r="I5" s="345"/>
      <c r="J5" s="345"/>
      <c r="K5" s="359"/>
      <c r="L5" s="359"/>
      <c r="M5" s="359"/>
      <c r="N5" s="359"/>
      <c r="O5" s="359"/>
      <c r="P5" s="359"/>
      <c r="Q5" s="359"/>
      <c r="R5" s="359"/>
      <c r="S5" s="359"/>
      <c r="T5" s="359"/>
      <c r="U5" s="359"/>
      <c r="V5" s="359"/>
      <c r="W5" s="359"/>
      <c r="X5" s="359"/>
    </row>
    <row r="6" spans="1:24" ht="17.25" customHeight="1">
      <c r="A6" s="2865" t="str">
        <f>'Exh D-Governmental  '!A6</f>
        <v>FOR NINE MONTHS ENDED DECEMBER 31, 2015</v>
      </c>
      <c r="B6" s="350"/>
      <c r="C6" s="788"/>
      <c r="D6" s="345"/>
      <c r="E6" s="788"/>
      <c r="F6" s="345"/>
      <c r="G6" s="345"/>
      <c r="H6" s="345"/>
      <c r="I6" s="345"/>
      <c r="J6" s="345"/>
      <c r="K6" s="359"/>
      <c r="L6" s="359"/>
      <c r="M6" s="359"/>
      <c r="N6" s="359"/>
      <c r="O6" s="359"/>
      <c r="P6" s="359"/>
      <c r="Q6" s="359"/>
      <c r="R6" s="359"/>
      <c r="S6" s="359"/>
      <c r="T6" s="359"/>
      <c r="U6" s="359"/>
      <c r="V6" s="359"/>
      <c r="W6" s="359"/>
      <c r="X6" s="359"/>
    </row>
    <row r="7" spans="1:24" ht="17.399999999999999">
      <c r="A7" s="394" t="s">
        <v>1104</v>
      </c>
      <c r="B7" s="351"/>
      <c r="C7" s="788"/>
      <c r="D7" s="345"/>
      <c r="E7" s="788"/>
      <c r="F7" s="345"/>
      <c r="G7" s="345"/>
      <c r="H7" s="345"/>
      <c r="I7" s="345"/>
      <c r="J7" s="345"/>
      <c r="K7" s="359"/>
      <c r="L7" s="359"/>
      <c r="M7" s="359"/>
      <c r="N7" s="359"/>
      <c r="O7" s="359"/>
      <c r="P7" s="359"/>
      <c r="Q7" s="359"/>
      <c r="R7" s="359"/>
      <c r="S7" s="359"/>
      <c r="T7" s="359"/>
      <c r="U7" s="359"/>
      <c r="V7" s="359"/>
      <c r="W7" s="359"/>
      <c r="X7" s="359"/>
    </row>
    <row r="8" spans="1:24" ht="15" customHeight="1">
      <c r="A8" s="396"/>
      <c r="B8" s="350"/>
      <c r="C8" s="788"/>
      <c r="D8" s="345"/>
      <c r="E8" s="788"/>
      <c r="F8" s="345"/>
      <c r="G8" s="345"/>
      <c r="H8" s="345"/>
      <c r="I8" s="345"/>
      <c r="J8" s="345"/>
      <c r="K8" s="359"/>
      <c r="L8" s="359"/>
      <c r="M8" s="359"/>
      <c r="N8" s="359"/>
      <c r="O8" s="359"/>
      <c r="P8" s="359"/>
      <c r="Q8" s="359"/>
      <c r="R8" s="359"/>
      <c r="S8" s="359"/>
      <c r="T8" s="359"/>
      <c r="U8" s="359"/>
      <c r="V8" s="359"/>
      <c r="W8" s="359"/>
      <c r="X8" s="359"/>
    </row>
    <row r="9" spans="1:24">
      <c r="A9" s="353"/>
      <c r="B9" s="359"/>
      <c r="C9" s="788"/>
      <c r="D9" s="345"/>
      <c r="E9" s="788"/>
      <c r="F9" s="345"/>
      <c r="G9" s="345"/>
      <c r="H9" s="345"/>
      <c r="I9" s="345"/>
      <c r="J9" s="345"/>
      <c r="K9" s="359"/>
      <c r="L9" s="359"/>
      <c r="M9" s="359"/>
      <c r="N9" s="359"/>
      <c r="O9" s="359"/>
      <c r="P9" s="359"/>
      <c r="Q9" s="359"/>
      <c r="R9" s="359"/>
      <c r="S9" s="359"/>
      <c r="T9" s="359"/>
      <c r="U9" s="359"/>
      <c r="V9" s="359"/>
      <c r="W9" s="359"/>
      <c r="X9" s="359"/>
    </row>
    <row r="10" spans="1:24">
      <c r="A10" s="353"/>
      <c r="B10" s="359"/>
      <c r="C10" s="787"/>
      <c r="D10" s="351"/>
      <c r="E10" s="787"/>
      <c r="F10" s="351"/>
      <c r="G10" s="351"/>
      <c r="H10" s="351"/>
      <c r="I10" s="351"/>
      <c r="J10" s="345"/>
      <c r="K10" s="359"/>
      <c r="L10" s="359"/>
      <c r="M10" s="359"/>
      <c r="N10" s="359"/>
      <c r="O10" s="359"/>
      <c r="P10" s="359"/>
      <c r="Q10" s="359"/>
      <c r="R10" s="359"/>
      <c r="S10" s="359"/>
      <c r="T10" s="359"/>
      <c r="U10" s="359"/>
      <c r="V10" s="359"/>
      <c r="W10" s="359"/>
      <c r="X10" s="359"/>
    </row>
    <row r="11" spans="1:24" ht="15.6">
      <c r="A11" s="1358"/>
      <c r="C11" s="3567" t="s">
        <v>1418</v>
      </c>
      <c r="D11" s="3567"/>
      <c r="E11" s="3567"/>
      <c r="F11" s="3567"/>
      <c r="G11" s="3567"/>
      <c r="H11" s="3567"/>
      <c r="I11" s="3567"/>
      <c r="J11" s="2371"/>
      <c r="K11" s="2372"/>
      <c r="L11" s="397"/>
      <c r="M11" s="397"/>
      <c r="N11" s="397"/>
      <c r="O11" s="397"/>
      <c r="P11" s="397"/>
      <c r="Q11" s="397"/>
      <c r="R11" s="354"/>
      <c r="S11" s="397"/>
      <c r="T11" s="398"/>
      <c r="U11" s="397"/>
      <c r="V11" s="397"/>
      <c r="W11" s="397"/>
      <c r="X11" s="397"/>
    </row>
    <row r="12" spans="1:24" ht="15.6">
      <c r="A12" s="1358"/>
      <c r="C12" s="792"/>
      <c r="D12" s="399"/>
      <c r="E12" s="792"/>
      <c r="F12" s="399"/>
      <c r="G12" s="400"/>
      <c r="H12" s="399"/>
      <c r="I12" s="399" t="s">
        <v>87</v>
      </c>
      <c r="J12" s="354"/>
      <c r="K12" s="399" t="s">
        <v>87</v>
      </c>
      <c r="L12" s="397"/>
      <c r="M12" s="397"/>
      <c r="N12" s="397"/>
      <c r="O12" s="397"/>
      <c r="P12" s="397"/>
      <c r="Q12" s="397"/>
      <c r="R12" s="354"/>
      <c r="S12" s="397"/>
      <c r="T12" s="398"/>
      <c r="U12" s="397"/>
      <c r="V12" s="397"/>
      <c r="W12" s="397"/>
      <c r="X12" s="397"/>
    </row>
    <row r="13" spans="1:24" ht="15.6">
      <c r="A13" s="1358"/>
      <c r="B13" s="354"/>
      <c r="C13" s="790"/>
      <c r="D13" s="401"/>
      <c r="E13" s="790"/>
      <c r="F13" s="401"/>
      <c r="G13" s="401"/>
      <c r="H13" s="401"/>
      <c r="I13" s="402" t="s">
        <v>1111</v>
      </c>
      <c r="J13" s="354"/>
      <c r="K13" s="402" t="s">
        <v>1111</v>
      </c>
      <c r="L13" s="354"/>
      <c r="M13" s="354"/>
      <c r="N13" s="354"/>
      <c r="O13" s="354"/>
      <c r="P13" s="403"/>
      <c r="Q13" s="404"/>
      <c r="R13" s="354"/>
      <c r="S13" s="354"/>
      <c r="T13" s="354"/>
      <c r="U13" s="354"/>
      <c r="V13" s="354"/>
      <c r="W13" s="354"/>
      <c r="X13" s="403"/>
    </row>
    <row r="14" spans="1:24" ht="15.6">
      <c r="A14" s="1358"/>
      <c r="B14" s="405"/>
      <c r="C14" s="357" t="s">
        <v>1356</v>
      </c>
      <c r="D14" s="355"/>
      <c r="E14" s="356" t="s">
        <v>1357</v>
      </c>
      <c r="F14" s="355"/>
      <c r="G14" s="355"/>
      <c r="H14" s="355"/>
      <c r="I14" s="356" t="s">
        <v>88</v>
      </c>
      <c r="J14" s="354"/>
      <c r="K14" s="356" t="s">
        <v>88</v>
      </c>
      <c r="L14" s="404"/>
      <c r="M14" s="354"/>
      <c r="N14" s="354"/>
      <c r="O14" s="354"/>
      <c r="P14" s="403"/>
      <c r="Q14" s="404"/>
      <c r="R14" s="354"/>
      <c r="S14" s="403"/>
      <c r="T14" s="404"/>
      <c r="U14" s="354"/>
      <c r="V14" s="354"/>
      <c r="W14" s="354"/>
      <c r="X14" s="403"/>
    </row>
    <row r="15" spans="1:24" ht="15.6">
      <c r="A15" s="1358"/>
      <c r="B15" s="405"/>
      <c r="C15" s="356" t="s">
        <v>1400</v>
      </c>
      <c r="D15" s="355"/>
      <c r="E15" s="356" t="s">
        <v>1400</v>
      </c>
      <c r="F15" s="355"/>
      <c r="G15" s="355"/>
      <c r="H15" s="355"/>
      <c r="I15" s="356" t="s">
        <v>1356</v>
      </c>
      <c r="J15" s="354"/>
      <c r="K15" s="356" t="s">
        <v>1357</v>
      </c>
      <c r="L15" s="404"/>
      <c r="M15" s="354"/>
      <c r="N15" s="354"/>
      <c r="O15" s="354"/>
      <c r="P15" s="403"/>
      <c r="Q15" s="404"/>
      <c r="R15" s="354"/>
      <c r="S15" s="403"/>
      <c r="T15" s="404"/>
      <c r="U15" s="354"/>
      <c r="V15" s="354"/>
      <c r="W15" s="354"/>
      <c r="X15" s="403"/>
    </row>
    <row r="16" spans="1:24" ht="15.6">
      <c r="A16" s="1358"/>
      <c r="B16" s="404"/>
      <c r="C16" s="356" t="s">
        <v>1401</v>
      </c>
      <c r="D16" s="355"/>
      <c r="E16" s="356" t="s">
        <v>1614</v>
      </c>
      <c r="F16" s="355"/>
      <c r="G16" s="357" t="s">
        <v>87</v>
      </c>
      <c r="H16" s="355"/>
      <c r="I16" s="356" t="s">
        <v>89</v>
      </c>
      <c r="J16" s="354"/>
      <c r="K16" s="356" t="s">
        <v>89</v>
      </c>
      <c r="L16" s="404"/>
      <c r="M16" s="354"/>
      <c r="N16" s="403"/>
      <c r="O16" s="354"/>
      <c r="P16" s="403"/>
      <c r="Q16" s="404"/>
      <c r="R16" s="354"/>
      <c r="S16" s="404"/>
      <c r="T16" s="404"/>
      <c r="U16" s="354"/>
      <c r="V16" s="403"/>
      <c r="W16" s="354"/>
      <c r="X16" s="403"/>
    </row>
    <row r="17" spans="1:24">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row>
    <row r="18" spans="1:24" ht="15.6">
      <c r="A18" s="221" t="s">
        <v>15</v>
      </c>
      <c r="B18" s="1888"/>
      <c r="C18" s="1251"/>
      <c r="D18" s="1251"/>
      <c r="E18" s="1251"/>
      <c r="F18" s="1251"/>
      <c r="G18" s="1251"/>
      <c r="H18" s="1251"/>
      <c r="I18" s="1251"/>
      <c r="J18" s="1888"/>
      <c r="K18" s="1251"/>
      <c r="L18" s="1888"/>
      <c r="M18" s="1888"/>
      <c r="N18" s="1888"/>
      <c r="O18" s="1888"/>
      <c r="P18" s="1888"/>
      <c r="Q18" s="1888"/>
      <c r="R18" s="1888"/>
      <c r="S18" s="1888"/>
      <c r="T18" s="1888"/>
      <c r="U18" s="1888"/>
      <c r="V18" s="1888"/>
      <c r="W18" s="1888"/>
      <c r="X18" s="1888"/>
    </row>
    <row r="19" spans="1:24">
      <c r="A19" s="1720" t="s">
        <v>90</v>
      </c>
      <c r="B19" s="1889"/>
      <c r="C19" s="1251"/>
      <c r="D19" s="1251"/>
      <c r="E19" s="1251"/>
      <c r="F19" s="1251"/>
      <c r="G19" s="1251"/>
      <c r="H19" s="1889"/>
      <c r="I19" s="1251"/>
      <c r="J19" s="1888"/>
      <c r="K19" s="1251"/>
      <c r="L19" s="1888"/>
      <c r="M19" s="1888"/>
      <c r="N19" s="1888"/>
      <c r="O19" s="1888"/>
      <c r="P19" s="1888"/>
      <c r="Q19" s="1888"/>
      <c r="R19" s="1888"/>
      <c r="S19" s="1888"/>
      <c r="T19" s="1888"/>
      <c r="U19" s="1888"/>
      <c r="V19" s="1888"/>
      <c r="W19" s="1888"/>
      <c r="X19" s="1888"/>
    </row>
    <row r="20" spans="1:24">
      <c r="A20" s="1720" t="s">
        <v>91</v>
      </c>
      <c r="B20" s="1889" t="s">
        <v>16</v>
      </c>
      <c r="C20" s="1254">
        <v>7985</v>
      </c>
      <c r="D20" s="1254"/>
      <c r="E20" s="1831">
        <v>8504</v>
      </c>
      <c r="F20" s="1254"/>
      <c r="G20" s="2032">
        <f>+'Exhibit H'!AA16</f>
        <v>8505.1</v>
      </c>
      <c r="H20" s="1254"/>
      <c r="I20" s="1252">
        <f t="shared" ref="I20:I25" si="0">ROUND(SUM(G20)-SUM(C20),1)</f>
        <v>520.1</v>
      </c>
      <c r="J20" s="1888"/>
      <c r="K20" s="1252">
        <f t="shared" ref="K20:K25" si="1">ROUND(SUM(G20)-SUM(E20),1)</f>
        <v>1.1000000000000001</v>
      </c>
      <c r="L20" s="1975"/>
      <c r="M20" s="1888"/>
      <c r="N20" s="1888"/>
      <c r="O20" s="1888"/>
      <c r="P20" s="1888"/>
      <c r="Q20" s="1888"/>
      <c r="R20" s="1888"/>
      <c r="S20" s="1888"/>
      <c r="T20" s="1888"/>
      <c r="U20" s="1888"/>
      <c r="V20" s="1888"/>
      <c r="W20" s="1888"/>
      <c r="X20" s="1888"/>
    </row>
    <row r="21" spans="1:24">
      <c r="A21" s="1720" t="s">
        <v>92</v>
      </c>
      <c r="B21" s="1888" t="s">
        <v>16</v>
      </c>
      <c r="C21" s="1907">
        <v>4805</v>
      </c>
      <c r="D21" s="1171"/>
      <c r="E21" s="1907">
        <v>4721</v>
      </c>
      <c r="F21" s="1171"/>
      <c r="G21" s="1833">
        <f>+'Exhibit H'!AA20</f>
        <v>4719.3</v>
      </c>
      <c r="H21" s="1171"/>
      <c r="I21" s="1171">
        <f t="shared" si="0"/>
        <v>-85.7</v>
      </c>
      <c r="J21" s="1908"/>
      <c r="K21" s="3151">
        <f t="shared" si="1"/>
        <v>-1.7</v>
      </c>
      <c r="L21" s="1975"/>
      <c r="M21" s="1888"/>
      <c r="N21" s="1888"/>
      <c r="O21" s="1888"/>
      <c r="P21" s="1888"/>
      <c r="Q21" s="1888"/>
      <c r="R21" s="1888"/>
      <c r="S21" s="1888"/>
      <c r="T21" s="1888"/>
      <c r="U21" s="1888"/>
      <c r="V21" s="1888"/>
      <c r="W21" s="1888"/>
      <c r="X21" s="1888"/>
    </row>
    <row r="22" spans="1:24">
      <c r="A22" s="1720" t="s">
        <v>94</v>
      </c>
      <c r="B22" s="1888" t="s">
        <v>16</v>
      </c>
      <c r="C22" s="1911">
        <v>734</v>
      </c>
      <c r="D22" s="1171"/>
      <c r="E22" s="1911">
        <v>783</v>
      </c>
      <c r="F22" s="1171"/>
      <c r="G22" s="1833">
        <f>+'Exhibit H'!AA23</f>
        <v>783</v>
      </c>
      <c r="H22" s="1171"/>
      <c r="I22" s="1171">
        <f t="shared" si="0"/>
        <v>49</v>
      </c>
      <c r="J22" s="1908"/>
      <c r="K22" s="3151">
        <f t="shared" si="1"/>
        <v>0</v>
      </c>
      <c r="L22" s="1975"/>
      <c r="M22" s="1888"/>
      <c r="N22" s="1888"/>
      <c r="O22" s="1888"/>
      <c r="P22" s="1888"/>
      <c r="Q22" s="1888"/>
      <c r="R22" s="1888"/>
      <c r="S22" s="1888"/>
      <c r="T22" s="1888"/>
      <c r="U22" s="1888"/>
      <c r="V22" s="1888"/>
      <c r="W22" s="1888"/>
      <c r="X22" s="1888"/>
    </row>
    <row r="23" spans="1:24" ht="15" customHeight="1">
      <c r="A23" s="1720" t="s">
        <v>21</v>
      </c>
      <c r="B23" s="1888" t="s">
        <v>16</v>
      </c>
      <c r="C23" s="1911">
        <v>330</v>
      </c>
      <c r="D23" s="1171"/>
      <c r="E23" s="1911">
        <v>364</v>
      </c>
      <c r="F23" s="1171"/>
      <c r="G23" s="1833">
        <f>+'Exhibit H'!AA43</f>
        <v>356.3</v>
      </c>
      <c r="H23" s="1171"/>
      <c r="I23" s="1171">
        <f t="shared" si="0"/>
        <v>26.3</v>
      </c>
      <c r="J23" s="1908"/>
      <c r="K23" s="3151">
        <f t="shared" si="1"/>
        <v>-7.7</v>
      </c>
      <c r="L23" s="1975"/>
      <c r="M23" s="1888"/>
      <c r="N23" s="1888"/>
      <c r="O23" s="1888"/>
      <c r="P23" s="1888"/>
      <c r="Q23" s="1888"/>
      <c r="R23" s="1888"/>
      <c r="S23" s="1888"/>
      <c r="T23" s="1888"/>
      <c r="U23" s="1888"/>
      <c r="V23" s="1888"/>
      <c r="W23" s="1888"/>
      <c r="X23" s="1888"/>
    </row>
    <row r="24" spans="1:24" ht="15" customHeight="1">
      <c r="A24" s="1720" t="s">
        <v>22</v>
      </c>
      <c r="B24" s="1888" t="s">
        <v>16</v>
      </c>
      <c r="C24" s="1907">
        <v>37</v>
      </c>
      <c r="D24" s="1171"/>
      <c r="E24" s="1907">
        <v>37</v>
      </c>
      <c r="F24" s="1171"/>
      <c r="G24" s="1833">
        <f>+'Exhibit H'!AA45</f>
        <v>36.5</v>
      </c>
      <c r="H24" s="1171"/>
      <c r="I24" s="1171">
        <f t="shared" si="0"/>
        <v>-0.5</v>
      </c>
      <c r="J24" s="1908"/>
      <c r="K24" s="3151">
        <f t="shared" si="1"/>
        <v>-0.5</v>
      </c>
      <c r="L24" s="1975"/>
      <c r="M24" s="1888"/>
      <c r="N24" s="1913"/>
      <c r="O24" s="1888"/>
      <c r="P24" s="1913"/>
      <c r="Q24" s="1914"/>
      <c r="R24" s="1888"/>
      <c r="S24" s="1888"/>
      <c r="T24" s="1888"/>
      <c r="U24" s="1888"/>
      <c r="V24" s="1888"/>
      <c r="W24" s="1888"/>
      <c r="X24" s="1888"/>
    </row>
    <row r="25" spans="1:24">
      <c r="A25" s="1720" t="s">
        <v>49</v>
      </c>
      <c r="B25" s="1914" t="s">
        <v>16</v>
      </c>
      <c r="C25" s="1915">
        <v>2481</v>
      </c>
      <c r="D25" s="1171"/>
      <c r="E25" s="1915">
        <v>2185</v>
      </c>
      <c r="F25" s="1171"/>
      <c r="G25" s="2896">
        <f>+'Exhibit H'!AA62</f>
        <v>2256.6</v>
      </c>
      <c r="H25" s="1171"/>
      <c r="I25" s="1171">
        <f t="shared" si="0"/>
        <v>-224.4</v>
      </c>
      <c r="J25" s="1908"/>
      <c r="K25" s="3151">
        <f t="shared" si="1"/>
        <v>71.599999999999994</v>
      </c>
      <c r="L25" s="1975"/>
      <c r="M25" s="1888"/>
      <c r="N25" s="1913"/>
      <c r="O25" s="1888"/>
      <c r="P25" s="1913"/>
      <c r="Q25" s="1914"/>
      <c r="R25" s="1888"/>
      <c r="S25" s="1888"/>
      <c r="T25" s="1888"/>
      <c r="U25" s="1888"/>
      <c r="V25" s="1888"/>
      <c r="W25" s="1888"/>
      <c r="X25" s="1888"/>
    </row>
    <row r="26" spans="1:24" ht="18" customHeight="1">
      <c r="A26" s="1967" t="s">
        <v>113</v>
      </c>
      <c r="B26" s="354" t="s">
        <v>16</v>
      </c>
      <c r="C26" s="420">
        <f>ROUND(SUM(C20:C25),1)</f>
        <v>16372</v>
      </c>
      <c r="D26" s="1886"/>
      <c r="E26" s="420">
        <f>ROUND(SUM(E20:E25),1)</f>
        <v>16594</v>
      </c>
      <c r="F26" s="1886"/>
      <c r="G26" s="2897">
        <f>ROUND(SUM(G20:G25),1)</f>
        <v>16656.8</v>
      </c>
      <c r="H26" s="1886"/>
      <c r="I26" s="420">
        <f>ROUND(SUM(I20:I25),1)</f>
        <v>284.8</v>
      </c>
      <c r="J26" s="273"/>
      <c r="K26" s="420">
        <f>ROUND(SUM(K20:K25),1)</f>
        <v>62.8</v>
      </c>
      <c r="L26" s="1975"/>
      <c r="M26" s="354"/>
      <c r="N26" s="354"/>
      <c r="O26" s="354"/>
      <c r="P26" s="354"/>
      <c r="Q26" s="354"/>
      <c r="R26" s="354"/>
      <c r="S26" s="354"/>
      <c r="T26" s="354"/>
      <c r="U26" s="354"/>
      <c r="V26" s="354"/>
      <c r="W26" s="354"/>
      <c r="X26" s="354"/>
    </row>
    <row r="27" spans="1:24">
      <c r="A27" s="1358"/>
      <c r="B27" s="1888"/>
      <c r="C27" s="1356"/>
      <c r="D27" s="1171"/>
      <c r="E27" s="1356"/>
      <c r="F27" s="1171"/>
      <c r="G27" s="2065"/>
      <c r="H27" s="1171"/>
      <c r="I27" s="1356"/>
      <c r="J27" s="1908"/>
      <c r="K27" s="1356"/>
      <c r="L27" s="1975"/>
      <c r="M27" s="1888"/>
      <c r="N27" s="1888"/>
      <c r="O27" s="1888"/>
      <c r="P27" s="1888"/>
      <c r="Q27" s="1888"/>
      <c r="R27" s="1888"/>
      <c r="S27" s="1888"/>
      <c r="T27" s="1888"/>
      <c r="U27" s="1888"/>
      <c r="V27" s="1888"/>
      <c r="W27" s="1888"/>
      <c r="X27" s="1888"/>
    </row>
    <row r="28" spans="1:24" ht="15.6">
      <c r="A28" s="221" t="s">
        <v>24</v>
      </c>
      <c r="B28" s="1888"/>
      <c r="C28" s="1171"/>
      <c r="D28" s="1171"/>
      <c r="E28" s="1171"/>
      <c r="F28" s="1171"/>
      <c r="G28" s="1833"/>
      <c r="H28" s="1171"/>
      <c r="I28" s="1171"/>
      <c r="J28" s="1908"/>
      <c r="K28" s="1171"/>
      <c r="L28" s="1975"/>
      <c r="M28" s="1888"/>
      <c r="N28" s="1888"/>
      <c r="O28" s="1888"/>
      <c r="P28" s="1888"/>
      <c r="Q28" s="1888"/>
      <c r="R28" s="1888"/>
      <c r="S28" s="1888"/>
      <c r="T28" s="1888"/>
      <c r="U28" s="1888"/>
      <c r="V28" s="1888"/>
      <c r="W28" s="1888"/>
      <c r="X28" s="1888"/>
    </row>
    <row r="29" spans="1:24">
      <c r="A29" s="1720" t="s">
        <v>97</v>
      </c>
      <c r="B29" s="1910" t="s">
        <v>16</v>
      </c>
      <c r="C29" s="1327">
        <v>24</v>
      </c>
      <c r="D29" s="1171"/>
      <c r="E29" s="1327">
        <v>21</v>
      </c>
      <c r="F29" s="1171"/>
      <c r="G29" s="1351">
        <f>+'Exhibit H'!AA51</f>
        <v>22.8</v>
      </c>
      <c r="H29" s="1171"/>
      <c r="I29" s="1171">
        <f>ROUND(SUM(G29)-SUM(C29),1)</f>
        <v>-1.2</v>
      </c>
      <c r="J29" s="1908"/>
      <c r="K29" s="3151">
        <f>ROUND(SUM(G29)-SUM(E29),1)</f>
        <v>1.8</v>
      </c>
      <c r="L29" s="1975"/>
      <c r="M29" s="1888"/>
      <c r="N29" s="1910"/>
      <c r="O29" s="1888"/>
      <c r="P29" s="1913"/>
      <c r="Q29" s="1888"/>
      <c r="R29" s="1888"/>
      <c r="S29" s="1913"/>
      <c r="T29" s="1913"/>
      <c r="U29" s="1888"/>
      <c r="V29" s="1913"/>
      <c r="W29" s="1888"/>
      <c r="X29" s="1913"/>
    </row>
    <row r="30" spans="1:24" ht="14.25" customHeight="1">
      <c r="A30" s="1720" t="s">
        <v>98</v>
      </c>
      <c r="B30" s="1914" t="s">
        <v>16</v>
      </c>
      <c r="C30" s="1253">
        <v>2320</v>
      </c>
      <c r="D30" s="1171"/>
      <c r="E30" s="1253">
        <v>2111</v>
      </c>
      <c r="F30" s="1171"/>
      <c r="G30" s="2247">
        <f>+'Exhibit H'!AA53</f>
        <v>2111.3000000000002</v>
      </c>
      <c r="H30" s="1171"/>
      <c r="I30" s="1171">
        <f>ROUND(SUM(G30)-SUM(C30),1)</f>
        <v>-208.7</v>
      </c>
      <c r="J30" s="1908"/>
      <c r="K30" s="3151">
        <f>ROUND(SUM(G30)-SUM(E30),1)</f>
        <v>0.3</v>
      </c>
      <c r="L30" s="1975"/>
      <c r="M30" s="1888"/>
      <c r="N30" s="1910"/>
      <c r="O30" s="1888"/>
      <c r="P30" s="1888"/>
      <c r="Q30" s="1888"/>
      <c r="R30" s="1888"/>
      <c r="S30" s="1913"/>
      <c r="T30" s="1913"/>
      <c r="U30" s="1888"/>
      <c r="V30" s="1913"/>
      <c r="W30" s="1888"/>
      <c r="X30" s="1913"/>
    </row>
    <row r="31" spans="1:24">
      <c r="A31" s="1720" t="s">
        <v>101</v>
      </c>
      <c r="B31" s="1914" t="s">
        <v>16</v>
      </c>
      <c r="C31" s="1354">
        <v>13665</v>
      </c>
      <c r="D31" s="1171"/>
      <c r="E31" s="1354">
        <v>14044</v>
      </c>
      <c r="F31" s="1171"/>
      <c r="G31" s="1351">
        <f>-'Exhibit H'!AA63</f>
        <v>14048.1</v>
      </c>
      <c r="H31" s="1171"/>
      <c r="I31" s="1171">
        <f>ROUND(SUM(G31)-SUM(C31),1)</f>
        <v>383.1</v>
      </c>
      <c r="J31" s="1908"/>
      <c r="K31" s="3151">
        <f>ROUND(SUM(G31)-SUM(E31),1)</f>
        <v>4.0999999999999996</v>
      </c>
      <c r="L31" s="1975"/>
      <c r="M31" s="1888"/>
      <c r="N31" s="1913"/>
      <c r="O31" s="1888"/>
      <c r="P31" s="1913"/>
      <c r="Q31" s="1914"/>
      <c r="R31" s="1888"/>
      <c r="S31" s="1888"/>
      <c r="T31" s="1888"/>
      <c r="U31" s="1888"/>
      <c r="V31" s="1888"/>
      <c r="W31" s="1888"/>
      <c r="X31" s="1888"/>
    </row>
    <row r="32" spans="1:24" ht="18" customHeight="1">
      <c r="A32" s="1967" t="s">
        <v>122</v>
      </c>
      <c r="B32" s="354" t="s">
        <v>16</v>
      </c>
      <c r="C32" s="420">
        <f>ROUND(SUM(C29:C31),1)</f>
        <v>16009</v>
      </c>
      <c r="D32" s="1886"/>
      <c r="E32" s="420">
        <f>ROUND(SUM(E29:E31),1)</f>
        <v>16176</v>
      </c>
      <c r="F32" s="1886"/>
      <c r="G32" s="2897">
        <f>ROUND(SUM(G29:G31),1)</f>
        <v>16182.2</v>
      </c>
      <c r="H32" s="1886"/>
      <c r="I32" s="420">
        <f>ROUND(SUM(I29:I31),1)</f>
        <v>173.2</v>
      </c>
      <c r="J32" s="273"/>
      <c r="K32" s="420">
        <f>ROUND(SUM(K29:K31),1)</f>
        <v>6.2</v>
      </c>
      <c r="L32" s="1975"/>
      <c r="M32" s="354"/>
      <c r="N32" s="354"/>
      <c r="O32" s="354"/>
      <c r="P32" s="354"/>
      <c r="Q32" s="354"/>
      <c r="R32" s="354"/>
      <c r="S32" s="354"/>
      <c r="T32" s="354"/>
      <c r="U32" s="354"/>
      <c r="V32" s="354"/>
      <c r="W32" s="354"/>
      <c r="X32" s="354"/>
    </row>
    <row r="33" spans="1:24">
      <c r="A33" s="1358"/>
      <c r="B33" s="1888"/>
      <c r="C33" s="1356"/>
      <c r="D33" s="1171"/>
      <c r="E33" s="1356"/>
      <c r="F33" s="1171"/>
      <c r="G33" s="2065"/>
      <c r="H33" s="1171"/>
      <c r="I33" s="1356"/>
      <c r="J33" s="1908"/>
      <c r="K33" s="1356"/>
      <c r="L33" s="1975"/>
      <c r="M33" s="1888"/>
      <c r="N33" s="1888"/>
      <c r="O33" s="1888"/>
      <c r="P33" s="1888"/>
      <c r="Q33" s="1888"/>
      <c r="R33" s="1888"/>
      <c r="S33" s="1888"/>
      <c r="T33" s="1888"/>
      <c r="U33" s="1888"/>
      <c r="V33" s="1888"/>
      <c r="W33" s="1888"/>
      <c r="X33" s="1888"/>
    </row>
    <row r="34" spans="1:24" ht="15.6">
      <c r="A34" s="221" t="s">
        <v>123</v>
      </c>
      <c r="B34" s="1888"/>
      <c r="C34" s="1171"/>
      <c r="D34" s="1171"/>
      <c r="E34" s="1171"/>
      <c r="F34" s="1171"/>
      <c r="G34" s="1833"/>
      <c r="H34" s="1171"/>
      <c r="I34" s="1171"/>
      <c r="J34" s="1908"/>
      <c r="K34" s="1171"/>
      <c r="L34" s="1975"/>
      <c r="M34" s="1888"/>
      <c r="N34" s="1888"/>
      <c r="O34" s="1888"/>
      <c r="P34" s="1888"/>
      <c r="Q34" s="1888"/>
      <c r="R34" s="1888"/>
      <c r="S34" s="1888"/>
      <c r="T34" s="1888"/>
      <c r="U34" s="1888"/>
      <c r="V34" s="1888"/>
      <c r="W34" s="1888"/>
      <c r="X34" s="1888"/>
    </row>
    <row r="35" spans="1:24" ht="15.6">
      <c r="A35" s="221" t="s">
        <v>124</v>
      </c>
      <c r="B35" s="1888"/>
      <c r="C35" s="1171"/>
      <c r="D35" s="1171"/>
      <c r="E35" s="1171"/>
      <c r="F35" s="1171"/>
      <c r="G35" s="1833"/>
      <c r="H35" s="1171"/>
      <c r="I35" s="1171"/>
      <c r="J35" s="1908"/>
      <c r="K35" s="1171"/>
      <c r="L35" s="1975"/>
      <c r="M35" s="1888"/>
      <c r="N35" s="1888"/>
      <c r="O35" s="1888"/>
      <c r="P35" s="1888"/>
      <c r="Q35" s="1888"/>
      <c r="R35" s="1888"/>
      <c r="S35" s="1888"/>
      <c r="T35" s="1888"/>
      <c r="U35" s="1888"/>
      <c r="V35" s="1888"/>
      <c r="W35" s="1888"/>
      <c r="X35" s="1888"/>
    </row>
    <row r="36" spans="1:24" ht="15.6">
      <c r="A36" s="1967" t="s">
        <v>105</v>
      </c>
      <c r="B36" s="1962" t="s">
        <v>16</v>
      </c>
      <c r="C36" s="273">
        <f>ROUND(SUM(C26)-SUM(C32),1)</f>
        <v>363</v>
      </c>
      <c r="D36" s="284"/>
      <c r="E36" s="273">
        <f>ROUND(SUM(E26)-SUM(E32),1)</f>
        <v>418</v>
      </c>
      <c r="F36" s="284"/>
      <c r="G36" s="316">
        <f>ROUND(SUM(G26)-SUM(G32),1)</f>
        <v>474.6</v>
      </c>
      <c r="H36" s="284"/>
      <c r="I36" s="273">
        <f>ROUND(SUM(I26)-SUM(I32),1)</f>
        <v>111.6</v>
      </c>
      <c r="J36" s="743"/>
      <c r="K36" s="273">
        <f>ROUND(SUM(K26)-SUM(K32),1)</f>
        <v>56.6</v>
      </c>
      <c r="L36" s="1975"/>
      <c r="M36" s="377"/>
      <c r="N36" s="354"/>
      <c r="O36" s="377"/>
      <c r="P36" s="354"/>
      <c r="Q36" s="354"/>
      <c r="R36" s="377"/>
      <c r="S36" s="354"/>
      <c r="T36" s="354"/>
      <c r="U36" s="377"/>
      <c r="V36" s="354"/>
      <c r="W36" s="377"/>
      <c r="X36" s="354"/>
    </row>
    <row r="37" spans="1:24" ht="15" customHeight="1">
      <c r="C37" s="1269"/>
      <c r="D37" s="1897"/>
      <c r="E37" s="1269"/>
      <c r="F37" s="1897"/>
      <c r="G37" s="2898"/>
      <c r="H37" s="1897"/>
      <c r="I37" s="1269"/>
      <c r="J37" s="1269"/>
      <c r="K37" s="1269"/>
      <c r="L37" s="1975"/>
    </row>
    <row r="38" spans="1:24" ht="15.6">
      <c r="A38" s="1983" t="str">
        <f>'Exh D-Governmental  '!A49</f>
        <v>Fund Balances (Deficits) at April 1</v>
      </c>
      <c r="B38" s="1149" t="s">
        <v>16</v>
      </c>
      <c r="C38" s="273">
        <v>118</v>
      </c>
      <c r="D38" s="1897"/>
      <c r="E38" s="273">
        <v>118</v>
      </c>
      <c r="F38" s="1897"/>
      <c r="G38" s="316">
        <f>'Exhibit H'!AA12</f>
        <v>118.7</v>
      </c>
      <c r="H38" s="1897"/>
      <c r="I38" s="281">
        <f>ROUND(SUM(G38-C38),1)</f>
        <v>0.7</v>
      </c>
      <c r="J38" s="1269"/>
      <c r="K38" s="281">
        <f>ROUND(SUM(G38-E38),1)</f>
        <v>0.7</v>
      </c>
      <c r="L38" s="1975"/>
    </row>
    <row r="39" spans="1:24" ht="18" customHeight="1" thickBot="1">
      <c r="A39" s="2704" t="str">
        <f>+'Exh D-Governmental  '!A50</f>
        <v>Fund Balances (Deficits) at December 31, 2015</v>
      </c>
      <c r="B39" s="383" t="s">
        <v>16</v>
      </c>
      <c r="C39" s="299">
        <f>ROUND(SUM(C36:C38),1)</f>
        <v>481</v>
      </c>
      <c r="D39" s="384"/>
      <c r="E39" s="299">
        <f>ROUND(SUM(E36:E38),1)</f>
        <v>536</v>
      </c>
      <c r="F39" s="384"/>
      <c r="G39" s="2899">
        <f>ROUND(SUM(G36:G38),1)</f>
        <v>593.29999999999995</v>
      </c>
      <c r="H39" s="384"/>
      <c r="I39" s="299">
        <f>ROUND(SUM(I36:I38),1)</f>
        <v>112.3</v>
      </c>
      <c r="K39" s="299">
        <f>ROUND(SUM(K36:K38),1)</f>
        <v>57.3</v>
      </c>
      <c r="L39" s="1975"/>
    </row>
    <row r="40" spans="1:24" ht="15" customHeight="1" thickTop="1">
      <c r="A40" s="358"/>
      <c r="C40" s="1357"/>
      <c r="D40" s="1916"/>
      <c r="E40" s="1357"/>
      <c r="F40" s="1916"/>
      <c r="G40" s="1916"/>
      <c r="H40" s="1916"/>
      <c r="I40" s="1916"/>
      <c r="K40" s="1916"/>
    </row>
    <row r="41" spans="1:24">
      <c r="A41" s="1901" t="s">
        <v>1689</v>
      </c>
    </row>
    <row r="42" spans="1:24">
      <c r="A42" s="1195" t="s">
        <v>1688</v>
      </c>
    </row>
    <row r="43" spans="1:24">
      <c r="A43" s="1917"/>
    </row>
    <row r="44" spans="1:24">
      <c r="A44" s="1917"/>
    </row>
    <row r="46" spans="1:24">
      <c r="A46" s="407"/>
    </row>
    <row r="47" spans="1:24">
      <c r="A47" s="407"/>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1" firstPageNumber="13"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9"/>
  <sheetViews>
    <sheetView showGridLines="0" zoomScale="80" zoomScaleNormal="70" workbookViewId="0"/>
  </sheetViews>
  <sheetFormatPr defaultColWidth="8.90625" defaultRowHeight="15"/>
  <cols>
    <col min="1" max="1" width="54" style="1896" customWidth="1"/>
    <col min="2" max="2" width="2.08984375" style="1900" customWidth="1"/>
    <col min="3" max="3" width="18.08984375" style="791" bestFit="1" customWidth="1"/>
    <col min="4" max="4" width="3.6328125" style="1900" customWidth="1"/>
    <col min="5" max="5" width="15.453125" style="791" customWidth="1"/>
    <col min="6" max="6" width="2.6328125" style="1900" customWidth="1"/>
    <col min="7" max="7" width="14" style="1900" customWidth="1"/>
    <col min="8" max="8" width="2.6328125" style="1900" customWidth="1"/>
    <col min="9" max="9" width="15.6328125" style="1900" bestFit="1" customWidth="1"/>
    <col min="10" max="10" width="3.6328125" style="1900" bestFit="1" customWidth="1"/>
    <col min="11" max="11" width="15.453125" style="1900" customWidth="1"/>
    <col min="12" max="15" width="8.90625" style="1900"/>
    <col min="16" max="16384" width="8.90625" style="1896"/>
  </cols>
  <sheetData>
    <row r="1" spans="1:30">
      <c r="A1" s="1184" t="s">
        <v>1217</v>
      </c>
    </row>
    <row r="2" spans="1:30" ht="16.8">
      <c r="A2" s="388"/>
      <c r="B2" s="390"/>
      <c r="C2" s="785"/>
      <c r="D2" s="390"/>
      <c r="E2" s="785"/>
      <c r="F2" s="390"/>
      <c r="G2" s="390"/>
      <c r="H2" s="390"/>
      <c r="I2" s="390"/>
    </row>
    <row r="3" spans="1:30" ht="21" customHeight="1">
      <c r="A3" s="394" t="s">
        <v>0</v>
      </c>
      <c r="B3" s="351"/>
      <c r="C3" s="787"/>
      <c r="D3" s="345"/>
      <c r="E3" s="788"/>
      <c r="F3" s="345"/>
      <c r="G3" s="345"/>
      <c r="H3" s="345"/>
      <c r="I3" s="1729"/>
      <c r="K3" s="1729" t="s">
        <v>86</v>
      </c>
    </row>
    <row r="4" spans="1:30" ht="17.399999999999999">
      <c r="A4" s="394" t="s">
        <v>85</v>
      </c>
      <c r="B4" s="351"/>
      <c r="C4" s="787"/>
      <c r="D4" s="345"/>
      <c r="E4" s="788"/>
      <c r="F4" s="345"/>
      <c r="G4" s="345"/>
      <c r="H4" s="345"/>
      <c r="I4" s="1730"/>
      <c r="K4" s="1730" t="s">
        <v>107</v>
      </c>
    </row>
    <row r="5" spans="1:30" ht="17.399999999999999">
      <c r="A5" s="2789" t="s">
        <v>1524</v>
      </c>
      <c r="B5"/>
      <c r="C5"/>
      <c r="D5" s="345"/>
      <c r="E5" s="788"/>
      <c r="F5" s="345"/>
      <c r="G5" s="345"/>
      <c r="H5" s="345"/>
      <c r="I5" s="345"/>
    </row>
    <row r="6" spans="1:30" ht="18.899999999999999" customHeight="1">
      <c r="A6" s="2866" t="str">
        <f>+'Exh D-Governmental  '!A6</f>
        <v>FOR NINE MONTHS ENDED DECEMBER 31, 2015</v>
      </c>
      <c r="B6" s="350"/>
      <c r="C6" s="787"/>
      <c r="D6" s="345"/>
      <c r="E6" s="788"/>
      <c r="F6" s="345"/>
      <c r="G6" s="345"/>
      <c r="H6" s="345"/>
      <c r="I6" s="345"/>
      <c r="J6" s="345"/>
      <c r="K6" s="359"/>
      <c r="L6" s="359"/>
      <c r="M6" s="359"/>
      <c r="N6" s="359"/>
      <c r="O6" s="359"/>
      <c r="P6" s="359"/>
      <c r="Q6" s="359"/>
      <c r="R6" s="359"/>
      <c r="S6" s="359"/>
      <c r="T6" s="359"/>
      <c r="U6" s="359"/>
      <c r="V6" s="359"/>
      <c r="W6" s="359"/>
      <c r="X6" s="359"/>
      <c r="Y6" s="1149"/>
      <c r="Z6" s="1149"/>
      <c r="AA6" s="1149"/>
      <c r="AB6" s="1149"/>
      <c r="AC6" s="1149"/>
      <c r="AD6" s="1900"/>
    </row>
    <row r="7" spans="1:30" ht="17.399999999999999">
      <c r="A7" s="394" t="s">
        <v>1104</v>
      </c>
      <c r="B7" s="351"/>
      <c r="C7" s="787"/>
      <c r="D7" s="345"/>
      <c r="E7" s="788"/>
      <c r="F7" s="345"/>
      <c r="G7" s="345"/>
      <c r="H7" s="345"/>
      <c r="I7" s="345"/>
    </row>
    <row r="8" spans="1:30" ht="17.399999999999999">
      <c r="A8" s="396"/>
      <c r="B8" s="351"/>
      <c r="C8" s="1968"/>
      <c r="D8" s="359"/>
      <c r="E8" s="788"/>
      <c r="F8" s="345"/>
      <c r="G8" s="345"/>
      <c r="H8" s="345"/>
      <c r="I8" s="345"/>
    </row>
    <row r="9" spans="1:30">
      <c r="A9" s="353"/>
      <c r="B9" s="345"/>
      <c r="C9" s="2361"/>
      <c r="D9" s="359"/>
      <c r="E9" s="788"/>
      <c r="F9" s="345"/>
      <c r="G9" s="345"/>
      <c r="H9" s="345"/>
      <c r="I9" s="345"/>
    </row>
    <row r="10" spans="1:30">
      <c r="A10" s="353"/>
      <c r="B10" s="345"/>
      <c r="C10" s="1968"/>
      <c r="D10" s="350"/>
      <c r="E10" s="787"/>
      <c r="F10" s="351"/>
      <c r="G10" s="351"/>
      <c r="H10" s="351"/>
      <c r="I10" s="351"/>
      <c r="J10" s="1918"/>
    </row>
    <row r="11" spans="1:30" ht="15.6">
      <c r="A11" s="1358"/>
      <c r="B11" s="354"/>
      <c r="C11" s="2356"/>
      <c r="D11" s="2367"/>
      <c r="E11" s="2356"/>
      <c r="F11" s="2365"/>
      <c r="G11" s="2381" t="s">
        <v>1419</v>
      </c>
      <c r="H11" s="2365"/>
      <c r="I11" s="2365"/>
      <c r="J11" s="2368"/>
      <c r="K11" s="2348"/>
    </row>
    <row r="12" spans="1:30" ht="15.6">
      <c r="A12" s="1358"/>
      <c r="B12" s="354"/>
      <c r="C12" s="355"/>
      <c r="D12" s="355"/>
      <c r="E12" s="355"/>
      <c r="F12" s="355"/>
      <c r="G12" s="355"/>
      <c r="H12" s="355"/>
      <c r="I12" s="356" t="s">
        <v>87</v>
      </c>
      <c r="J12" s="356"/>
      <c r="K12" s="356" t="s">
        <v>87</v>
      </c>
    </row>
    <row r="13" spans="1:30" ht="15.6">
      <c r="A13" s="1358"/>
      <c r="B13" s="354"/>
      <c r="C13" s="355"/>
      <c r="D13" s="355"/>
      <c r="E13" s="355"/>
      <c r="F13" s="355"/>
      <c r="G13" s="355"/>
      <c r="H13" s="355"/>
      <c r="I13" s="356" t="s">
        <v>1111</v>
      </c>
      <c r="J13" s="356"/>
      <c r="K13" s="356" t="s">
        <v>1111</v>
      </c>
    </row>
    <row r="14" spans="1:30" ht="15.6">
      <c r="A14" s="1358"/>
      <c r="B14" s="354"/>
      <c r="C14" s="357" t="s">
        <v>1356</v>
      </c>
      <c r="D14" s="355"/>
      <c r="E14" s="356" t="s">
        <v>1357</v>
      </c>
      <c r="F14" s="355"/>
      <c r="G14" s="355"/>
      <c r="H14" s="355"/>
      <c r="I14" s="356" t="s">
        <v>88</v>
      </c>
      <c r="J14" s="356"/>
      <c r="K14" s="356" t="s">
        <v>88</v>
      </c>
    </row>
    <row r="15" spans="1:30" ht="15.75" customHeight="1">
      <c r="A15" s="1358"/>
      <c r="B15" s="354"/>
      <c r="C15" s="356" t="s">
        <v>1400</v>
      </c>
      <c r="D15" s="355"/>
      <c r="E15" s="356" t="s">
        <v>1400</v>
      </c>
      <c r="F15" s="355"/>
      <c r="G15" s="355"/>
      <c r="H15" s="355"/>
      <c r="I15" s="356" t="s">
        <v>1356</v>
      </c>
      <c r="J15" s="356"/>
      <c r="K15" s="356" t="s">
        <v>1357</v>
      </c>
    </row>
    <row r="16" spans="1:30" ht="15.6">
      <c r="A16" s="1358"/>
      <c r="B16" s="354"/>
      <c r="C16" s="356" t="s">
        <v>1401</v>
      </c>
      <c r="D16" s="355"/>
      <c r="E16" s="356" t="s">
        <v>1614</v>
      </c>
      <c r="F16" s="355"/>
      <c r="G16" s="357" t="s">
        <v>87</v>
      </c>
      <c r="H16" s="355"/>
      <c r="I16" s="356" t="s">
        <v>89</v>
      </c>
      <c r="J16" s="356"/>
      <c r="K16" s="356" t="s">
        <v>89</v>
      </c>
    </row>
    <row r="17" spans="1:30">
      <c r="A17" s="358"/>
      <c r="B17" s="359"/>
      <c r="C17" s="360"/>
      <c r="D17" s="359"/>
      <c r="E17" s="360"/>
      <c r="F17" s="345"/>
      <c r="G17" s="360"/>
      <c r="H17" s="345"/>
      <c r="I17" s="360"/>
      <c r="K17" s="360"/>
    </row>
    <row r="18" spans="1:30" ht="15.6">
      <c r="A18" s="221" t="s">
        <v>15</v>
      </c>
      <c r="B18" s="1888"/>
      <c r="C18" s="1251"/>
      <c r="D18" s="1888"/>
      <c r="E18" s="1251"/>
      <c r="F18" s="1251"/>
      <c r="G18" s="1251" t="s">
        <v>16</v>
      </c>
      <c r="H18" s="1251"/>
      <c r="I18" s="1251"/>
      <c r="K18" s="1251"/>
    </row>
    <row r="19" spans="1:30">
      <c r="A19" s="1720" t="s">
        <v>90</v>
      </c>
      <c r="B19" s="1889" t="s">
        <v>16</v>
      </c>
      <c r="C19" s="1252"/>
      <c r="D19" s="1975"/>
      <c r="E19" s="1252"/>
      <c r="F19" s="1252"/>
      <c r="G19" s="1920"/>
      <c r="H19" s="1254"/>
      <c r="I19" s="1252"/>
      <c r="J19" s="1888"/>
      <c r="K19" s="1252"/>
      <c r="L19" s="1888"/>
      <c r="M19" s="1888"/>
      <c r="N19" s="1888"/>
      <c r="O19" s="1888"/>
      <c r="P19" s="1888"/>
      <c r="Q19" s="1888"/>
      <c r="R19" s="1888"/>
      <c r="S19" s="1888"/>
      <c r="T19" s="1888"/>
      <c r="U19" s="1888"/>
      <c r="V19" s="1888"/>
      <c r="W19" s="1888"/>
      <c r="X19" s="1888"/>
      <c r="Y19" s="1149"/>
      <c r="Z19" s="1149"/>
      <c r="AA19" s="1149"/>
      <c r="AB19" s="1149"/>
      <c r="AC19" s="1149"/>
      <c r="AD19" s="1900"/>
    </row>
    <row r="20" spans="1:30">
      <c r="A20" s="1720" t="s">
        <v>92</v>
      </c>
      <c r="B20" s="1888" t="s">
        <v>16</v>
      </c>
      <c r="C20" s="1906">
        <f>+'Exh D Captl Projects State Fed'!C20+'Exh D Captl Projects State Fed'!M20</f>
        <v>475</v>
      </c>
      <c r="D20" s="1908"/>
      <c r="E20" s="1906">
        <f>+'Exh D Captl Projects State Fed'!E20</f>
        <v>487</v>
      </c>
      <c r="F20" s="1253"/>
      <c r="G20" s="1906">
        <f>+'Exh D Captl Projects State Fed'!G20</f>
        <v>488.5</v>
      </c>
      <c r="H20" s="1253"/>
      <c r="I20" s="1252">
        <f>ROUND(SUM(G20)-SUM(C20),1)</f>
        <v>13.5</v>
      </c>
      <c r="J20" s="1888"/>
      <c r="K20" s="1252">
        <f t="shared" ref="K20:K26" si="0">ROUND(SUM(G20)-SUM(E20),1)</f>
        <v>1.5</v>
      </c>
      <c r="L20" s="1888"/>
      <c r="M20" s="1888"/>
      <c r="N20" s="1888"/>
      <c r="O20" s="1888"/>
      <c r="P20" s="1888"/>
      <c r="Q20" s="1888"/>
      <c r="R20" s="1888"/>
      <c r="S20" s="1888"/>
      <c r="T20" s="1888"/>
      <c r="U20" s="1888"/>
      <c r="V20" s="1888"/>
      <c r="W20" s="1888"/>
      <c r="X20" s="1888"/>
      <c r="Y20" s="1149"/>
      <c r="Z20" s="1149"/>
      <c r="AA20" s="1149"/>
      <c r="AB20" s="1149"/>
      <c r="AC20" s="1149"/>
      <c r="AD20" s="1900"/>
    </row>
    <row r="21" spans="1:30">
      <c r="A21" s="1720" t="s">
        <v>93</v>
      </c>
      <c r="B21" s="1889" t="s">
        <v>16</v>
      </c>
      <c r="C21" s="1354">
        <f>+'Exh D Captl Projects State Fed'!C21+'Exh D Captl Projects State Fed'!M21</f>
        <v>479</v>
      </c>
      <c r="D21" s="1908"/>
      <c r="E21" s="1354">
        <f>+'Exh D Captl Projects State Fed'!E21</f>
        <v>479</v>
      </c>
      <c r="F21" s="1253"/>
      <c r="G21" s="1354">
        <f>+'Exh D Captl Projects State Fed'!G21</f>
        <v>479.6</v>
      </c>
      <c r="H21" s="1253"/>
      <c r="I21" s="1171">
        <f t="shared" ref="I21:I26" si="1">ROUND(SUM(G21)-SUM(C21),1)</f>
        <v>0.6</v>
      </c>
      <c r="J21" s="1910"/>
      <c r="K21" s="1171">
        <f t="shared" si="0"/>
        <v>0.6</v>
      </c>
      <c r="L21" s="1888"/>
      <c r="M21" s="1910"/>
      <c r="N21" s="1888"/>
      <c r="O21" s="1910"/>
      <c r="P21" s="1888"/>
      <c r="Q21" s="1888"/>
      <c r="R21" s="1910"/>
      <c r="S21" s="1888"/>
      <c r="T21" s="1888"/>
      <c r="U21" s="1910"/>
      <c r="V21" s="406"/>
      <c r="W21" s="1910"/>
      <c r="X21" s="1888"/>
      <c r="Y21" s="1149"/>
      <c r="Z21" s="1149"/>
      <c r="AA21" s="1149"/>
      <c r="AB21" s="1149"/>
      <c r="AC21" s="1149"/>
      <c r="AD21" s="1900"/>
    </row>
    <row r="22" spans="1:30">
      <c r="A22" s="1720" t="s">
        <v>94</v>
      </c>
      <c r="B22" s="1888" t="s">
        <v>16</v>
      </c>
      <c r="C22" s="1354">
        <f>+'Exh D Captl Projects State Fed'!C22+'Exh D Captl Projects State Fed'!M22</f>
        <v>84</v>
      </c>
      <c r="D22" s="1908"/>
      <c r="E22" s="1354">
        <f>+'Exh D Captl Projects State Fed'!E22</f>
        <v>84</v>
      </c>
      <c r="F22" s="1253"/>
      <c r="G22" s="1354">
        <f>+'Exh D Captl Projects State Fed'!G22</f>
        <v>83.4</v>
      </c>
      <c r="H22" s="1253"/>
      <c r="I22" s="1171">
        <f t="shared" si="1"/>
        <v>-0.6</v>
      </c>
      <c r="J22" s="1888"/>
      <c r="K22" s="1171">
        <f t="shared" si="0"/>
        <v>-0.6</v>
      </c>
      <c r="L22" s="1888"/>
      <c r="M22" s="1888"/>
      <c r="N22" s="1888"/>
      <c r="O22" s="1888"/>
      <c r="P22" s="1888"/>
      <c r="Q22" s="1888"/>
      <c r="R22" s="1888"/>
      <c r="S22" s="1888"/>
      <c r="T22" s="1888"/>
      <c r="U22" s="1888"/>
      <c r="V22" s="1888"/>
      <c r="W22" s="1888"/>
      <c r="X22" s="1888"/>
      <c r="Y22" s="1149"/>
      <c r="Z22" s="1149"/>
      <c r="AA22" s="1149"/>
      <c r="AB22" s="1149"/>
      <c r="AC22" s="1149"/>
      <c r="AD22" s="1900"/>
    </row>
    <row r="23" spans="1:30">
      <c r="A23" s="1720" t="s">
        <v>21</v>
      </c>
      <c r="B23" s="1888" t="s">
        <v>16</v>
      </c>
      <c r="C23" s="1171">
        <f>+'Exh D Captl Projects State Fed'!C23+'Exh D Captl Projects State Fed'!M23</f>
        <v>3048</v>
      </c>
      <c r="D23" s="1908"/>
      <c r="E23" s="1171">
        <f>+'Exh D Captl Projects State Fed'!E23+'Exh D Captl Projects State Fed'!O23</f>
        <v>2984</v>
      </c>
      <c r="F23" s="1171"/>
      <c r="G23" s="1171">
        <f>+'Exh D Captl Projects State Fed'!G23+'Exh D Captl Projects State Fed'!Q23</f>
        <v>2965.2</v>
      </c>
      <c r="H23" s="1171"/>
      <c r="I23" s="1171">
        <f t="shared" si="1"/>
        <v>-82.8</v>
      </c>
      <c r="K23" s="1171">
        <f t="shared" si="0"/>
        <v>-18.8</v>
      </c>
    </row>
    <row r="24" spans="1:30">
      <c r="A24" s="1720" t="s">
        <v>22</v>
      </c>
      <c r="B24" s="1888" t="s">
        <v>16</v>
      </c>
      <c r="C24" s="1171">
        <f>+'Exh D Captl Projects State Fed'!C24+'Exh D Captl Projects State Fed'!M24</f>
        <v>1222</v>
      </c>
      <c r="D24" s="1908"/>
      <c r="E24" s="1171">
        <f>+'Exh D Captl Projects State Fed'!E24+'Exh D Captl Projects State Fed'!O24</f>
        <v>1710</v>
      </c>
      <c r="F24" s="1171"/>
      <c r="G24" s="1171">
        <f>+'Exh D Captl Projects State Fed'!G24+'Exh D Captl Projects State Fed'!Q24</f>
        <v>1709.3</v>
      </c>
      <c r="H24" s="1171"/>
      <c r="I24" s="1171">
        <f t="shared" si="1"/>
        <v>487.3</v>
      </c>
      <c r="K24" s="1171">
        <f t="shared" si="0"/>
        <v>-0.7</v>
      </c>
    </row>
    <row r="25" spans="1:30">
      <c r="A25" s="1720" t="s">
        <v>100</v>
      </c>
      <c r="B25" s="1888" t="s">
        <v>16</v>
      </c>
      <c r="C25" s="1253">
        <f>+'Exh D Captl Projects State Fed'!C25+'Exh D Captl Projects State Fed'!M25</f>
        <v>0</v>
      </c>
      <c r="D25" s="2366"/>
      <c r="E25" s="1253">
        <f>+'Exh D Captl Projects State Fed'!E25+'Exh D Captl Projects State Fed'!O25</f>
        <v>0</v>
      </c>
      <c r="F25" s="1171"/>
      <c r="G25" s="1253">
        <f>+'Exh D Captl Projects State Fed'!G25+'Exh D Captl Projects State Fed'!Q25</f>
        <v>0</v>
      </c>
      <c r="H25" s="1171"/>
      <c r="I25" s="1171">
        <f t="shared" si="1"/>
        <v>0</v>
      </c>
      <c r="K25" s="1171">
        <f t="shared" si="0"/>
        <v>0</v>
      </c>
    </row>
    <row r="26" spans="1:30">
      <c r="A26" s="1720" t="s">
        <v>1619</v>
      </c>
      <c r="B26" s="1888" t="s">
        <v>16</v>
      </c>
      <c r="C26" s="1327">
        <f>+'Exh D Captl Projects State Fed'!C26+'Exh D Captl Projects State Fed'!M26</f>
        <v>1939</v>
      </c>
      <c r="D26" s="1908"/>
      <c r="E26" s="1327">
        <f>+'Exh D Captl Projects State Fed'!E26+'Exh D Captl Projects State Fed'!O26</f>
        <v>1344</v>
      </c>
      <c r="F26" s="1171"/>
      <c r="G26" s="1327">
        <f>+'Exh D Captl Projects State Fed'!G26+'Exh D Captl Projects State Fed'!Q26</f>
        <v>1345</v>
      </c>
      <c r="H26" s="1171"/>
      <c r="I26" s="1171">
        <f t="shared" si="1"/>
        <v>-594</v>
      </c>
      <c r="K26" s="1171">
        <f t="shared" si="0"/>
        <v>1</v>
      </c>
    </row>
    <row r="27" spans="1:30" ht="18" customHeight="1">
      <c r="A27" s="2244" t="s">
        <v>113</v>
      </c>
      <c r="B27" s="354" t="s">
        <v>16</v>
      </c>
      <c r="C27" s="420">
        <f>ROUND(SUM(C20:C26),1)</f>
        <v>7247</v>
      </c>
      <c r="D27" s="273"/>
      <c r="E27" s="420">
        <f>ROUND(SUM(E20:E26),1)</f>
        <v>7088</v>
      </c>
      <c r="F27" s="1886"/>
      <c r="G27" s="420">
        <f>ROUND(SUM(G20:G26),1)</f>
        <v>7071</v>
      </c>
      <c r="H27" s="1886"/>
      <c r="I27" s="420">
        <f>ROUND(SUM(I20:I26),1)</f>
        <v>-176</v>
      </c>
      <c r="K27" s="420">
        <f>ROUND(SUM(K20:K26),1)</f>
        <v>-17</v>
      </c>
    </row>
    <row r="28" spans="1:30">
      <c r="A28" s="1358"/>
      <c r="B28" s="1888" t="s">
        <v>16</v>
      </c>
      <c r="C28" s="1356"/>
      <c r="D28" s="1908"/>
      <c r="E28" s="1356"/>
      <c r="F28" s="1171"/>
      <c r="G28" s="1356"/>
      <c r="H28" s="1171"/>
      <c r="I28" s="1356" t="s">
        <v>16</v>
      </c>
      <c r="K28" s="1356" t="s">
        <v>16</v>
      </c>
    </row>
    <row r="29" spans="1:30" ht="15.6">
      <c r="A29" s="221" t="s">
        <v>24</v>
      </c>
      <c r="B29" s="1888" t="s">
        <v>16</v>
      </c>
      <c r="C29" s="1171"/>
      <c r="D29" s="1908"/>
      <c r="E29" s="1171"/>
      <c r="F29" s="1171"/>
      <c r="G29" s="1171"/>
      <c r="H29" s="1171"/>
      <c r="I29" s="1171"/>
      <c r="K29" s="1171"/>
    </row>
    <row r="30" spans="1:30">
      <c r="A30" s="1720" t="s">
        <v>96</v>
      </c>
      <c r="B30" s="1888" t="s">
        <v>16</v>
      </c>
      <c r="C30" s="1171">
        <f>+'Exh D Captl Projects State Fed'!C30+'Exh D Captl Projects State Fed'!M30</f>
        <v>1572</v>
      </c>
      <c r="D30" s="1908"/>
      <c r="E30" s="1171">
        <f>+'Exh D Captl Projects State Fed'!E30+'Exh D Captl Projects State Fed'!O30</f>
        <v>1763</v>
      </c>
      <c r="F30" s="1171"/>
      <c r="G30" s="1171">
        <f>+'Exh D Captl Projects State Fed'!G30+'Exh D Captl Projects State Fed'!Q30</f>
        <v>1765.1</v>
      </c>
      <c r="H30" s="1171"/>
      <c r="I30" s="1171">
        <f>ROUND(SUM(G30)-SUM(C30),1)</f>
        <v>193.1</v>
      </c>
      <c r="K30" s="1171">
        <f>ROUND(SUM(G30)-SUM(E30),1)</f>
        <v>2.1</v>
      </c>
    </row>
    <row r="31" spans="1:30">
      <c r="A31" s="1720" t="s">
        <v>43</v>
      </c>
      <c r="B31" s="1888" t="s">
        <v>16</v>
      </c>
      <c r="C31" s="1171">
        <f>+'Exh D Captl Projects State Fed'!C31+'Exh D Captl Projects State Fed'!M31</f>
        <v>5022</v>
      </c>
      <c r="D31" s="2366"/>
      <c r="E31" s="1171">
        <f>+'Exh D Captl Projects State Fed'!E31+'Exh D Captl Projects State Fed'!O31</f>
        <v>4762</v>
      </c>
      <c r="F31" s="1171"/>
      <c r="G31" s="1171">
        <f>+'Exh D Captl Projects State Fed'!G31+'Exh D Captl Projects State Fed'!Q31</f>
        <v>4759.3</v>
      </c>
      <c r="H31" s="1171"/>
      <c r="I31" s="1171">
        <f>ROUND(SUM(G31)-SUM(C31),1)</f>
        <v>-262.7</v>
      </c>
      <c r="K31" s="1171">
        <f>ROUND(SUM(G31)-SUM(E31),1)</f>
        <v>-2.7</v>
      </c>
    </row>
    <row r="32" spans="1:30">
      <c r="A32" s="1720" t="s">
        <v>1620</v>
      </c>
      <c r="B32" s="1888" t="s">
        <v>16</v>
      </c>
      <c r="C32" s="1171">
        <f>+'Exh D Captl Projects State Fed'!C32+'Exh D Captl Projects State Fed'!M32</f>
        <v>888</v>
      </c>
      <c r="D32" s="1908"/>
      <c r="E32" s="1171">
        <f>+'Exh D Captl Projects State Fed'!E32+'Exh D Captl Projects State Fed'!O32</f>
        <v>671</v>
      </c>
      <c r="F32" s="1171"/>
      <c r="G32" s="1171">
        <f>+'Exh D Captl Projects State Fed'!G32+'Exh D Captl Projects State Fed'!Q32</f>
        <v>671.4</v>
      </c>
      <c r="H32" s="1171"/>
      <c r="I32" s="1171">
        <f>ROUND(SUM(G32)-SUM(C32),1)</f>
        <v>-216.6</v>
      </c>
      <c r="K32" s="1171">
        <f>ROUND(SUM(G32)-SUM(E32),1)</f>
        <v>0.4</v>
      </c>
    </row>
    <row r="33" spans="1:37" ht="18" customHeight="1">
      <c r="A33" s="2244" t="s">
        <v>122</v>
      </c>
      <c r="B33" s="354" t="s">
        <v>16</v>
      </c>
      <c r="C33" s="420">
        <f>ROUND(SUM(C30:C32),1)</f>
        <v>7482</v>
      </c>
      <c r="D33" s="273"/>
      <c r="E33" s="420">
        <f>ROUND(SUM(E30:E32),1)</f>
        <v>7196</v>
      </c>
      <c r="F33" s="1886"/>
      <c r="G33" s="420">
        <f>ROUND(SUM(G30:G32),1)</f>
        <v>7195.8</v>
      </c>
      <c r="H33" s="1886"/>
      <c r="I33" s="420">
        <f>ROUND(SUM(I30:I32),1)</f>
        <v>-286.2</v>
      </c>
      <c r="K33" s="420">
        <f>ROUND(SUM(K30:K32),1)</f>
        <v>-0.2</v>
      </c>
    </row>
    <row r="34" spans="1:37">
      <c r="A34" s="1358"/>
      <c r="B34" s="1888" t="s">
        <v>16</v>
      </c>
      <c r="C34" s="1356"/>
      <c r="D34" s="1908"/>
      <c r="E34" s="1356"/>
      <c r="F34" s="1171"/>
      <c r="G34" s="1356"/>
      <c r="H34" s="1171"/>
      <c r="I34" s="1356"/>
      <c r="K34" s="1356"/>
    </row>
    <row r="35" spans="1:37" ht="15.6">
      <c r="A35" s="221" t="s">
        <v>103</v>
      </c>
      <c r="B35" s="1888"/>
      <c r="C35" s="1171"/>
      <c r="D35" s="1908"/>
      <c r="E35" s="1171"/>
      <c r="F35" s="1171"/>
      <c r="G35" s="1171"/>
      <c r="H35" s="1171"/>
      <c r="I35" s="1171"/>
      <c r="K35" s="1171"/>
    </row>
    <row r="36" spans="1:37" ht="15.6">
      <c r="A36" s="221" t="s">
        <v>104</v>
      </c>
      <c r="B36" s="1888"/>
      <c r="C36" s="1171"/>
      <c r="D36" s="1908"/>
      <c r="E36" s="1171"/>
      <c r="F36" s="1171"/>
      <c r="G36" s="1171"/>
      <c r="H36" s="1171"/>
      <c r="I36" s="1171"/>
      <c r="K36" s="1171"/>
    </row>
    <row r="37" spans="1:37" ht="15.6">
      <c r="A37" s="2244" t="s">
        <v>105</v>
      </c>
      <c r="B37" s="377" t="s">
        <v>16</v>
      </c>
      <c r="C37" s="273">
        <f>ROUND(SUM(C27)-SUM(C33),1)</f>
        <v>-235</v>
      </c>
      <c r="D37" s="273"/>
      <c r="E37" s="273">
        <f>ROUND(SUM(E27)-SUM(E33),1)</f>
        <v>-108</v>
      </c>
      <c r="F37" s="284"/>
      <c r="G37" s="273">
        <f>ROUND(SUM(G27)-SUM(G33),1)</f>
        <v>-124.8</v>
      </c>
      <c r="H37" s="284"/>
      <c r="I37" s="273">
        <f>ROUND(SUM(I27)-SUM(I33),1)</f>
        <v>110.2</v>
      </c>
      <c r="J37" s="1149"/>
      <c r="K37" s="273">
        <f>ROUND(SUM(K27)-SUM(K33),1)</f>
        <v>-16.8</v>
      </c>
    </row>
    <row r="38" spans="1:37" ht="15.6">
      <c r="B38" s="1149"/>
      <c r="C38" s="1269"/>
      <c r="D38" s="273"/>
      <c r="E38" s="1269"/>
      <c r="F38" s="1897"/>
      <c r="G38" s="1269"/>
      <c r="H38" s="1897"/>
      <c r="I38" s="1269"/>
      <c r="K38" s="1269"/>
    </row>
    <row r="39" spans="1:37" ht="15.6">
      <c r="A39" s="2244" t="str">
        <f>+'Exh D-Governmental  '!A49</f>
        <v>Fund Balances (Deficits) at April 1</v>
      </c>
      <c r="B39" s="1899" t="s">
        <v>16</v>
      </c>
      <c r="C39" s="273">
        <v>-724</v>
      </c>
      <c r="D39" s="273"/>
      <c r="E39" s="273">
        <v>-724</v>
      </c>
      <c r="F39" s="1897"/>
      <c r="G39" s="273">
        <f>'Exh D Captl Projects State Fed'!G39+'Exh D Captl Projects State Fed'!Q39</f>
        <v>-724.4</v>
      </c>
      <c r="H39" s="1897"/>
      <c r="I39" s="281">
        <f>ROUND(SUM(G39-C39),1)</f>
        <v>-0.4</v>
      </c>
      <c r="J39" s="1149"/>
      <c r="K39" s="281">
        <f>ROUND(SUM(G39-E39),1)</f>
        <v>-0.4</v>
      </c>
      <c r="L39" s="1149"/>
      <c r="M39" s="1149"/>
      <c r="N39" s="1149"/>
      <c r="O39" s="1149"/>
      <c r="P39" s="1149"/>
      <c r="Q39" s="1149"/>
      <c r="R39" s="1149"/>
      <c r="S39" s="1149"/>
      <c r="T39" s="1149"/>
      <c r="U39" s="1149"/>
      <c r="V39" s="1149"/>
      <c r="W39" s="1149"/>
      <c r="X39" s="1149"/>
      <c r="Y39" s="1149"/>
      <c r="Z39" s="1149"/>
      <c r="AA39" s="1149"/>
      <c r="AB39" s="1149"/>
      <c r="AC39" s="1149"/>
      <c r="AD39" s="1900"/>
    </row>
    <row r="40" spans="1:37" ht="16.2" thickBot="1">
      <c r="A40" s="2700" t="str">
        <f>+'Exh D-Governmental  '!A50</f>
        <v>Fund Balances (Deficits) at December 31, 2015</v>
      </c>
      <c r="B40" s="383" t="s">
        <v>16</v>
      </c>
      <c r="C40" s="299">
        <f>ROUND(SUM(C37:C39),1)</f>
        <v>-959</v>
      </c>
      <c r="D40" s="424"/>
      <c r="E40" s="299">
        <f>ROUND(SUM(E37:E39),1)</f>
        <v>-832</v>
      </c>
      <c r="F40" s="384"/>
      <c r="G40" s="299">
        <f>ROUND(SUM(G37:G39),1)</f>
        <v>-849.2</v>
      </c>
      <c r="H40" s="384"/>
      <c r="I40" s="299">
        <f>ROUND(SUM(I37:I39),1)</f>
        <v>109.8</v>
      </c>
      <c r="J40" s="1149"/>
      <c r="K40" s="299">
        <f>ROUND(SUM(K37:K39),1)</f>
        <v>-17.2</v>
      </c>
      <c r="L40" s="1149"/>
      <c r="M40" s="1149"/>
      <c r="N40" s="1149"/>
      <c r="O40" s="1149"/>
      <c r="P40" s="1149"/>
      <c r="Q40" s="1149"/>
      <c r="R40" s="1149"/>
      <c r="S40" s="1149"/>
      <c r="T40" s="1149"/>
      <c r="U40" s="1149"/>
      <c r="V40" s="1149"/>
      <c r="W40" s="1149"/>
      <c r="X40" s="1149"/>
      <c r="Y40" s="1149"/>
      <c r="Z40" s="1149"/>
      <c r="AA40" s="1149"/>
      <c r="AB40" s="1149"/>
      <c r="AC40" s="1149"/>
      <c r="AD40" s="1900"/>
    </row>
    <row r="41" spans="1:37" ht="15.6" thickTop="1">
      <c r="B41" s="1149"/>
      <c r="C41" s="1149"/>
      <c r="D41" s="1149"/>
      <c r="E41" s="1149"/>
      <c r="G41" s="1926"/>
    </row>
    <row r="42" spans="1:37">
      <c r="A42" s="1901" t="s">
        <v>1544</v>
      </c>
      <c r="B42" s="1149"/>
      <c r="D42" s="1149"/>
    </row>
    <row r="43" spans="1:37">
      <c r="A43" s="1195" t="s">
        <v>1685</v>
      </c>
      <c r="B43" s="1149"/>
      <c r="K43" s="1149"/>
      <c r="L43" s="791"/>
      <c r="M43" s="1149"/>
      <c r="N43" s="1149"/>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900"/>
    </row>
    <row r="44" spans="1:37">
      <c r="A44" s="2995" t="s">
        <v>1634</v>
      </c>
      <c r="B44" s="1149"/>
      <c r="D44" s="1149"/>
      <c r="G44" s="1892"/>
      <c r="H44" s="1251"/>
      <c r="I44" s="1892"/>
      <c r="J44" s="1251"/>
      <c r="K44" s="1927"/>
    </row>
    <row r="45" spans="1:37">
      <c r="A45" s="2995" t="s">
        <v>1556</v>
      </c>
      <c r="B45" s="1149"/>
      <c r="D45" s="1149"/>
    </row>
    <row r="46" spans="1:37">
      <c r="A46" s="2076"/>
      <c r="B46" s="1149"/>
      <c r="D46" s="1149"/>
    </row>
    <row r="47" spans="1:37">
      <c r="A47" s="386"/>
      <c r="B47" s="1149"/>
      <c r="D47" s="1149"/>
    </row>
    <row r="48" spans="1:37">
      <c r="B48" s="1149"/>
      <c r="D48" s="1149"/>
    </row>
    <row r="49" spans="2:2">
      <c r="B49" s="1149"/>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5" firstPageNumber="14"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52"/>
  <sheetViews>
    <sheetView showGridLines="0" zoomScale="70" zoomScaleNormal="70" workbookViewId="0"/>
  </sheetViews>
  <sheetFormatPr defaultColWidth="8.90625" defaultRowHeight="15"/>
  <cols>
    <col min="1" max="1" width="51.81640625" style="1896" customWidth="1"/>
    <col min="2" max="2" width="2.08984375" style="1900" customWidth="1"/>
    <col min="3" max="3" width="15.81640625" style="791" customWidth="1"/>
    <col min="4" max="4" width="1.08984375" style="1900" customWidth="1"/>
    <col min="5" max="5" width="15.81640625" style="791" customWidth="1"/>
    <col min="6" max="6" width="1.08984375" style="1900" customWidth="1"/>
    <col min="7" max="7" width="15.81640625" style="1900" customWidth="1"/>
    <col min="8" max="8" width="0.6328125" style="1900" customWidth="1"/>
    <col min="9" max="9" width="19.453125" style="1900" customWidth="1"/>
    <col min="10" max="10" width="1.08984375" style="1149" customWidth="1"/>
    <col min="11" max="11" width="19.453125" style="1900" customWidth="1"/>
    <col min="12" max="12" width="1.36328125" style="1900" customWidth="1"/>
    <col min="13" max="13" width="15.81640625" style="1149" customWidth="1"/>
    <col min="14" max="14" width="1.1796875" style="1149" customWidth="1"/>
    <col min="15" max="15" width="15.81640625" style="1149" customWidth="1"/>
    <col min="16" max="16" width="1.1796875" style="1149" customWidth="1"/>
    <col min="17" max="17" width="15.81640625" style="1149" customWidth="1"/>
    <col min="18" max="18" width="1.36328125" style="1149" customWidth="1"/>
    <col min="19" max="19" width="15.81640625" style="1149" customWidth="1"/>
    <col min="20" max="20" width="1.90625" style="1149" customWidth="1"/>
    <col min="21" max="21" width="15.81640625" style="791" customWidth="1"/>
    <col min="22" max="22" width="0.6328125" style="1149" customWidth="1"/>
    <col min="23" max="23" width="15.81640625" style="791" customWidth="1"/>
    <col min="24" max="24" width="1.36328125" style="1149" customWidth="1"/>
    <col min="25" max="25" width="15.81640625" style="1149" customWidth="1"/>
    <col min="26" max="26" width="1" style="1149" customWidth="1"/>
    <col min="27" max="27" width="15.81640625" style="1149" customWidth="1"/>
    <col min="28" max="28" width="3.6328125" style="1900" bestFit="1" customWidth="1"/>
    <col min="29" max="33" width="8.90625" style="1900"/>
    <col min="34" max="16384" width="8.90625" style="1896"/>
  </cols>
  <sheetData>
    <row r="1" spans="1:48">
      <c r="A1" s="1902" t="s">
        <v>1217</v>
      </c>
    </row>
    <row r="2" spans="1:48" ht="16.8">
      <c r="A2" s="388"/>
      <c r="B2" s="390"/>
      <c r="C2" s="785"/>
      <c r="D2" s="390"/>
      <c r="E2" s="785"/>
      <c r="F2" s="390"/>
      <c r="G2" s="390"/>
      <c r="H2" s="390"/>
      <c r="I2" s="390"/>
      <c r="J2" s="389"/>
      <c r="K2" s="390"/>
      <c r="L2" s="390"/>
      <c r="M2" s="389"/>
      <c r="N2" s="389"/>
      <c r="O2" s="389"/>
      <c r="P2" s="389"/>
      <c r="Q2" s="389"/>
      <c r="R2" s="389"/>
      <c r="S2" s="389"/>
      <c r="T2" s="389"/>
      <c r="U2" s="2359"/>
      <c r="V2" s="389"/>
      <c r="W2" s="2359"/>
      <c r="X2" s="389"/>
      <c r="Y2" s="389"/>
      <c r="Z2" s="389"/>
      <c r="AA2" s="389"/>
    </row>
    <row r="3" spans="1:48" ht="21" customHeight="1">
      <c r="A3" s="394" t="s">
        <v>0</v>
      </c>
      <c r="B3" s="351"/>
      <c r="C3" s="787"/>
      <c r="D3" s="345"/>
      <c r="E3" s="787"/>
      <c r="F3" s="345"/>
      <c r="G3" s="345"/>
      <c r="H3" s="345"/>
      <c r="I3" s="345"/>
      <c r="J3" s="359"/>
      <c r="K3" s="345"/>
      <c r="L3" s="345"/>
      <c r="M3" s="359"/>
      <c r="N3" s="359"/>
      <c r="O3" s="359"/>
      <c r="P3" s="359"/>
      <c r="Q3" s="359"/>
      <c r="R3" s="359"/>
      <c r="S3" s="1729"/>
      <c r="T3" s="359"/>
      <c r="U3" s="1729" t="s">
        <v>86</v>
      </c>
      <c r="V3" s="359"/>
      <c r="W3" s="2361"/>
      <c r="X3" s="359"/>
      <c r="Y3" s="359"/>
      <c r="Z3" s="359"/>
      <c r="AA3" s="2362"/>
    </row>
    <row r="4" spans="1:48" ht="17.399999999999999">
      <c r="A4" s="394" t="s">
        <v>1496</v>
      </c>
      <c r="B4" s="351"/>
      <c r="C4" s="787"/>
      <c r="D4" s="345"/>
      <c r="E4" s="787"/>
      <c r="F4" s="345"/>
      <c r="G4" s="345"/>
      <c r="H4" s="345"/>
      <c r="I4" s="345"/>
      <c r="J4" s="359"/>
      <c r="K4" s="345"/>
      <c r="L4" s="345"/>
      <c r="M4" s="359"/>
      <c r="N4" s="359"/>
      <c r="O4" s="359"/>
      <c r="P4" s="359"/>
      <c r="Q4" s="359"/>
      <c r="R4" s="359"/>
      <c r="S4" s="1730"/>
      <c r="T4" s="359"/>
      <c r="U4" s="1730" t="s">
        <v>107</v>
      </c>
      <c r="V4" s="359"/>
      <c r="W4" s="2361"/>
      <c r="X4" s="359"/>
      <c r="Y4" s="359"/>
      <c r="Z4" s="359"/>
      <c r="AA4" s="2363"/>
    </row>
    <row r="5" spans="1:48" ht="18.899999999999999" customHeight="1">
      <c r="A5" s="3564" t="s">
        <v>1524</v>
      </c>
      <c r="B5" s="3565"/>
      <c r="C5" s="3565"/>
      <c r="D5" s="3565"/>
      <c r="E5" s="3565"/>
      <c r="F5" s="345"/>
      <c r="G5" s="345"/>
      <c r="H5" s="345"/>
      <c r="I5" s="345"/>
      <c r="J5" s="359"/>
      <c r="K5" s="345"/>
      <c r="L5" s="345"/>
      <c r="M5" s="359"/>
      <c r="N5" s="359"/>
      <c r="O5" s="359"/>
      <c r="P5" s="359"/>
      <c r="Q5" s="359"/>
      <c r="R5" s="359"/>
      <c r="S5" s="359"/>
      <c r="T5" s="359"/>
      <c r="U5" s="2361"/>
      <c r="V5" s="359"/>
      <c r="W5" s="2361"/>
      <c r="X5" s="359"/>
      <c r="Y5" s="359"/>
      <c r="Z5" s="359"/>
      <c r="AA5" s="359"/>
    </row>
    <row r="6" spans="1:48" ht="18.899999999999999" customHeight="1">
      <c r="A6" s="2866" t="str">
        <f>'Exh D-Governmental  '!A6</f>
        <v>FOR NINE MONTHS ENDED DECEMBER 31, 2015</v>
      </c>
      <c r="B6" s="350"/>
      <c r="C6" s="787"/>
      <c r="D6" s="345"/>
      <c r="E6" s="787"/>
      <c r="F6" s="345"/>
      <c r="G6" s="345"/>
      <c r="H6" s="345"/>
      <c r="I6" s="345"/>
      <c r="J6" s="359"/>
      <c r="K6" s="345"/>
      <c r="L6" s="345"/>
      <c r="M6" s="359"/>
      <c r="N6" s="359"/>
      <c r="O6" s="359"/>
      <c r="P6" s="359"/>
      <c r="Q6" s="359"/>
      <c r="R6" s="359"/>
      <c r="S6" s="359"/>
      <c r="T6" s="359"/>
      <c r="U6" s="2361"/>
      <c r="V6" s="359"/>
      <c r="W6" s="2361"/>
      <c r="X6" s="359"/>
      <c r="Y6" s="359"/>
      <c r="Z6" s="359"/>
      <c r="AA6" s="359"/>
      <c r="AB6" s="345"/>
      <c r="AC6" s="359"/>
      <c r="AD6" s="359"/>
      <c r="AE6" s="359"/>
      <c r="AF6" s="359"/>
      <c r="AG6" s="359"/>
      <c r="AH6" s="359"/>
      <c r="AI6" s="359"/>
      <c r="AJ6" s="359"/>
      <c r="AK6" s="359"/>
      <c r="AL6" s="359"/>
      <c r="AM6" s="359"/>
      <c r="AN6" s="359"/>
      <c r="AO6" s="359"/>
      <c r="AP6" s="359"/>
      <c r="AQ6" s="1149"/>
      <c r="AR6" s="1149"/>
      <c r="AS6" s="1149"/>
      <c r="AT6" s="1149"/>
      <c r="AU6" s="1149"/>
      <c r="AV6" s="1900"/>
    </row>
    <row r="7" spans="1:48" ht="17.399999999999999">
      <c r="A7" s="394" t="s">
        <v>1104</v>
      </c>
      <c r="B7" s="351"/>
      <c r="C7" s="787"/>
      <c r="D7" s="345"/>
      <c r="E7" s="787"/>
      <c r="F7" s="345"/>
      <c r="G7" s="345"/>
      <c r="H7" s="345"/>
      <c r="I7" s="345"/>
      <c r="J7" s="359"/>
      <c r="K7" s="345"/>
      <c r="L7" s="345"/>
      <c r="M7" s="359"/>
      <c r="N7" s="359"/>
      <c r="O7" s="359"/>
      <c r="P7" s="359"/>
      <c r="Q7" s="359"/>
      <c r="R7" s="359"/>
      <c r="S7" s="359"/>
      <c r="T7" s="359"/>
      <c r="U7" s="2361"/>
      <c r="V7" s="359"/>
      <c r="W7" s="2361"/>
      <c r="X7" s="359"/>
      <c r="Y7" s="359"/>
      <c r="Z7" s="359"/>
      <c r="AA7" s="359"/>
    </row>
    <row r="8" spans="1:48" ht="17.399999999999999">
      <c r="A8" s="396"/>
      <c r="B8" s="351"/>
      <c r="C8" s="787"/>
      <c r="D8" s="345"/>
      <c r="E8" s="787"/>
      <c r="F8" s="345"/>
      <c r="G8" s="345"/>
      <c r="H8" s="345"/>
      <c r="I8" s="345"/>
      <c r="J8" s="359"/>
      <c r="K8" s="345"/>
      <c r="L8" s="345"/>
      <c r="M8" s="359"/>
      <c r="N8" s="359"/>
      <c r="O8" s="359"/>
      <c r="P8" s="359"/>
      <c r="Q8" s="359"/>
      <c r="R8" s="359"/>
      <c r="S8" s="359"/>
      <c r="T8" s="359"/>
      <c r="U8" s="2361"/>
      <c r="V8" s="359"/>
      <c r="W8" s="2361"/>
      <c r="X8" s="359"/>
      <c r="Y8" s="359"/>
      <c r="Z8" s="359"/>
      <c r="AA8" s="359"/>
    </row>
    <row r="9" spans="1:48">
      <c r="A9" s="353"/>
      <c r="B9" s="345"/>
      <c r="C9" s="788"/>
      <c r="D9" s="345"/>
      <c r="E9" s="788"/>
      <c r="F9" s="345"/>
      <c r="G9" s="345"/>
      <c r="H9" s="345"/>
      <c r="I9" s="345"/>
      <c r="J9" s="359"/>
      <c r="K9" s="345"/>
      <c r="L9" s="345"/>
      <c r="M9" s="359"/>
      <c r="N9" s="359"/>
      <c r="O9" s="359"/>
      <c r="P9" s="359"/>
      <c r="Q9" s="359"/>
      <c r="R9" s="359"/>
      <c r="S9" s="359"/>
      <c r="T9" s="359"/>
      <c r="U9" s="2361"/>
      <c r="V9" s="359"/>
      <c r="W9" s="2361"/>
      <c r="X9" s="359"/>
      <c r="Y9" s="359"/>
      <c r="Z9" s="359"/>
      <c r="AA9" s="359"/>
    </row>
    <row r="10" spans="1:48">
      <c r="A10" s="353"/>
      <c r="B10" s="345"/>
      <c r="C10" s="787"/>
      <c r="D10" s="351"/>
      <c r="E10" s="787"/>
      <c r="F10" s="351"/>
      <c r="G10" s="351"/>
      <c r="H10" s="351"/>
      <c r="I10" s="351"/>
      <c r="J10" s="350"/>
      <c r="K10" s="351"/>
      <c r="L10" s="351"/>
      <c r="M10" s="787"/>
      <c r="N10" s="351"/>
      <c r="O10" s="787"/>
      <c r="P10" s="351"/>
      <c r="Q10" s="351"/>
      <c r="R10" s="351"/>
      <c r="S10" s="351"/>
      <c r="T10" s="350"/>
      <c r="U10" s="1968"/>
      <c r="V10" s="350"/>
      <c r="W10" s="1968"/>
      <c r="X10" s="350"/>
      <c r="Y10" s="350"/>
      <c r="Z10" s="350"/>
      <c r="AA10" s="350"/>
      <c r="AB10" s="1918"/>
    </row>
    <row r="11" spans="1:48" ht="15.6">
      <c r="A11" s="1358"/>
      <c r="B11" s="354"/>
      <c r="C11" s="3567" t="s">
        <v>1420</v>
      </c>
      <c r="D11" s="3567"/>
      <c r="E11" s="3567"/>
      <c r="F11" s="3567"/>
      <c r="G11" s="3567"/>
      <c r="H11" s="3567"/>
      <c r="I11" s="3567"/>
      <c r="J11" s="2355"/>
      <c r="K11" s="2355"/>
      <c r="L11" s="408"/>
      <c r="M11" s="3567" t="s">
        <v>1421</v>
      </c>
      <c r="N11" s="3567"/>
      <c r="O11" s="3567"/>
      <c r="P11" s="3567"/>
      <c r="Q11" s="3567"/>
      <c r="R11" s="3567"/>
      <c r="S11" s="3567"/>
      <c r="T11" s="2368"/>
      <c r="U11" s="2791"/>
      <c r="V11" s="2791"/>
      <c r="W11" s="399"/>
      <c r="X11" s="399"/>
      <c r="Y11" s="399"/>
      <c r="Z11" s="399"/>
      <c r="AA11" s="399"/>
      <c r="AB11" s="1918"/>
    </row>
    <row r="12" spans="1:48" ht="15.6">
      <c r="A12" s="1358"/>
      <c r="B12" s="354"/>
      <c r="C12" s="793"/>
      <c r="D12" s="355"/>
      <c r="E12" s="793"/>
      <c r="F12" s="355"/>
      <c r="G12" s="355"/>
      <c r="H12" s="355"/>
      <c r="I12" s="409" t="s">
        <v>87</v>
      </c>
      <c r="J12" s="409"/>
      <c r="K12" s="409" t="s">
        <v>87</v>
      </c>
      <c r="L12" s="1903"/>
      <c r="M12" s="793"/>
      <c r="N12" s="355"/>
      <c r="O12" s="793"/>
      <c r="P12" s="355"/>
      <c r="Q12" s="355"/>
      <c r="R12" s="355"/>
      <c r="S12" s="409" t="s">
        <v>87</v>
      </c>
      <c r="T12" s="354"/>
      <c r="U12" s="409" t="s">
        <v>87</v>
      </c>
      <c r="V12" s="354"/>
      <c r="W12" s="1986"/>
      <c r="X12" s="354"/>
      <c r="Y12" s="354"/>
      <c r="Z12" s="354"/>
      <c r="AA12" s="409"/>
    </row>
    <row r="13" spans="1:48" ht="15.6">
      <c r="A13" s="1358"/>
      <c r="B13" s="354"/>
      <c r="C13" s="793"/>
      <c r="D13" s="355"/>
      <c r="E13" s="793"/>
      <c r="F13" s="355"/>
      <c r="G13" s="355"/>
      <c r="H13" s="355"/>
      <c r="I13" s="356" t="s">
        <v>1111</v>
      </c>
      <c r="J13" s="404"/>
      <c r="K13" s="356" t="s">
        <v>1111</v>
      </c>
      <c r="L13" s="1903"/>
      <c r="M13" s="793"/>
      <c r="N13" s="355"/>
      <c r="O13" s="793"/>
      <c r="P13" s="355"/>
      <c r="Q13" s="355"/>
      <c r="R13" s="355"/>
      <c r="S13" s="356" t="s">
        <v>1111</v>
      </c>
      <c r="T13" s="354"/>
      <c r="U13" s="356" t="s">
        <v>1111</v>
      </c>
      <c r="V13" s="354"/>
      <c r="W13" s="1986"/>
      <c r="X13" s="354"/>
      <c r="Y13" s="354"/>
      <c r="Z13" s="354"/>
      <c r="AA13" s="404"/>
    </row>
    <row r="14" spans="1:48" ht="15.75" customHeight="1">
      <c r="A14" s="1358"/>
      <c r="B14" s="354"/>
      <c r="C14" s="357" t="s">
        <v>1356</v>
      </c>
      <c r="D14" s="1896"/>
      <c r="E14" s="357" t="s">
        <v>1357</v>
      </c>
      <c r="F14" s="355"/>
      <c r="G14" s="355"/>
      <c r="H14" s="355"/>
      <c r="I14" s="356" t="s">
        <v>88</v>
      </c>
      <c r="J14" s="404"/>
      <c r="K14" s="356" t="s">
        <v>88</v>
      </c>
      <c r="L14" s="1903"/>
      <c r="M14" s="357" t="s">
        <v>1356</v>
      </c>
      <c r="N14" s="1896"/>
      <c r="O14" s="357" t="s">
        <v>1357</v>
      </c>
      <c r="P14" s="355"/>
      <c r="Q14" s="355"/>
      <c r="R14" s="355"/>
      <c r="S14" s="356" t="s">
        <v>88</v>
      </c>
      <c r="T14" s="405"/>
      <c r="U14" s="356" t="s">
        <v>88</v>
      </c>
      <c r="V14" s="1363"/>
      <c r="W14" s="403"/>
      <c r="X14" s="354"/>
      <c r="Y14" s="354"/>
      <c r="Z14" s="354"/>
      <c r="AA14" s="404"/>
    </row>
    <row r="15" spans="1:48" ht="15.75" customHeight="1">
      <c r="A15" s="1358"/>
      <c r="B15" s="354"/>
      <c r="C15" s="356" t="s">
        <v>1400</v>
      </c>
      <c r="D15" s="355"/>
      <c r="E15" s="356" t="s">
        <v>1400</v>
      </c>
      <c r="F15" s="355"/>
      <c r="G15" s="355"/>
      <c r="H15" s="355"/>
      <c r="I15" s="356" t="s">
        <v>1356</v>
      </c>
      <c r="J15" s="403"/>
      <c r="K15" s="357" t="s">
        <v>1357</v>
      </c>
      <c r="L15" s="1987"/>
      <c r="M15" s="356" t="s">
        <v>1400</v>
      </c>
      <c r="N15" s="355"/>
      <c r="O15" s="356" t="s">
        <v>1400</v>
      </c>
      <c r="P15" s="355"/>
      <c r="Q15" s="355"/>
      <c r="R15" s="355"/>
      <c r="S15" s="356" t="s">
        <v>1356</v>
      </c>
      <c r="T15" s="405"/>
      <c r="U15" s="357" t="s">
        <v>1357</v>
      </c>
      <c r="V15" s="354"/>
      <c r="W15" s="404"/>
      <c r="X15" s="354"/>
      <c r="Y15" s="354"/>
      <c r="Z15" s="354"/>
      <c r="AA15" s="403"/>
    </row>
    <row r="16" spans="1:48" ht="15.6">
      <c r="A16" s="1358"/>
      <c r="B16" s="354"/>
      <c r="C16" s="356" t="s">
        <v>1401</v>
      </c>
      <c r="D16" s="355"/>
      <c r="E16" s="356" t="s">
        <v>1618</v>
      </c>
      <c r="F16" s="355"/>
      <c r="G16" s="357" t="s">
        <v>87</v>
      </c>
      <c r="H16" s="355"/>
      <c r="I16" s="356" t="s">
        <v>89</v>
      </c>
      <c r="J16" s="404"/>
      <c r="K16" s="356" t="s">
        <v>89</v>
      </c>
      <c r="L16" s="1903"/>
      <c r="M16" s="356" t="s">
        <v>1401</v>
      </c>
      <c r="N16" s="355"/>
      <c r="O16" s="356" t="s">
        <v>1618</v>
      </c>
      <c r="P16" s="355"/>
      <c r="Q16" s="357" t="s">
        <v>87</v>
      </c>
      <c r="R16" s="355"/>
      <c r="S16" s="356" t="s">
        <v>89</v>
      </c>
      <c r="T16" s="404"/>
      <c r="U16" s="356" t="s">
        <v>89</v>
      </c>
      <c r="V16" s="354"/>
      <c r="W16" s="404"/>
      <c r="X16" s="354"/>
      <c r="Y16" s="403"/>
      <c r="Z16" s="354"/>
      <c r="AA16" s="404"/>
    </row>
    <row r="17" spans="1:48">
      <c r="A17" s="358"/>
      <c r="B17" s="359"/>
      <c r="C17" s="360"/>
      <c r="D17" s="345"/>
      <c r="E17" s="360"/>
      <c r="F17" s="345"/>
      <c r="G17" s="360"/>
      <c r="H17" s="345"/>
      <c r="I17" s="360"/>
      <c r="J17" s="359"/>
      <c r="K17" s="360"/>
      <c r="L17" s="1904"/>
      <c r="M17" s="360"/>
      <c r="N17" s="345"/>
      <c r="O17" s="360"/>
      <c r="P17" s="345"/>
      <c r="Q17" s="360"/>
      <c r="R17" s="345"/>
      <c r="S17" s="360"/>
      <c r="T17" s="359"/>
      <c r="U17" s="360"/>
      <c r="V17" s="359"/>
      <c r="W17" s="359"/>
      <c r="X17" s="359"/>
      <c r="Y17" s="359"/>
      <c r="Z17" s="359"/>
      <c r="AA17" s="359"/>
    </row>
    <row r="18" spans="1:48" ht="15.6">
      <c r="A18" s="221" t="s">
        <v>15</v>
      </c>
      <c r="B18" s="1888"/>
      <c r="C18" s="1251"/>
      <c r="D18" s="1251"/>
      <c r="E18" s="1251"/>
      <c r="F18" s="1251"/>
      <c r="G18" s="1714" t="s">
        <v>16</v>
      </c>
      <c r="H18" s="1251"/>
      <c r="I18" s="1251"/>
      <c r="J18" s="1888"/>
      <c r="K18" s="1251"/>
      <c r="L18" s="1905"/>
      <c r="M18" s="1251"/>
      <c r="N18" s="1251"/>
      <c r="O18" s="1251"/>
      <c r="P18" s="1251"/>
      <c r="Q18" s="1251" t="s">
        <v>16</v>
      </c>
      <c r="R18" s="1251"/>
      <c r="S18" s="1251"/>
      <c r="T18" s="1888"/>
      <c r="U18" s="1251"/>
      <c r="V18" s="1888"/>
      <c r="W18" s="1888"/>
      <c r="X18" s="1888"/>
      <c r="Y18" s="1888"/>
      <c r="Z18" s="1888"/>
      <c r="AA18" s="1888"/>
    </row>
    <row r="19" spans="1:48">
      <c r="A19" s="1720" t="s">
        <v>90</v>
      </c>
      <c r="B19" s="1889" t="s">
        <v>16</v>
      </c>
      <c r="C19" s="1252"/>
      <c r="D19" s="1254"/>
      <c r="E19" s="1252"/>
      <c r="F19" s="1254"/>
      <c r="G19" s="1252"/>
      <c r="H19" s="1254"/>
      <c r="I19" s="1252"/>
      <c r="J19" s="1975"/>
      <c r="K19" s="1252"/>
      <c r="L19" s="1919"/>
      <c r="M19" s="1252"/>
      <c r="N19" s="1252"/>
      <c r="O19" s="1252"/>
      <c r="P19" s="1252"/>
      <c r="Q19" s="1920"/>
      <c r="R19" s="1254"/>
      <c r="S19" s="1252"/>
      <c r="T19" s="1254"/>
      <c r="U19" s="1252"/>
      <c r="V19" s="1975"/>
      <c r="W19" s="1975"/>
      <c r="X19" s="1975"/>
      <c r="Y19" s="2369"/>
      <c r="Z19" s="1973"/>
      <c r="AA19" s="1975"/>
      <c r="AB19" s="1888"/>
      <c r="AC19" s="1888"/>
      <c r="AD19" s="1888"/>
      <c r="AE19" s="1888"/>
      <c r="AF19" s="1888"/>
      <c r="AG19" s="1888"/>
      <c r="AH19" s="1888"/>
      <c r="AI19" s="1888"/>
      <c r="AJ19" s="1888"/>
      <c r="AK19" s="1888"/>
      <c r="AL19" s="1888"/>
      <c r="AM19" s="1888"/>
      <c r="AN19" s="1888"/>
      <c r="AO19" s="1888"/>
      <c r="AP19" s="1888"/>
      <c r="AQ19" s="1149"/>
      <c r="AR19" s="1149"/>
      <c r="AS19" s="1149"/>
      <c r="AT19" s="1149"/>
      <c r="AU19" s="1149"/>
      <c r="AV19" s="1900"/>
    </row>
    <row r="20" spans="1:48">
      <c r="A20" s="1720" t="s">
        <v>92</v>
      </c>
      <c r="B20" s="1888" t="s">
        <v>16</v>
      </c>
      <c r="C20" s="2032">
        <v>475</v>
      </c>
      <c r="D20" s="1252"/>
      <c r="E20" s="2032">
        <v>487</v>
      </c>
      <c r="F20" s="1252"/>
      <c r="G20" s="1906">
        <f>+' Exhibit I State'!AF22</f>
        <v>488.5</v>
      </c>
      <c r="H20" s="1252"/>
      <c r="I20" s="1252">
        <f t="shared" ref="I20:I26" si="0">ROUND(SUM(G20)-SUM(C20),1)</f>
        <v>13.5</v>
      </c>
      <c r="J20" s="1975"/>
      <c r="K20" s="1252">
        <f t="shared" ref="K20:K26" si="1">ROUND(SUM(G20)-SUM(E20),1)</f>
        <v>1.5</v>
      </c>
      <c r="L20" s="1919"/>
      <c r="M20" s="2032">
        <v>0</v>
      </c>
      <c r="N20" s="1255"/>
      <c r="O20" s="2032">
        <v>0</v>
      </c>
      <c r="P20" s="1255"/>
      <c r="Q20" s="1906">
        <v>0</v>
      </c>
      <c r="R20" s="1255"/>
      <c r="S20" s="1252">
        <f t="shared" ref="S20:S26" si="2">ROUND(SUM(Q20)-SUM(M20),1)</f>
        <v>0</v>
      </c>
      <c r="T20" s="1975"/>
      <c r="U20" s="1252">
        <f t="shared" ref="U20:U26" si="3">ROUND(SUM(Q20)-SUM(O20),1)</f>
        <v>0</v>
      </c>
      <c r="V20" s="2370"/>
      <c r="W20" s="1974"/>
      <c r="X20" s="2370"/>
      <c r="Y20" s="1974"/>
      <c r="Z20" s="2370"/>
      <c r="AA20" s="1975"/>
      <c r="AB20" s="1888"/>
      <c r="AC20" s="1888"/>
      <c r="AD20" s="1888"/>
      <c r="AE20" s="1888"/>
      <c r="AF20" s="1888"/>
      <c r="AG20" s="1888"/>
      <c r="AH20" s="1888"/>
      <c r="AI20" s="1888"/>
      <c r="AJ20" s="1888"/>
      <c r="AK20" s="1888"/>
      <c r="AL20" s="1888"/>
      <c r="AM20" s="1888"/>
      <c r="AN20" s="1888"/>
      <c r="AO20" s="1888"/>
      <c r="AP20" s="1888"/>
      <c r="AQ20" s="1149"/>
      <c r="AR20" s="1149"/>
      <c r="AS20" s="1149"/>
      <c r="AT20" s="1149"/>
      <c r="AU20" s="1149"/>
      <c r="AV20" s="1900"/>
    </row>
    <row r="21" spans="1:48">
      <c r="A21" s="1720" t="s">
        <v>93</v>
      </c>
      <c r="B21" s="1889" t="s">
        <v>16</v>
      </c>
      <c r="C21" s="2247">
        <v>479</v>
      </c>
      <c r="D21" s="1327"/>
      <c r="E21" s="2247">
        <v>479</v>
      </c>
      <c r="F21" s="1327"/>
      <c r="G21" s="1354">
        <f>+' Exhibit I State'!AF27</f>
        <v>479.6</v>
      </c>
      <c r="H21" s="1327"/>
      <c r="I21" s="1171">
        <f t="shared" si="0"/>
        <v>0.6</v>
      </c>
      <c r="J21" s="1908"/>
      <c r="K21" s="3151">
        <f t="shared" si="1"/>
        <v>0.6</v>
      </c>
      <c r="L21" s="1921"/>
      <c r="M21" s="1352">
        <v>0</v>
      </c>
      <c r="N21" s="1253"/>
      <c r="O21" s="1352">
        <v>0</v>
      </c>
      <c r="P21" s="1253"/>
      <c r="Q21" s="1354">
        <v>0</v>
      </c>
      <c r="R21" s="1253"/>
      <c r="S21" s="1171">
        <f t="shared" si="2"/>
        <v>0</v>
      </c>
      <c r="T21" s="1327"/>
      <c r="U21" s="3151">
        <f t="shared" si="3"/>
        <v>0</v>
      </c>
      <c r="V21" s="1912"/>
      <c r="W21" s="1978"/>
      <c r="X21" s="1912"/>
      <c r="Y21" s="1978"/>
      <c r="Z21" s="1912"/>
      <c r="AA21" s="1908"/>
      <c r="AB21" s="1910"/>
      <c r="AC21" s="1888"/>
      <c r="AD21" s="1888"/>
      <c r="AE21" s="1910"/>
      <c r="AF21" s="1888"/>
      <c r="AG21" s="1910"/>
      <c r="AH21" s="1888"/>
      <c r="AI21" s="1888"/>
      <c r="AJ21" s="1910"/>
      <c r="AK21" s="1888"/>
      <c r="AL21" s="1888"/>
      <c r="AM21" s="1910"/>
      <c r="AN21" s="406"/>
      <c r="AO21" s="1910"/>
      <c r="AP21" s="1888"/>
      <c r="AQ21" s="1149"/>
      <c r="AR21" s="1149"/>
      <c r="AS21" s="1149"/>
      <c r="AT21" s="1149"/>
      <c r="AU21" s="1149"/>
      <c r="AV21" s="1900"/>
    </row>
    <row r="22" spans="1:48">
      <c r="A22" s="1720" t="s">
        <v>94</v>
      </c>
      <c r="B22" s="1888" t="s">
        <v>16</v>
      </c>
      <c r="C22" s="1352">
        <v>84</v>
      </c>
      <c r="D22" s="1171"/>
      <c r="E22" s="1352">
        <v>84</v>
      </c>
      <c r="F22" s="1171"/>
      <c r="G22" s="1354">
        <f>+' Exhibit I State'!AF30</f>
        <v>83.4</v>
      </c>
      <c r="H22" s="1171"/>
      <c r="I22" s="1171">
        <f t="shared" si="0"/>
        <v>-0.6</v>
      </c>
      <c r="J22" s="1908"/>
      <c r="K22" s="3151">
        <f t="shared" si="1"/>
        <v>-0.6</v>
      </c>
      <c r="L22" s="1921"/>
      <c r="M22" s="1352">
        <v>0</v>
      </c>
      <c r="N22" s="1253"/>
      <c r="O22" s="1352">
        <v>0</v>
      </c>
      <c r="P22" s="1253"/>
      <c r="Q22" s="1354">
        <v>0</v>
      </c>
      <c r="R22" s="1253"/>
      <c r="S22" s="1171">
        <f t="shared" si="2"/>
        <v>0</v>
      </c>
      <c r="T22" s="1908"/>
      <c r="U22" s="3151">
        <f t="shared" si="3"/>
        <v>0</v>
      </c>
      <c r="V22" s="1912"/>
      <c r="W22" s="1978"/>
      <c r="X22" s="1912"/>
      <c r="Y22" s="1978"/>
      <c r="Z22" s="1912"/>
      <c r="AA22" s="1908"/>
      <c r="AB22" s="1888"/>
      <c r="AC22" s="1888"/>
      <c r="AD22" s="1888"/>
      <c r="AE22" s="1888"/>
      <c r="AF22" s="1888"/>
      <c r="AG22" s="1888"/>
      <c r="AH22" s="1888"/>
      <c r="AI22" s="1888"/>
      <c r="AJ22" s="1888"/>
      <c r="AK22" s="1888"/>
      <c r="AL22" s="1888"/>
      <c r="AM22" s="1888"/>
      <c r="AN22" s="1888"/>
      <c r="AO22" s="1888"/>
      <c r="AP22" s="1888"/>
      <c r="AQ22" s="1149"/>
      <c r="AR22" s="1149"/>
      <c r="AS22" s="1149"/>
      <c r="AT22" s="1149"/>
      <c r="AU22" s="1149"/>
      <c r="AV22" s="1900"/>
    </row>
    <row r="23" spans="1:48">
      <c r="A23" s="1720" t="s">
        <v>21</v>
      </c>
      <c r="B23" s="1888" t="s">
        <v>16</v>
      </c>
      <c r="C23" s="1833">
        <v>3048</v>
      </c>
      <c r="D23" s="1171"/>
      <c r="E23" s="1833">
        <v>2984</v>
      </c>
      <c r="F23" s="1171"/>
      <c r="G23" s="1354">
        <f>+' Exhibit I State'!AF60</f>
        <v>2964.6</v>
      </c>
      <c r="H23" s="1171"/>
      <c r="I23" s="1171">
        <f t="shared" si="0"/>
        <v>-83.4</v>
      </c>
      <c r="J23" s="1908"/>
      <c r="K23" s="3151">
        <f t="shared" si="1"/>
        <v>-19.399999999999999</v>
      </c>
      <c r="L23" s="1921"/>
      <c r="M23" s="1833">
        <v>0</v>
      </c>
      <c r="N23" s="1171"/>
      <c r="O23" s="1833">
        <v>0</v>
      </c>
      <c r="P23" s="1171"/>
      <c r="Q23" s="1171">
        <f>+'Exhibit I Federal'!AF41</f>
        <v>0.6</v>
      </c>
      <c r="R23" s="1171"/>
      <c r="S23" s="1171">
        <f t="shared" si="2"/>
        <v>0.6</v>
      </c>
      <c r="T23" s="1908"/>
      <c r="U23" s="3151">
        <f t="shared" si="3"/>
        <v>0.6</v>
      </c>
      <c r="V23" s="1908"/>
      <c r="W23" s="1978"/>
      <c r="X23" s="1908"/>
      <c r="Y23" s="1978"/>
      <c r="Z23" s="1908"/>
      <c r="AA23" s="1908"/>
    </row>
    <row r="24" spans="1:48">
      <c r="A24" s="1720" t="s">
        <v>22</v>
      </c>
      <c r="B24" s="1888" t="s">
        <v>16</v>
      </c>
      <c r="C24" s="3168">
        <v>2</v>
      </c>
      <c r="D24" s="1171"/>
      <c r="E24" s="3168">
        <v>2</v>
      </c>
      <c r="F24" s="1171"/>
      <c r="G24" s="1354">
        <f>+' Exhibit I State'!AF62</f>
        <v>2.5</v>
      </c>
      <c r="H24" s="1171"/>
      <c r="I24" s="1171">
        <f t="shared" si="0"/>
        <v>0.5</v>
      </c>
      <c r="J24" s="1908"/>
      <c r="K24" s="3151">
        <f t="shared" si="1"/>
        <v>0.5</v>
      </c>
      <c r="L24" s="1921"/>
      <c r="M24" s="1833">
        <v>1220</v>
      </c>
      <c r="N24" s="1171"/>
      <c r="O24" s="1833">
        <v>1708</v>
      </c>
      <c r="P24" s="1171"/>
      <c r="Q24" s="1171">
        <f>+'Exhibit I Federal'!AF43</f>
        <v>1706.8</v>
      </c>
      <c r="R24" s="1171"/>
      <c r="S24" s="1171">
        <f t="shared" si="2"/>
        <v>486.8</v>
      </c>
      <c r="T24" s="1908"/>
      <c r="U24" s="3151">
        <f t="shared" si="3"/>
        <v>-1.2</v>
      </c>
      <c r="V24" s="1908"/>
      <c r="W24" s="1978"/>
      <c r="X24" s="1908"/>
      <c r="Y24" s="1978"/>
      <c r="Z24" s="1908"/>
      <c r="AA24" s="1908"/>
    </row>
    <row r="25" spans="1:48">
      <c r="A25" s="1720" t="s">
        <v>100</v>
      </c>
      <c r="B25" s="1888" t="s">
        <v>16</v>
      </c>
      <c r="C25" s="2247">
        <v>0</v>
      </c>
      <c r="D25" s="1171"/>
      <c r="E25" s="2247">
        <v>0</v>
      </c>
      <c r="F25" s="1171"/>
      <c r="G25" s="1253">
        <f>+' Exhibit I State'!AA91</f>
        <v>0</v>
      </c>
      <c r="H25" s="1171"/>
      <c r="I25" s="1171">
        <f t="shared" si="0"/>
        <v>0</v>
      </c>
      <c r="J25" s="1908"/>
      <c r="K25" s="3151">
        <f t="shared" si="1"/>
        <v>0</v>
      </c>
      <c r="L25" s="1922"/>
      <c r="M25" s="1352">
        <v>0</v>
      </c>
      <c r="N25" s="1171"/>
      <c r="O25" s="1352">
        <v>0</v>
      </c>
      <c r="P25" s="1171"/>
      <c r="Q25" s="1253">
        <v>0</v>
      </c>
      <c r="R25" s="1171"/>
      <c r="S25" s="1171">
        <f t="shared" si="2"/>
        <v>0</v>
      </c>
      <c r="T25" s="1909"/>
      <c r="U25" s="3151">
        <f t="shared" si="3"/>
        <v>0</v>
      </c>
      <c r="V25" s="1908"/>
      <c r="W25" s="1978"/>
      <c r="X25" s="1908"/>
      <c r="Y25" s="1978"/>
      <c r="Z25" s="1908"/>
      <c r="AA25" s="1908"/>
    </row>
    <row r="26" spans="1:48">
      <c r="A26" s="1720" t="s">
        <v>1619</v>
      </c>
      <c r="B26" s="1888" t="s">
        <v>16</v>
      </c>
      <c r="C26" s="1351">
        <v>1939</v>
      </c>
      <c r="D26" s="1171"/>
      <c r="E26" s="1351">
        <v>1344</v>
      </c>
      <c r="F26" s="1171"/>
      <c r="G26" s="1351">
        <f>+' Exhibit I State'!AF92</f>
        <v>1345</v>
      </c>
      <c r="H26" s="1171"/>
      <c r="I26" s="1171">
        <f t="shared" si="0"/>
        <v>-594</v>
      </c>
      <c r="J26" s="1908"/>
      <c r="K26" s="3151">
        <f t="shared" si="1"/>
        <v>1</v>
      </c>
      <c r="L26" s="1921"/>
      <c r="M26" s="1351">
        <v>0</v>
      </c>
      <c r="N26" s="1171"/>
      <c r="O26" s="1351">
        <v>0</v>
      </c>
      <c r="P26" s="1171"/>
      <c r="Q26" s="1327">
        <f>+'Exhibit I Federal'!I72</f>
        <v>0</v>
      </c>
      <c r="R26" s="1171"/>
      <c r="S26" s="1171">
        <f t="shared" si="2"/>
        <v>0</v>
      </c>
      <c r="T26" s="1909"/>
      <c r="U26" s="3151">
        <f t="shared" si="3"/>
        <v>0</v>
      </c>
      <c r="V26" s="1908"/>
      <c r="W26" s="1978"/>
      <c r="X26" s="1908"/>
      <c r="Y26" s="1978"/>
      <c r="Z26" s="1908"/>
      <c r="AA26" s="1908"/>
    </row>
    <row r="27" spans="1:48" ht="18" customHeight="1">
      <c r="A27" s="376" t="s">
        <v>113</v>
      </c>
      <c r="B27" s="354" t="s">
        <v>16</v>
      </c>
      <c r="C27" s="2897">
        <f>ROUND(SUM(C20:C26),1)</f>
        <v>6027</v>
      </c>
      <c r="D27" s="1886"/>
      <c r="E27" s="2897">
        <f>ROUND(SUM(E20:E26),1)</f>
        <v>5380</v>
      </c>
      <c r="F27" s="1886"/>
      <c r="G27" s="420">
        <f>ROUND(SUM(G20:G26),1)</f>
        <v>5363.6</v>
      </c>
      <c r="H27" s="1886"/>
      <c r="I27" s="420">
        <f>ROUND(SUM(I20:I26),1)</f>
        <v>-663.4</v>
      </c>
      <c r="J27" s="273"/>
      <c r="K27" s="420">
        <f>ROUND(SUM(K20:K26),1)</f>
        <v>-16.399999999999999</v>
      </c>
      <c r="L27" s="1923"/>
      <c r="M27" s="2897">
        <f>ROUND(SUM(M20:M26),1)</f>
        <v>1220</v>
      </c>
      <c r="N27" s="1886"/>
      <c r="O27" s="2897">
        <f>ROUND(SUM(O20:O26),1)</f>
        <v>1708</v>
      </c>
      <c r="P27" s="1886"/>
      <c r="Q27" s="420">
        <f>ROUND(SUM(Q20:Q26),1)</f>
        <v>1707.4</v>
      </c>
      <c r="R27" s="1886"/>
      <c r="S27" s="420">
        <f>ROUND(SUM(S20:S26),1)</f>
        <v>487.4</v>
      </c>
      <c r="T27" s="273"/>
      <c r="U27" s="420">
        <f>ROUND(SUM(U20:U26),1)</f>
        <v>-0.6</v>
      </c>
      <c r="V27" s="273"/>
      <c r="W27" s="273"/>
      <c r="X27" s="273"/>
      <c r="Y27" s="273"/>
      <c r="Z27" s="273"/>
      <c r="AA27" s="273"/>
    </row>
    <row r="28" spans="1:48">
      <c r="A28" s="1358"/>
      <c r="B28" s="1888" t="s">
        <v>16</v>
      </c>
      <c r="C28" s="2065"/>
      <c r="D28" s="1171"/>
      <c r="E28" s="2065"/>
      <c r="F28" s="1171"/>
      <c r="G28" s="1356"/>
      <c r="H28" s="1171"/>
      <c r="I28" s="1356"/>
      <c r="J28" s="1908"/>
      <c r="K28" s="1356"/>
      <c r="L28" s="1921"/>
      <c r="M28" s="2065"/>
      <c r="N28" s="1171"/>
      <c r="O28" s="2065"/>
      <c r="P28" s="1171"/>
      <c r="Q28" s="1356"/>
      <c r="R28" s="1171"/>
      <c r="S28" s="1356" t="s">
        <v>16</v>
      </c>
      <c r="T28" s="1908"/>
      <c r="U28" s="1356" t="s">
        <v>16</v>
      </c>
      <c r="V28" s="1908"/>
      <c r="W28" s="1908"/>
      <c r="X28" s="1908"/>
      <c r="Y28" s="1908"/>
      <c r="Z28" s="1908"/>
      <c r="AA28" s="1908"/>
    </row>
    <row r="29" spans="1:48" ht="15.6">
      <c r="A29" s="221" t="s">
        <v>24</v>
      </c>
      <c r="B29" s="1888" t="s">
        <v>16</v>
      </c>
      <c r="C29" s="1833"/>
      <c r="D29" s="1171"/>
      <c r="E29" s="1833"/>
      <c r="F29" s="1171"/>
      <c r="G29" s="1171" t="s">
        <v>16</v>
      </c>
      <c r="H29" s="1171"/>
      <c r="I29" s="1171"/>
      <c r="J29" s="1908"/>
      <c r="K29" s="1171"/>
      <c r="L29" s="1921"/>
      <c r="M29" s="1833"/>
      <c r="N29" s="1171"/>
      <c r="O29" s="1833"/>
      <c r="P29" s="1171"/>
      <c r="Q29" s="1171"/>
      <c r="R29" s="1171"/>
      <c r="S29" s="1171"/>
      <c r="T29" s="1908"/>
      <c r="U29" s="1171"/>
      <c r="V29" s="1908"/>
      <c r="W29" s="1908"/>
      <c r="X29" s="1908"/>
      <c r="Y29" s="1908"/>
      <c r="Z29" s="1908"/>
      <c r="AA29" s="1908"/>
    </row>
    <row r="30" spans="1:48">
      <c r="A30" s="1720" t="s">
        <v>96</v>
      </c>
      <c r="B30" s="1888" t="s">
        <v>16</v>
      </c>
      <c r="C30" s="2247">
        <v>1094</v>
      </c>
      <c r="D30" s="1171"/>
      <c r="E30" s="2247">
        <v>1276</v>
      </c>
      <c r="F30" s="1171"/>
      <c r="G30" s="1253">
        <f>+' Exhibit I State'!AF78</f>
        <v>1279.7</v>
      </c>
      <c r="H30" s="1171"/>
      <c r="I30" s="1171">
        <f>ROUND(SUM(G30)-SUM(C30),1)</f>
        <v>185.7</v>
      </c>
      <c r="J30" s="1908"/>
      <c r="K30" s="3151">
        <f>ROUND(SUM(G30)-SUM(E30),1)</f>
        <v>3.7</v>
      </c>
      <c r="L30" s="1921"/>
      <c r="M30" s="1833">
        <v>478</v>
      </c>
      <c r="N30" s="1171"/>
      <c r="O30" s="1833">
        <v>487</v>
      </c>
      <c r="P30" s="1171"/>
      <c r="Q30" s="1171">
        <f>+'Exhibit I Federal'!AF59</f>
        <v>485.4</v>
      </c>
      <c r="R30" s="1171"/>
      <c r="S30" s="1171">
        <f>ROUND(SUM(Q30)-SUM(M30),1)</f>
        <v>7.4</v>
      </c>
      <c r="T30" s="1908"/>
      <c r="U30" s="3151">
        <f>ROUND(SUM(Q30)-SUM(O30),1)</f>
        <v>-1.6</v>
      </c>
      <c r="V30" s="1908"/>
      <c r="W30" s="1978"/>
      <c r="X30" s="1908"/>
      <c r="Y30" s="1978"/>
      <c r="Z30" s="1908"/>
      <c r="AA30" s="1908"/>
    </row>
    <row r="31" spans="1:48">
      <c r="A31" s="1720" t="s">
        <v>43</v>
      </c>
      <c r="B31" s="1888" t="s">
        <v>16</v>
      </c>
      <c r="C31" s="2247">
        <v>4439</v>
      </c>
      <c r="D31" s="1171"/>
      <c r="E31" s="2247">
        <v>3563</v>
      </c>
      <c r="F31" s="1171"/>
      <c r="G31" s="1253">
        <f>+' Exhibit I State'!AF83</f>
        <v>3562</v>
      </c>
      <c r="H31" s="1171"/>
      <c r="I31" s="1171">
        <f>ROUND(SUM(G31)-SUM(C31),1)</f>
        <v>-877</v>
      </c>
      <c r="J31" s="1908"/>
      <c r="K31" s="3151">
        <f>ROUND(SUM(G31)-SUM(E31),1)</f>
        <v>-1</v>
      </c>
      <c r="L31" s="1922"/>
      <c r="M31" s="1833">
        <v>583</v>
      </c>
      <c r="N31" s="1171"/>
      <c r="O31" s="1833">
        <v>1199</v>
      </c>
      <c r="P31" s="1171"/>
      <c r="Q31" s="1171">
        <f>+'Exhibit I Federal'!AF64</f>
        <v>1197.3</v>
      </c>
      <c r="R31" s="1171"/>
      <c r="S31" s="1171">
        <f>ROUND(SUM(Q31)-SUM(M31),1)</f>
        <v>614.29999999999995</v>
      </c>
      <c r="T31" s="1908"/>
      <c r="U31" s="3151">
        <f>ROUND(SUM(Q31)-SUM(O31),1)</f>
        <v>-1.7</v>
      </c>
      <c r="V31" s="1908"/>
      <c r="W31" s="1978"/>
      <c r="X31" s="1908"/>
      <c r="Y31" s="1978"/>
      <c r="Z31" s="1908"/>
      <c r="AA31" s="1908"/>
    </row>
    <row r="32" spans="1:48">
      <c r="A32" s="1720" t="s">
        <v>1620</v>
      </c>
      <c r="B32" s="1888" t="s">
        <v>16</v>
      </c>
      <c r="C32" s="1351">
        <v>880</v>
      </c>
      <c r="D32" s="1171"/>
      <c r="E32" s="1351">
        <v>667</v>
      </c>
      <c r="F32" s="1171"/>
      <c r="G32" s="1327">
        <f>-' Exhibit I State'!AF93</f>
        <v>668</v>
      </c>
      <c r="H32" s="1171"/>
      <c r="I32" s="1171">
        <f>ROUND(SUM(G32)-SUM(C32),1)</f>
        <v>-212</v>
      </c>
      <c r="J32" s="1908"/>
      <c r="K32" s="3151">
        <f>ROUND(SUM(G32)-SUM(E32),1)</f>
        <v>1</v>
      </c>
      <c r="L32" s="1921"/>
      <c r="M32" s="1351">
        <v>8</v>
      </c>
      <c r="N32" s="1171"/>
      <c r="O32" s="1351">
        <v>4</v>
      </c>
      <c r="P32" s="1171"/>
      <c r="Q32" s="1327">
        <f>-'Exhibit I Federal'!AF73</f>
        <v>3.4</v>
      </c>
      <c r="R32" s="1171"/>
      <c r="S32" s="1171">
        <f>ROUND(SUM(Q32)-SUM(M32),1)</f>
        <v>-4.5999999999999996</v>
      </c>
      <c r="T32" s="1909"/>
      <c r="U32" s="3151">
        <f>ROUND(SUM(Q32)-SUM(O32),1)</f>
        <v>-0.6</v>
      </c>
      <c r="V32" s="1908"/>
      <c r="W32" s="1978"/>
      <c r="X32" s="1908"/>
      <c r="Y32" s="1978"/>
      <c r="Z32" s="1908"/>
      <c r="AA32" s="1908"/>
    </row>
    <row r="33" spans="1:48" ht="18" customHeight="1">
      <c r="A33" s="376" t="s">
        <v>122</v>
      </c>
      <c r="B33" s="354" t="s">
        <v>16</v>
      </c>
      <c r="C33" s="2897">
        <f>ROUND(SUM(C30:C32),1)</f>
        <v>6413</v>
      </c>
      <c r="D33" s="1886"/>
      <c r="E33" s="2897">
        <f>ROUND(SUM(E30:E32),1)</f>
        <v>5506</v>
      </c>
      <c r="F33" s="1886"/>
      <c r="G33" s="420">
        <f>ROUND(SUM(G30:G32),1)</f>
        <v>5509.7</v>
      </c>
      <c r="H33" s="1886"/>
      <c r="I33" s="420">
        <f>ROUND(SUM(I30:I32),1)</f>
        <v>-903.3</v>
      </c>
      <c r="J33" s="273"/>
      <c r="K33" s="420">
        <f>ROUND(SUM(K30:K32),1)</f>
        <v>3.7</v>
      </c>
      <c r="L33" s="1923"/>
      <c r="M33" s="420">
        <f>ROUND(SUM(M30:M32),1)</f>
        <v>1069</v>
      </c>
      <c r="N33" s="1886"/>
      <c r="O33" s="2897">
        <f>ROUND(SUM(O30:O32),1)</f>
        <v>1690</v>
      </c>
      <c r="P33" s="1886"/>
      <c r="Q33" s="420">
        <f>ROUND(SUM(Q30:Q32),1)</f>
        <v>1686.1</v>
      </c>
      <c r="R33" s="1886"/>
      <c r="S33" s="420">
        <f>ROUND(SUM(S30:S32),1)</f>
        <v>617.1</v>
      </c>
      <c r="T33" s="273"/>
      <c r="U33" s="420">
        <f>ROUND(SUM(U30:U32),1)</f>
        <v>-3.9</v>
      </c>
      <c r="V33" s="273"/>
      <c r="W33" s="273"/>
      <c r="X33" s="273"/>
      <c r="Y33" s="273"/>
      <c r="Z33" s="273"/>
      <c r="AA33" s="273"/>
    </row>
    <row r="34" spans="1:48">
      <c r="A34" s="1358"/>
      <c r="B34" s="1888" t="s">
        <v>16</v>
      </c>
      <c r="C34" s="2065"/>
      <c r="D34" s="1171"/>
      <c r="E34" s="2065"/>
      <c r="F34" s="1171"/>
      <c r="G34" s="1356"/>
      <c r="H34" s="1171"/>
      <c r="I34" s="1356"/>
      <c r="J34" s="1908"/>
      <c r="K34" s="1356"/>
      <c r="L34" s="1921"/>
      <c r="M34" s="1356"/>
      <c r="N34" s="1171"/>
      <c r="O34" s="2065"/>
      <c r="P34" s="1171"/>
      <c r="Q34" s="1356"/>
      <c r="R34" s="1171"/>
      <c r="S34" s="1356"/>
      <c r="T34" s="1908"/>
      <c r="U34" s="1356"/>
      <c r="V34" s="1908"/>
      <c r="W34" s="1908"/>
      <c r="X34" s="1908"/>
      <c r="Y34" s="1908"/>
      <c r="Z34" s="1908"/>
      <c r="AA34" s="1908"/>
    </row>
    <row r="35" spans="1:48" ht="15.6">
      <c r="A35" s="221" t="s">
        <v>103</v>
      </c>
      <c r="B35" s="1888"/>
      <c r="C35" s="1833"/>
      <c r="D35" s="1171"/>
      <c r="E35" s="1833"/>
      <c r="F35" s="1171"/>
      <c r="G35" s="1171"/>
      <c r="H35" s="1171"/>
      <c r="I35" s="1171"/>
      <c r="J35" s="1908"/>
      <c r="K35" s="1171"/>
      <c r="L35" s="1921"/>
      <c r="M35" s="1171"/>
      <c r="N35" s="1171"/>
      <c r="O35" s="1833"/>
      <c r="P35" s="1171"/>
      <c r="Q35" s="1171"/>
      <c r="R35" s="1171"/>
      <c r="S35" s="1171"/>
      <c r="T35" s="1908"/>
      <c r="U35" s="1171"/>
      <c r="V35" s="1908"/>
      <c r="W35" s="1908"/>
      <c r="X35" s="1908"/>
      <c r="Y35" s="1908"/>
      <c r="Z35" s="1908"/>
      <c r="AA35" s="1908"/>
    </row>
    <row r="36" spans="1:48" ht="15.6">
      <c r="A36" s="221" t="s">
        <v>104</v>
      </c>
      <c r="B36" s="1888"/>
      <c r="C36" s="1833"/>
      <c r="D36" s="1171"/>
      <c r="E36" s="1833"/>
      <c r="F36" s="1171"/>
      <c r="G36" s="1171"/>
      <c r="H36" s="1171"/>
      <c r="I36" s="1171"/>
      <c r="J36" s="1908"/>
      <c r="K36" s="1171"/>
      <c r="L36" s="1921"/>
      <c r="M36" s="1171"/>
      <c r="N36" s="1171"/>
      <c r="O36" s="1833"/>
      <c r="P36" s="1171"/>
      <c r="Q36" s="1171"/>
      <c r="R36" s="1171"/>
      <c r="S36" s="1171"/>
      <c r="T36" s="1908"/>
      <c r="U36" s="1171"/>
      <c r="V36" s="1908"/>
      <c r="W36" s="1908"/>
      <c r="X36" s="1908"/>
      <c r="Y36" s="1908"/>
      <c r="Z36" s="1908"/>
      <c r="AA36" s="1908"/>
    </row>
    <row r="37" spans="1:48" ht="15.6">
      <c r="A37" s="376" t="s">
        <v>105</v>
      </c>
      <c r="B37" s="377" t="s">
        <v>16</v>
      </c>
      <c r="C37" s="316">
        <f>ROUND(SUM(C27)-SUM(C33),1)</f>
        <v>-386</v>
      </c>
      <c r="D37" s="284"/>
      <c r="E37" s="316">
        <f>ROUND(SUM(E27)-SUM(E33),1)</f>
        <v>-126</v>
      </c>
      <c r="F37" s="284"/>
      <c r="G37" s="273">
        <f>ROUND(SUM(G27)-SUM(G33),1)</f>
        <v>-146.1</v>
      </c>
      <c r="H37" s="284"/>
      <c r="I37" s="273">
        <f>ROUND(SUM(I27)-SUM(I33),1)</f>
        <v>239.9</v>
      </c>
      <c r="J37" s="273"/>
      <c r="K37" s="273">
        <f>ROUND(SUM(K27)-SUM(K33),1)</f>
        <v>-20.100000000000001</v>
      </c>
      <c r="L37" s="1923"/>
      <c r="M37" s="273">
        <f>ROUND(SUM(M27)-SUM(M33),1)</f>
        <v>151</v>
      </c>
      <c r="N37" s="284"/>
      <c r="O37" s="316">
        <f>ROUND(SUM(O27)-SUM(O33),1)</f>
        <v>18</v>
      </c>
      <c r="P37" s="284"/>
      <c r="Q37" s="273">
        <f>ROUND(SUM(Q27)-SUM(Q33),1)</f>
        <v>21.3</v>
      </c>
      <c r="R37" s="284"/>
      <c r="S37" s="273">
        <f>ROUND(SUM(S27)-SUM(S33),1)</f>
        <v>-129.69999999999999</v>
      </c>
      <c r="T37" s="284"/>
      <c r="U37" s="273">
        <f>ROUND(SUM(U27)-SUM(U33),1)</f>
        <v>3.3</v>
      </c>
      <c r="V37" s="743"/>
      <c r="W37" s="273"/>
      <c r="X37" s="743"/>
      <c r="Y37" s="273"/>
      <c r="Z37" s="743"/>
      <c r="AA37" s="273"/>
      <c r="AB37" s="1149"/>
    </row>
    <row r="38" spans="1:48" ht="15.6">
      <c r="B38" s="1149"/>
      <c r="C38" s="2898"/>
      <c r="D38" s="1897"/>
      <c r="E38" s="2898"/>
      <c r="F38" s="1897"/>
      <c r="G38" s="1269"/>
      <c r="H38" s="1897"/>
      <c r="I38" s="1269"/>
      <c r="J38" s="1269"/>
      <c r="K38" s="1269"/>
      <c r="L38" s="1923"/>
      <c r="M38" s="1269"/>
      <c r="N38" s="1897"/>
      <c r="O38" s="2898"/>
      <c r="P38" s="1897"/>
      <c r="Q38" s="1269"/>
      <c r="R38" s="1897"/>
      <c r="S38" s="1269"/>
      <c r="T38" s="1269"/>
      <c r="U38" s="1269"/>
      <c r="V38" s="1269"/>
      <c r="W38" s="1269"/>
      <c r="X38" s="1269"/>
      <c r="Y38" s="1269"/>
      <c r="Z38" s="1269"/>
      <c r="AA38" s="1269"/>
    </row>
    <row r="39" spans="1:48" ht="15.6">
      <c r="A39" s="376" t="str">
        <f>'Exh D-Governmental  '!A49</f>
        <v>Fund Balances (Deficits) at April 1</v>
      </c>
      <c r="B39" s="1899" t="s">
        <v>16</v>
      </c>
      <c r="C39" s="316">
        <v>-725</v>
      </c>
      <c r="D39" s="1897"/>
      <c r="E39" s="316">
        <v>-725</v>
      </c>
      <c r="F39" s="1897"/>
      <c r="G39" s="273">
        <v>-724.5</v>
      </c>
      <c r="H39" s="1897"/>
      <c r="I39" s="281">
        <f>ROUND(SUM(G39-C39),1)</f>
        <v>0.5</v>
      </c>
      <c r="J39" s="281"/>
      <c r="K39" s="281">
        <f>ROUND(SUM(G39)-SUM(E39),1)</f>
        <v>0.5</v>
      </c>
      <c r="L39" s="1923"/>
      <c r="M39" s="316">
        <v>1</v>
      </c>
      <c r="N39" s="1897"/>
      <c r="O39" s="316">
        <v>1</v>
      </c>
      <c r="P39" s="1897"/>
      <c r="Q39" s="273">
        <v>0.1</v>
      </c>
      <c r="R39" s="1897"/>
      <c r="S39" s="281">
        <f>ROUND(SUM(Q39-M39),1)</f>
        <v>-0.9</v>
      </c>
      <c r="T39" s="1269"/>
      <c r="U39" s="281">
        <f>ROUND(SUM(Q39)-SUM(O39),1)</f>
        <v>-0.9</v>
      </c>
      <c r="V39" s="1269"/>
      <c r="W39" s="273"/>
      <c r="X39" s="1269"/>
      <c r="Y39" s="273"/>
      <c r="Z39" s="1269"/>
      <c r="AA39" s="281"/>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900"/>
    </row>
    <row r="40" spans="1:48" ht="16.2" thickBot="1">
      <c r="A40" s="2704" t="str">
        <f>+'Exh D-Governmental  '!A50</f>
        <v>Fund Balances (Deficits) at December 31, 2015</v>
      </c>
      <c r="B40" s="383" t="s">
        <v>16</v>
      </c>
      <c r="C40" s="299">
        <f>ROUND(SUM(C37:C39),1)</f>
        <v>-1111</v>
      </c>
      <c r="D40" s="384"/>
      <c r="E40" s="299">
        <f>ROUND(SUM(E37:E39),1)</f>
        <v>-851</v>
      </c>
      <c r="F40" s="384"/>
      <c r="G40" s="299">
        <f>ROUND(SUM(G37:G39),1)</f>
        <v>-870.6</v>
      </c>
      <c r="H40" s="384"/>
      <c r="I40" s="299">
        <f>ROUND(SUM(I37:I39),1)</f>
        <v>240.4</v>
      </c>
      <c r="J40" s="424"/>
      <c r="K40" s="299">
        <f>ROUND(SUM(K37:K39),1)</f>
        <v>-19.600000000000001</v>
      </c>
      <c r="L40" s="1925"/>
      <c r="M40" s="299">
        <f>ROUND(SUM(M37:M39),1)</f>
        <v>152</v>
      </c>
      <c r="N40" s="384"/>
      <c r="O40" s="299">
        <f>ROUND(SUM(O37:O39),1)</f>
        <v>19</v>
      </c>
      <c r="P40" s="384"/>
      <c r="Q40" s="299">
        <f>ROUND(SUM(Q37:Q39),1)</f>
        <v>21.4</v>
      </c>
      <c r="R40" s="384"/>
      <c r="S40" s="299">
        <f>ROUND(SUM(S37:S39),1)</f>
        <v>-130.6</v>
      </c>
      <c r="T40" s="384"/>
      <c r="U40" s="299">
        <f>ROUND(SUM(U37:U39),1)</f>
        <v>2.4</v>
      </c>
      <c r="V40" s="1979"/>
      <c r="W40" s="424"/>
      <c r="X40" s="1979"/>
      <c r="Y40" s="424"/>
      <c r="Z40" s="1979"/>
      <c r="AA40" s="424"/>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900"/>
    </row>
    <row r="41" spans="1:48" ht="15.6" thickTop="1">
      <c r="B41" s="1149"/>
      <c r="L41" s="1149"/>
      <c r="N41" s="1900"/>
      <c r="P41" s="1900"/>
      <c r="Q41" s="1926"/>
      <c r="R41" s="1900"/>
      <c r="S41" s="1900"/>
      <c r="U41" s="1900"/>
      <c r="W41" s="1149"/>
      <c r="Y41" s="1898"/>
    </row>
    <row r="42" spans="1:48">
      <c r="A42" s="1901" t="s">
        <v>1544</v>
      </c>
      <c r="B42" s="1149"/>
      <c r="S42" s="2766"/>
    </row>
    <row r="43" spans="1:48">
      <c r="A43" s="1195" t="s">
        <v>1685</v>
      </c>
      <c r="B43" s="1149"/>
      <c r="J43" s="1900"/>
      <c r="K43" s="1149"/>
      <c r="L43" s="791"/>
      <c r="U43" s="1149"/>
      <c r="W43" s="1149"/>
      <c r="AB43" s="1149"/>
      <c r="AC43" s="1149"/>
      <c r="AD43" s="1149"/>
      <c r="AE43" s="1149"/>
      <c r="AF43" s="1149"/>
      <c r="AG43" s="1149"/>
      <c r="AH43" s="1149"/>
      <c r="AI43" s="1149"/>
      <c r="AJ43" s="1149"/>
      <c r="AK43" s="1900"/>
    </row>
    <row r="44" spans="1:48">
      <c r="A44" s="2995" t="s">
        <v>1634</v>
      </c>
      <c r="B44" s="1149"/>
      <c r="Y44" s="1913"/>
      <c r="Z44" s="1888"/>
      <c r="AA44" s="1913"/>
      <c r="AB44" s="1251"/>
      <c r="AC44" s="1927"/>
    </row>
    <row r="45" spans="1:48">
      <c r="A45" s="2995" t="s">
        <v>1556</v>
      </c>
      <c r="B45" s="1149"/>
    </row>
    <row r="46" spans="1:48">
      <c r="A46" s="2076"/>
      <c r="B46" s="1149"/>
    </row>
    <row r="47" spans="1:48">
      <c r="A47" s="386"/>
      <c r="B47" s="1149"/>
    </row>
    <row r="48" spans="1:48">
      <c r="B48" s="1149"/>
    </row>
    <row r="49" spans="2:7">
      <c r="B49" s="1149"/>
    </row>
    <row r="52" spans="2:7">
      <c r="G52" s="1926"/>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5"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pageSetUpPr fitToPage="1"/>
  </sheetPr>
  <dimension ref="A1:AL57"/>
  <sheetViews>
    <sheetView showGridLines="0" showOutlineSymbols="0" zoomScale="60" zoomScaleNormal="70" workbookViewId="0"/>
  </sheetViews>
  <sheetFormatPr defaultColWidth="9.6328125" defaultRowHeight="13.2"/>
  <cols>
    <col min="1" max="1" width="32.36328125" style="2659" customWidth="1"/>
    <col min="2" max="2" width="10.81640625" style="2659" customWidth="1"/>
    <col min="3" max="3" width="3.453125" style="2659" customWidth="1"/>
    <col min="4" max="4" width="12.08984375" style="2659" customWidth="1"/>
    <col min="5" max="5" width="1.6328125" style="2659" customWidth="1"/>
    <col min="6" max="6" width="17" style="2659" bestFit="1" customWidth="1"/>
    <col min="7" max="7" width="1.6328125" style="2659" customWidth="1"/>
    <col min="8" max="8" width="12.08984375" style="2659" customWidth="1"/>
    <col min="9" max="9" width="1.6328125" style="2659" customWidth="1"/>
    <col min="10" max="10" width="12.08984375" style="2659" customWidth="1"/>
    <col min="11" max="11" width="1.6328125" style="2659" customWidth="1"/>
    <col min="12" max="12" width="12.08984375" style="2659" customWidth="1"/>
    <col min="13" max="13" width="1.6328125" style="2659" customWidth="1"/>
    <col min="14" max="14" width="13" style="2659" customWidth="1"/>
    <col min="15" max="15" width="1.6328125" style="2659" customWidth="1"/>
    <col min="16" max="16" width="12.08984375" style="2659" customWidth="1"/>
    <col min="17" max="17" width="1.6328125" style="2659" customWidth="1"/>
    <col min="18" max="18" width="12.08984375" style="2659" customWidth="1"/>
    <col min="19" max="19" width="1.6328125" style="2659" customWidth="1"/>
    <col min="20" max="20" width="1" style="2659" customWidth="1"/>
    <col min="21" max="21" width="1.6328125" style="2659" customWidth="1"/>
    <col min="22" max="22" width="12.08984375" style="2659" customWidth="1"/>
    <col min="23" max="23" width="1.6328125" style="2659" customWidth="1"/>
    <col min="24" max="24" width="17" style="2659" bestFit="1" customWidth="1"/>
    <col min="25" max="25" width="1.6328125" style="2659" customWidth="1"/>
    <col min="26" max="26" width="1" style="2659" customWidth="1"/>
    <col min="27" max="27" width="1.6328125" style="2659" customWidth="1"/>
    <col min="28" max="28" width="12.08984375" style="2659" customWidth="1"/>
    <col min="29" max="29" width="1.6328125" style="2659" customWidth="1"/>
    <col min="30" max="30" width="16.1796875" style="2659" bestFit="1" customWidth="1"/>
    <col min="31" max="31" width="1.54296875" style="2659" customWidth="1"/>
    <col min="32" max="32" width="0.453125" style="2659" customWidth="1"/>
    <col min="33" max="33" width="1.54296875" style="2659" customWidth="1"/>
    <col min="34" max="34" width="14.54296875" style="2659" bestFit="1" customWidth="1"/>
    <col min="35" max="35" width="1.6328125" style="2659" customWidth="1"/>
    <col min="36" max="36" width="13.36328125" style="2659" customWidth="1"/>
    <col min="37" max="37" width="2.1796875" style="2659" customWidth="1"/>
    <col min="38" max="38" width="1.6328125" style="2659" customWidth="1"/>
    <col min="39" max="16384" width="9.6328125" style="2659"/>
  </cols>
  <sheetData>
    <row r="1" spans="1:38" s="2998" customFormat="1" ht="15">
      <c r="A1" s="1184" t="s">
        <v>1217</v>
      </c>
    </row>
    <row r="2" spans="1:38" s="2657" customFormat="1">
      <c r="A2" s="3002"/>
      <c r="B2" s="3003"/>
      <c r="C2" s="3003"/>
      <c r="D2" s="3003"/>
      <c r="E2" s="3003"/>
      <c r="F2" s="3003"/>
      <c r="G2" s="3003"/>
      <c r="H2" s="3003"/>
      <c r="I2" s="3003"/>
      <c r="J2" s="3003"/>
      <c r="K2" s="3003"/>
      <c r="L2" s="3003"/>
      <c r="M2" s="3003"/>
      <c r="N2" s="3003"/>
      <c r="O2" s="3003"/>
      <c r="P2" s="3003"/>
      <c r="Q2" s="3003"/>
      <c r="R2" s="3003"/>
      <c r="S2" s="3003"/>
      <c r="T2" s="3003"/>
      <c r="U2" s="3003"/>
      <c r="V2" s="3003"/>
      <c r="W2" s="3003"/>
      <c r="X2" s="3003"/>
      <c r="Y2" s="3003"/>
      <c r="Z2" s="3003"/>
      <c r="AA2" s="3003"/>
      <c r="AB2" s="3003"/>
      <c r="AC2" s="3003"/>
      <c r="AD2" s="3003"/>
      <c r="AE2" s="3003"/>
      <c r="AF2" s="3003"/>
      <c r="AG2" s="3003"/>
      <c r="AH2" s="3003"/>
    </row>
    <row r="3" spans="1:38" ht="17.399999999999999">
      <c r="A3" s="3004" t="s">
        <v>0</v>
      </c>
      <c r="B3" s="3005"/>
      <c r="C3" s="3005"/>
      <c r="D3" s="3005"/>
      <c r="E3" s="3005"/>
      <c r="F3" s="3005"/>
      <c r="G3" s="3005"/>
      <c r="H3" s="3005"/>
      <c r="I3" s="3005"/>
      <c r="J3" s="3005"/>
      <c r="K3" s="3005"/>
      <c r="L3" s="3006"/>
      <c r="M3" s="3006"/>
      <c r="N3" s="3006"/>
      <c r="O3" s="3006"/>
      <c r="P3" s="3005"/>
      <c r="Q3" s="3005"/>
      <c r="R3" s="3005"/>
      <c r="S3" s="3006"/>
      <c r="T3" s="3005"/>
      <c r="U3" s="3006"/>
      <c r="V3" s="3006"/>
      <c r="W3" s="3006"/>
      <c r="X3" s="3006"/>
      <c r="Y3" s="3006"/>
      <c r="Z3" s="3006"/>
      <c r="AA3" s="3006"/>
      <c r="AB3" s="3006"/>
      <c r="AC3" s="3006"/>
      <c r="AD3" s="3006"/>
      <c r="AE3" s="3006"/>
      <c r="AF3" s="3005"/>
      <c r="AG3" s="3005"/>
      <c r="AH3" s="2658"/>
      <c r="AI3" s="2658"/>
    </row>
    <row r="4" spans="1:38" ht="17.399999999999999">
      <c r="A4" s="3007" t="s">
        <v>1</v>
      </c>
      <c r="B4" s="3005"/>
      <c r="C4" s="3005"/>
      <c r="D4" s="3005"/>
      <c r="E4" s="3005"/>
      <c r="F4" s="3005"/>
      <c r="G4" s="3005"/>
      <c r="H4" s="3005"/>
      <c r="I4" s="3005"/>
      <c r="J4" s="3005"/>
      <c r="K4" s="3005"/>
      <c r="L4" s="3006"/>
      <c r="M4" s="3006"/>
      <c r="N4" s="3006"/>
      <c r="O4" s="3006"/>
      <c r="P4" s="3005"/>
      <c r="Q4" s="3005"/>
      <c r="R4" s="3005"/>
      <c r="S4" s="3006"/>
      <c r="T4" s="3005"/>
      <c r="U4" s="3006"/>
      <c r="V4" s="3006"/>
      <c r="W4" s="3006"/>
      <c r="X4" s="3006"/>
      <c r="Y4" s="3006"/>
      <c r="Z4" s="3006"/>
      <c r="AA4" s="3006"/>
      <c r="AB4" s="3006"/>
      <c r="AC4" s="3006"/>
      <c r="AD4" s="3006"/>
      <c r="AE4" s="3006"/>
      <c r="AF4" s="3005"/>
      <c r="AG4" s="3005"/>
      <c r="AH4" s="2658"/>
      <c r="AI4" s="2658"/>
    </row>
    <row r="5" spans="1:38" ht="17.399999999999999">
      <c r="A5" s="3004" t="s">
        <v>1630</v>
      </c>
      <c r="B5" s="3005"/>
      <c r="C5" s="3005"/>
      <c r="D5" s="3005"/>
      <c r="E5" s="3005"/>
      <c r="F5" s="3005"/>
      <c r="G5" s="3005"/>
      <c r="H5" s="3006"/>
      <c r="I5" s="3006"/>
      <c r="J5" s="3006"/>
      <c r="K5" s="3005"/>
      <c r="L5" s="3006"/>
      <c r="M5" s="3006"/>
      <c r="N5" s="3006"/>
      <c r="O5" s="3006"/>
      <c r="P5" s="3005"/>
      <c r="Q5" s="3005"/>
      <c r="R5" s="3005"/>
      <c r="S5" s="3006"/>
      <c r="T5" s="3005"/>
      <c r="U5" s="3006"/>
      <c r="V5" s="3006"/>
      <c r="W5" s="3006"/>
      <c r="X5" s="3006"/>
      <c r="Y5" s="3006"/>
      <c r="Z5" s="3006"/>
      <c r="AA5" s="3006"/>
      <c r="AB5" s="3006"/>
      <c r="AC5" s="3006"/>
      <c r="AD5" s="3006"/>
      <c r="AE5" s="3006"/>
      <c r="AF5" s="3005"/>
      <c r="AG5" s="3005"/>
      <c r="AH5" s="2658"/>
      <c r="AI5" s="2658"/>
    </row>
    <row r="6" spans="1:38" ht="14.1" customHeight="1">
      <c r="A6" s="3004" t="s">
        <v>1103</v>
      </c>
      <c r="B6" s="3005"/>
      <c r="C6" s="3005"/>
      <c r="D6" s="3005"/>
      <c r="E6" s="3005"/>
      <c r="F6" s="3005"/>
      <c r="G6" s="3005"/>
      <c r="H6" s="3005"/>
      <c r="I6" s="3005"/>
      <c r="J6" s="3005"/>
      <c r="K6" s="3005"/>
      <c r="L6" s="3006"/>
      <c r="M6" s="3006"/>
      <c r="N6" s="3006"/>
      <c r="O6" s="3006"/>
      <c r="P6" s="3005"/>
      <c r="Q6" s="3005"/>
      <c r="R6" s="3005"/>
      <c r="S6" s="3006"/>
      <c r="T6" s="3005"/>
      <c r="U6" s="3006"/>
      <c r="V6" s="3006"/>
      <c r="W6" s="3006"/>
      <c r="X6" s="3006"/>
      <c r="Y6" s="3006"/>
      <c r="Z6" s="3006"/>
      <c r="AA6" s="3006"/>
      <c r="AB6" s="3006"/>
      <c r="AC6" s="3006"/>
      <c r="AD6" s="3006"/>
      <c r="AE6" s="3006"/>
      <c r="AF6" s="3005"/>
      <c r="AG6" s="3005"/>
      <c r="AH6" s="2658"/>
      <c r="AI6" s="2658"/>
    </row>
    <row r="7" spans="1:38" ht="17.399999999999999">
      <c r="A7" s="3005"/>
      <c r="B7" s="3005"/>
      <c r="C7" s="3005"/>
      <c r="D7" s="3005"/>
      <c r="E7" s="3005"/>
      <c r="F7" s="3005"/>
      <c r="G7" s="3005"/>
      <c r="H7" s="3005"/>
      <c r="I7" s="3005"/>
      <c r="J7" s="3005"/>
      <c r="K7" s="3005"/>
      <c r="L7" s="3006"/>
      <c r="M7" s="3006"/>
      <c r="N7" s="3006"/>
      <c r="O7" s="3006"/>
      <c r="P7" s="3006"/>
      <c r="Q7" s="3006"/>
      <c r="R7" s="3006"/>
      <c r="S7" s="3006"/>
      <c r="T7" s="3006"/>
      <c r="U7" s="3006"/>
      <c r="V7" s="3006"/>
      <c r="W7" s="3006"/>
      <c r="X7" s="3006"/>
      <c r="Y7" s="3006"/>
      <c r="Z7" s="3006"/>
      <c r="AA7" s="3006"/>
      <c r="AB7" s="3008"/>
      <c r="AC7" s="3008"/>
      <c r="AD7" s="3008"/>
      <c r="AE7" s="3008"/>
      <c r="AF7" s="3005"/>
      <c r="AG7" s="3005"/>
      <c r="AH7" s="2658"/>
      <c r="AI7" s="2658"/>
      <c r="AJ7" s="3009" t="s">
        <v>1134</v>
      </c>
    </row>
    <row r="8" spans="1:38" ht="15.6">
      <c r="A8" s="1270"/>
      <c r="B8" s="1270"/>
      <c r="C8" s="1270"/>
      <c r="D8" s="1270"/>
      <c r="E8" s="1270"/>
      <c r="F8" s="1270"/>
      <c r="G8" s="1270"/>
      <c r="H8" s="1270"/>
      <c r="I8" s="1270"/>
      <c r="J8" s="1270"/>
      <c r="K8" s="1270"/>
      <c r="L8" s="1271"/>
      <c r="M8" s="1271"/>
      <c r="N8" s="1271"/>
      <c r="O8" s="1271"/>
      <c r="P8" s="1271"/>
      <c r="Q8" s="1271"/>
      <c r="R8" s="1271"/>
      <c r="S8" s="1271"/>
      <c r="T8" s="1271"/>
      <c r="U8" s="1271"/>
      <c r="V8" s="1271"/>
      <c r="W8" s="1271"/>
      <c r="X8" s="1271"/>
      <c r="Y8" s="1271"/>
      <c r="Z8" s="1271"/>
      <c r="AA8" s="1271"/>
      <c r="AB8" s="1271"/>
      <c r="AC8" s="1271"/>
      <c r="AD8" s="1271"/>
      <c r="AE8" s="1271"/>
      <c r="AF8" s="1270"/>
      <c r="AG8" s="1270"/>
      <c r="AH8" s="2658"/>
      <c r="AI8" s="2658"/>
    </row>
    <row r="9" spans="1:38" ht="15.6">
      <c r="A9" s="1270"/>
      <c r="B9" s="1270"/>
      <c r="C9" s="1270"/>
      <c r="D9" s="1271"/>
      <c r="E9" s="1271"/>
      <c r="F9" s="1271"/>
      <c r="G9" s="1271"/>
      <c r="H9" s="1271"/>
      <c r="I9" s="1271"/>
      <c r="J9" s="1271"/>
      <c r="K9" s="1271"/>
      <c r="L9" s="1271"/>
      <c r="M9" s="1271"/>
      <c r="N9" s="1271"/>
      <c r="O9" s="1271"/>
      <c r="P9" s="1271"/>
      <c r="Q9" s="1271"/>
      <c r="R9" s="1271"/>
      <c r="S9" s="1271"/>
      <c r="T9" s="1271"/>
      <c r="U9" s="1271"/>
      <c r="V9" s="3010"/>
      <c r="W9" s="3010"/>
      <c r="X9" s="3010"/>
      <c r="Y9" s="3010"/>
      <c r="Z9" s="3010"/>
      <c r="AA9" s="3010"/>
      <c r="AB9" s="3010"/>
      <c r="AC9" s="3010"/>
      <c r="AD9" s="3010"/>
      <c r="AE9" s="3010"/>
      <c r="AF9" s="1271"/>
      <c r="AG9" s="1271"/>
      <c r="AH9" s="3011"/>
      <c r="AI9" s="3011"/>
    </row>
    <row r="10" spans="1:38" ht="3.9" customHeight="1">
      <c r="A10" s="1270"/>
      <c r="B10" s="1270"/>
      <c r="C10" s="1270"/>
      <c r="D10" s="1270"/>
      <c r="E10" s="1270"/>
      <c r="F10" s="1270"/>
      <c r="G10" s="1270"/>
      <c r="H10" s="1270"/>
      <c r="I10" s="1270"/>
      <c r="J10" s="1270"/>
      <c r="K10" s="1270"/>
      <c r="L10" s="1270"/>
      <c r="M10" s="1270"/>
      <c r="N10" s="1270"/>
      <c r="O10" s="1270"/>
      <c r="P10" s="1270"/>
      <c r="Q10" s="1270"/>
      <c r="R10" s="1270"/>
      <c r="S10" s="1270"/>
      <c r="T10" s="1125"/>
      <c r="U10" s="1125"/>
      <c r="V10" s="1270"/>
      <c r="W10" s="1270"/>
      <c r="X10" s="1270"/>
      <c r="Y10" s="1270"/>
      <c r="Z10" s="1270"/>
      <c r="AA10" s="1270"/>
      <c r="AB10" s="1270"/>
      <c r="AC10" s="1270"/>
      <c r="AD10" s="1270"/>
      <c r="AE10" s="1270"/>
      <c r="AF10" s="1270"/>
      <c r="AG10" s="1270"/>
      <c r="AH10" s="2658"/>
      <c r="AI10" s="2658"/>
    </row>
    <row r="11" spans="1:38" ht="15" customHeight="1">
      <c r="A11" s="1270"/>
      <c r="B11" s="1270"/>
      <c r="C11" s="1270"/>
      <c r="D11" s="3012" t="s">
        <v>3</v>
      </c>
      <c r="E11" s="3012"/>
      <c r="F11" s="3012"/>
      <c r="G11" s="1125"/>
      <c r="H11" s="3012" t="s">
        <v>59</v>
      </c>
      <c r="I11" s="3012"/>
      <c r="J11" s="3012"/>
      <c r="K11" s="1125"/>
      <c r="L11" s="3012" t="s">
        <v>5</v>
      </c>
      <c r="M11" s="3012"/>
      <c r="N11" s="3012"/>
      <c r="O11" s="1125"/>
      <c r="P11" s="3012" t="s">
        <v>125</v>
      </c>
      <c r="Q11" s="3012"/>
      <c r="R11" s="3012"/>
      <c r="S11" s="1270"/>
      <c r="T11" s="1125"/>
      <c r="U11" s="1125"/>
      <c r="V11" s="3013" t="s">
        <v>1135</v>
      </c>
      <c r="W11" s="3012"/>
      <c r="X11" s="3012"/>
      <c r="Y11" s="3012"/>
      <c r="Z11" s="3014"/>
      <c r="AA11" s="3014"/>
      <c r="AB11" s="3012"/>
      <c r="AC11" s="3012"/>
      <c r="AD11" s="3012"/>
      <c r="AE11" s="3015"/>
      <c r="AF11" s="3016"/>
      <c r="AG11" s="199"/>
      <c r="AH11" s="3013" t="s">
        <v>1136</v>
      </c>
      <c r="AI11" s="3012"/>
      <c r="AJ11" s="3012"/>
    </row>
    <row r="12" spans="1:38" ht="15.6">
      <c r="A12" s="1270"/>
      <c r="B12" s="1270"/>
      <c r="C12" s="1270"/>
      <c r="D12" s="3017" t="s">
        <v>7</v>
      </c>
      <c r="E12" s="3017"/>
      <c r="F12" s="3018" t="s">
        <v>1660</v>
      </c>
      <c r="G12" s="199"/>
      <c r="H12" s="3017" t="s">
        <v>7</v>
      </c>
      <c r="I12" s="3019"/>
      <c r="J12" s="3020" t="str">
        <f>F12</f>
        <v>9 MOS. ENDED</v>
      </c>
      <c r="K12" s="199"/>
      <c r="L12" s="3017" t="s">
        <v>7</v>
      </c>
      <c r="M12" s="3021"/>
      <c r="N12" s="3020" t="str">
        <f>F12</f>
        <v>9 MOS. ENDED</v>
      </c>
      <c r="O12" s="199"/>
      <c r="P12" s="3017" t="s">
        <v>7</v>
      </c>
      <c r="Q12" s="3019"/>
      <c r="R12" s="3020" t="str">
        <f>F12</f>
        <v>9 MOS. ENDED</v>
      </c>
      <c r="S12" s="1271"/>
      <c r="T12" s="199"/>
      <c r="U12" s="199"/>
      <c r="V12" s="3017" t="s">
        <v>7</v>
      </c>
      <c r="W12" s="3017"/>
      <c r="X12" s="3017" t="str">
        <f>F12</f>
        <v>9 MOS. ENDED</v>
      </c>
      <c r="Y12" s="3017"/>
      <c r="Z12" s="3022"/>
      <c r="AA12" s="3022"/>
      <c r="AB12" s="3017" t="s">
        <v>7</v>
      </c>
      <c r="AC12" s="3017"/>
      <c r="AD12" s="3020" t="str">
        <f>F12</f>
        <v>9 MOS. ENDED</v>
      </c>
      <c r="AE12" s="3023"/>
      <c r="AF12" s="3022"/>
      <c r="AG12" s="3024"/>
      <c r="AH12" s="3025" t="s">
        <v>8</v>
      </c>
      <c r="AI12" s="3026"/>
      <c r="AJ12" s="3025" t="s">
        <v>9</v>
      </c>
      <c r="AK12" s="2660"/>
      <c r="AL12" s="2658"/>
    </row>
    <row r="13" spans="1:38" ht="15.6">
      <c r="A13" s="1270"/>
      <c r="B13" s="1270"/>
      <c r="C13" s="1270"/>
      <c r="D13" s="3027" t="s">
        <v>1659</v>
      </c>
      <c r="E13" s="3028"/>
      <c r="F13" s="3027" t="s">
        <v>1661</v>
      </c>
      <c r="G13" s="1271"/>
      <c r="H13" s="3029" t="str">
        <f>D13</f>
        <v>DEC. 2015</v>
      </c>
      <c r="I13" s="3028"/>
      <c r="J13" s="3029" t="str">
        <f>F13</f>
        <v>DEC. 31, 2015</v>
      </c>
      <c r="K13" s="1271"/>
      <c r="L13" s="3029" t="str">
        <f>D13</f>
        <v>DEC. 2015</v>
      </c>
      <c r="M13" s="3028"/>
      <c r="N13" s="3029" t="str">
        <f>F13</f>
        <v>DEC. 31, 2015</v>
      </c>
      <c r="O13" s="1271"/>
      <c r="P13" s="3029" t="str">
        <f>D13</f>
        <v>DEC. 2015</v>
      </c>
      <c r="Q13" s="3028"/>
      <c r="R13" s="3029" t="str">
        <f>F13</f>
        <v>DEC. 31, 2015</v>
      </c>
      <c r="S13" s="1271"/>
      <c r="T13" s="199"/>
      <c r="U13" s="199"/>
      <c r="V13" s="3030" t="str">
        <f>D13</f>
        <v>DEC. 2015</v>
      </c>
      <c r="W13" s="3031"/>
      <c r="X13" s="3030" t="str">
        <f>F13</f>
        <v>DEC. 31, 2015</v>
      </c>
      <c r="Y13" s="3031"/>
      <c r="Z13" s="3032"/>
      <c r="AA13" s="3032"/>
      <c r="AB13" s="3033" t="s">
        <v>1655</v>
      </c>
      <c r="AC13" s="3034"/>
      <c r="AD13" s="3033" t="s">
        <v>1656</v>
      </c>
      <c r="AE13" s="3034"/>
      <c r="AF13" s="3032"/>
      <c r="AG13" s="3031"/>
      <c r="AH13" s="3027" t="s">
        <v>13</v>
      </c>
      <c r="AI13" s="3028"/>
      <c r="AJ13" s="3027" t="s">
        <v>14</v>
      </c>
      <c r="AK13" s="2660"/>
      <c r="AL13" s="2661"/>
    </row>
    <row r="14" spans="1:38" ht="15">
      <c r="A14" s="1270"/>
      <c r="B14" s="1270"/>
      <c r="C14" s="1270"/>
      <c r="D14" s="1125"/>
      <c r="E14" s="1125"/>
      <c r="F14" s="1125"/>
      <c r="G14" s="1270"/>
      <c r="H14" s="1125"/>
      <c r="I14" s="1125"/>
      <c r="J14" s="1125"/>
      <c r="K14" s="1270"/>
      <c r="L14" s="1125"/>
      <c r="M14" s="1125"/>
      <c r="N14" s="1125"/>
      <c r="O14" s="1270"/>
      <c r="P14" s="1125"/>
      <c r="Q14" s="1125"/>
      <c r="R14" s="1125"/>
      <c r="S14" s="1270"/>
      <c r="T14" s="3035"/>
      <c r="U14" s="3035"/>
      <c r="V14" s="3036"/>
      <c r="W14" s="1125"/>
      <c r="X14" s="3036"/>
      <c r="Y14" s="1125"/>
      <c r="Z14" s="3037"/>
      <c r="AA14" s="1125"/>
      <c r="AB14" s="3036"/>
      <c r="AC14" s="1125"/>
      <c r="AD14" s="3036"/>
      <c r="AE14" s="1125"/>
      <c r="AF14" s="3038"/>
      <c r="AG14" s="1125"/>
      <c r="AH14" s="1186"/>
      <c r="AI14" s="1186"/>
      <c r="AJ14" s="3039"/>
      <c r="AK14" s="2658"/>
      <c r="AL14" s="2658"/>
    </row>
    <row r="15" spans="1:38" ht="18" customHeight="1">
      <c r="A15" s="3040" t="s">
        <v>1469</v>
      </c>
      <c r="B15" s="3041"/>
      <c r="C15" s="3041"/>
      <c r="D15" s="1270"/>
      <c r="E15" s="1270"/>
      <c r="F15" s="1270"/>
      <c r="G15" s="1270"/>
      <c r="H15" s="1270"/>
      <c r="I15" s="1270"/>
      <c r="J15" s="1270"/>
      <c r="K15" s="1270"/>
      <c r="L15" s="1270"/>
      <c r="M15" s="1270"/>
      <c r="N15" s="1270"/>
      <c r="O15" s="1270"/>
      <c r="P15" s="1270"/>
      <c r="Q15" s="1270"/>
      <c r="R15" s="1270"/>
      <c r="S15" s="1270"/>
      <c r="T15" s="3035"/>
      <c r="U15" s="3035"/>
      <c r="V15" s="1270"/>
      <c r="W15" s="1270"/>
      <c r="X15" s="1270"/>
      <c r="Y15" s="1270"/>
      <c r="Z15" s="3037"/>
      <c r="AA15" s="1125"/>
      <c r="AB15" s="1270"/>
      <c r="AC15" s="1270"/>
      <c r="AD15" s="1270"/>
      <c r="AE15" s="1270"/>
      <c r="AF15" s="3038"/>
      <c r="AG15" s="1270"/>
      <c r="AH15" s="1184"/>
      <c r="AI15" s="1184"/>
      <c r="AJ15" s="3039"/>
      <c r="AK15" s="2658"/>
      <c r="AL15" s="2658"/>
    </row>
    <row r="16" spans="1:38" ht="18" customHeight="1">
      <c r="A16" s="3041" t="s">
        <v>1137</v>
      </c>
      <c r="B16" s="3041"/>
      <c r="C16" s="1185"/>
      <c r="D16" s="2662">
        <v>3695.5999999999985</v>
      </c>
      <c r="E16" s="3042"/>
      <c r="F16" s="2662">
        <v>24601.1</v>
      </c>
      <c r="G16" s="3042"/>
      <c r="H16" s="1272">
        <v>0</v>
      </c>
      <c r="I16" s="3042"/>
      <c r="J16" s="1272">
        <v>0</v>
      </c>
      <c r="K16" s="3042"/>
      <c r="L16" s="1272">
        <v>0</v>
      </c>
      <c r="M16" s="3042"/>
      <c r="N16" s="1272">
        <v>0</v>
      </c>
      <c r="O16" s="3042"/>
      <c r="P16" s="1272">
        <v>0</v>
      </c>
      <c r="Q16" s="3042"/>
      <c r="R16" s="1272">
        <v>0</v>
      </c>
      <c r="S16" s="1273"/>
      <c r="T16" s="3043"/>
      <c r="U16" s="3044"/>
      <c r="V16" s="3045">
        <f>SUM(D16)+SUM(H16)+SUM(L16)+SUM(P16)</f>
        <v>3695.5999999999985</v>
      </c>
      <c r="W16" s="3042"/>
      <c r="X16" s="3045">
        <f>SUM(F16)+SUM(J16)+SUM(N16)+SUM(R16)</f>
        <v>24601.1</v>
      </c>
      <c r="Y16" s="3046"/>
      <c r="Z16" s="3047"/>
      <c r="AA16" s="3042"/>
      <c r="AB16" s="3048">
        <v>3664</v>
      </c>
      <c r="AC16" s="3042"/>
      <c r="AD16" s="3048">
        <v>23385.9</v>
      </c>
      <c r="AE16" s="3048"/>
      <c r="AF16" s="3049"/>
      <c r="AG16" s="3046"/>
      <c r="AH16" s="3050">
        <f>ROUND(SUM(X16)-SUM(AD16),1)</f>
        <v>1215.2</v>
      </c>
      <c r="AI16" s="1133"/>
      <c r="AJ16" s="3051">
        <f>ROUND(AH16/AD16,3)</f>
        <v>5.1999999999999998E-2</v>
      </c>
      <c r="AK16" s="2663"/>
      <c r="AL16" s="2658"/>
    </row>
    <row r="17" spans="1:38" ht="18" customHeight="1">
      <c r="A17" s="3052" t="s">
        <v>1213</v>
      </c>
      <c r="B17" s="3041"/>
      <c r="C17" s="2664"/>
      <c r="D17" s="1138">
        <v>1471.8000000000011</v>
      </c>
      <c r="E17" s="1137"/>
      <c r="F17" s="1138">
        <v>12119.1</v>
      </c>
      <c r="G17" s="1137"/>
      <c r="H17" s="1142">
        <v>0</v>
      </c>
      <c r="I17" s="3053"/>
      <c r="J17" s="2665">
        <v>0</v>
      </c>
      <c r="K17" s="1137"/>
      <c r="L17" s="1142">
        <v>0</v>
      </c>
      <c r="M17" s="3053"/>
      <c r="N17" s="1143">
        <v>0</v>
      </c>
      <c r="O17" s="1137"/>
      <c r="P17" s="1142">
        <v>0</v>
      </c>
      <c r="Q17" s="3053"/>
      <c r="R17" s="1143">
        <v>0</v>
      </c>
      <c r="S17" s="1137"/>
      <c r="T17" s="3054"/>
      <c r="U17" s="3054"/>
      <c r="V17" s="3055">
        <f>SUM(D17)+SUM(H17)+SUM(L17)+SUM(P17)</f>
        <v>1471.8000000000011</v>
      </c>
      <c r="W17" s="1139"/>
      <c r="X17" s="3055">
        <f>SUM(F17)+SUM(J17)+SUM(N17)+SUM(R17)</f>
        <v>12119.1</v>
      </c>
      <c r="Y17" s="3056"/>
      <c r="Z17" s="3057"/>
      <c r="AA17" s="1119"/>
      <c r="AB17" s="3053">
        <v>1336.9000000000015</v>
      </c>
      <c r="AC17" s="1118"/>
      <c r="AD17" s="3053">
        <v>10006.700000000001</v>
      </c>
      <c r="AE17" s="3053"/>
      <c r="AF17" s="3058"/>
      <c r="AG17" s="3056"/>
      <c r="AH17" s="3059">
        <f>ROUND(SUM(X17)-SUM(AD17),1)</f>
        <v>2112.4</v>
      </c>
      <c r="AI17" s="3060"/>
      <c r="AJ17" s="3061">
        <f>ROUND(AH17/AD17,3)</f>
        <v>0.21099999999999999</v>
      </c>
      <c r="AK17" s="2663"/>
      <c r="AL17" s="2658"/>
    </row>
    <row r="18" spans="1:38" ht="18" customHeight="1">
      <c r="A18" s="3041" t="s">
        <v>1138</v>
      </c>
      <c r="B18" s="3041" t="s">
        <v>16</v>
      </c>
      <c r="C18" s="3041"/>
      <c r="D18" s="1138">
        <v>32.5</v>
      </c>
      <c r="E18" s="1137"/>
      <c r="F18" s="1138">
        <v>2425.8000000000002</v>
      </c>
      <c r="G18" s="1137"/>
      <c r="H18" s="1142">
        <v>0</v>
      </c>
      <c r="I18" s="3053"/>
      <c r="J18" s="2665">
        <v>0</v>
      </c>
      <c r="K18" s="1137"/>
      <c r="L18" s="1142">
        <v>0</v>
      </c>
      <c r="M18" s="3053"/>
      <c r="N18" s="1143">
        <v>0</v>
      </c>
      <c r="O18" s="1137"/>
      <c r="P18" s="1142">
        <v>0</v>
      </c>
      <c r="Q18" s="3053"/>
      <c r="R18" s="1143">
        <v>0</v>
      </c>
      <c r="S18" s="1137"/>
      <c r="T18" s="3054"/>
      <c r="U18" s="3054"/>
      <c r="V18" s="3055">
        <f>SUM(D18)+SUM(H18)+SUM(L18)+SUM(P18)</f>
        <v>32.5</v>
      </c>
      <c r="W18" s="1139"/>
      <c r="X18" s="3055">
        <f>SUM(F18)+SUM(J18)+SUM(N18)+SUM(R18)</f>
        <v>2425.8000000000002</v>
      </c>
      <c r="Y18" s="3056"/>
      <c r="Z18" s="3057"/>
      <c r="AA18" s="1119"/>
      <c r="AB18" s="3053">
        <v>34.300000000000182</v>
      </c>
      <c r="AC18" s="1118"/>
      <c r="AD18" s="3053">
        <v>2050.4</v>
      </c>
      <c r="AE18" s="3053"/>
      <c r="AF18" s="3058"/>
      <c r="AG18" s="3056"/>
      <c r="AH18" s="3059">
        <f>ROUND(SUM(X18)-SUM(AD18),1)</f>
        <v>375.4</v>
      </c>
      <c r="AI18" s="3060"/>
      <c r="AJ18" s="3061">
        <f>ROUND(AH18/AD18,3)</f>
        <v>0.183</v>
      </c>
      <c r="AK18" s="2663"/>
      <c r="AL18" s="2658"/>
    </row>
    <row r="19" spans="1:38" ht="18" customHeight="1">
      <c r="A19" s="3052" t="s">
        <v>1139</v>
      </c>
      <c r="B19" s="3041"/>
      <c r="C19" s="3041"/>
      <c r="D19" s="1138">
        <v>-13</v>
      </c>
      <c r="E19" s="1137"/>
      <c r="F19" s="1138">
        <v>-603.6</v>
      </c>
      <c r="G19" s="1137"/>
      <c r="H19" s="1142">
        <v>0</v>
      </c>
      <c r="I19" s="3053"/>
      <c r="J19" s="2665">
        <v>0</v>
      </c>
      <c r="K19" s="1137"/>
      <c r="L19" s="1142">
        <v>0</v>
      </c>
      <c r="M19" s="3053"/>
      <c r="N19" s="1143">
        <v>0</v>
      </c>
      <c r="O19" s="1137"/>
      <c r="P19" s="1142">
        <v>0</v>
      </c>
      <c r="Q19" s="3053"/>
      <c r="R19" s="1143">
        <v>0</v>
      </c>
      <c r="S19" s="1137"/>
      <c r="T19" s="3054"/>
      <c r="U19" s="3054"/>
      <c r="V19" s="3055">
        <f>SUM(D19)+SUM(H19)+SUM(L19)+SUM(P19)</f>
        <v>-13</v>
      </c>
      <c r="W19" s="1139"/>
      <c r="X19" s="3055">
        <f>SUM(F19)+SUM(J19)+SUM(N19)+SUM(R19)</f>
        <v>-603.6</v>
      </c>
      <c r="Y19" s="3056"/>
      <c r="Z19" s="3057"/>
      <c r="AA19" s="1119"/>
      <c r="AB19" s="3062">
        <v>-15.399999999999977</v>
      </c>
      <c r="AC19" s="1118"/>
      <c r="AD19" s="3053">
        <v>-518</v>
      </c>
      <c r="AE19" s="3053"/>
      <c r="AF19" s="3058"/>
      <c r="AG19" s="3056"/>
      <c r="AH19" s="3059">
        <f>-ROUND(SUM(X19)-SUM(AD19),1)</f>
        <v>85.6</v>
      </c>
      <c r="AI19" s="3060"/>
      <c r="AJ19" s="3061">
        <f>-ROUND(AH19/AD19,3)</f>
        <v>0.16500000000000001</v>
      </c>
      <c r="AK19" s="2663"/>
      <c r="AL19" s="2658"/>
    </row>
    <row r="20" spans="1:38" ht="18" customHeight="1">
      <c r="A20" s="3052" t="s">
        <v>1140</v>
      </c>
      <c r="B20" s="3041" t="s">
        <v>16</v>
      </c>
      <c r="C20" s="3041"/>
      <c r="D20" s="1138">
        <v>103.79999999999995</v>
      </c>
      <c r="E20" s="1137"/>
      <c r="F20" s="3063">
        <v>861</v>
      </c>
      <c r="G20" s="1137"/>
      <c r="H20" s="1142">
        <v>0</v>
      </c>
      <c r="I20" s="3053"/>
      <c r="J20" s="2665">
        <v>0</v>
      </c>
      <c r="K20" s="1137"/>
      <c r="L20" s="1142">
        <v>0</v>
      </c>
      <c r="M20" s="3053"/>
      <c r="N20" s="1143">
        <v>0</v>
      </c>
      <c r="O20" s="1137"/>
      <c r="P20" s="1142">
        <v>0</v>
      </c>
      <c r="Q20" s="3053"/>
      <c r="R20" s="1143">
        <v>0</v>
      </c>
      <c r="S20" s="1137"/>
      <c r="T20" s="3054"/>
      <c r="U20" s="3054"/>
      <c r="V20" s="3055">
        <f>SUM(D20)+SUM(H20)+SUM(L20)+SUM(P20)</f>
        <v>103.79999999999995</v>
      </c>
      <c r="W20" s="1139"/>
      <c r="X20" s="3055">
        <f>SUM(F20)+SUM(J20)+SUM(N20)+SUM(R20)</f>
        <v>861</v>
      </c>
      <c r="Y20" s="3056"/>
      <c r="Z20" s="3057"/>
      <c r="AA20" s="1119"/>
      <c r="AB20" s="3053">
        <v>100.89999999999998</v>
      </c>
      <c r="AC20" s="1118"/>
      <c r="AD20" s="3053">
        <v>836.8</v>
      </c>
      <c r="AE20" s="3053"/>
      <c r="AF20" s="3058"/>
      <c r="AG20" s="3056"/>
      <c r="AH20" s="3064">
        <f>ROUND(SUM(X20)-SUM(AD20),1)</f>
        <v>24.2</v>
      </c>
      <c r="AI20" s="3060"/>
      <c r="AJ20" s="3065">
        <f>ROUND(AH20/AD20,3)</f>
        <v>2.9000000000000001E-2</v>
      </c>
      <c r="AK20" s="2663"/>
      <c r="AL20" s="2658"/>
    </row>
    <row r="21" spans="1:38" s="2670" customFormat="1" ht="18" customHeight="1">
      <c r="A21" s="3040" t="s">
        <v>1141</v>
      </c>
      <c r="B21" s="3040"/>
      <c r="C21" s="3040"/>
      <c r="D21" s="3066">
        <f>ROUND(SUM(D16:D20),1)</f>
        <v>5290.7</v>
      </c>
      <c r="E21" s="186"/>
      <c r="F21" s="3066">
        <f>ROUND(SUM(F16:F20),1)</f>
        <v>39403.4</v>
      </c>
      <c r="G21" s="184"/>
      <c r="H21" s="3066">
        <f>ROUND(SUM(H16:H20),1)</f>
        <v>0</v>
      </c>
      <c r="I21" s="3067"/>
      <c r="J21" s="3066">
        <f>ROUND(SUM(J16:J20),1)</f>
        <v>0</v>
      </c>
      <c r="K21" s="184"/>
      <c r="L21" s="3066">
        <f>ROUND(SUM(L16:L20),1)</f>
        <v>0</v>
      </c>
      <c r="M21" s="3067"/>
      <c r="N21" s="3066">
        <f>ROUND(SUM(N16:N20),1)</f>
        <v>0</v>
      </c>
      <c r="O21" s="184"/>
      <c r="P21" s="3066">
        <f>ROUND(SUM(P16:P20),1)</f>
        <v>0</v>
      </c>
      <c r="Q21" s="3067"/>
      <c r="R21" s="3066">
        <f>ROUND(SUM(R16:R20),1)</f>
        <v>0</v>
      </c>
      <c r="S21" s="184"/>
      <c r="T21" s="3068"/>
      <c r="U21" s="3068"/>
      <c r="V21" s="3069">
        <f>ROUND(SUM(V16:V20),1)</f>
        <v>5290.7</v>
      </c>
      <c r="W21" s="186"/>
      <c r="X21" s="3069">
        <f>ROUND(SUM(X16:X20),1)</f>
        <v>39403.4</v>
      </c>
      <c r="Y21" s="3070"/>
      <c r="Z21" s="3071"/>
      <c r="AA21" s="186"/>
      <c r="AB21" s="3069">
        <f>ROUND(SUM(AB16:AB20),1)</f>
        <v>5120.7</v>
      </c>
      <c r="AC21" s="184"/>
      <c r="AD21" s="3069">
        <f>ROUND(SUM(AD16:AD20),1)</f>
        <v>35761.800000000003</v>
      </c>
      <c r="AE21" s="3072"/>
      <c r="AF21" s="3073"/>
      <c r="AG21" s="3070"/>
      <c r="AH21" s="3074">
        <f>ROUND(SUM(X21)-SUM(AD21),1)</f>
        <v>3641.6</v>
      </c>
      <c r="AI21" s="28"/>
      <c r="AJ21" s="3075">
        <f>ROUND(AH21/AD21,3)</f>
        <v>0.10199999999999999</v>
      </c>
      <c r="AK21" s="2668"/>
      <c r="AL21" s="2669"/>
    </row>
    <row r="22" spans="1:38" ht="18" customHeight="1">
      <c r="A22" s="3052" t="s">
        <v>1142</v>
      </c>
      <c r="B22" s="3041"/>
      <c r="C22" s="3041"/>
      <c r="D22" s="2671">
        <v>-125</v>
      </c>
      <c r="E22" s="3053"/>
      <c r="F22" s="1138">
        <v>-774.5</v>
      </c>
      <c r="G22" s="1118"/>
      <c r="H22" s="1138">
        <v>125</v>
      </c>
      <c r="I22" s="3053"/>
      <c r="J22" s="3076">
        <v>774.5</v>
      </c>
      <c r="K22" s="1118"/>
      <c r="L22" s="3077">
        <v>0</v>
      </c>
      <c r="M22" s="3053"/>
      <c r="N22" s="3078">
        <v>0</v>
      </c>
      <c r="O22" s="1118"/>
      <c r="P22" s="3077">
        <v>0</v>
      </c>
      <c r="Q22" s="3053"/>
      <c r="R22" s="3078">
        <v>0</v>
      </c>
      <c r="S22" s="1118"/>
      <c r="T22" s="3079"/>
      <c r="U22" s="3079"/>
      <c r="V22" s="3077">
        <v>0</v>
      </c>
      <c r="W22" s="1119"/>
      <c r="X22" s="3077">
        <v>0</v>
      </c>
      <c r="Y22" s="3056"/>
      <c r="Z22" s="3057"/>
      <c r="AA22" s="1119"/>
      <c r="AB22" s="3080">
        <v>0</v>
      </c>
      <c r="AC22" s="1119"/>
      <c r="AD22" s="3080">
        <v>0</v>
      </c>
      <c r="AE22" s="1141"/>
      <c r="AF22" s="3058"/>
      <c r="AG22" s="3056"/>
      <c r="AH22" s="2665">
        <f>ROUND(SUM(X22)-SUM(AD22),1)</f>
        <v>0</v>
      </c>
      <c r="AI22" s="3060"/>
      <c r="AJ22" s="1864">
        <f>ROUND(IF(AD22=0,0,AH22/(AD22)),3)</f>
        <v>0</v>
      </c>
      <c r="AK22" s="2673"/>
      <c r="AL22" s="2658"/>
    </row>
    <row r="23" spans="1:38" ht="18" customHeight="1">
      <c r="A23" s="3052" t="s">
        <v>1143</v>
      </c>
      <c r="B23" s="3041"/>
      <c r="C23" s="3041"/>
      <c r="D23" s="1138">
        <v>-1248.9000000000005</v>
      </c>
      <c r="E23" s="1137"/>
      <c r="F23" s="1138">
        <v>-8505.1</v>
      </c>
      <c r="G23" s="1118"/>
      <c r="H23" s="1142">
        <v>0</v>
      </c>
      <c r="I23" s="3053"/>
      <c r="J23" s="2665">
        <v>0</v>
      </c>
      <c r="K23" s="1118"/>
      <c r="L23" s="3059">
        <v>1248.9000000000005</v>
      </c>
      <c r="M23" s="3053"/>
      <c r="N23" s="3059">
        <v>8505.1</v>
      </c>
      <c r="O23" s="1118"/>
      <c r="P23" s="1142">
        <v>0</v>
      </c>
      <c r="Q23" s="3053"/>
      <c r="R23" s="1143">
        <v>0</v>
      </c>
      <c r="S23" s="1118"/>
      <c r="T23" s="3079"/>
      <c r="U23" s="3079"/>
      <c r="V23" s="1142">
        <v>0</v>
      </c>
      <c r="W23" s="1119"/>
      <c r="X23" s="1142">
        <v>0</v>
      </c>
      <c r="Y23" s="3056"/>
      <c r="Z23" s="3057"/>
      <c r="AA23" s="1119"/>
      <c r="AB23" s="2671">
        <v>0</v>
      </c>
      <c r="AC23" s="1119"/>
      <c r="AD23" s="2671">
        <v>0</v>
      </c>
      <c r="AE23" s="1141"/>
      <c r="AF23" s="3058"/>
      <c r="AG23" s="3056"/>
      <c r="AH23" s="2665">
        <f>ROUND(SUM(X23)-SUM(AD23),1)</f>
        <v>0</v>
      </c>
      <c r="AI23" s="3060"/>
      <c r="AJ23" s="1864">
        <f>ROUND(IF(AD23=0,0,AH23/(AD23)),3)</f>
        <v>0</v>
      </c>
      <c r="AK23" s="2673"/>
      <c r="AL23" s="2658"/>
    </row>
    <row r="24" spans="1:38" ht="18" customHeight="1">
      <c r="A24" s="3041" t="s">
        <v>1144</v>
      </c>
      <c r="B24" s="3041"/>
      <c r="C24" s="3041"/>
      <c r="D24" s="1138">
        <v>-295.09999999999945</v>
      </c>
      <c r="E24" s="1139"/>
      <c r="F24" s="1138">
        <v>-5382.9</v>
      </c>
      <c r="G24" s="1137"/>
      <c r="H24" s="1142">
        <v>0</v>
      </c>
      <c r="I24" s="3053"/>
      <c r="J24" s="2665">
        <v>0</v>
      </c>
      <c r="K24" s="1137"/>
      <c r="L24" s="1142">
        <v>0</v>
      </c>
      <c r="M24" s="3053"/>
      <c r="N24" s="1143">
        <v>0</v>
      </c>
      <c r="O24" s="1137"/>
      <c r="P24" s="1142">
        <v>0</v>
      </c>
      <c r="Q24" s="3053"/>
      <c r="R24" s="1143">
        <v>0</v>
      </c>
      <c r="S24" s="1137"/>
      <c r="T24" s="3054"/>
      <c r="U24" s="3054"/>
      <c r="V24" s="3055">
        <f>SUM(D24)+SUM(H24)+SUM(L24)+SUM(P24)</f>
        <v>-295.09999999999945</v>
      </c>
      <c r="W24" s="1139"/>
      <c r="X24" s="3055">
        <f>SUM(F24)+SUM(J24)+SUM(N24)+SUM(R24)</f>
        <v>-5382.9</v>
      </c>
      <c r="Y24" s="3056"/>
      <c r="Z24" s="3057"/>
      <c r="AA24" s="1119"/>
      <c r="AB24" s="3062">
        <v>-157</v>
      </c>
      <c r="AC24" s="1118"/>
      <c r="AD24" s="3062">
        <v>-5587.7</v>
      </c>
      <c r="AE24" s="3053"/>
      <c r="AF24" s="3058"/>
      <c r="AG24" s="3056"/>
      <c r="AH24" s="3059">
        <f>-ROUND(SUM(X24)-SUM(AD24),1)</f>
        <v>-204.8</v>
      </c>
      <c r="AI24" s="3060"/>
      <c r="AJ24" s="3081">
        <f>-ROUND(AH24/AD24,3)</f>
        <v>-3.6999999999999998E-2</v>
      </c>
      <c r="AK24" s="2663"/>
      <c r="AL24" s="2658"/>
    </row>
    <row r="25" spans="1:38" ht="18" customHeight="1">
      <c r="A25" s="3082" t="s">
        <v>1145</v>
      </c>
      <c r="B25" s="3041"/>
      <c r="C25" s="3041"/>
      <c r="D25" s="3083">
        <f>ROUND(SUM(D21:D24),1)</f>
        <v>3621.7</v>
      </c>
      <c r="E25" s="186"/>
      <c r="F25" s="3083">
        <f>ROUND(SUM(F21:F24),1)</f>
        <v>24740.9</v>
      </c>
      <c r="G25" s="184"/>
      <c r="H25" s="3083">
        <f>ROUND(SUM(H21:H24),1)</f>
        <v>125</v>
      </c>
      <c r="I25" s="3067"/>
      <c r="J25" s="3083">
        <f>ROUND(SUM(J21:J24),1)</f>
        <v>774.5</v>
      </c>
      <c r="K25" s="184"/>
      <c r="L25" s="3083">
        <f>ROUND(SUM(L21:L24),1)</f>
        <v>1248.9000000000001</v>
      </c>
      <c r="M25" s="3067"/>
      <c r="N25" s="3083">
        <f>ROUND(SUM(N21:N24),1)</f>
        <v>8505.1</v>
      </c>
      <c r="O25" s="184"/>
      <c r="P25" s="3083">
        <f>ROUND(SUM(P21:P24),1)</f>
        <v>0</v>
      </c>
      <c r="Q25" s="3067"/>
      <c r="R25" s="3083">
        <f>ROUND(SUM(R21:R24),1)</f>
        <v>0</v>
      </c>
      <c r="S25" s="184"/>
      <c r="T25" s="3068"/>
      <c r="U25" s="3068"/>
      <c r="V25" s="3069">
        <f>ROUND(SUM(V21:V24),1)</f>
        <v>4995.6000000000004</v>
      </c>
      <c r="W25" s="186"/>
      <c r="X25" s="3069">
        <f>ROUND(SUM(X21:X24),1)</f>
        <v>34020.5</v>
      </c>
      <c r="Y25" s="3228"/>
      <c r="Z25" s="3071"/>
      <c r="AA25" s="186"/>
      <c r="AB25" s="3069">
        <f>ROUND(SUM(AB21:AB24),1)</f>
        <v>4963.7</v>
      </c>
      <c r="AC25" s="184"/>
      <c r="AD25" s="3069">
        <f>ROUND(SUM(AD21:AD24),1)</f>
        <v>30174.1</v>
      </c>
      <c r="AE25" s="186" t="s">
        <v>16</v>
      </c>
      <c r="AF25" s="3073"/>
      <c r="AG25" s="3070"/>
      <c r="AH25" s="3084">
        <f>ROUND(SUM(X25)-SUM(AD25),1)</f>
        <v>3846.4</v>
      </c>
      <c r="AI25" s="28"/>
      <c r="AJ25" s="3085">
        <f>ROUND(AH25/AD25,3)</f>
        <v>0.127</v>
      </c>
      <c r="AK25" s="2668"/>
      <c r="AL25" s="2669"/>
    </row>
    <row r="26" spans="1:38" ht="18" customHeight="1">
      <c r="A26" s="3041"/>
      <c r="B26" s="3041"/>
      <c r="C26" s="3041"/>
      <c r="D26" s="3086"/>
      <c r="E26" s="1119"/>
      <c r="F26" s="3087"/>
      <c r="G26" s="1118"/>
      <c r="H26" s="3086"/>
      <c r="I26" s="1139"/>
      <c r="J26" s="3088"/>
      <c r="K26" s="1118"/>
      <c r="L26" s="3086"/>
      <c r="M26" s="1139"/>
      <c r="N26" s="3088"/>
      <c r="O26" s="1118"/>
      <c r="P26" s="3086"/>
      <c r="Q26" s="1139"/>
      <c r="R26" s="3088"/>
      <c r="S26" s="1118"/>
      <c r="T26" s="3079"/>
      <c r="U26" s="3079"/>
      <c r="V26" s="3087"/>
      <c r="W26" s="1119"/>
      <c r="X26" s="3087"/>
      <c r="Y26" s="1119"/>
      <c r="Z26" s="3057"/>
      <c r="AA26" s="1119"/>
      <c r="AB26" s="3086"/>
      <c r="AC26" s="1118"/>
      <c r="AD26" s="3088"/>
      <c r="AE26" s="1139"/>
      <c r="AF26" s="3058"/>
      <c r="AG26" s="1119"/>
      <c r="AH26" s="1139"/>
      <c r="AI26" s="1133"/>
      <c r="AJ26" s="3229"/>
      <c r="AK26" s="2673"/>
      <c r="AL26" s="2658"/>
    </row>
    <row r="27" spans="1:38" ht="18" customHeight="1">
      <c r="A27" s="3082" t="s">
        <v>1470</v>
      </c>
      <c r="B27" s="3041"/>
      <c r="C27" s="2664"/>
      <c r="D27" s="1138"/>
      <c r="E27" s="1118"/>
      <c r="F27" s="1118"/>
      <c r="G27" s="1118"/>
      <c r="H27" s="1138"/>
      <c r="I27" s="1137"/>
      <c r="J27" s="1137"/>
      <c r="K27" s="1118"/>
      <c r="L27" s="1138"/>
      <c r="M27" s="1137"/>
      <c r="N27" s="1137"/>
      <c r="O27" s="1118"/>
      <c r="P27" s="1138"/>
      <c r="Q27" s="1137"/>
      <c r="R27" s="1137"/>
      <c r="S27" s="1118"/>
      <c r="T27" s="3079"/>
      <c r="U27" s="3079"/>
      <c r="V27" s="1119"/>
      <c r="W27" s="1119"/>
      <c r="X27" s="1118"/>
      <c r="Y27" s="1118"/>
      <c r="Z27" s="3057"/>
      <c r="AA27" s="1119"/>
      <c r="AB27" s="1138"/>
      <c r="AC27" s="1118"/>
      <c r="AD27" s="1137"/>
      <c r="AE27" s="1137"/>
      <c r="AF27" s="3058"/>
      <c r="AG27" s="1118"/>
      <c r="AH27" s="1137"/>
      <c r="AI27" s="1134"/>
      <c r="AJ27" s="3229"/>
      <c r="AK27" s="2673"/>
      <c r="AL27" s="2658"/>
    </row>
    <row r="28" spans="1:38" ht="18" customHeight="1">
      <c r="A28" s="3041" t="s">
        <v>1146</v>
      </c>
      <c r="B28" s="3041"/>
      <c r="C28" s="3041"/>
      <c r="D28" s="1138">
        <v>594.69999999999982</v>
      </c>
      <c r="E28" s="1137"/>
      <c r="F28" s="1138">
        <v>4717.5</v>
      </c>
      <c r="G28" s="1118"/>
      <c r="H28" s="1138">
        <v>78.300000000000068</v>
      </c>
      <c r="I28" s="1137"/>
      <c r="J28" s="1138">
        <v>682.6</v>
      </c>
      <c r="K28" s="1118"/>
      <c r="L28" s="3059">
        <v>594.40000000000055</v>
      </c>
      <c r="M28" s="3053"/>
      <c r="N28" s="3059">
        <v>4719.3</v>
      </c>
      <c r="O28" s="1137"/>
      <c r="P28" s="1142">
        <v>0</v>
      </c>
      <c r="Q28" s="3053"/>
      <c r="R28" s="1143">
        <v>0</v>
      </c>
      <c r="S28" s="1118"/>
      <c r="T28" s="3079"/>
      <c r="U28" s="3079"/>
      <c r="V28" s="3055">
        <f t="shared" ref="V28:V34" si="0">SUM(D28)+SUM(H28)+SUM(L28)+SUM(P28)</f>
        <v>1267.4000000000005</v>
      </c>
      <c r="W28" s="1119"/>
      <c r="X28" s="3055">
        <f t="shared" ref="X28:X34" si="1">SUM(F28)+SUM(J28)+SUM(N28)+SUM(R28)</f>
        <v>10119.400000000001</v>
      </c>
      <c r="Y28" s="1118"/>
      <c r="Z28" s="3057"/>
      <c r="AA28" s="1119"/>
      <c r="AB28" s="3053">
        <v>1309.8000000000006</v>
      </c>
      <c r="AC28" s="1118"/>
      <c r="AD28" s="3053">
        <v>9888.5</v>
      </c>
      <c r="AE28" s="3053"/>
      <c r="AF28" s="3089"/>
      <c r="AG28" s="1118"/>
      <c r="AH28" s="1138">
        <f t="shared" ref="AH28:AH35" si="2">ROUND(SUM(X28)-SUM(AD28),1)</f>
        <v>230.9</v>
      </c>
      <c r="AI28" s="3060"/>
      <c r="AJ28" s="3061">
        <f t="shared" ref="AJ28:AJ35" si="3">ROUND(AH28/AD28,3)</f>
        <v>2.3E-2</v>
      </c>
      <c r="AK28" s="2663"/>
      <c r="AL28" s="2658"/>
    </row>
    <row r="29" spans="1:38" ht="18" customHeight="1">
      <c r="A29" s="3052" t="s">
        <v>1147</v>
      </c>
      <c r="B29" s="3041"/>
      <c r="C29" s="1275"/>
      <c r="D29" s="1142">
        <v>0</v>
      </c>
      <c r="E29" s="3055"/>
      <c r="F29" s="1143">
        <v>0</v>
      </c>
      <c r="G29" s="1118"/>
      <c r="H29" s="1138">
        <v>11.800000000000004</v>
      </c>
      <c r="I29" s="3053"/>
      <c r="J29" s="1138">
        <v>39.200000000000003</v>
      </c>
      <c r="K29" s="1118"/>
      <c r="L29" s="1142">
        <v>0</v>
      </c>
      <c r="M29" s="3053"/>
      <c r="N29" s="1143">
        <v>0</v>
      </c>
      <c r="O29" s="1137"/>
      <c r="P29" s="2671">
        <v>19.299999999999997</v>
      </c>
      <c r="Q29" s="1137"/>
      <c r="R29" s="2671">
        <v>65.3</v>
      </c>
      <c r="S29" s="1118"/>
      <c r="T29" s="3079"/>
      <c r="U29" s="3079"/>
      <c r="V29" s="3055">
        <f t="shared" si="0"/>
        <v>31.1</v>
      </c>
      <c r="W29" s="1119"/>
      <c r="X29" s="3055">
        <f t="shared" si="1"/>
        <v>104.5</v>
      </c>
      <c r="Y29" s="3056"/>
      <c r="Z29" s="3057"/>
      <c r="AA29" s="1119"/>
      <c r="AB29" s="3090">
        <v>29.299999999999997</v>
      </c>
      <c r="AC29" s="1118"/>
      <c r="AD29" s="3053">
        <v>99.3</v>
      </c>
      <c r="AE29" s="3053"/>
      <c r="AF29" s="3058"/>
      <c r="AG29" s="3056"/>
      <c r="AH29" s="3059">
        <f t="shared" si="2"/>
        <v>5.2</v>
      </c>
      <c r="AI29" s="3091"/>
      <c r="AJ29" s="3061">
        <f t="shared" si="3"/>
        <v>5.1999999999999998E-2</v>
      </c>
      <c r="AK29" s="2663"/>
      <c r="AL29" s="2658"/>
    </row>
    <row r="30" spans="1:38" ht="18" customHeight="1">
      <c r="A30" s="3041" t="s">
        <v>1148</v>
      </c>
      <c r="B30" s="3041"/>
      <c r="C30" s="3041"/>
      <c r="D30" s="1138">
        <v>29.900000000000006</v>
      </c>
      <c r="E30" s="1137"/>
      <c r="F30" s="1138">
        <v>261.3</v>
      </c>
      <c r="G30" s="1118"/>
      <c r="H30" s="1138">
        <v>83</v>
      </c>
      <c r="I30" s="3053"/>
      <c r="J30" s="3076">
        <v>726.8</v>
      </c>
      <c r="K30" s="1118"/>
      <c r="L30" s="1142">
        <v>0</v>
      </c>
      <c r="M30" s="3053"/>
      <c r="N30" s="1143">
        <v>0</v>
      </c>
      <c r="O30" s="1137"/>
      <c r="P30" s="1142">
        <v>0</v>
      </c>
      <c r="Q30" s="3053"/>
      <c r="R30" s="1143">
        <v>0</v>
      </c>
      <c r="S30" s="1118"/>
      <c r="T30" s="3079"/>
      <c r="U30" s="3079"/>
      <c r="V30" s="3055">
        <f t="shared" si="0"/>
        <v>112.9</v>
      </c>
      <c r="W30" s="1119"/>
      <c r="X30" s="3055">
        <f t="shared" si="1"/>
        <v>988.09999999999991</v>
      </c>
      <c r="Y30" s="3056"/>
      <c r="Z30" s="3057"/>
      <c r="AA30" s="1119"/>
      <c r="AB30" s="3062">
        <v>117.29999999999998</v>
      </c>
      <c r="AC30" s="1118"/>
      <c r="AD30" s="3062">
        <v>1045.5</v>
      </c>
      <c r="AE30" s="3062"/>
      <c r="AF30" s="3058"/>
      <c r="AG30" s="3056"/>
      <c r="AH30" s="3059">
        <f t="shared" si="2"/>
        <v>-57.4</v>
      </c>
      <c r="AI30" s="3060"/>
      <c r="AJ30" s="3061">
        <f t="shared" si="3"/>
        <v>-5.5E-2</v>
      </c>
      <c r="AK30" s="2663"/>
      <c r="AL30" s="2658"/>
    </row>
    <row r="31" spans="1:38" ht="18" customHeight="1">
      <c r="A31" s="3041" t="s">
        <v>1149</v>
      </c>
      <c r="B31" s="3041"/>
      <c r="C31" s="3041"/>
      <c r="D31" s="1142">
        <v>0</v>
      </c>
      <c r="E31" s="3055"/>
      <c r="F31" s="1143">
        <v>0</v>
      </c>
      <c r="G31" s="1118"/>
      <c r="H31" s="1138">
        <v>8.2000000000000028</v>
      </c>
      <c r="I31" s="3053"/>
      <c r="J31" s="3059">
        <v>78.400000000000006</v>
      </c>
      <c r="K31" s="1118"/>
      <c r="L31" s="1142">
        <v>0</v>
      </c>
      <c r="M31" s="3053"/>
      <c r="N31" s="1143">
        <v>0</v>
      </c>
      <c r="O31" s="1137"/>
      <c r="P31" s="1138">
        <v>32.300000000000011</v>
      </c>
      <c r="Q31" s="3053"/>
      <c r="R31" s="3059">
        <v>297.10000000000002</v>
      </c>
      <c r="S31" s="1118"/>
      <c r="T31" s="3079"/>
      <c r="U31" s="3079"/>
      <c r="V31" s="3055">
        <f t="shared" si="0"/>
        <v>40.500000000000014</v>
      </c>
      <c r="W31" s="1119"/>
      <c r="X31" s="3055">
        <f t="shared" si="1"/>
        <v>375.5</v>
      </c>
      <c r="Y31" s="1118"/>
      <c r="Z31" s="3057"/>
      <c r="AA31" s="1119"/>
      <c r="AB31" s="3062">
        <v>39.299999999999997</v>
      </c>
      <c r="AC31" s="1118"/>
      <c r="AD31" s="3062">
        <v>373</v>
      </c>
      <c r="AE31" s="3053"/>
      <c r="AF31" s="3058"/>
      <c r="AG31" s="1118"/>
      <c r="AH31" s="3059">
        <f t="shared" si="2"/>
        <v>2.5</v>
      </c>
      <c r="AI31" s="1134"/>
      <c r="AJ31" s="3061">
        <f t="shared" si="3"/>
        <v>7.0000000000000001E-3</v>
      </c>
      <c r="AK31" s="2663"/>
      <c r="AL31" s="2658"/>
    </row>
    <row r="32" spans="1:38" ht="18" customHeight="1">
      <c r="A32" s="3041" t="s">
        <v>1150</v>
      </c>
      <c r="B32" s="3041"/>
      <c r="C32" s="3041"/>
      <c r="D32" s="1138">
        <v>20.099999999999994</v>
      </c>
      <c r="E32" s="1137"/>
      <c r="F32" s="1138">
        <v>191.7</v>
      </c>
      <c r="G32" s="1118"/>
      <c r="H32" s="1142">
        <v>0</v>
      </c>
      <c r="I32" s="3053"/>
      <c r="J32" s="2665">
        <v>0</v>
      </c>
      <c r="K32" s="1118"/>
      <c r="L32" s="1142">
        <v>0</v>
      </c>
      <c r="M32" s="3053"/>
      <c r="N32" s="1143">
        <v>0</v>
      </c>
      <c r="O32" s="1137"/>
      <c r="P32" s="1142">
        <v>0</v>
      </c>
      <c r="Q32" s="3053"/>
      <c r="R32" s="1143">
        <v>0</v>
      </c>
      <c r="S32" s="1118"/>
      <c r="T32" s="3079"/>
      <c r="U32" s="3079"/>
      <c r="V32" s="3055">
        <f t="shared" si="0"/>
        <v>20.099999999999994</v>
      </c>
      <c r="W32" s="1119"/>
      <c r="X32" s="3055">
        <f t="shared" si="1"/>
        <v>191.7</v>
      </c>
      <c r="Y32" s="3056"/>
      <c r="Z32" s="3057"/>
      <c r="AA32" s="1119"/>
      <c r="AB32" s="3062">
        <v>19.700000000000017</v>
      </c>
      <c r="AC32" s="1118"/>
      <c r="AD32" s="3062">
        <v>188.8</v>
      </c>
      <c r="AE32" s="3053"/>
      <c r="AF32" s="3058"/>
      <c r="AG32" s="3056"/>
      <c r="AH32" s="3059">
        <f t="shared" si="2"/>
        <v>2.9</v>
      </c>
      <c r="AI32" s="3060"/>
      <c r="AJ32" s="3061">
        <f t="shared" si="3"/>
        <v>1.4999999999999999E-2</v>
      </c>
      <c r="AK32" s="2663"/>
      <c r="AL32" s="2658"/>
    </row>
    <row r="33" spans="1:38" ht="18" customHeight="1">
      <c r="A33" s="3041" t="s">
        <v>1151</v>
      </c>
      <c r="B33" s="3041"/>
      <c r="C33" s="3041"/>
      <c r="D33" s="1142">
        <v>0</v>
      </c>
      <c r="E33" s="3055"/>
      <c r="F33" s="1143">
        <v>0</v>
      </c>
      <c r="G33" s="1118"/>
      <c r="H33" s="1142">
        <v>0</v>
      </c>
      <c r="I33" s="3053"/>
      <c r="J33" s="2665">
        <v>0</v>
      </c>
      <c r="K33" s="1118"/>
      <c r="L33" s="1142">
        <v>0</v>
      </c>
      <c r="M33" s="3053"/>
      <c r="N33" s="1143">
        <v>0</v>
      </c>
      <c r="O33" s="1118"/>
      <c r="P33" s="1138">
        <v>16.799999999999997</v>
      </c>
      <c r="Q33" s="3053"/>
      <c r="R33" s="3059">
        <v>126.1</v>
      </c>
      <c r="S33" s="1118"/>
      <c r="T33" s="3079"/>
      <c r="U33" s="3079"/>
      <c r="V33" s="3055">
        <f t="shared" si="0"/>
        <v>16.799999999999997</v>
      </c>
      <c r="W33" s="1119"/>
      <c r="X33" s="3055">
        <f t="shared" si="1"/>
        <v>126.1</v>
      </c>
      <c r="Y33" s="3056"/>
      <c r="Z33" s="3057"/>
      <c r="AA33" s="1119"/>
      <c r="AB33" s="3062">
        <v>13.700000000000003</v>
      </c>
      <c r="AC33" s="1118"/>
      <c r="AD33" s="3062">
        <v>108.2</v>
      </c>
      <c r="AE33" s="3062"/>
      <c r="AF33" s="3058"/>
      <c r="AG33" s="3056"/>
      <c r="AH33" s="2665">
        <f t="shared" si="2"/>
        <v>17.899999999999999</v>
      </c>
      <c r="AI33" s="3091"/>
      <c r="AJ33" s="3061">
        <f t="shared" si="3"/>
        <v>0.16500000000000001</v>
      </c>
      <c r="AK33" s="2663"/>
      <c r="AL33" s="2658"/>
    </row>
    <row r="34" spans="1:38" ht="18" customHeight="1">
      <c r="A34" s="3052" t="s">
        <v>1152</v>
      </c>
      <c r="B34" s="3041"/>
      <c r="C34" s="3041"/>
      <c r="D34" s="1142">
        <v>0</v>
      </c>
      <c r="E34" s="1139"/>
      <c r="F34" s="1142">
        <v>0</v>
      </c>
      <c r="G34" s="1118"/>
      <c r="H34" s="2674">
        <v>0.10000000000000142</v>
      </c>
      <c r="I34" s="3053"/>
      <c r="J34" s="3059">
        <v>55.5</v>
      </c>
      <c r="K34" s="1118"/>
      <c r="L34" s="1142">
        <v>0</v>
      </c>
      <c r="M34" s="3053"/>
      <c r="N34" s="1143">
        <v>0</v>
      </c>
      <c r="O34" s="1118"/>
      <c r="P34" s="1142">
        <v>0</v>
      </c>
      <c r="Q34" s="1139"/>
      <c r="R34" s="1143">
        <v>0</v>
      </c>
      <c r="S34" s="1118"/>
      <c r="T34" s="3079"/>
      <c r="U34" s="3079"/>
      <c r="V34" s="3055">
        <f t="shared" si="0"/>
        <v>0.10000000000000142</v>
      </c>
      <c r="W34" s="1119"/>
      <c r="X34" s="3055">
        <f t="shared" si="1"/>
        <v>55.5</v>
      </c>
      <c r="Y34" s="3230"/>
      <c r="Z34" s="3057"/>
      <c r="AA34" s="1119"/>
      <c r="AB34" s="3062">
        <v>0.20000000000000284</v>
      </c>
      <c r="AC34" s="1118"/>
      <c r="AD34" s="3062">
        <v>62.6</v>
      </c>
      <c r="AE34" s="3062"/>
      <c r="AF34" s="3089"/>
      <c r="AG34" s="3056"/>
      <c r="AH34" s="3064">
        <f t="shared" si="2"/>
        <v>-7.1</v>
      </c>
      <c r="AI34" s="3060"/>
      <c r="AJ34" s="3081">
        <f t="shared" si="3"/>
        <v>-0.113</v>
      </c>
      <c r="AK34" s="2663"/>
      <c r="AL34" s="2658"/>
    </row>
    <row r="35" spans="1:38" ht="18" customHeight="1">
      <c r="A35" s="3040" t="s">
        <v>1153</v>
      </c>
      <c r="B35" s="3041"/>
      <c r="C35" s="3041"/>
      <c r="D35" s="3083">
        <f>ROUND(SUM(D28:D34),1)</f>
        <v>644.70000000000005</v>
      </c>
      <c r="E35" s="186"/>
      <c r="F35" s="3376">
        <f>ROUND(SUM(F28:F34),1)</f>
        <v>5170.5</v>
      </c>
      <c r="G35" s="184"/>
      <c r="H35" s="3083">
        <f>ROUND(SUM(H28:H34),1)</f>
        <v>181.4</v>
      </c>
      <c r="I35" s="67"/>
      <c r="J35" s="3083">
        <f>ROUND(SUM(J28:J34),1)</f>
        <v>1582.5</v>
      </c>
      <c r="K35" s="184"/>
      <c r="L35" s="3083">
        <f>ROUND(SUM(L28:L34),1)</f>
        <v>594.4</v>
      </c>
      <c r="M35" s="67"/>
      <c r="N35" s="3083">
        <f>ROUND(SUM(N28:N34),1)</f>
        <v>4719.3</v>
      </c>
      <c r="O35" s="184"/>
      <c r="P35" s="3083">
        <f>ROUND(SUM(P28:P34),1)</f>
        <v>68.400000000000006</v>
      </c>
      <c r="Q35" s="67"/>
      <c r="R35" s="3376">
        <f>ROUND(SUM(R28:R34),1)</f>
        <v>488.5</v>
      </c>
      <c r="S35" s="184"/>
      <c r="T35" s="3068"/>
      <c r="U35" s="3068"/>
      <c r="V35" s="3092">
        <f>ROUND(SUM(V28:V34),1)</f>
        <v>1488.9</v>
      </c>
      <c r="W35" s="186"/>
      <c r="X35" s="3092">
        <f>ROUND(SUM(X28:X34),1)</f>
        <v>11960.8</v>
      </c>
      <c r="Y35" s="3231"/>
      <c r="Z35" s="3071"/>
      <c r="AA35" s="186"/>
      <c r="AB35" s="3092">
        <f>ROUND(SUM(AB28:AB34),1)</f>
        <v>1529.3</v>
      </c>
      <c r="AC35" s="184"/>
      <c r="AD35" s="3092">
        <f>ROUND(SUM(AD28:AD34),1)</f>
        <v>11765.9</v>
      </c>
      <c r="AE35" s="67"/>
      <c r="AF35" s="3073"/>
      <c r="AG35" s="186"/>
      <c r="AH35" s="3084">
        <f t="shared" si="2"/>
        <v>194.9</v>
      </c>
      <c r="AI35" s="18"/>
      <c r="AJ35" s="3085">
        <f t="shared" si="3"/>
        <v>1.7000000000000001E-2</v>
      </c>
      <c r="AK35" s="2668"/>
      <c r="AL35" s="2669"/>
    </row>
    <row r="36" spans="1:38" ht="18" customHeight="1">
      <c r="A36" s="3041"/>
      <c r="B36" s="3041"/>
      <c r="C36" s="3041"/>
      <c r="D36" s="3086"/>
      <c r="E36" s="1119"/>
      <c r="F36" s="3087"/>
      <c r="G36" s="1118"/>
      <c r="H36" s="3086"/>
      <c r="I36" s="1139"/>
      <c r="J36" s="3088"/>
      <c r="K36" s="1118"/>
      <c r="L36" s="3086"/>
      <c r="M36" s="1139"/>
      <c r="N36" s="3088"/>
      <c r="O36" s="1118"/>
      <c r="P36" s="3086"/>
      <c r="Q36" s="1139"/>
      <c r="R36" s="3088"/>
      <c r="S36" s="1118"/>
      <c r="T36" s="3079"/>
      <c r="U36" s="3079"/>
      <c r="V36" s="3087"/>
      <c r="W36" s="1119"/>
      <c r="X36" s="3087"/>
      <c r="Y36" s="1119"/>
      <c r="Z36" s="3057"/>
      <c r="AA36" s="1119"/>
      <c r="AB36" s="3086"/>
      <c r="AC36" s="1118"/>
      <c r="AD36" s="3088"/>
      <c r="AE36" s="1139"/>
      <c r="AF36" s="3058"/>
      <c r="AG36" s="1119"/>
      <c r="AH36" s="1139"/>
      <c r="AI36" s="1133"/>
      <c r="AJ36" s="3229"/>
      <c r="AK36" s="2673"/>
      <c r="AL36" s="2658"/>
    </row>
    <row r="37" spans="1:38" ht="18" customHeight="1">
      <c r="A37" s="3040" t="s">
        <v>1471</v>
      </c>
      <c r="B37" s="3041"/>
      <c r="C37" s="3041"/>
      <c r="D37" s="1138"/>
      <c r="E37" s="1118"/>
      <c r="F37" s="1118"/>
      <c r="G37" s="1118"/>
      <c r="H37" s="1138"/>
      <c r="I37" s="1137"/>
      <c r="J37" s="1137"/>
      <c r="K37" s="1118"/>
      <c r="L37" s="1138"/>
      <c r="M37" s="1137"/>
      <c r="N37" s="1137"/>
      <c r="O37" s="1118"/>
      <c r="P37" s="1138"/>
      <c r="Q37" s="1137"/>
      <c r="R37" s="1137"/>
      <c r="S37" s="1118"/>
      <c r="T37" s="3079"/>
      <c r="U37" s="3079"/>
      <c r="V37" s="1119"/>
      <c r="W37" s="1119"/>
      <c r="X37" s="1118"/>
      <c r="Y37" s="1118"/>
      <c r="Z37" s="3057"/>
      <c r="AA37" s="1119"/>
      <c r="AB37" s="3150"/>
      <c r="AC37" s="1118"/>
      <c r="AD37" s="3150"/>
      <c r="AE37" s="1137"/>
      <c r="AF37" s="3058"/>
      <c r="AG37" s="1118"/>
      <c r="AH37" s="1138"/>
      <c r="AI37" s="1134"/>
      <c r="AJ37" s="3061"/>
      <c r="AK37" s="2673"/>
      <c r="AL37" s="2658"/>
    </row>
    <row r="38" spans="1:38" ht="18" customHeight="1">
      <c r="A38" s="3041" t="s">
        <v>1154</v>
      </c>
      <c r="B38" s="3041"/>
      <c r="C38" s="3041"/>
      <c r="D38" s="1138">
        <v>846.59999999999991</v>
      </c>
      <c r="E38" s="1137"/>
      <c r="F38" s="1138">
        <v>2770.5</v>
      </c>
      <c r="G38" s="1118"/>
      <c r="H38" s="1138">
        <v>148.39999999999998</v>
      </c>
      <c r="I38" s="1137"/>
      <c r="J38" s="1138">
        <v>491.7</v>
      </c>
      <c r="K38" s="1137"/>
      <c r="L38" s="1142">
        <v>0</v>
      </c>
      <c r="M38" s="3053"/>
      <c r="N38" s="1143">
        <v>0</v>
      </c>
      <c r="O38" s="1137"/>
      <c r="P38" s="1142">
        <v>0</v>
      </c>
      <c r="Q38" s="3053"/>
      <c r="R38" s="1143">
        <v>0</v>
      </c>
      <c r="S38" s="1118"/>
      <c r="T38" s="3079"/>
      <c r="U38" s="3079"/>
      <c r="V38" s="3055">
        <f>SUM(D38)+SUM(H38)+SUM(L38)+SUM(P38)</f>
        <v>994.99999999999989</v>
      </c>
      <c r="W38" s="1119"/>
      <c r="X38" s="3055">
        <f>SUM(F38)+SUM(J38)+SUM(N38)+SUM(R38)</f>
        <v>3262.2</v>
      </c>
      <c r="Y38" s="1118"/>
      <c r="Z38" s="3057"/>
      <c r="AA38" s="1119"/>
      <c r="AB38" s="3062">
        <v>398.30000000000007</v>
      </c>
      <c r="AC38" s="1118"/>
      <c r="AD38" s="3062">
        <v>1768.6000000000001</v>
      </c>
      <c r="AE38" s="3053"/>
      <c r="AF38" s="3089"/>
      <c r="AG38" s="1118"/>
      <c r="AH38" s="3059">
        <f t="shared" ref="AH38:AH43" si="4">ROUND(SUM(X38)-SUM(AD38),1)</f>
        <v>1493.6</v>
      </c>
      <c r="AI38" s="3060"/>
      <c r="AJ38" s="3061">
        <f t="shared" ref="AJ38:AJ43" si="5">ROUND(AH38/AD38,3)</f>
        <v>0.84499999999999997</v>
      </c>
      <c r="AK38" s="2663"/>
      <c r="AL38" s="2658"/>
    </row>
    <row r="39" spans="1:38" ht="18" customHeight="1">
      <c r="A39" s="3041" t="s">
        <v>1155</v>
      </c>
      <c r="B39" s="3041"/>
      <c r="C39" s="3041"/>
      <c r="D39" s="2674">
        <v>127</v>
      </c>
      <c r="E39" s="1137"/>
      <c r="F39" s="1138">
        <v>375</v>
      </c>
      <c r="G39" s="1118"/>
      <c r="H39" s="2674">
        <v>29.599999999999994</v>
      </c>
      <c r="I39" s="1137"/>
      <c r="J39" s="1138">
        <v>100.3</v>
      </c>
      <c r="K39" s="1137"/>
      <c r="L39" s="1142">
        <v>0</v>
      </c>
      <c r="M39" s="3053"/>
      <c r="N39" s="1143">
        <v>0</v>
      </c>
      <c r="O39" s="1137"/>
      <c r="P39" s="1138">
        <v>2.2999999999999998</v>
      </c>
      <c r="Q39" s="3053"/>
      <c r="R39" s="3059">
        <v>8</v>
      </c>
      <c r="S39" s="1118"/>
      <c r="T39" s="3079"/>
      <c r="U39" s="3079"/>
      <c r="V39" s="3055">
        <f>SUM(D39)+SUM(H39)+SUM(L39)+SUM(P39)</f>
        <v>158.9</v>
      </c>
      <c r="W39" s="1119"/>
      <c r="X39" s="3055">
        <f>SUM(F39)+SUM(J39)+SUM(N39)+SUM(R39)</f>
        <v>483.3</v>
      </c>
      <c r="Y39" s="1118"/>
      <c r="Z39" s="3057"/>
      <c r="AA39" s="1119"/>
      <c r="AB39" s="3062">
        <v>167.39999999999998</v>
      </c>
      <c r="AC39" s="1118"/>
      <c r="AD39" s="3062">
        <v>475.5</v>
      </c>
      <c r="AE39" s="3053"/>
      <c r="AF39" s="3089"/>
      <c r="AG39" s="1118"/>
      <c r="AH39" s="3059">
        <f t="shared" si="4"/>
        <v>7.8</v>
      </c>
      <c r="AI39" s="3060"/>
      <c r="AJ39" s="3061">
        <f t="shared" si="5"/>
        <v>1.6E-2</v>
      </c>
      <c r="AK39" s="2663"/>
      <c r="AL39" s="2658"/>
    </row>
    <row r="40" spans="1:38" ht="18" customHeight="1">
      <c r="A40" s="3041" t="s">
        <v>1156</v>
      </c>
      <c r="B40" s="3041"/>
      <c r="C40" s="3041"/>
      <c r="D40" s="1138">
        <v>240.09999999999991</v>
      </c>
      <c r="E40" s="1137"/>
      <c r="F40" s="1138">
        <v>829.8</v>
      </c>
      <c r="G40" s="1118"/>
      <c r="H40" s="1138">
        <v>28.599999999999994</v>
      </c>
      <c r="I40" s="1137"/>
      <c r="J40" s="1138">
        <v>99.6</v>
      </c>
      <c r="K40" s="1137"/>
      <c r="L40" s="1142">
        <v>0</v>
      </c>
      <c r="M40" s="3053"/>
      <c r="N40" s="1143">
        <v>0</v>
      </c>
      <c r="O40" s="1137"/>
      <c r="P40" s="1142">
        <v>0</v>
      </c>
      <c r="Q40" s="3053"/>
      <c r="R40" s="1143">
        <v>0</v>
      </c>
      <c r="S40" s="1118"/>
      <c r="T40" s="3079"/>
      <c r="U40" s="3079"/>
      <c r="V40" s="3055">
        <f>SUM(D40)+SUM(H40)+SUM(L40)+SUM(P40)</f>
        <v>268.69999999999993</v>
      </c>
      <c r="W40" s="1119"/>
      <c r="X40" s="3055">
        <f>SUM(F40)+SUM(J40)+SUM(N40)+SUM(R40)</f>
        <v>929.4</v>
      </c>
      <c r="Y40" s="1118"/>
      <c r="Z40" s="3057"/>
      <c r="AA40" s="1119"/>
      <c r="AB40" s="3062">
        <v>295.8</v>
      </c>
      <c r="AC40" s="1118"/>
      <c r="AD40" s="3062">
        <v>898.59999999999991</v>
      </c>
      <c r="AE40" s="3053"/>
      <c r="AF40" s="3089"/>
      <c r="AG40" s="1118"/>
      <c r="AH40" s="3059">
        <f t="shared" si="4"/>
        <v>30.8</v>
      </c>
      <c r="AI40" s="3060"/>
      <c r="AJ40" s="3061">
        <f t="shared" si="5"/>
        <v>3.4000000000000002E-2</v>
      </c>
      <c r="AK40" s="2663"/>
      <c r="AL40" s="2658"/>
    </row>
    <row r="41" spans="1:38" ht="18" customHeight="1">
      <c r="A41" s="3041" t="s">
        <v>1157</v>
      </c>
      <c r="B41" s="3041"/>
      <c r="C41" s="3041"/>
      <c r="D41" s="1138">
        <v>-129.4</v>
      </c>
      <c r="E41" s="1137"/>
      <c r="F41" s="1138">
        <v>-89.9</v>
      </c>
      <c r="G41" s="1118"/>
      <c r="H41" s="1138">
        <v>-15.999999999999998</v>
      </c>
      <c r="I41" s="1137"/>
      <c r="J41" s="1138">
        <v>8.4</v>
      </c>
      <c r="K41" s="1137"/>
      <c r="L41" s="1142">
        <v>0</v>
      </c>
      <c r="M41" s="3053"/>
      <c r="N41" s="1143">
        <v>0</v>
      </c>
      <c r="O41" s="1137"/>
      <c r="P41" s="1142">
        <v>0</v>
      </c>
      <c r="Q41" s="3053"/>
      <c r="R41" s="1143">
        <v>0</v>
      </c>
      <c r="S41" s="1118"/>
      <c r="T41" s="3079"/>
      <c r="U41" s="3079"/>
      <c r="V41" s="3055">
        <f>SUM(D41)+SUM(H41)+SUM(L41)+SUM(P41)</f>
        <v>-145.4</v>
      </c>
      <c r="W41" s="1119"/>
      <c r="X41" s="3055">
        <f>SUM(F41)+SUM(J41)+SUM(N41)+SUM(R41)</f>
        <v>-81.5</v>
      </c>
      <c r="Y41" s="1118"/>
      <c r="Z41" s="3057"/>
      <c r="AA41" s="1119"/>
      <c r="AB41" s="3053">
        <v>226.50000000000003</v>
      </c>
      <c r="AC41" s="1118"/>
      <c r="AD41" s="3053">
        <v>1262.6000000000001</v>
      </c>
      <c r="AE41" s="3053"/>
      <c r="AF41" s="3089"/>
      <c r="AG41" s="1118"/>
      <c r="AH41" s="3059">
        <f t="shared" si="4"/>
        <v>-1344.1</v>
      </c>
      <c r="AI41" s="3060"/>
      <c r="AJ41" s="3061">
        <f t="shared" si="5"/>
        <v>-1.0649999999999999</v>
      </c>
      <c r="AK41" s="2663"/>
      <c r="AL41" s="2658"/>
    </row>
    <row r="42" spans="1:38" ht="18" customHeight="1">
      <c r="A42" s="3041" t="s">
        <v>1158</v>
      </c>
      <c r="B42" s="3041"/>
      <c r="C42" s="3041"/>
      <c r="D42" s="1142">
        <v>0</v>
      </c>
      <c r="E42" s="3055"/>
      <c r="F42" s="2665">
        <v>0</v>
      </c>
      <c r="G42" s="1118"/>
      <c r="H42" s="1138">
        <v>40.100000000000023</v>
      </c>
      <c r="I42" s="3053"/>
      <c r="J42" s="3059">
        <v>376.6</v>
      </c>
      <c r="K42" s="1137"/>
      <c r="L42" s="1142">
        <v>0</v>
      </c>
      <c r="M42" s="3053"/>
      <c r="N42" s="1143">
        <v>0</v>
      </c>
      <c r="O42" s="1137"/>
      <c r="P42" s="1138">
        <v>50.200000000000045</v>
      </c>
      <c r="Q42" s="3053"/>
      <c r="R42" s="3059">
        <v>471.6</v>
      </c>
      <c r="S42" s="1118"/>
      <c r="T42" s="3079"/>
      <c r="U42" s="3079"/>
      <c r="V42" s="3055">
        <f>SUM(D42)+SUM(H42)+SUM(L42)+SUM(P42)</f>
        <v>90.300000000000068</v>
      </c>
      <c r="W42" s="1119"/>
      <c r="X42" s="3055">
        <f>SUM(F42)+SUM(J42)+SUM(N42)+SUM(R42)</f>
        <v>848.2</v>
      </c>
      <c r="Y42" s="1118"/>
      <c r="Z42" s="3057"/>
      <c r="AA42" s="1119"/>
      <c r="AB42" s="3053">
        <v>90.699999999999989</v>
      </c>
      <c r="AC42" s="1118"/>
      <c r="AD42" s="3053">
        <v>883.2</v>
      </c>
      <c r="AE42" s="3053"/>
      <c r="AF42" s="3089"/>
      <c r="AG42" s="1118"/>
      <c r="AH42" s="3059">
        <f t="shared" si="4"/>
        <v>-35</v>
      </c>
      <c r="AI42" s="3091"/>
      <c r="AJ42" s="3061">
        <f t="shared" si="5"/>
        <v>-0.04</v>
      </c>
      <c r="AK42" s="2663"/>
      <c r="AL42" s="2658"/>
    </row>
    <row r="43" spans="1:38" ht="18" customHeight="1">
      <c r="A43" s="3040" t="s">
        <v>1153</v>
      </c>
      <c r="B43" s="3041"/>
      <c r="C43" s="3041"/>
      <c r="D43" s="3083">
        <f>ROUND(SUM(D38:D42),1)</f>
        <v>1084.3</v>
      </c>
      <c r="E43" s="186"/>
      <c r="F43" s="3376">
        <f>ROUND(SUM(F38:F42),1)</f>
        <v>3885.4</v>
      </c>
      <c r="G43" s="184"/>
      <c r="H43" s="3083">
        <f>ROUND(SUM(H38:H42),1)</f>
        <v>230.7</v>
      </c>
      <c r="I43" s="67"/>
      <c r="J43" s="3376">
        <f>ROUND(SUM(J38:J42),1)</f>
        <v>1076.5999999999999</v>
      </c>
      <c r="K43" s="184"/>
      <c r="L43" s="3093">
        <f>ROUND(SUM(L38:L42),1)</f>
        <v>0</v>
      </c>
      <c r="M43" s="3067"/>
      <c r="N43" s="3377">
        <f>ROUND(SUM(N38:N42),1)</f>
        <v>0</v>
      </c>
      <c r="O43" s="184"/>
      <c r="P43" s="3083">
        <f>ROUND(SUM(P38:P42),1)</f>
        <v>52.5</v>
      </c>
      <c r="Q43" s="67"/>
      <c r="R43" s="3376">
        <f>ROUND(SUM(R38:R42),1)</f>
        <v>479.6</v>
      </c>
      <c r="S43" s="184"/>
      <c r="T43" s="3068"/>
      <c r="U43" s="3068"/>
      <c r="V43" s="3092">
        <f>ROUND(SUM(V38:V42),1)</f>
        <v>1367.5</v>
      </c>
      <c r="W43" s="186"/>
      <c r="X43" s="3092">
        <f>ROUND(SUM(X38:X42),1)</f>
        <v>5441.6</v>
      </c>
      <c r="Y43" s="3231"/>
      <c r="Z43" s="3071"/>
      <c r="AA43" s="186"/>
      <c r="AB43" s="3092">
        <f>ROUND(SUM(AB38:AB42),1)</f>
        <v>1178.7</v>
      </c>
      <c r="AC43" s="184"/>
      <c r="AD43" s="3092">
        <f>ROUND(SUM(AD38:AD42),1)</f>
        <v>5288.5</v>
      </c>
      <c r="AE43" s="67"/>
      <c r="AF43" s="3073"/>
      <c r="AG43" s="186"/>
      <c r="AH43" s="3094">
        <f t="shared" si="4"/>
        <v>153.1</v>
      </c>
      <c r="AI43" s="18"/>
      <c r="AJ43" s="3085">
        <f t="shared" si="5"/>
        <v>2.9000000000000001E-2</v>
      </c>
      <c r="AK43" s="2668"/>
      <c r="AL43" s="2669"/>
    </row>
    <row r="44" spans="1:38" ht="18" customHeight="1">
      <c r="A44" s="3041"/>
      <c r="B44" s="3041"/>
      <c r="C44" s="3041"/>
      <c r="D44" s="3086"/>
      <c r="E44" s="1119"/>
      <c r="F44" s="3087"/>
      <c r="G44" s="1118"/>
      <c r="H44" s="3086"/>
      <c r="I44" s="1139"/>
      <c r="J44" s="3088"/>
      <c r="K44" s="1118"/>
      <c r="L44" s="3086"/>
      <c r="M44" s="1139"/>
      <c r="N44" s="3088"/>
      <c r="O44" s="1118"/>
      <c r="P44" s="3086"/>
      <c r="Q44" s="1139"/>
      <c r="R44" s="3088"/>
      <c r="S44" s="1118"/>
      <c r="T44" s="3079"/>
      <c r="U44" s="3079"/>
      <c r="V44" s="3087"/>
      <c r="W44" s="1119"/>
      <c r="X44" s="3087"/>
      <c r="Y44" s="1119"/>
      <c r="Z44" s="3057"/>
      <c r="AA44" s="1119"/>
      <c r="AB44" s="3086"/>
      <c r="AC44" s="1118"/>
      <c r="AD44" s="3088"/>
      <c r="AE44" s="1139"/>
      <c r="AF44" s="3058"/>
      <c r="AG44" s="1119"/>
      <c r="AH44" s="1139"/>
      <c r="AI44" s="1133"/>
      <c r="AJ44" s="3229"/>
      <c r="AK44" s="2673"/>
      <c r="AL44" s="2658"/>
    </row>
    <row r="45" spans="1:38" ht="18" customHeight="1">
      <c r="A45" s="3082" t="s">
        <v>1472</v>
      </c>
      <c r="B45" s="3041"/>
      <c r="C45" s="3041"/>
      <c r="D45" s="1138"/>
      <c r="E45" s="1118"/>
      <c r="F45" s="1118"/>
      <c r="G45" s="1118"/>
      <c r="H45" s="1138"/>
      <c r="I45" s="1137"/>
      <c r="J45" s="1137"/>
      <c r="K45" s="1118"/>
      <c r="L45" s="1138"/>
      <c r="M45" s="1137"/>
      <c r="N45" s="1137"/>
      <c r="O45" s="1118"/>
      <c r="P45" s="1138"/>
      <c r="Q45" s="1137"/>
      <c r="R45" s="1137"/>
      <c r="S45" s="1118"/>
      <c r="T45" s="3079"/>
      <c r="U45" s="3079"/>
      <c r="V45" s="1119"/>
      <c r="W45" s="1119"/>
      <c r="X45" s="1118"/>
      <c r="Y45" s="1118"/>
      <c r="Z45" s="3057"/>
      <c r="AA45" s="1119"/>
      <c r="AB45" s="1140"/>
      <c r="AC45" s="1118"/>
      <c r="AD45" s="1137"/>
      <c r="AE45" s="1137"/>
      <c r="AF45" s="3058"/>
      <c r="AG45" s="1118"/>
      <c r="AH45" s="1138"/>
      <c r="AI45" s="1134"/>
      <c r="AJ45" s="3061"/>
      <c r="AK45" s="2673"/>
      <c r="AL45" s="2658"/>
    </row>
    <row r="46" spans="1:38" ht="18" customHeight="1">
      <c r="A46" s="3041" t="s">
        <v>1159</v>
      </c>
      <c r="B46" s="3041"/>
      <c r="C46" s="3041"/>
      <c r="D46" s="1142">
        <v>0</v>
      </c>
      <c r="E46" s="1137"/>
      <c r="F46" s="1138">
        <v>0</v>
      </c>
      <c r="G46" s="1118"/>
      <c r="H46" s="1142">
        <v>0</v>
      </c>
      <c r="I46" s="3053"/>
      <c r="J46" s="2665">
        <v>0</v>
      </c>
      <c r="K46" s="1137"/>
      <c r="L46" s="1142">
        <v>0</v>
      </c>
      <c r="M46" s="3053"/>
      <c r="N46" s="1143">
        <v>0</v>
      </c>
      <c r="O46" s="1137"/>
      <c r="P46" s="1142">
        <v>0</v>
      </c>
      <c r="Q46" s="3053"/>
      <c r="R46" s="1143">
        <v>0</v>
      </c>
      <c r="S46" s="1118"/>
      <c r="T46" s="3079"/>
      <c r="U46" s="3079"/>
      <c r="V46" s="3095">
        <f t="shared" ref="V46:V51" si="6">SUM(D46)+SUM(H46)+SUM(L46)+SUM(P46)</f>
        <v>0</v>
      </c>
      <c r="W46" s="1119"/>
      <c r="X46" s="3055">
        <f t="shared" ref="X46:X51" si="7">SUM(F46)+SUM(J46)+SUM(N46)+SUM(R46)</f>
        <v>0</v>
      </c>
      <c r="Y46" s="3056"/>
      <c r="Z46" s="3057"/>
      <c r="AA46" s="1119"/>
      <c r="AB46" s="3090">
        <v>0</v>
      </c>
      <c r="AC46" s="1118"/>
      <c r="AD46" s="3095">
        <v>0</v>
      </c>
      <c r="AE46" s="3053"/>
      <c r="AF46" s="3089"/>
      <c r="AG46" s="3056"/>
      <c r="AH46" s="3059">
        <f t="shared" ref="AH46:AH52" si="8">ROUND(SUM(X46)-SUM(AD46),1)</f>
        <v>0</v>
      </c>
      <c r="AI46" s="3060"/>
      <c r="AJ46" s="1864">
        <f>ROUND(IF(AD46=0,0,-AH46/(AD46)),3)</f>
        <v>0</v>
      </c>
      <c r="AK46" s="2663"/>
      <c r="AL46" s="2658"/>
    </row>
    <row r="47" spans="1:38" ht="18" customHeight="1">
      <c r="A47" s="3041" t="s">
        <v>1160</v>
      </c>
      <c r="B47" s="3041"/>
      <c r="C47" s="3041"/>
      <c r="D47" s="1138">
        <v>74.200000000000045</v>
      </c>
      <c r="E47" s="1137"/>
      <c r="F47" s="1138">
        <v>1239.9000000000001</v>
      </c>
      <c r="G47" s="1118"/>
      <c r="H47" s="1142">
        <v>0</v>
      </c>
      <c r="I47" s="3053"/>
      <c r="J47" s="2665">
        <v>0</v>
      </c>
      <c r="K47" s="1137"/>
      <c r="L47" s="1142">
        <v>0</v>
      </c>
      <c r="M47" s="3053"/>
      <c r="N47" s="1143">
        <v>0</v>
      </c>
      <c r="O47" s="1137"/>
      <c r="P47" s="1142">
        <v>0</v>
      </c>
      <c r="Q47" s="3053"/>
      <c r="R47" s="1143">
        <v>0</v>
      </c>
      <c r="S47" s="1118"/>
      <c r="T47" s="3079"/>
      <c r="U47" s="3079"/>
      <c r="V47" s="3055">
        <f t="shared" si="6"/>
        <v>74.200000000000045</v>
      </c>
      <c r="W47" s="1119"/>
      <c r="X47" s="3055">
        <f t="shared" si="7"/>
        <v>1239.9000000000001</v>
      </c>
      <c r="Y47" s="3056"/>
      <c r="Z47" s="3057"/>
      <c r="AA47" s="1119"/>
      <c r="AB47" s="3062">
        <v>97</v>
      </c>
      <c r="AC47" s="1118"/>
      <c r="AD47" s="3062">
        <v>852.5</v>
      </c>
      <c r="AE47" s="3062"/>
      <c r="AF47" s="3089"/>
      <c r="AG47" s="3056"/>
      <c r="AH47" s="3059">
        <f t="shared" si="8"/>
        <v>387.4</v>
      </c>
      <c r="AI47" s="3060"/>
      <c r="AJ47" s="3061">
        <f>ROUND(AH47/AD47,3)</f>
        <v>0.45400000000000001</v>
      </c>
      <c r="AK47" s="2663"/>
      <c r="AL47" s="2658"/>
    </row>
    <row r="48" spans="1:38" ht="18" customHeight="1">
      <c r="A48" s="3041" t="s">
        <v>1161</v>
      </c>
      <c r="B48" s="3041"/>
      <c r="C48" s="3041"/>
      <c r="D48" s="1138">
        <v>0.90000000000000036</v>
      </c>
      <c r="E48" s="1137"/>
      <c r="F48" s="1138">
        <v>13.9</v>
      </c>
      <c r="G48" s="1118"/>
      <c r="H48" s="1142">
        <v>0</v>
      </c>
      <c r="I48" s="3053"/>
      <c r="J48" s="2665">
        <v>0</v>
      </c>
      <c r="K48" s="1137"/>
      <c r="L48" s="1142">
        <v>0</v>
      </c>
      <c r="M48" s="3053"/>
      <c r="N48" s="1143">
        <v>0</v>
      </c>
      <c r="O48" s="1137"/>
      <c r="P48" s="1142">
        <v>0</v>
      </c>
      <c r="Q48" s="3053"/>
      <c r="R48" s="1143">
        <v>0</v>
      </c>
      <c r="S48" s="1118"/>
      <c r="T48" s="3079"/>
      <c r="U48" s="3079"/>
      <c r="V48" s="3055">
        <f t="shared" si="6"/>
        <v>0.90000000000000036</v>
      </c>
      <c r="W48" s="1119"/>
      <c r="X48" s="3055">
        <f t="shared" si="7"/>
        <v>13.9</v>
      </c>
      <c r="Y48" s="3056"/>
      <c r="Z48" s="3057"/>
      <c r="AA48" s="1119"/>
      <c r="AB48" s="3062">
        <v>1.0999999999999996</v>
      </c>
      <c r="AC48" s="1118"/>
      <c r="AD48" s="3062">
        <v>15</v>
      </c>
      <c r="AE48" s="3062"/>
      <c r="AF48" s="3089"/>
      <c r="AG48" s="3056"/>
      <c r="AH48" s="3059">
        <f t="shared" si="8"/>
        <v>-1.1000000000000001</v>
      </c>
      <c r="AI48" s="3060"/>
      <c r="AJ48" s="3061">
        <f>ROUND(AH48/AD48,3)</f>
        <v>-7.2999999999999995E-2</v>
      </c>
      <c r="AK48" s="2663"/>
      <c r="AL48" s="2658"/>
    </row>
    <row r="49" spans="1:38" ht="18" customHeight="1">
      <c r="A49" s="3041" t="s">
        <v>1162</v>
      </c>
      <c r="B49" s="3041"/>
      <c r="C49" s="3041"/>
      <c r="D49" s="1142">
        <v>0</v>
      </c>
      <c r="E49" s="3055"/>
      <c r="F49" s="1143">
        <v>0</v>
      </c>
      <c r="G49" s="1118"/>
      <c r="H49" s="1142">
        <v>0</v>
      </c>
      <c r="I49" s="3053"/>
      <c r="J49" s="2665">
        <v>0</v>
      </c>
      <c r="K49" s="1137"/>
      <c r="L49" s="3059">
        <v>84.299999999999955</v>
      </c>
      <c r="M49" s="3053"/>
      <c r="N49" s="3059">
        <v>783</v>
      </c>
      <c r="O49" s="1137"/>
      <c r="P49" s="2671">
        <v>11.900000000000006</v>
      </c>
      <c r="Q49" s="3053"/>
      <c r="R49" s="3076">
        <v>83.4</v>
      </c>
      <c r="S49" s="1118"/>
      <c r="T49" s="3079"/>
      <c r="U49" s="3079"/>
      <c r="V49" s="3055">
        <f t="shared" si="6"/>
        <v>96.19999999999996</v>
      </c>
      <c r="W49" s="1119"/>
      <c r="X49" s="3055">
        <f t="shared" si="7"/>
        <v>866.4</v>
      </c>
      <c r="Y49" s="3056"/>
      <c r="Z49" s="3057"/>
      <c r="AA49" s="1119"/>
      <c r="AB49" s="3062">
        <v>92.299999999999983</v>
      </c>
      <c r="AC49" s="1118"/>
      <c r="AD49" s="3062">
        <v>776</v>
      </c>
      <c r="AE49" s="3053"/>
      <c r="AF49" s="3089"/>
      <c r="AG49" s="3056"/>
      <c r="AH49" s="3059">
        <f t="shared" si="8"/>
        <v>90.4</v>
      </c>
      <c r="AI49" s="3096"/>
      <c r="AJ49" s="3061">
        <f>ROUND(AH49/AD49,3)</f>
        <v>0.11600000000000001</v>
      </c>
      <c r="AK49" s="2663"/>
      <c r="AL49" s="2658"/>
    </row>
    <row r="50" spans="1:38" ht="18" customHeight="1">
      <c r="A50" s="3041" t="s">
        <v>1163</v>
      </c>
      <c r="B50" s="3041"/>
      <c r="C50" s="3041"/>
      <c r="D50" s="1138">
        <v>0</v>
      </c>
      <c r="E50" s="1139"/>
      <c r="F50" s="3076">
        <v>1.2</v>
      </c>
      <c r="G50" s="1118"/>
      <c r="H50" s="1142">
        <v>0</v>
      </c>
      <c r="I50" s="3053"/>
      <c r="J50" s="2665">
        <v>0</v>
      </c>
      <c r="K50" s="1137"/>
      <c r="L50" s="1142">
        <v>0</v>
      </c>
      <c r="M50" s="3053"/>
      <c r="N50" s="1143">
        <v>0</v>
      </c>
      <c r="O50" s="1137"/>
      <c r="P50" s="1142">
        <v>0</v>
      </c>
      <c r="Q50" s="3053"/>
      <c r="R50" s="1143">
        <v>0</v>
      </c>
      <c r="S50" s="1118"/>
      <c r="T50" s="3079"/>
      <c r="U50" s="3079"/>
      <c r="V50" s="3055">
        <f t="shared" si="6"/>
        <v>0</v>
      </c>
      <c r="W50" s="1119"/>
      <c r="X50" s="3055">
        <f t="shared" si="7"/>
        <v>1.2</v>
      </c>
      <c r="Y50" s="3056"/>
      <c r="Z50" s="3057"/>
      <c r="AA50" s="1119"/>
      <c r="AB50" s="3062">
        <v>9.9999999999999978E-2</v>
      </c>
      <c r="AC50" s="1118"/>
      <c r="AD50" s="3090">
        <v>0.7</v>
      </c>
      <c r="AE50" s="3053"/>
      <c r="AF50" s="3089"/>
      <c r="AG50" s="3056"/>
      <c r="AH50" s="3059">
        <f t="shared" si="8"/>
        <v>0.5</v>
      </c>
      <c r="AI50" s="3096"/>
      <c r="AJ50" s="1864">
        <f>ROUND(IF(AD50=0,1,AH50/(AD50)),3)</f>
        <v>0.71399999999999997</v>
      </c>
      <c r="AK50" s="2663"/>
      <c r="AL50" s="2658"/>
    </row>
    <row r="51" spans="1:38" ht="18" customHeight="1">
      <c r="A51" s="3052" t="s">
        <v>1164</v>
      </c>
      <c r="B51" s="3041"/>
      <c r="C51" s="3041"/>
      <c r="D51" s="1142">
        <v>0</v>
      </c>
      <c r="E51" s="1139"/>
      <c r="F51" s="1142">
        <v>0</v>
      </c>
      <c r="G51" s="1118"/>
      <c r="H51" s="1138">
        <v>111.39999999999998</v>
      </c>
      <c r="I51" s="3053"/>
      <c r="J51" s="3059">
        <v>889.5</v>
      </c>
      <c r="K51" s="1137"/>
      <c r="L51" s="1142">
        <v>0</v>
      </c>
      <c r="M51" s="3053"/>
      <c r="N51" s="1143">
        <v>0</v>
      </c>
      <c r="O51" s="1137"/>
      <c r="P51" s="1142">
        <v>0</v>
      </c>
      <c r="Q51" s="3053"/>
      <c r="R51" s="1143">
        <v>0</v>
      </c>
      <c r="S51" s="1118"/>
      <c r="T51" s="3079"/>
      <c r="U51" s="3079"/>
      <c r="V51" s="3055">
        <f t="shared" si="6"/>
        <v>111.39999999999998</v>
      </c>
      <c r="W51" s="1119"/>
      <c r="X51" s="3055">
        <f t="shared" si="7"/>
        <v>889.5</v>
      </c>
      <c r="Y51" s="3056"/>
      <c r="Z51" s="3057"/>
      <c r="AA51" s="1119"/>
      <c r="AB51" s="3062">
        <v>110</v>
      </c>
      <c r="AC51" s="1118"/>
      <c r="AD51" s="3062">
        <v>867.7</v>
      </c>
      <c r="AE51" s="3053"/>
      <c r="AF51" s="3089"/>
      <c r="AG51" s="3056"/>
      <c r="AH51" s="2665">
        <f t="shared" si="8"/>
        <v>21.8</v>
      </c>
      <c r="AI51" s="3096"/>
      <c r="AJ51" s="3097">
        <f>ROUND(AH51/AD51,3)</f>
        <v>2.5000000000000001E-2</v>
      </c>
      <c r="AK51" s="2663"/>
      <c r="AL51" s="2658"/>
    </row>
    <row r="52" spans="1:38" ht="18" customHeight="1">
      <c r="A52" s="3040" t="s">
        <v>1153</v>
      </c>
      <c r="B52" s="3041"/>
      <c r="C52" s="3041"/>
      <c r="D52" s="3083">
        <f>ROUND(SUM(D46:D51),1)</f>
        <v>75.099999999999994</v>
      </c>
      <c r="E52" s="186"/>
      <c r="F52" s="3092">
        <f>ROUND(SUM(F46:F51),1)</f>
        <v>1255</v>
      </c>
      <c r="G52" s="184"/>
      <c r="H52" s="3098">
        <f>ROUND(SUM(H46:H51),1)</f>
        <v>111.4</v>
      </c>
      <c r="I52" s="3067"/>
      <c r="J52" s="3098">
        <f>ROUND(SUM(J46:J51),1)</f>
        <v>889.5</v>
      </c>
      <c r="K52" s="184"/>
      <c r="L52" s="3083">
        <f>ROUND(SUM(L46:L51),1)</f>
        <v>84.3</v>
      </c>
      <c r="M52" s="67"/>
      <c r="N52" s="3083">
        <f>ROUND(SUM(N46:N51),1)</f>
        <v>783</v>
      </c>
      <c r="O52" s="184" t="s">
        <v>16</v>
      </c>
      <c r="P52" s="3083">
        <f>ROUND(SUM(P46:P51),1)</f>
        <v>11.9</v>
      </c>
      <c r="Q52" s="67"/>
      <c r="R52" s="3083">
        <f>ROUND(SUM(R46:R51),1)</f>
        <v>83.4</v>
      </c>
      <c r="S52" s="184"/>
      <c r="T52" s="3068"/>
      <c r="U52" s="3068"/>
      <c r="V52" s="3069">
        <f>ROUND(SUM(V46:V51),1)</f>
        <v>282.7</v>
      </c>
      <c r="W52" s="186"/>
      <c r="X52" s="3069">
        <f>ROUND(SUM(X46:X51),1)</f>
        <v>3010.9</v>
      </c>
      <c r="Y52" s="3228"/>
      <c r="Z52" s="3071"/>
      <c r="AA52" s="186"/>
      <c r="AB52" s="3069">
        <f>ROUND(SUM(AB46:AB51),1)</f>
        <v>300.5</v>
      </c>
      <c r="AC52" s="184"/>
      <c r="AD52" s="3069">
        <f>ROUND(SUM(AD46:AD51),1)</f>
        <v>2511.9</v>
      </c>
      <c r="AE52" s="3072"/>
      <c r="AF52" s="3073"/>
      <c r="AG52" s="3070"/>
      <c r="AH52" s="3084">
        <f t="shared" si="8"/>
        <v>499</v>
      </c>
      <c r="AI52" s="18"/>
      <c r="AJ52" s="3085">
        <f>ROUND(AH52/AD52,3)</f>
        <v>0.19900000000000001</v>
      </c>
      <c r="AK52" s="2668"/>
      <c r="AL52" s="2669"/>
    </row>
    <row r="53" spans="1:38" ht="18" customHeight="1">
      <c r="A53" s="3041"/>
      <c r="B53" s="3041"/>
      <c r="C53" s="3041"/>
      <c r="D53" s="3099"/>
      <c r="E53" s="160"/>
      <c r="F53" s="3100"/>
      <c r="G53" s="1271"/>
      <c r="H53" s="3099"/>
      <c r="I53" s="18"/>
      <c r="J53" s="3101"/>
      <c r="K53" s="1271"/>
      <c r="L53" s="3099"/>
      <c r="M53" s="18"/>
      <c r="N53" s="3101"/>
      <c r="O53" s="1271"/>
      <c r="P53" s="3099"/>
      <c r="Q53" s="18"/>
      <c r="R53" s="3101"/>
      <c r="S53" s="1271"/>
      <c r="T53" s="3102"/>
      <c r="U53" s="3102"/>
      <c r="V53" s="3100"/>
      <c r="W53" s="199"/>
      <c r="X53" s="3100"/>
      <c r="Y53" s="160"/>
      <c r="Z53" s="3103"/>
      <c r="AA53" s="199"/>
      <c r="AB53" s="3099"/>
      <c r="AC53" s="1271"/>
      <c r="AD53" s="3101"/>
      <c r="AE53" s="18"/>
      <c r="AF53" s="3104"/>
      <c r="AG53" s="160"/>
      <c r="AH53" s="3105"/>
      <c r="AI53" s="18"/>
      <c r="AJ53" s="3106"/>
      <c r="AK53" s="2669"/>
      <c r="AL53" s="2669"/>
    </row>
    <row r="54" spans="1:38" ht="18" customHeight="1" thickBot="1">
      <c r="A54" s="3040" t="s">
        <v>1165</v>
      </c>
      <c r="B54" s="3041"/>
      <c r="C54" s="3041"/>
      <c r="D54" s="3107">
        <f>ROUND(SUM(D25)+SUM(D35)+SUM(D43)+SUM(D52),1)</f>
        <v>5425.8</v>
      </c>
      <c r="E54" s="3108"/>
      <c r="F54" s="3378">
        <f>ROUND(SUM(F25)+SUM(F35)+SUM(F43)+SUM(F52),1)</f>
        <v>35051.800000000003</v>
      </c>
      <c r="G54" s="3382"/>
      <c r="H54" s="3107">
        <f>ROUND(SUM(H25)+SUM(H35)+SUM(H43)+SUM(H52),1)</f>
        <v>648.5</v>
      </c>
      <c r="I54" s="3108"/>
      <c r="J54" s="3378">
        <f>ROUND(SUM(J25)+SUM(J35)+SUM(J43)+SUM(J52),1)</f>
        <v>4323.1000000000004</v>
      </c>
      <c r="K54" s="3108"/>
      <c r="L54" s="3107">
        <f>ROUND(SUM(L25)+SUM(L35)+SUM(L43)+SUM(L52),1)</f>
        <v>1927.6</v>
      </c>
      <c r="M54" s="3108"/>
      <c r="N54" s="3107">
        <f>ROUND(SUM(N25)+SUM(N35)+SUM(N43)+SUM(N52),1)</f>
        <v>14007.4</v>
      </c>
      <c r="O54" s="3108"/>
      <c r="P54" s="3107">
        <f>ROUND(SUM(P25)+SUM(P35)+SUM(P43)+SUM(P52),1)</f>
        <v>132.80000000000001</v>
      </c>
      <c r="Q54" s="3108"/>
      <c r="R54" s="3378">
        <f>ROUND(SUM(R25)+SUM(R35)+SUM(R43)+SUM(R52),1)</f>
        <v>1051.5</v>
      </c>
      <c r="S54" s="3109"/>
      <c r="T54" s="3110"/>
      <c r="U54" s="3108"/>
      <c r="V54" s="3111">
        <f>ROUND(SUM(V25)+SUM(V35)+SUM(V43)+SUM(V52),1)</f>
        <v>8134.7</v>
      </c>
      <c r="W54" s="3108"/>
      <c r="X54" s="3111">
        <f>ROUND(SUM(X25)+SUM(X35)+SUM(X43)+SUM(X52),1)</f>
        <v>54433.8</v>
      </c>
      <c r="Y54" s="3232"/>
      <c r="Z54" s="3112"/>
      <c r="AA54" s="3108"/>
      <c r="AB54" s="3111">
        <f>ROUND(SUM(AB25)+SUM(AB35)+SUM(AB43)+SUM(AB52),1)</f>
        <v>7972.2</v>
      </c>
      <c r="AC54" s="3108"/>
      <c r="AD54" s="3111">
        <f>ROUND(SUM(AD25)+SUM(AD35)+SUM(AD43)+SUM(AD52),1)</f>
        <v>49740.4</v>
      </c>
      <c r="AE54" s="3113"/>
      <c r="AF54" s="3114"/>
      <c r="AG54" s="3113"/>
      <c r="AH54" s="3115">
        <f>ROUND(SUM(X54)-SUM(AD54),1)</f>
        <v>4693.3999999999996</v>
      </c>
      <c r="AI54" s="18"/>
      <c r="AJ54" s="3116">
        <f>ROUND(AH54/AD54,3)</f>
        <v>9.4E-2</v>
      </c>
      <c r="AK54" s="2668"/>
      <c r="AL54" s="2669"/>
    </row>
    <row r="55" spans="1:38" ht="15" customHeight="1" thickTop="1"/>
    <row r="56" spans="1:38" ht="15" customHeight="1"/>
    <row r="57"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1" firstPageNumber="16" orientation="landscape" useFirstPageNumber="1" r:id="rId2"/>
  <headerFooter scaleWithDoc="0" alignWithMargins="0">
    <oddFooter>&amp;C&amp;8&amp;P</oddFooter>
  </headerFooter>
  <ignoredErrors>
    <ignoredError sqref="F35 R35 F43 J43 N43 R43 F54 J54 R54 AJ46 AJ22:AJ23" unlockedFormula="1"/>
    <ignoredError sqref="AH24 AJ19 AH19" formula="1"/>
    <ignoredError sqref="AJ50"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7"/>
  <sheetViews>
    <sheetView showGridLines="0" showOutlineSymbols="0" zoomScale="60" zoomScaleNormal="60" zoomScaleSheetLayoutView="75" workbookViewId="0"/>
  </sheetViews>
  <sheetFormatPr defaultColWidth="8.90625" defaultRowHeight="16.5" customHeight="1"/>
  <cols>
    <col min="1" max="1" width="43.6328125" style="419" customWidth="1"/>
    <col min="2" max="2" width="1.6328125" style="419" customWidth="1"/>
    <col min="3" max="3" width="13.453125" style="419" customWidth="1"/>
    <col min="4" max="4" width="1.6328125" style="419" customWidth="1"/>
    <col min="5" max="5" width="13.1796875" style="419" bestFit="1" customWidth="1"/>
    <col min="6" max="6" width="1.6328125" style="419" customWidth="1"/>
    <col min="7" max="7" width="12.90625" style="419" bestFit="1" customWidth="1"/>
    <col min="8" max="8" width="1.6328125" style="419" customWidth="1"/>
    <col min="9" max="9" width="14.453125" style="419" customWidth="1"/>
    <col min="10" max="10" width="1.6328125" style="419" customWidth="1"/>
    <col min="11" max="11" width="13.1796875" style="419" bestFit="1" customWidth="1"/>
    <col min="12" max="12" width="1.6328125" style="419" customWidth="1"/>
    <col min="13" max="13" width="13.36328125" style="419" customWidth="1"/>
    <col min="14" max="14" width="1.6328125" style="419" customWidth="1"/>
    <col min="15" max="15" width="13.1796875" style="419" bestFit="1" customWidth="1"/>
    <col min="16" max="16" width="1.6328125" style="419" customWidth="1"/>
    <col min="17" max="17" width="13.453125" style="419" bestFit="1" customWidth="1"/>
    <col min="18" max="18" width="1.6328125" style="419" customWidth="1"/>
    <col min="19" max="19" width="13.36328125" style="419" customWidth="1"/>
    <col min="20" max="20" width="1.6328125" style="419" customWidth="1"/>
    <col min="21" max="21" width="13" style="419" customWidth="1"/>
    <col min="22" max="22" width="1.6328125" style="419" customWidth="1"/>
    <col min="23" max="23" width="12.36328125" style="419" customWidth="1"/>
    <col min="24" max="24" width="1.6328125" style="419" customWidth="1"/>
    <col min="25" max="25" width="12.90625" style="419" bestFit="1" customWidth="1"/>
    <col min="26" max="27" width="1.6328125" style="419" customWidth="1"/>
    <col min="28" max="28" width="15.1796875" style="419" customWidth="1"/>
    <col min="29" max="30" width="1.6328125" style="419" customWidth="1"/>
    <col min="31" max="31" width="13.54296875" style="419" bestFit="1" customWidth="1"/>
    <col min="32" max="33" width="1.6328125" style="419" customWidth="1"/>
    <col min="34" max="34" width="12.90625" style="419" bestFit="1" customWidth="1"/>
    <col min="35" max="35" width="1.36328125" style="419" customWidth="1"/>
    <col min="36" max="36" width="11.81640625" style="419" customWidth="1"/>
    <col min="37" max="16384" width="8.90625" style="419"/>
  </cols>
  <sheetData>
    <row r="1" spans="1:37" ht="16.5" customHeight="1">
      <c r="A1" s="1184" t="s">
        <v>1217</v>
      </c>
    </row>
    <row r="2" spans="1:37" ht="16.5" customHeight="1">
      <c r="A2" s="1731"/>
    </row>
    <row r="3" spans="1:37" ht="20.25" customHeight="1">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0.25" customHeight="1">
      <c r="A4" s="427" t="s">
        <v>127</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0.25" customHeight="1">
      <c r="A5" s="429" t="s">
        <v>128</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8"/>
      <c r="AD5" s="3569"/>
      <c r="AE5" s="3569"/>
      <c r="AF5" s="3569"/>
      <c r="AG5" s="3569"/>
      <c r="AH5" s="3569"/>
      <c r="AI5" s="3569"/>
      <c r="AJ5" s="3569"/>
    </row>
    <row r="6" spans="1:37" ht="20.25" customHeight="1">
      <c r="A6" s="429" t="s">
        <v>1522</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0.25" customHeight="1">
      <c r="A7" s="427" t="s">
        <v>1103</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6.5" customHeight="1">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70" t="s">
        <v>1657</v>
      </c>
      <c r="AC12" s="3570"/>
      <c r="AD12" s="3570"/>
      <c r="AE12" s="3570"/>
      <c r="AF12" s="3570"/>
      <c r="AG12" s="3570"/>
      <c r="AH12" s="3570"/>
      <c r="AI12" s="3570"/>
      <c r="AJ12" s="3570"/>
    </row>
    <row r="13" spans="1:37" ht="16.5" customHeight="1">
      <c r="A13" s="430"/>
      <c r="B13" s="430"/>
      <c r="C13" s="3304">
        <v>2015</v>
      </c>
      <c r="D13" s="982"/>
      <c r="E13" s="982"/>
      <c r="F13" s="982"/>
      <c r="G13" s="982"/>
      <c r="H13" s="982"/>
      <c r="I13" s="982"/>
      <c r="J13" s="982"/>
      <c r="K13" s="982"/>
      <c r="L13" s="982"/>
      <c r="M13" s="982"/>
      <c r="N13" s="982"/>
      <c r="O13" s="982"/>
      <c r="P13" s="982"/>
      <c r="Q13" s="982"/>
      <c r="R13" s="982"/>
      <c r="S13" s="982"/>
      <c r="T13" s="982"/>
      <c r="U13" s="3304">
        <v>2016</v>
      </c>
      <c r="V13" s="982"/>
      <c r="W13" s="982"/>
      <c r="X13" s="982"/>
      <c r="Y13" s="982"/>
      <c r="Z13" s="982"/>
      <c r="AA13" s="982"/>
      <c r="AB13" s="982"/>
      <c r="AC13" s="1508"/>
      <c r="AD13" s="1508"/>
      <c r="AE13" s="1508"/>
      <c r="AF13" s="982"/>
      <c r="AG13" s="982"/>
      <c r="AH13" s="1509" t="s">
        <v>8</v>
      </c>
      <c r="AI13" s="1507"/>
      <c r="AJ13" s="1509" t="s">
        <v>9</v>
      </c>
    </row>
    <row r="14" spans="1:37" ht="16.5" customHeight="1">
      <c r="A14" s="430"/>
      <c r="B14" s="430"/>
      <c r="C14" s="1509" t="s">
        <v>129</v>
      </c>
      <c r="D14" s="982"/>
      <c r="E14" s="1509" t="s">
        <v>130</v>
      </c>
      <c r="F14" s="982"/>
      <c r="G14" s="1509" t="s">
        <v>131</v>
      </c>
      <c r="H14" s="982"/>
      <c r="I14" s="1509" t="s">
        <v>132</v>
      </c>
      <c r="J14" s="982"/>
      <c r="K14" s="1509" t="s">
        <v>133</v>
      </c>
      <c r="L14" s="982"/>
      <c r="M14" s="1509" t="s">
        <v>134</v>
      </c>
      <c r="N14" s="982"/>
      <c r="O14" s="1509" t="s">
        <v>135</v>
      </c>
      <c r="P14" s="982"/>
      <c r="Q14" s="1509" t="s">
        <v>136</v>
      </c>
      <c r="R14" s="982"/>
      <c r="S14" s="1509" t="s">
        <v>137</v>
      </c>
      <c r="T14" s="982"/>
      <c r="U14" s="1509" t="s">
        <v>138</v>
      </c>
      <c r="V14" s="982"/>
      <c r="W14" s="1509" t="s">
        <v>139</v>
      </c>
      <c r="X14" s="982"/>
      <c r="Y14" s="1509" t="s">
        <v>140</v>
      </c>
      <c r="Z14" s="982"/>
      <c r="AA14" s="982"/>
      <c r="AB14" s="1510">
        <v>2015</v>
      </c>
      <c r="AC14" s="982"/>
      <c r="AD14" s="982"/>
      <c r="AE14" s="1510">
        <v>2014</v>
      </c>
      <c r="AF14" s="982"/>
      <c r="AG14" s="982"/>
      <c r="AH14" s="1511" t="s">
        <v>13</v>
      </c>
      <c r="AI14" s="1507"/>
      <c r="AJ14" s="1511" t="s">
        <v>14</v>
      </c>
    </row>
    <row r="15" spans="1:37" ht="6"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430"/>
      <c r="AG15" s="430"/>
      <c r="AI15" s="430"/>
    </row>
    <row r="16" spans="1:37" ht="16.5" customHeight="1">
      <c r="A16" s="983" t="s">
        <v>141</v>
      </c>
      <c r="B16" s="430"/>
      <c r="C16" s="1328">
        <v>9355.6</v>
      </c>
      <c r="D16" s="986"/>
      <c r="E16" s="986">
        <f>C143</f>
        <v>12663.6</v>
      </c>
      <c r="F16" s="986"/>
      <c r="G16" s="986">
        <f>E143</f>
        <v>13192.7</v>
      </c>
      <c r="H16" s="986"/>
      <c r="I16" s="986">
        <f>G143</f>
        <v>14763.6</v>
      </c>
      <c r="J16" s="986"/>
      <c r="K16" s="986">
        <f>I143</f>
        <v>13780.6</v>
      </c>
      <c r="L16" s="986"/>
      <c r="M16" s="986">
        <f>K143</f>
        <v>14365</v>
      </c>
      <c r="N16" s="986"/>
      <c r="O16" s="986">
        <f>M143</f>
        <v>12327.2</v>
      </c>
      <c r="P16" s="986"/>
      <c r="Q16" s="986">
        <f>O143</f>
        <v>14657.2</v>
      </c>
      <c r="R16" s="986"/>
      <c r="S16" s="986">
        <f>Q143</f>
        <v>14090.1</v>
      </c>
      <c r="T16" s="986"/>
      <c r="U16" s="986"/>
      <c r="V16" s="986"/>
      <c r="W16" s="986"/>
      <c r="X16" s="986"/>
      <c r="Y16" s="986"/>
      <c r="Z16" s="986"/>
      <c r="AA16" s="987"/>
      <c r="AB16" s="986">
        <f>C16</f>
        <v>9355.6</v>
      </c>
      <c r="AC16" s="986"/>
      <c r="AD16" s="988"/>
      <c r="AE16" s="986">
        <v>4034.5</v>
      </c>
      <c r="AF16" s="986"/>
      <c r="AG16" s="986"/>
      <c r="AH16" s="986">
        <f>ROUND(SUM(AB16-AE16),1)</f>
        <v>5321.1</v>
      </c>
      <c r="AI16" s="982"/>
      <c r="AJ16" s="513">
        <f>ROUND(SUM(AH16/AE16),3)</f>
        <v>1.319</v>
      </c>
      <c r="AK16" s="795"/>
    </row>
    <row r="17" spans="1:36" ht="16.5" customHeight="1">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990"/>
      <c r="AB17" s="430" t="s">
        <v>16</v>
      </c>
      <c r="AC17" s="430"/>
      <c r="AD17" s="991"/>
      <c r="AE17" s="430" t="s">
        <v>16</v>
      </c>
      <c r="AF17" s="430"/>
      <c r="AG17" s="430"/>
      <c r="AH17" s="1714"/>
      <c r="AI17" s="430"/>
      <c r="AJ17" s="1714"/>
    </row>
    <row r="18" spans="1:36" ht="16.5" customHeight="1">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990"/>
      <c r="AB18" s="430"/>
      <c r="AC18" s="430"/>
      <c r="AD18" s="991"/>
      <c r="AE18" s="430"/>
      <c r="AF18" s="430"/>
      <c r="AG18" s="430"/>
      <c r="AH18" s="1714"/>
      <c r="AI18" s="430"/>
      <c r="AJ18" s="1714"/>
    </row>
    <row r="19" spans="1:36" ht="16.5" customHeight="1">
      <c r="A19" s="490" t="s">
        <v>1359</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430"/>
      <c r="AG19" s="430"/>
      <c r="AH19" s="1714"/>
      <c r="AI19" s="430"/>
      <c r="AJ19" s="1714"/>
    </row>
    <row r="20" spans="1:36" ht="16.5" customHeight="1">
      <c r="A20" s="2076" t="s">
        <v>1429</v>
      </c>
      <c r="B20" s="1270"/>
      <c r="C20" s="1134"/>
      <c r="D20" s="1134"/>
      <c r="E20" s="1134"/>
      <c r="F20" s="1134"/>
      <c r="G20" s="1134"/>
      <c r="H20" s="430"/>
      <c r="I20" s="989"/>
      <c r="J20" s="430"/>
      <c r="K20" s="989"/>
      <c r="L20" s="430"/>
      <c r="M20" s="989"/>
      <c r="N20" s="430"/>
      <c r="O20" s="989"/>
      <c r="P20" s="430"/>
      <c r="Q20" s="989"/>
      <c r="R20" s="430"/>
      <c r="S20" s="989"/>
      <c r="T20" s="430"/>
      <c r="U20" s="989"/>
      <c r="V20" s="430"/>
      <c r="W20" s="989"/>
      <c r="X20" s="430"/>
      <c r="Y20" s="989"/>
      <c r="Z20" s="430"/>
      <c r="AA20" s="1930"/>
      <c r="AB20" s="430"/>
      <c r="AC20" s="430"/>
      <c r="AD20" s="991"/>
      <c r="AE20" s="430"/>
      <c r="AF20" s="430"/>
      <c r="AG20" s="430"/>
      <c r="AH20" s="1714"/>
      <c r="AI20" s="430"/>
      <c r="AJ20" s="1714"/>
    </row>
    <row r="21" spans="1:36" ht="16.5" customHeight="1">
      <c r="A21" s="1270" t="s">
        <v>1367</v>
      </c>
      <c r="B21" s="1270"/>
      <c r="C21" s="696">
        <f>+'Exhibit F'!D19</f>
        <v>2961.1</v>
      </c>
      <c r="D21" s="1137"/>
      <c r="E21" s="696">
        <f>+'Exhibit F'!F19</f>
        <v>2449.1999999999998</v>
      </c>
      <c r="F21" s="1137"/>
      <c r="G21" s="696">
        <f>+'Exhibit F'!H19</f>
        <v>2626.3</v>
      </c>
      <c r="H21" s="992"/>
      <c r="I21" s="696">
        <f>+'Exhibit F'!J19</f>
        <v>2676.2</v>
      </c>
      <c r="J21" s="992"/>
      <c r="K21" s="696">
        <f>+'Exhibit F'!L19</f>
        <v>2498.8000000000002</v>
      </c>
      <c r="L21" s="430"/>
      <c r="M21" s="696">
        <f>+'Exhibit F'!N19</f>
        <v>2679.4</v>
      </c>
      <c r="N21" s="430"/>
      <c r="O21" s="696">
        <f>+'Exhibit F'!P19</f>
        <v>2464.8000000000002</v>
      </c>
      <c r="P21" s="430"/>
      <c r="Q21" s="696">
        <f>+'Exhibit F'!R19</f>
        <v>2549.6999999999998</v>
      </c>
      <c r="R21" s="430"/>
      <c r="S21" s="696">
        <f>+'Exhibit F'!T19</f>
        <v>3695.6</v>
      </c>
      <c r="T21" s="430"/>
      <c r="U21" s="696"/>
      <c r="V21" s="430"/>
      <c r="W21" s="696"/>
      <c r="X21" s="430"/>
      <c r="Y21" s="696"/>
      <c r="Z21" s="430"/>
      <c r="AA21" s="1930"/>
      <c r="AB21" s="992">
        <f t="shared" ref="AB21:AB30" si="0">ROUND(SUM(C21:Y21),1)</f>
        <v>24601.1</v>
      </c>
      <c r="AC21" s="430"/>
      <c r="AD21" s="991"/>
      <c r="AE21" s="696">
        <f>+'Exhibit F'!AF19</f>
        <v>23385.9</v>
      </c>
      <c r="AF21" s="430"/>
      <c r="AG21" s="430"/>
      <c r="AH21" s="1171">
        <f>ROUND(SUM(+AB21-AE21),1)</f>
        <v>1215.2</v>
      </c>
      <c r="AI21" s="2091"/>
      <c r="AJ21" s="1864">
        <f>ROUND(IF(AE21=0,0,AH21/ABS(AE21)),3)</f>
        <v>5.1999999999999998E-2</v>
      </c>
    </row>
    <row r="22" spans="1:36" ht="16.5" customHeight="1">
      <c r="A22" s="1270" t="s">
        <v>1368</v>
      </c>
      <c r="B22" s="1275"/>
      <c r="C22" s="696">
        <f>+'Exhibit F'!D20</f>
        <v>5313.5</v>
      </c>
      <c r="D22" s="1137"/>
      <c r="E22" s="696">
        <f>+'Exhibit F'!F20</f>
        <v>124.7</v>
      </c>
      <c r="F22" s="1137"/>
      <c r="G22" s="696">
        <f>+'Exhibit F'!H20</f>
        <v>2261</v>
      </c>
      <c r="H22" s="992"/>
      <c r="I22" s="696">
        <f>+'Exhibit F'!J20</f>
        <v>102.9</v>
      </c>
      <c r="J22" s="992"/>
      <c r="K22" s="696">
        <f>+'Exhibit F'!L20</f>
        <v>97.6</v>
      </c>
      <c r="L22" s="430"/>
      <c r="M22" s="696">
        <f>+'Exhibit F'!N20</f>
        <v>2485.3000000000002</v>
      </c>
      <c r="N22" s="430"/>
      <c r="O22" s="696">
        <f>+'Exhibit F'!P20</f>
        <v>162.1</v>
      </c>
      <c r="P22" s="430"/>
      <c r="Q22" s="696">
        <f>+'Exhibit F'!R20</f>
        <v>100.2</v>
      </c>
      <c r="R22" s="430"/>
      <c r="S22" s="696">
        <f>+'Exhibit F'!T20</f>
        <v>1471.8</v>
      </c>
      <c r="T22" s="430"/>
      <c r="U22" s="696"/>
      <c r="V22" s="430"/>
      <c r="W22" s="696"/>
      <c r="X22" s="430"/>
      <c r="Y22" s="696"/>
      <c r="Z22" s="430"/>
      <c r="AA22" s="1930"/>
      <c r="AB22" s="992">
        <f t="shared" si="0"/>
        <v>12119.1</v>
      </c>
      <c r="AC22" s="430"/>
      <c r="AD22" s="991"/>
      <c r="AE22" s="696">
        <f>+'Exhibit F'!AF20</f>
        <v>10006.700000000001</v>
      </c>
      <c r="AF22" s="430"/>
      <c r="AG22" s="430"/>
      <c r="AH22" s="1171">
        <f>ROUND(SUM(+AB22-AE22),1)</f>
        <v>2112.4</v>
      </c>
      <c r="AI22" s="2091"/>
      <c r="AJ22" s="1864">
        <f>ROUND(IF(AE22=0,0,AH22/ABS(AE22)),3)</f>
        <v>0.21099999999999999</v>
      </c>
    </row>
    <row r="23" spans="1:36" ht="16.5" customHeight="1">
      <c r="A23" s="1270" t="s">
        <v>1369</v>
      </c>
      <c r="B23" s="1270"/>
      <c r="C23" s="696">
        <f>+'Exhibit F'!D21</f>
        <v>1687.1</v>
      </c>
      <c r="D23" s="1137"/>
      <c r="E23" s="696">
        <f>+'Exhibit F'!F21</f>
        <v>78.2</v>
      </c>
      <c r="F23" s="1137"/>
      <c r="G23" s="696">
        <f>+'Exhibit F'!H21</f>
        <v>47.5</v>
      </c>
      <c r="H23" s="992"/>
      <c r="I23" s="696">
        <f>+'Exhibit F'!J21</f>
        <v>40.1</v>
      </c>
      <c r="J23" s="992"/>
      <c r="K23" s="696">
        <f>+'Exhibit F'!L21</f>
        <v>31.5</v>
      </c>
      <c r="L23" s="430"/>
      <c r="M23" s="696">
        <f>+'Exhibit F'!N21</f>
        <v>61</v>
      </c>
      <c r="N23" s="430"/>
      <c r="O23" s="696">
        <f>+'Exhibit F'!P21</f>
        <v>416</v>
      </c>
      <c r="P23" s="430"/>
      <c r="Q23" s="696">
        <f>+'Exhibit F'!R21</f>
        <v>31.9</v>
      </c>
      <c r="R23" s="430"/>
      <c r="S23" s="696">
        <f>+'Exhibit F'!T21</f>
        <v>32.5</v>
      </c>
      <c r="T23" s="430"/>
      <c r="U23" s="696"/>
      <c r="V23" s="430"/>
      <c r="W23" s="696"/>
      <c r="X23" s="430"/>
      <c r="Y23" s="696"/>
      <c r="Z23" s="430"/>
      <c r="AA23" s="1930"/>
      <c r="AB23" s="992">
        <f t="shared" si="0"/>
        <v>2425.8000000000002</v>
      </c>
      <c r="AC23" s="430"/>
      <c r="AD23" s="991"/>
      <c r="AE23" s="696">
        <f>+'Exhibit F'!AF21</f>
        <v>2050.4</v>
      </c>
      <c r="AF23" s="430"/>
      <c r="AG23" s="430"/>
      <c r="AH23" s="1171">
        <f>ROUND(SUM(+AB23-AE23),1)</f>
        <v>375.4</v>
      </c>
      <c r="AI23" s="2091"/>
      <c r="AJ23" s="1864">
        <f>ROUND(IF(AE23=0,0,AH23/ABS(AE23)),3)</f>
        <v>0.183</v>
      </c>
    </row>
    <row r="24" spans="1:36" ht="16.5" customHeight="1">
      <c r="A24" s="2114" t="s">
        <v>1370</v>
      </c>
      <c r="B24" s="1270"/>
      <c r="C24" s="696">
        <f>+'Exhibit F'!D22</f>
        <v>-144.80000000000001</v>
      </c>
      <c r="D24" s="1137"/>
      <c r="E24" s="696">
        <f>+'Exhibit F'!F22</f>
        <v>-26.1</v>
      </c>
      <c r="F24" s="1137"/>
      <c r="G24" s="696">
        <f>+'Exhibit F'!H22</f>
        <v>-21.1</v>
      </c>
      <c r="H24" s="992"/>
      <c r="I24" s="696">
        <f>+'Exhibit F'!J22</f>
        <v>-12.4</v>
      </c>
      <c r="J24" s="992"/>
      <c r="K24" s="696">
        <f>+'Exhibit F'!L22</f>
        <v>-11.9</v>
      </c>
      <c r="L24" s="430"/>
      <c r="M24" s="696">
        <f>+'Exhibit F'!N22</f>
        <v>-32.9</v>
      </c>
      <c r="N24" s="430"/>
      <c r="O24" s="696">
        <f>+'Exhibit F'!P22</f>
        <v>-266.7</v>
      </c>
      <c r="P24" s="430"/>
      <c r="Q24" s="696">
        <f>+'Exhibit F'!R22</f>
        <v>-74.7</v>
      </c>
      <c r="R24" s="430"/>
      <c r="S24" s="696">
        <f>+'Exhibit F'!T22</f>
        <v>-13</v>
      </c>
      <c r="T24" s="430"/>
      <c r="U24" s="696"/>
      <c r="V24" s="430"/>
      <c r="W24" s="696"/>
      <c r="X24" s="430"/>
      <c r="Y24" s="696"/>
      <c r="Z24" s="430"/>
      <c r="AA24" s="1930"/>
      <c r="AB24" s="992">
        <f t="shared" si="0"/>
        <v>-603.6</v>
      </c>
      <c r="AC24" s="430"/>
      <c r="AD24" s="991"/>
      <c r="AE24" s="696">
        <f>+'Exhibit F'!AF22</f>
        <v>-518</v>
      </c>
      <c r="AF24" s="430"/>
      <c r="AG24" s="430"/>
      <c r="AH24" s="1171">
        <f>-ROUND(SUM(+AB24-AE24),1)</f>
        <v>85.6</v>
      </c>
      <c r="AI24" s="2091"/>
      <c r="AJ24" s="2817">
        <f>ROUND(IF(AE24=0,0,AH24/ABS(AE24)),3)</f>
        <v>0.16500000000000001</v>
      </c>
    </row>
    <row r="25" spans="1:36" ht="16.5" customHeight="1">
      <c r="A25" s="2114" t="s">
        <v>1371</v>
      </c>
      <c r="B25" s="1270"/>
      <c r="C25" s="696">
        <f>+'Exhibit F'!D23</f>
        <v>143.69999999999999</v>
      </c>
      <c r="D25" s="1137"/>
      <c r="E25" s="696">
        <f>+'Exhibit F'!F23</f>
        <v>95.5</v>
      </c>
      <c r="F25" s="1137"/>
      <c r="G25" s="696">
        <f>+'Exhibit F'!H23</f>
        <v>110.2</v>
      </c>
      <c r="H25" s="992"/>
      <c r="I25" s="696">
        <f>+'Exhibit F'!J23</f>
        <v>82.7</v>
      </c>
      <c r="J25" s="992"/>
      <c r="K25" s="696">
        <f>+'Exhibit F'!L23</f>
        <v>73.5</v>
      </c>
      <c r="L25" s="430"/>
      <c r="M25" s="696">
        <f>+'Exhibit F'!N23</f>
        <v>73.5</v>
      </c>
      <c r="N25" s="430"/>
      <c r="O25" s="696">
        <f>+'Exhibit F'!P23</f>
        <v>89.3</v>
      </c>
      <c r="P25" s="430"/>
      <c r="Q25" s="696">
        <f>+'Exhibit F'!R23</f>
        <v>88.8</v>
      </c>
      <c r="R25" s="430"/>
      <c r="S25" s="696">
        <f>+'Exhibit F'!T23</f>
        <v>103.8</v>
      </c>
      <c r="T25" s="430"/>
      <c r="U25" s="696"/>
      <c r="V25" s="430"/>
      <c r="W25" s="696"/>
      <c r="X25" s="430"/>
      <c r="Y25" s="696"/>
      <c r="Z25" s="430"/>
      <c r="AA25" s="1930"/>
      <c r="AB25" s="992">
        <f t="shared" si="0"/>
        <v>861</v>
      </c>
      <c r="AC25" s="430"/>
      <c r="AD25" s="991"/>
      <c r="AE25" s="696">
        <f>+'Exhibit F'!AF23</f>
        <v>836.8</v>
      </c>
      <c r="AF25" s="430"/>
      <c r="AG25" s="430"/>
      <c r="AH25" s="1171">
        <f>ROUND(SUM(+AB25-AE25),1)</f>
        <v>24.2</v>
      </c>
      <c r="AI25" s="2091"/>
      <c r="AJ25" s="2820">
        <f t="shared" ref="AJ25:AJ30" si="1">ROUND(IF(AE25=0,0,AH25/ABS(AE25)),3)</f>
        <v>2.9000000000000001E-2</v>
      </c>
    </row>
    <row r="26" spans="1:36" ht="16.5" customHeight="1">
      <c r="A26" s="1271" t="s">
        <v>1372</v>
      </c>
      <c r="B26" s="1271"/>
      <c r="C26" s="1274">
        <f>ROUND(SUM(C21:C25),1)</f>
        <v>9960.6</v>
      </c>
      <c r="D26" s="184"/>
      <c r="E26" s="1274">
        <f>ROUND(SUM(E21:E25),1)</f>
        <v>2721.5</v>
      </c>
      <c r="F26" s="184"/>
      <c r="G26" s="1824">
        <f>ROUND(SUM(G21:G25),1)</f>
        <v>5023.8999999999996</v>
      </c>
      <c r="H26" s="430"/>
      <c r="I26" s="1824">
        <f>ROUND(SUM(I21:I25),1)</f>
        <v>2889.5</v>
      </c>
      <c r="J26" s="430"/>
      <c r="K26" s="1824">
        <f>ROUND(SUM(K21:K25),1)</f>
        <v>2689.5</v>
      </c>
      <c r="L26" s="430"/>
      <c r="M26" s="1824">
        <f>ROUND(SUM(M21:M25),1)</f>
        <v>5266.3</v>
      </c>
      <c r="N26" s="430"/>
      <c r="O26" s="1824">
        <f>ROUND(SUM(O21:O25),1)</f>
        <v>2865.5</v>
      </c>
      <c r="P26" s="430"/>
      <c r="Q26" s="1824">
        <f>ROUND(SUM(Q21:Q25),1)</f>
        <v>2695.9</v>
      </c>
      <c r="R26" s="430"/>
      <c r="S26" s="1824">
        <f>ROUND(SUM(S21:S25),1)</f>
        <v>5290.7</v>
      </c>
      <c r="T26" s="430"/>
      <c r="U26" s="1824">
        <f>ROUND(SUM(U21:U25),1)</f>
        <v>0</v>
      </c>
      <c r="V26" s="430"/>
      <c r="W26" s="1824">
        <f>ROUND(SUM(W21:W25),1)</f>
        <v>0</v>
      </c>
      <c r="X26" s="430"/>
      <c r="Y26" s="1824">
        <f>ROUND(SUM(Y21:Y25),1)</f>
        <v>0</v>
      </c>
      <c r="Z26" s="430"/>
      <c r="AA26" s="1930"/>
      <c r="AB26" s="1009">
        <f t="shared" si="0"/>
        <v>39403.4</v>
      </c>
      <c r="AC26" s="430"/>
      <c r="AD26" s="991"/>
      <c r="AE26" s="1824">
        <f>ROUND(SUM(AE21:AE25),1)</f>
        <v>35761.800000000003</v>
      </c>
      <c r="AF26" s="430"/>
      <c r="AG26" s="430"/>
      <c r="AH26" s="484">
        <f>ROUND(SUM(AB26-AE26),1)</f>
        <v>3641.6</v>
      </c>
      <c r="AI26" s="2091"/>
      <c r="AJ26" s="2821">
        <f t="shared" si="1"/>
        <v>0.10199999999999999</v>
      </c>
    </row>
    <row r="27" spans="1:36" ht="16.5" customHeight="1">
      <c r="A27" s="2114" t="s">
        <v>1374</v>
      </c>
      <c r="B27" s="1270"/>
      <c r="C27" s="2672">
        <f>+'Exhibit F'!D25+'Exhibit G'!D18</f>
        <v>0</v>
      </c>
      <c r="D27" s="1138"/>
      <c r="E27" s="2672">
        <f>+'Exhibit F'!F25+'Exhibit G'!F18</f>
        <v>0</v>
      </c>
      <c r="F27" s="1138"/>
      <c r="G27" s="2672">
        <f>+'Exhibit F'!H25+'Exhibit G'!H18</f>
        <v>0</v>
      </c>
      <c r="H27" s="2818"/>
      <c r="I27" s="2672">
        <f>+'Exhibit F'!J25+'Exhibit G'!J18</f>
        <v>0</v>
      </c>
      <c r="J27" s="2818"/>
      <c r="K27" s="2672">
        <f>+'Exhibit F'!L25+'Exhibit G'!L18</f>
        <v>0</v>
      </c>
      <c r="L27" s="2819"/>
      <c r="M27" s="2672">
        <f>+'Exhibit F'!N25+'Exhibit G'!N18</f>
        <v>0</v>
      </c>
      <c r="N27" s="2819"/>
      <c r="O27" s="2672">
        <f>+'Exhibit F'!P25+'Exhibit G'!P18</f>
        <v>0</v>
      </c>
      <c r="P27" s="430"/>
      <c r="Q27" s="2672">
        <f>+'Exhibit F'!R25+'Exhibit G'!R18</f>
        <v>0</v>
      </c>
      <c r="R27" s="430"/>
      <c r="S27" s="2672">
        <f>+'Exhibit F'!T25+'Exhibit G'!T18</f>
        <v>0</v>
      </c>
      <c r="T27" s="430"/>
      <c r="U27" s="2672"/>
      <c r="V27" s="430"/>
      <c r="W27" s="2903"/>
      <c r="X27" s="430"/>
      <c r="Y27" s="2903"/>
      <c r="Z27" s="430"/>
      <c r="AA27" s="1930"/>
      <c r="AB27" s="992">
        <f t="shared" si="0"/>
        <v>0</v>
      </c>
      <c r="AC27" s="430"/>
      <c r="AD27" s="991"/>
      <c r="AE27" s="2672">
        <f>+'Exhibit F'!AF25+'Exhibit G'!AF18</f>
        <v>0</v>
      </c>
      <c r="AF27" s="430"/>
      <c r="AG27" s="430"/>
      <c r="AH27" s="1171">
        <f>ROUND(SUM(+AB27-AE27),1)</f>
        <v>0</v>
      </c>
      <c r="AI27" s="2091"/>
      <c r="AJ27" s="2817">
        <f t="shared" si="1"/>
        <v>0</v>
      </c>
    </row>
    <row r="28" spans="1:36" ht="16.5" customHeight="1">
      <c r="A28" s="2114" t="s">
        <v>1375</v>
      </c>
      <c r="B28" s="1270"/>
      <c r="C28" s="1142">
        <f>+'Exhibit F'!D26+'Exhibit H'!B16</f>
        <v>0</v>
      </c>
      <c r="D28" s="1138"/>
      <c r="E28" s="1142">
        <f>+'Exhibit F'!F26+'Exhibit H'!D16</f>
        <v>0</v>
      </c>
      <c r="F28" s="1138"/>
      <c r="G28" s="1142">
        <f>+'Exhibit F'!H26+'Exhibit H'!F16</f>
        <v>0</v>
      </c>
      <c r="H28" s="2818"/>
      <c r="I28" s="1142">
        <f>+'Exhibit F'!J26+'Exhibit H'!H16</f>
        <v>0</v>
      </c>
      <c r="J28" s="2818"/>
      <c r="K28" s="1142">
        <f>+'Exhibit F'!L26+'Exhibit H'!J16</f>
        <v>0</v>
      </c>
      <c r="L28" s="2819"/>
      <c r="M28" s="1142">
        <f>+'Exhibit F'!N26+'Exhibit H'!L16</f>
        <v>0</v>
      </c>
      <c r="N28" s="2819"/>
      <c r="O28" s="1142">
        <f>+'Exhibit F'!P26+'Exhibit H'!N16</f>
        <v>0</v>
      </c>
      <c r="P28" s="430"/>
      <c r="Q28" s="1142">
        <f>+'Exhibit F'!R26+'Exhibit H'!P16</f>
        <v>0</v>
      </c>
      <c r="R28" s="430"/>
      <c r="S28" s="1142">
        <f>+'Exhibit F'!T26+'Exhibit H'!R16</f>
        <v>0</v>
      </c>
      <c r="T28" s="430"/>
      <c r="U28" s="1142"/>
      <c r="V28" s="430"/>
      <c r="W28" s="2904"/>
      <c r="X28" s="430"/>
      <c r="Y28" s="2904"/>
      <c r="Z28" s="430"/>
      <c r="AA28" s="1930"/>
      <c r="AB28" s="992">
        <f t="shared" si="0"/>
        <v>0</v>
      </c>
      <c r="AC28" s="430"/>
      <c r="AD28" s="991"/>
      <c r="AE28" s="1142">
        <f>+'Exhibit F'!AF26+'Exhibit H'!AD16</f>
        <v>0</v>
      </c>
      <c r="AF28" s="430"/>
      <c r="AG28" s="430"/>
      <c r="AH28" s="1171">
        <f>ROUND(SUM(+AB28-AE28),1)</f>
        <v>0</v>
      </c>
      <c r="AI28" s="2091"/>
      <c r="AJ28" s="2817">
        <f t="shared" si="1"/>
        <v>0</v>
      </c>
    </row>
    <row r="29" spans="1:36" ht="16.5" customHeight="1">
      <c r="A29" s="1270" t="s">
        <v>1376</v>
      </c>
      <c r="B29" s="1270"/>
      <c r="C29" s="696">
        <f>+'Exhibit F'!D27</f>
        <v>-3242.2</v>
      </c>
      <c r="D29" s="1137"/>
      <c r="E29" s="696">
        <f>+'Exhibit F'!F27</f>
        <v>-400.7</v>
      </c>
      <c r="F29" s="1137"/>
      <c r="G29" s="696">
        <f>+'Exhibit F'!H27</f>
        <v>-219.1</v>
      </c>
      <c r="H29" s="992"/>
      <c r="I29" s="696">
        <f>+'Exhibit F'!J27</f>
        <v>-167.6</v>
      </c>
      <c r="J29" s="992"/>
      <c r="K29" s="696">
        <f>+'Exhibit F'!L27</f>
        <v>-144.69999999999999</v>
      </c>
      <c r="L29" s="430"/>
      <c r="M29" s="696">
        <f>+'Exhibit F'!N27</f>
        <v>-143.4</v>
      </c>
      <c r="N29" s="430"/>
      <c r="O29" s="696">
        <f>+'Exhibit F'!P27</f>
        <v>-414.8</v>
      </c>
      <c r="P29" s="430"/>
      <c r="Q29" s="696">
        <f>+'Exhibit F'!R27</f>
        <v>-355.3</v>
      </c>
      <c r="R29" s="430"/>
      <c r="S29" s="696">
        <f>+'Exhibit F'!T27</f>
        <v>-295.10000000000002</v>
      </c>
      <c r="T29" s="430"/>
      <c r="U29" s="696"/>
      <c r="V29" s="430"/>
      <c r="W29" s="696"/>
      <c r="X29" s="430"/>
      <c r="Y29" s="696"/>
      <c r="Z29" s="430"/>
      <c r="AA29" s="1930"/>
      <c r="AB29" s="992">
        <f t="shared" si="0"/>
        <v>-5382.9</v>
      </c>
      <c r="AC29" s="430"/>
      <c r="AD29" s="991"/>
      <c r="AE29" s="696">
        <f>+'Exhibit F'!AF27</f>
        <v>-5587.7</v>
      </c>
      <c r="AF29" s="430"/>
      <c r="AG29" s="430"/>
      <c r="AH29" s="1171">
        <f>-ROUND(SUM(+AB29-AE29),1)</f>
        <v>-204.8</v>
      </c>
      <c r="AI29" s="2091"/>
      <c r="AJ29" s="2817">
        <f t="shared" si="1"/>
        <v>-3.6999999999999998E-2</v>
      </c>
    </row>
    <row r="30" spans="1:36" ht="16.5" customHeight="1">
      <c r="A30" s="589" t="s">
        <v>1373</v>
      </c>
      <c r="B30" s="1270"/>
      <c r="C30" s="1824">
        <f>ROUND(SUM(C26)+SUM(C27)+SUM(C28)+SUM(C29),1)</f>
        <v>6718.4</v>
      </c>
      <c r="D30" s="184"/>
      <c r="E30" s="1824">
        <f>ROUND(SUM(E26)+SUM(E27)+SUM(E28)+SUM(E29),1)</f>
        <v>2320.8000000000002</v>
      </c>
      <c r="F30" s="184"/>
      <c r="G30" s="1824">
        <f>ROUND(SUM(G26)+SUM(G27)+SUM(G28)+SUM(G29),1)</f>
        <v>4804.8</v>
      </c>
      <c r="H30" s="430"/>
      <c r="I30" s="1824">
        <f>ROUND(SUM(I26)+SUM(I27)+SUM(I28)+SUM(I29),1)</f>
        <v>2721.9</v>
      </c>
      <c r="J30" s="430"/>
      <c r="K30" s="1824">
        <f>ROUND(SUM(K26)+SUM(K27)+SUM(K28)+SUM(K29),1)</f>
        <v>2544.8000000000002</v>
      </c>
      <c r="L30" s="430"/>
      <c r="M30" s="1824">
        <f>ROUND(SUM(M26)+SUM(M27)+SUM(M28)+SUM(M29),1)</f>
        <v>5122.8999999999996</v>
      </c>
      <c r="N30" s="430"/>
      <c r="O30" s="1824">
        <f>ROUND(SUM(O26)+SUM(O27)+SUM(O28)+SUM(O29),1)</f>
        <v>2450.6999999999998</v>
      </c>
      <c r="P30" s="430"/>
      <c r="Q30" s="1824">
        <f>ROUND(SUM(Q26)+SUM(Q27)+SUM(Q28)+SUM(Q29),1)</f>
        <v>2340.6</v>
      </c>
      <c r="R30" s="430"/>
      <c r="S30" s="1824">
        <f>ROUND(SUM(S26)+SUM(S27)+SUM(S28)+SUM(S29),1)</f>
        <v>4995.6000000000004</v>
      </c>
      <c r="T30" s="430"/>
      <c r="U30" s="1824">
        <f>ROUND(SUM(U26)+SUM(U27)+SUM(U28)+SUM(U29),1)</f>
        <v>0</v>
      </c>
      <c r="V30" s="430"/>
      <c r="W30" s="1824">
        <f>ROUND(SUM(W26)+SUM(W27)+SUM(W28)+SUM(W29),1)</f>
        <v>0</v>
      </c>
      <c r="X30" s="430"/>
      <c r="Y30" s="1824">
        <f>ROUND(SUM(Y26)+SUM(Y27)+SUM(Y28)+SUM(Y29),1)</f>
        <v>0</v>
      </c>
      <c r="Z30" s="430"/>
      <c r="AA30" s="1930"/>
      <c r="AB30" s="1009">
        <f t="shared" si="0"/>
        <v>34020.5</v>
      </c>
      <c r="AC30" s="430"/>
      <c r="AD30" s="991"/>
      <c r="AE30" s="1824">
        <f>ROUND(SUM(AE26)+SUM(AE27)+SUM(AE28)+SUM(AE29),1)</f>
        <v>30174.1</v>
      </c>
      <c r="AF30" s="430"/>
      <c r="AG30" s="430"/>
      <c r="AH30" s="484">
        <f>ROUND(SUM(AH26+AH27+AH28-AH29),1)</f>
        <v>3846.4</v>
      </c>
      <c r="AI30" s="1908"/>
      <c r="AJ30" s="2821">
        <f t="shared" si="1"/>
        <v>0.127</v>
      </c>
    </row>
    <row r="31" spans="1:36" ht="16.5" customHeight="1">
      <c r="A31" s="2076" t="s">
        <v>1430</v>
      </c>
      <c r="B31" s="1275"/>
      <c r="C31" s="1118"/>
      <c r="D31" s="1118"/>
      <c r="E31" s="1118"/>
      <c r="F31" s="1118"/>
      <c r="G31" s="1118"/>
      <c r="H31" s="430"/>
      <c r="I31" s="989"/>
      <c r="J31" s="430"/>
      <c r="K31" s="989"/>
      <c r="L31" s="430"/>
      <c r="M31" s="989"/>
      <c r="N31" s="430"/>
      <c r="O31" s="989"/>
      <c r="P31" s="430"/>
      <c r="Q31" s="989"/>
      <c r="R31" s="430"/>
      <c r="S31" s="989"/>
      <c r="T31" s="430"/>
      <c r="U31" s="989"/>
      <c r="V31" s="430"/>
      <c r="W31" s="989"/>
      <c r="X31" s="430"/>
      <c r="Y31" s="989"/>
      <c r="Z31" s="430"/>
      <c r="AA31" s="1930"/>
      <c r="AB31" s="430"/>
      <c r="AC31" s="430"/>
      <c r="AD31" s="991"/>
      <c r="AE31" s="989"/>
      <c r="AF31" s="430"/>
      <c r="AG31" s="430"/>
      <c r="AH31" s="273"/>
      <c r="AI31" s="1908"/>
      <c r="AJ31" s="2074"/>
    </row>
    <row r="32" spans="1:36" ht="16.5" customHeight="1">
      <c r="A32" s="1270" t="s">
        <v>1379</v>
      </c>
      <c r="B32" s="1275"/>
      <c r="C32" s="696">
        <f>+'Exhibit F'!D30+'Exhibit G'!D21+'Exhibit H'!B19</f>
        <v>1046.0999999999999</v>
      </c>
      <c r="D32" s="1137"/>
      <c r="E32" s="696">
        <f>+'Exhibit F'!F30+'Exhibit G'!F21+'Exhibit H'!D19</f>
        <v>996.4</v>
      </c>
      <c r="F32" s="1137"/>
      <c r="G32" s="696">
        <f>+'Exhibit F'!H30+'Exhibit G'!H21+'Exhibit H'!F19</f>
        <v>1366.3000000000002</v>
      </c>
      <c r="H32" s="992"/>
      <c r="I32" s="696">
        <f>+'Exhibit F'!J30+'Exhibit G'!J21+'Exhibit H'!H19</f>
        <v>1065.3</v>
      </c>
      <c r="J32" s="992"/>
      <c r="K32" s="696">
        <f>+'Exhibit F'!L30+'Exhibit G'!L21+'Exhibit H'!J19</f>
        <v>1033.7</v>
      </c>
      <c r="L32" s="430"/>
      <c r="M32" s="696">
        <f>+'Exhibit F'!N30+'Exhibit G'!N21+'Exhibit H'!L19</f>
        <v>1379.4</v>
      </c>
      <c r="N32" s="430"/>
      <c r="O32" s="696">
        <f>+'Exhibit F'!P30+'Exhibit G'!P21+'Exhibit H'!N19</f>
        <v>932.3</v>
      </c>
      <c r="P32" s="430"/>
      <c r="Q32" s="696">
        <f>+'Exhibit F'!R30+'Exhibit G'!R21+'Exhibit H'!P19</f>
        <v>1032.5</v>
      </c>
      <c r="R32" s="430"/>
      <c r="S32" s="696">
        <f>+'Exhibit F'!T30+'Exhibit G'!T21+'Exhibit H'!R19</f>
        <v>1267.4000000000001</v>
      </c>
      <c r="T32" s="430"/>
      <c r="U32" s="696"/>
      <c r="V32" s="430"/>
      <c r="W32" s="696"/>
      <c r="X32" s="430"/>
      <c r="Y32" s="696"/>
      <c r="Z32" s="430"/>
      <c r="AA32" s="1930"/>
      <c r="AB32" s="992">
        <f t="shared" ref="AB32:AB38" si="2">ROUND(SUM(C32:Y32),1)</f>
        <v>10119.4</v>
      </c>
      <c r="AC32" s="430"/>
      <c r="AD32" s="991"/>
      <c r="AE32" s="696">
        <f>+'Exhibit F'!AF30+'Exhibit G'!AF21+'Exhibit H'!AD19</f>
        <v>9888.5</v>
      </c>
      <c r="AF32" s="430"/>
      <c r="AG32" s="430"/>
      <c r="AH32" s="1171">
        <f t="shared" ref="AH32:AH38" si="3">ROUND(SUM(+AB32-AE32),1)</f>
        <v>230.9</v>
      </c>
      <c r="AI32" s="1908"/>
      <c r="AJ32" s="1864">
        <f t="shared" ref="AJ32:AJ39" si="4">ROUND(IF(AE32=0,0,AH32/ABS(AE32)),3)</f>
        <v>2.3E-2</v>
      </c>
    </row>
    <row r="33" spans="1:36" ht="16.5" customHeight="1">
      <c r="A33" s="1270" t="s">
        <v>1380</v>
      </c>
      <c r="B33" s="1275"/>
      <c r="C33" s="696">
        <f>+'Exhibit F'!D31+'Exhibit G'!D22+' Exhbit I '!E20</f>
        <v>4.5</v>
      </c>
      <c r="D33" s="1137"/>
      <c r="E33" s="696">
        <f>+'Exhibit F'!F31+'Exhibit G'!F22+' Exhbit I '!G20</f>
        <v>0.30000000000000004</v>
      </c>
      <c r="F33" s="1137"/>
      <c r="G33" s="696">
        <f>+'Exhibit F'!H31+'Exhibit G'!H22+' Exhbit I '!I20</f>
        <v>28.299999999999997</v>
      </c>
      <c r="H33" s="992"/>
      <c r="I33" s="696">
        <f>+'Exhibit F'!J31+'Exhibit G'!J22+' Exhbit I '!K20</f>
        <v>0.2</v>
      </c>
      <c r="J33" s="992"/>
      <c r="K33" s="696">
        <f>+'Exhibit F'!L31+'Exhibit G'!L22+' Exhbit I '!M20</f>
        <v>0.1</v>
      </c>
      <c r="L33" s="430"/>
      <c r="M33" s="696">
        <f>+'Exhibit F'!N31+'Exhibit G'!N22+' Exhbit I '!O20</f>
        <v>39.200000000000003</v>
      </c>
      <c r="N33" s="430"/>
      <c r="O33" s="696">
        <f>+'Exhibit F'!P31+'Exhibit G'!P22+' Exhbit I '!Q20</f>
        <v>0.8</v>
      </c>
      <c r="P33" s="430"/>
      <c r="Q33" s="696">
        <f>+'Exhibit F'!R31+'Exhibit G'!R22+' Exhbit I '!S20</f>
        <v>0</v>
      </c>
      <c r="R33" s="430"/>
      <c r="S33" s="696">
        <f>+'Exhibit F'!T31+'Exhibit G'!T22+' Exhbit I '!U20</f>
        <v>31.1</v>
      </c>
      <c r="T33" s="430"/>
      <c r="U33" s="696"/>
      <c r="V33" s="430"/>
      <c r="W33" s="696"/>
      <c r="X33" s="430"/>
      <c r="Y33" s="696"/>
      <c r="Z33" s="430"/>
      <c r="AA33" s="1930"/>
      <c r="AB33" s="992">
        <f t="shared" si="2"/>
        <v>104.5</v>
      </c>
      <c r="AC33" s="430"/>
      <c r="AD33" s="991"/>
      <c r="AE33" s="696">
        <f>+'Exhibit F'!AF31+'Exhibit G'!AF22+' Exhbit I '!AG20</f>
        <v>99.3</v>
      </c>
      <c r="AF33" s="430"/>
      <c r="AG33" s="430"/>
      <c r="AH33" s="1171">
        <f t="shared" si="3"/>
        <v>5.2</v>
      </c>
      <c r="AI33" s="1908"/>
      <c r="AJ33" s="1864">
        <f t="shared" si="4"/>
        <v>5.1999999999999998E-2</v>
      </c>
    </row>
    <row r="34" spans="1:36" ht="16.5" customHeight="1">
      <c r="A34" s="1270" t="s">
        <v>1381</v>
      </c>
      <c r="B34" s="1270"/>
      <c r="C34" s="696">
        <f>+'Exhibit F'!D32+'Exhibit G'!D23</f>
        <v>95.100000000000009</v>
      </c>
      <c r="D34" s="1137"/>
      <c r="E34" s="696">
        <f>+'Exhibit F'!F32+'Exhibit G'!F23</f>
        <v>98.800000000000011</v>
      </c>
      <c r="F34" s="1137"/>
      <c r="G34" s="696">
        <f>+'Exhibit F'!H32+'Exhibit G'!H23</f>
        <v>121.39999999999999</v>
      </c>
      <c r="H34" s="992"/>
      <c r="I34" s="696">
        <f>+'Exhibit F'!J32+'Exhibit G'!J23</f>
        <v>119.2</v>
      </c>
      <c r="J34" s="992"/>
      <c r="K34" s="696">
        <f>+'Exhibit F'!L32+'Exhibit G'!L23</f>
        <v>107.2</v>
      </c>
      <c r="L34" s="430"/>
      <c r="M34" s="696">
        <f>+'Exhibit F'!N32+'Exhibit G'!N23</f>
        <v>121.39999999999999</v>
      </c>
      <c r="N34" s="430"/>
      <c r="O34" s="696">
        <f>+'Exhibit F'!P32+'Exhibit G'!P23</f>
        <v>112</v>
      </c>
      <c r="P34" s="430"/>
      <c r="Q34" s="696">
        <f>+'Exhibit F'!R32+'Exhibit G'!R23</f>
        <v>100.1</v>
      </c>
      <c r="R34" s="430"/>
      <c r="S34" s="696">
        <f>+'Exhibit F'!T32+'Exhibit G'!T23</f>
        <v>112.9</v>
      </c>
      <c r="T34" s="430"/>
      <c r="U34" s="696"/>
      <c r="V34" s="430"/>
      <c r="W34" s="696"/>
      <c r="X34" s="430"/>
      <c r="Y34" s="696"/>
      <c r="Z34" s="430"/>
      <c r="AA34" s="1930"/>
      <c r="AB34" s="992">
        <f t="shared" si="2"/>
        <v>988.1</v>
      </c>
      <c r="AC34" s="430"/>
      <c r="AD34" s="991"/>
      <c r="AE34" s="696">
        <f>+'Exhibit F'!AF32+'Exhibit G'!AF23</f>
        <v>1045.5</v>
      </c>
      <c r="AF34" s="430"/>
      <c r="AG34" s="430"/>
      <c r="AH34" s="1171">
        <f t="shared" si="3"/>
        <v>-57.4</v>
      </c>
      <c r="AI34" s="1908"/>
      <c r="AJ34" s="1864">
        <f t="shared" si="4"/>
        <v>-5.5E-2</v>
      </c>
    </row>
    <row r="35" spans="1:36" ht="16.5" customHeight="1">
      <c r="A35" s="1270" t="s">
        <v>1382</v>
      </c>
      <c r="B35" s="1270"/>
      <c r="C35" s="696">
        <f>+'Exhibit F'!D33+'Exhibit G'!D24+' Exhbit I '!E21</f>
        <v>41.3</v>
      </c>
      <c r="D35" s="1137"/>
      <c r="E35" s="696">
        <f>+'Exhibit F'!F33+'Exhibit G'!F24+' Exhbit I '!G21</f>
        <v>41.7</v>
      </c>
      <c r="F35" s="1137"/>
      <c r="G35" s="696">
        <f>+'Exhibit F'!H33+'Exhibit G'!H24+' Exhbit I '!I21</f>
        <v>40.699999999999996</v>
      </c>
      <c r="H35" s="992"/>
      <c r="I35" s="696">
        <f>+'Exhibit F'!J33+'Exhibit G'!J24+' Exhbit I '!K21</f>
        <v>42.800000000000004</v>
      </c>
      <c r="J35" s="992"/>
      <c r="K35" s="696">
        <f>+'Exhibit F'!L33+'Exhibit G'!L24+' Exhbit I '!M21</f>
        <v>46.6</v>
      </c>
      <c r="L35" s="430"/>
      <c r="M35" s="696">
        <f>+'Exhibit F'!N33+'Exhibit G'!N24+' Exhbit I '!O21</f>
        <v>38.200000000000003</v>
      </c>
      <c r="N35" s="430"/>
      <c r="O35" s="696">
        <f>+'Exhibit F'!P33+'Exhibit G'!P24+' Exhbit I '!Q21</f>
        <v>42.3</v>
      </c>
      <c r="P35" s="430"/>
      <c r="Q35" s="696">
        <f>+'Exhibit F'!R33+'Exhibit G'!R24+' Exhbit I '!S21</f>
        <v>41.4</v>
      </c>
      <c r="R35" s="430"/>
      <c r="S35" s="696">
        <f>+'Exhibit F'!T33+'Exhibit G'!T24+' Exhbit I '!U21</f>
        <v>40.5</v>
      </c>
      <c r="T35" s="430"/>
      <c r="U35" s="696"/>
      <c r="V35" s="430"/>
      <c r="W35" s="696"/>
      <c r="X35" s="430"/>
      <c r="Y35" s="696"/>
      <c r="Z35" s="430"/>
      <c r="AA35" s="1930"/>
      <c r="AB35" s="992">
        <f t="shared" si="2"/>
        <v>375.5</v>
      </c>
      <c r="AC35" s="430"/>
      <c r="AD35" s="991"/>
      <c r="AE35" s="696">
        <f>+'Exhibit F'!AF33+'Exhibit G'!AF24+' Exhbit I '!AG21</f>
        <v>373</v>
      </c>
      <c r="AF35" s="430"/>
      <c r="AG35" s="430"/>
      <c r="AH35" s="1171">
        <f t="shared" si="3"/>
        <v>2.5</v>
      </c>
      <c r="AI35" s="1908"/>
      <c r="AJ35" s="1864">
        <f t="shared" si="4"/>
        <v>7.0000000000000001E-3</v>
      </c>
    </row>
    <row r="36" spans="1:36" ht="16.5" customHeight="1">
      <c r="A36" s="1270" t="s">
        <v>1383</v>
      </c>
      <c r="B36" s="1270"/>
      <c r="C36" s="696">
        <f>+'Exhibit F'!D34+'Exhibit G'!D25</f>
        <v>19.899999999999999</v>
      </c>
      <c r="D36" s="1137"/>
      <c r="E36" s="696">
        <f>+'Exhibit F'!F34+'Exhibit G'!F25</f>
        <v>20.3</v>
      </c>
      <c r="F36" s="1137"/>
      <c r="G36" s="696">
        <f>+'Exhibit F'!H34+'Exhibit G'!H25</f>
        <v>21.7</v>
      </c>
      <c r="H36" s="992"/>
      <c r="I36" s="696">
        <f>+'Exhibit F'!J34+'Exhibit G'!J25</f>
        <v>29.4</v>
      </c>
      <c r="J36" s="992"/>
      <c r="K36" s="696">
        <f>+'Exhibit F'!L34+'Exhibit G'!L25</f>
        <v>17.399999999999999</v>
      </c>
      <c r="L36" s="430"/>
      <c r="M36" s="696">
        <f>+'Exhibit F'!N34+'Exhibit G'!N25</f>
        <v>21.4</v>
      </c>
      <c r="N36" s="430"/>
      <c r="O36" s="696">
        <f>+'Exhibit F'!P34+'Exhibit G'!P25</f>
        <v>20.100000000000001</v>
      </c>
      <c r="P36" s="430"/>
      <c r="Q36" s="696">
        <f>+'Exhibit F'!R34+'Exhibit G'!R25</f>
        <v>21.4</v>
      </c>
      <c r="R36" s="430"/>
      <c r="S36" s="696">
        <f>+'Exhibit F'!T34+'Exhibit G'!T25</f>
        <v>20.100000000000001</v>
      </c>
      <c r="T36" s="430"/>
      <c r="U36" s="696"/>
      <c r="V36" s="430"/>
      <c r="W36" s="696"/>
      <c r="X36" s="430"/>
      <c r="Y36" s="696"/>
      <c r="Z36" s="430"/>
      <c r="AA36" s="1930"/>
      <c r="AB36" s="992">
        <f t="shared" si="2"/>
        <v>191.7</v>
      </c>
      <c r="AC36" s="430"/>
      <c r="AD36" s="991"/>
      <c r="AE36" s="696">
        <f>+'Exhibit F'!AF34+'Exhibit G'!AF25</f>
        <v>188.8</v>
      </c>
      <c r="AF36" s="430"/>
      <c r="AG36" s="430"/>
      <c r="AH36" s="1171">
        <f t="shared" si="3"/>
        <v>2.9</v>
      </c>
      <c r="AI36" s="1908"/>
      <c r="AJ36" s="1864">
        <f t="shared" si="4"/>
        <v>1.4999999999999999E-2</v>
      </c>
    </row>
    <row r="37" spans="1:36" ht="16.5" customHeight="1">
      <c r="A37" s="1270" t="s">
        <v>1384</v>
      </c>
      <c r="B37" s="1270"/>
      <c r="C37" s="696">
        <f>+'Exhibit F'!D35+'Exhibit G'!D26+' Exhbit I '!E22</f>
        <v>13.4</v>
      </c>
      <c r="D37" s="1137"/>
      <c r="E37" s="696">
        <f>+'Exhibit F'!F35+'Exhibit G'!F26+' Exhbit I '!G22</f>
        <v>10.3</v>
      </c>
      <c r="F37" s="1137"/>
      <c r="G37" s="696">
        <f>+'Exhibit F'!H35+'Exhibit G'!H26+' Exhbit I '!I22</f>
        <v>13</v>
      </c>
      <c r="H37" s="992"/>
      <c r="I37" s="696">
        <f>+'Exhibit F'!J35+'Exhibit G'!J26+' Exhbit I '!K22</f>
        <v>12.8</v>
      </c>
      <c r="J37" s="992"/>
      <c r="K37" s="696">
        <f>+'Exhibit F'!L35+'Exhibit G'!L26+' Exhbit I '!M22</f>
        <v>11.1</v>
      </c>
      <c r="L37" s="430"/>
      <c r="M37" s="696">
        <f>+'Exhibit F'!N35+'Exhibit G'!N26+' Exhbit I '!O22</f>
        <v>14.9</v>
      </c>
      <c r="N37" s="430"/>
      <c r="O37" s="696">
        <f>+'Exhibit F'!P35+'Exhibit G'!P26+' Exhbit I '!Q22</f>
        <v>15.5</v>
      </c>
      <c r="P37" s="430"/>
      <c r="Q37" s="696">
        <f>+'Exhibit F'!R35+'Exhibit G'!R26+' Exhbit I '!S22</f>
        <v>18.3</v>
      </c>
      <c r="R37" s="430"/>
      <c r="S37" s="696">
        <f>+'Exhibit F'!T35+'Exhibit G'!T26+' Exhbit I '!U22</f>
        <v>16.8</v>
      </c>
      <c r="T37" s="430"/>
      <c r="U37" s="696"/>
      <c r="V37" s="430"/>
      <c r="W37" s="696"/>
      <c r="X37" s="430"/>
      <c r="Y37" s="696"/>
      <c r="Z37" s="430"/>
      <c r="AA37" s="1930"/>
      <c r="AB37" s="992">
        <f t="shared" si="2"/>
        <v>126.1</v>
      </c>
      <c r="AC37" s="430"/>
      <c r="AD37" s="991"/>
      <c r="AE37" s="696">
        <f>+'Exhibit F'!AF35+'Exhibit G'!AF26+' Exhbit I '!AG22</f>
        <v>108.2</v>
      </c>
      <c r="AF37" s="430"/>
      <c r="AG37" s="430"/>
      <c r="AH37" s="1171">
        <f t="shared" si="3"/>
        <v>17.899999999999999</v>
      </c>
      <c r="AI37" s="1908"/>
      <c r="AJ37" s="1864">
        <f t="shared" si="4"/>
        <v>0.16500000000000001</v>
      </c>
    </row>
    <row r="38" spans="1:36" ht="16.5" customHeight="1">
      <c r="A38" s="2115" t="s">
        <v>1385</v>
      </c>
      <c r="B38" s="1270"/>
      <c r="C38" s="696">
        <f>+'Exhibit F'!D36+'Exhibit G'!D27</f>
        <v>19.2</v>
      </c>
      <c r="D38" s="1137"/>
      <c r="E38" s="696">
        <f>+'Exhibit F'!F36+'Exhibit G'!F27</f>
        <v>0.6</v>
      </c>
      <c r="F38" s="1137"/>
      <c r="G38" s="696">
        <f>+'Exhibit F'!H36+'Exhibit G'!H27</f>
        <v>0.4</v>
      </c>
      <c r="H38" s="992"/>
      <c r="I38" s="696">
        <f>+'Exhibit F'!J36+'Exhibit G'!J27</f>
        <v>18.100000000000001</v>
      </c>
      <c r="J38" s="992"/>
      <c r="K38" s="696">
        <f>+'Exhibit F'!L36+'Exhibit G'!L27</f>
        <v>0.3</v>
      </c>
      <c r="L38" s="430"/>
      <c r="M38" s="696">
        <f>+'Exhibit F'!N36+'Exhibit G'!N27</f>
        <v>0.1</v>
      </c>
      <c r="N38" s="430"/>
      <c r="O38" s="696">
        <f>+'Exhibit F'!P36+'Exhibit G'!P27</f>
        <v>16.2</v>
      </c>
      <c r="P38" s="430"/>
      <c r="Q38" s="696">
        <f>+'Exhibit F'!R36+'Exhibit G'!R27</f>
        <v>0.5</v>
      </c>
      <c r="R38" s="430"/>
      <c r="S38" s="696">
        <f>+'Exhibit F'!T36+'Exhibit G'!T27</f>
        <v>0.1</v>
      </c>
      <c r="T38" s="430"/>
      <c r="U38" s="696"/>
      <c r="V38" s="430"/>
      <c r="W38" s="696"/>
      <c r="X38" s="430"/>
      <c r="Y38" s="696"/>
      <c r="Z38" s="430"/>
      <c r="AA38" s="1930"/>
      <c r="AB38" s="992">
        <f t="shared" si="2"/>
        <v>55.5</v>
      </c>
      <c r="AC38" s="430"/>
      <c r="AD38" s="991"/>
      <c r="AE38" s="696">
        <f>+'Exhibit F'!AF36+'Exhibit G'!AF27</f>
        <v>62.6</v>
      </c>
      <c r="AF38" s="430"/>
      <c r="AG38" s="430"/>
      <c r="AH38" s="1171">
        <f t="shared" si="3"/>
        <v>-7.1</v>
      </c>
      <c r="AI38" s="1908"/>
      <c r="AJ38" s="1864">
        <f t="shared" si="4"/>
        <v>-0.113</v>
      </c>
    </row>
    <row r="39" spans="1:36" ht="16.5" customHeight="1">
      <c r="A39" s="589" t="s">
        <v>1378</v>
      </c>
      <c r="B39" s="1270"/>
      <c r="C39" s="1824">
        <f>ROUND(SUM(C32:C38),1)</f>
        <v>1239.5</v>
      </c>
      <c r="D39" s="184"/>
      <c r="E39" s="1824">
        <f>ROUND(SUM(E32:E38),1)</f>
        <v>1168.4000000000001</v>
      </c>
      <c r="F39" s="184"/>
      <c r="G39" s="1824">
        <f>ROUND(SUM(G32:G38),1)</f>
        <v>1591.8</v>
      </c>
      <c r="H39" s="430"/>
      <c r="I39" s="1824">
        <f>ROUND(SUM(I32:I38),1)</f>
        <v>1287.8</v>
      </c>
      <c r="J39" s="430"/>
      <c r="K39" s="1824">
        <f>ROUND(SUM(K32:K38),1)</f>
        <v>1216.4000000000001</v>
      </c>
      <c r="L39" s="430"/>
      <c r="M39" s="1824">
        <f>ROUND(SUM(M32:M38),1)</f>
        <v>1614.6</v>
      </c>
      <c r="N39" s="430"/>
      <c r="O39" s="1824">
        <f>ROUND(SUM(O32:O38),1)</f>
        <v>1139.2</v>
      </c>
      <c r="P39" s="430"/>
      <c r="Q39" s="1824">
        <f>ROUND(SUM(Q32:Q38),1)</f>
        <v>1214.2</v>
      </c>
      <c r="R39" s="430"/>
      <c r="S39" s="1824">
        <f>ROUND(SUM(S32:S38),1)</f>
        <v>1488.9</v>
      </c>
      <c r="T39" s="430"/>
      <c r="U39" s="1824">
        <f>ROUND(SUM(U32:U38),1)</f>
        <v>0</v>
      </c>
      <c r="V39" s="430"/>
      <c r="W39" s="1824">
        <f>ROUND(SUM(W32:W38),1)</f>
        <v>0</v>
      </c>
      <c r="X39" s="430"/>
      <c r="Y39" s="1824">
        <f>ROUND(SUM(Y32:Y38),1)</f>
        <v>0</v>
      </c>
      <c r="Z39" s="430"/>
      <c r="AA39" s="1930"/>
      <c r="AB39" s="1824">
        <f>ROUND(SUM(AB32:AB38),1)</f>
        <v>11960.8</v>
      </c>
      <c r="AC39" s="430"/>
      <c r="AD39" s="991"/>
      <c r="AE39" s="1824">
        <f>ROUND(SUM(AE32:AE38),1)</f>
        <v>11765.9</v>
      </c>
      <c r="AF39" s="430"/>
      <c r="AG39" s="430"/>
      <c r="AH39" s="484">
        <f>ROUND(SUM(AH32:AH38),1)</f>
        <v>194.9</v>
      </c>
      <c r="AI39" s="273"/>
      <c r="AJ39" s="72">
        <f t="shared" si="4"/>
        <v>1.7000000000000001E-2</v>
      </c>
    </row>
    <row r="40" spans="1:36" ht="16.5" customHeight="1">
      <c r="A40" s="2076" t="s">
        <v>1431</v>
      </c>
      <c r="B40" s="1270"/>
      <c r="C40" s="1118"/>
      <c r="D40" s="1118"/>
      <c r="E40" s="1118"/>
      <c r="F40" s="1118"/>
      <c r="G40" s="1118"/>
      <c r="H40" s="430"/>
      <c r="I40" s="989"/>
      <c r="J40" s="430"/>
      <c r="K40" s="989"/>
      <c r="L40" s="430"/>
      <c r="M40" s="989"/>
      <c r="N40" s="430"/>
      <c r="O40" s="989"/>
      <c r="P40" s="430"/>
      <c r="Q40" s="989"/>
      <c r="R40" s="430"/>
      <c r="S40" s="989"/>
      <c r="T40" s="430"/>
      <c r="U40" s="989"/>
      <c r="V40" s="430"/>
      <c r="W40" s="989"/>
      <c r="X40" s="430"/>
      <c r="Y40" s="989"/>
      <c r="Z40" s="430"/>
      <c r="AA40" s="1930"/>
      <c r="AB40" s="430"/>
      <c r="AC40" s="430"/>
      <c r="AD40" s="991"/>
      <c r="AE40" s="989"/>
      <c r="AF40" s="430"/>
      <c r="AG40" s="430"/>
      <c r="AH40" s="273"/>
      <c r="AI40" s="273"/>
      <c r="AJ40" s="2074"/>
    </row>
    <row r="41" spans="1:36" ht="16.5" customHeight="1">
      <c r="A41" s="1270" t="s">
        <v>1387</v>
      </c>
      <c r="B41" s="1270"/>
      <c r="C41" s="696">
        <f>+'Exhibit F'!D39+'Exhibit G'!D30+' Exhbit I '!E25</f>
        <v>181.7</v>
      </c>
      <c r="D41" s="1137"/>
      <c r="E41" s="696">
        <f>+'Exhibit F'!F39+'Exhibit G'!F30+' Exhbit I '!G25</f>
        <v>-28.700000000000003</v>
      </c>
      <c r="F41" s="1137"/>
      <c r="G41" s="696">
        <f>+'Exhibit F'!H39+'Exhibit G'!H30+' Exhbit I '!I25</f>
        <v>895.6</v>
      </c>
      <c r="H41" s="992"/>
      <c r="I41" s="696">
        <f>+'Exhibit F'!J39+'Exhibit G'!J30+' Exhbit I '!K25</f>
        <v>115.60000000000001</v>
      </c>
      <c r="J41" s="992"/>
      <c r="K41" s="696">
        <f>+'Exhibit F'!L39+'Exhibit G'!L30+' Exhbit I '!M25</f>
        <v>119.2</v>
      </c>
      <c r="L41" s="430"/>
      <c r="M41" s="696">
        <f>+'Exhibit F'!N39+'Exhibit G'!N30+' Exhbit I '!O25</f>
        <v>837.7</v>
      </c>
      <c r="N41" s="430"/>
      <c r="O41" s="696">
        <f>+'Exhibit F'!P39+'Exhibit G'!P30+' Exhbit I '!Q25</f>
        <v>77</v>
      </c>
      <c r="P41" s="430"/>
      <c r="Q41" s="696">
        <f>+'Exhibit F'!R39+'Exhibit G'!R30+' Exhbit I '!S25</f>
        <v>69.099999999999994</v>
      </c>
      <c r="R41" s="430"/>
      <c r="S41" s="696">
        <f>+'Exhibit F'!T39+'Exhibit G'!T30+' Exhbit I '!U25</f>
        <v>995</v>
      </c>
      <c r="T41" s="430"/>
      <c r="U41" s="696"/>
      <c r="V41" s="430"/>
      <c r="W41" s="696"/>
      <c r="X41" s="430"/>
      <c r="Y41" s="696"/>
      <c r="Z41" s="430"/>
      <c r="AA41" s="1930"/>
      <c r="AB41" s="992">
        <f>ROUND(SUM(C41:Y41),1)</f>
        <v>3262.2</v>
      </c>
      <c r="AC41" s="430"/>
      <c r="AD41" s="991"/>
      <c r="AE41" s="696">
        <f>+'Exhibit F'!AF39+'Exhibit G'!AF30+' Exhbit I '!AG25</f>
        <v>1768.6000000000001</v>
      </c>
      <c r="AF41" s="430"/>
      <c r="AG41" s="430"/>
      <c r="AH41" s="1171">
        <f>ROUND(SUM(+AB41-AE41),1)</f>
        <v>1493.6</v>
      </c>
      <c r="AI41" s="273"/>
      <c r="AJ41" s="1864">
        <f t="shared" ref="AJ41:AJ46" si="5">ROUND(IF(AE41=0,0,AH41/ABS(AE41)),3)</f>
        <v>0.84499999999999997</v>
      </c>
    </row>
    <row r="42" spans="1:36" ht="16.5" customHeight="1">
      <c r="A42" s="1270" t="s">
        <v>1388</v>
      </c>
      <c r="B42" s="1270"/>
      <c r="C42" s="696">
        <f>+'Exhibit F'!D40+'Exhibit G'!D31+' Exhbit I '!E26</f>
        <v>5</v>
      </c>
      <c r="D42" s="1137"/>
      <c r="E42" s="696">
        <f>+'Exhibit F'!F40+'Exhibit G'!F31+' Exhbit I '!G26</f>
        <v>4</v>
      </c>
      <c r="F42" s="1137"/>
      <c r="G42" s="696">
        <f>+'Exhibit F'!H40+'Exhibit G'!H31+' Exhbit I '!I26</f>
        <v>131.19999999999999</v>
      </c>
      <c r="H42" s="992"/>
      <c r="I42" s="696">
        <f>+'Exhibit F'!J40+'Exhibit G'!J31+' Exhbit I '!K26</f>
        <v>1.5</v>
      </c>
      <c r="J42" s="992"/>
      <c r="K42" s="696">
        <f>+'Exhibit F'!L40+'Exhibit G'!L31+' Exhbit I '!M26</f>
        <v>6.4999999999999991</v>
      </c>
      <c r="L42" s="430"/>
      <c r="M42" s="696">
        <f>+'Exhibit F'!N40+'Exhibit G'!N31+' Exhbit I '!O26</f>
        <v>149.5</v>
      </c>
      <c r="N42" s="430"/>
      <c r="O42" s="696">
        <f>+'Exhibit F'!P40+'Exhibit G'!P31+' Exhbit I '!Q26</f>
        <v>8</v>
      </c>
      <c r="P42" s="430"/>
      <c r="Q42" s="696">
        <f>+'Exhibit F'!R40+'Exhibit G'!R31+' Exhbit I '!S26</f>
        <v>18.7</v>
      </c>
      <c r="R42" s="430"/>
      <c r="S42" s="696">
        <f>+'Exhibit F'!T40+'Exhibit G'!T31+' Exhbit I '!U26</f>
        <v>158.9</v>
      </c>
      <c r="T42" s="430"/>
      <c r="U42" s="696"/>
      <c r="V42" s="430"/>
      <c r="W42" s="696"/>
      <c r="X42" s="430"/>
      <c r="Y42" s="696"/>
      <c r="Z42" s="430"/>
      <c r="AA42" s="1930"/>
      <c r="AB42" s="992">
        <f>ROUND(SUM(C42:Y42),1)</f>
        <v>483.3</v>
      </c>
      <c r="AC42" s="430"/>
      <c r="AD42" s="991"/>
      <c r="AE42" s="696">
        <f>+'Exhibit F'!AF40+'Exhibit G'!AF31+' Exhbit I '!AG26</f>
        <v>475.5</v>
      </c>
      <c r="AF42" s="430"/>
      <c r="AG42" s="430"/>
      <c r="AH42" s="1171">
        <f>ROUND(SUM(+AB42-AE42),1)</f>
        <v>7.8</v>
      </c>
      <c r="AI42" s="273"/>
      <c r="AJ42" s="1864">
        <f t="shared" si="5"/>
        <v>1.6E-2</v>
      </c>
    </row>
    <row r="43" spans="1:36" ht="16.5" customHeight="1">
      <c r="A43" s="1270" t="s">
        <v>1389</v>
      </c>
      <c r="B43" s="1270"/>
      <c r="C43" s="696">
        <f>+'Exhibit F'!D41+'Exhibit G'!D32</f>
        <v>6.2</v>
      </c>
      <c r="D43" s="1137"/>
      <c r="E43" s="696">
        <f>+'Exhibit F'!F41+'Exhibit G'!F32</f>
        <v>9.2000000000000011</v>
      </c>
      <c r="F43" s="1137"/>
      <c r="G43" s="696">
        <f>+'Exhibit F'!H41+'Exhibit G'!H32</f>
        <v>275.7</v>
      </c>
      <c r="H43" s="992"/>
      <c r="I43" s="696">
        <f>+'Exhibit F'!J41+'Exhibit G'!J32</f>
        <v>33.5</v>
      </c>
      <c r="J43" s="992"/>
      <c r="K43" s="696">
        <f>+'Exhibit F'!L41+'Exhibit G'!L32</f>
        <v>50.5</v>
      </c>
      <c r="L43" s="430"/>
      <c r="M43" s="696">
        <f>+'Exhibit F'!N41+'Exhibit G'!N32</f>
        <v>272.2</v>
      </c>
      <c r="N43" s="430"/>
      <c r="O43" s="696">
        <f>+'Exhibit F'!P41+'Exhibit G'!P32</f>
        <v>3.3</v>
      </c>
      <c r="P43" s="430"/>
      <c r="Q43" s="696">
        <f>+'Exhibit F'!R41+'Exhibit G'!R32</f>
        <v>10.1</v>
      </c>
      <c r="R43" s="430"/>
      <c r="S43" s="696">
        <f>+'Exhibit F'!T41+'Exhibit G'!T32</f>
        <v>268.7</v>
      </c>
      <c r="T43" s="430"/>
      <c r="U43" s="696"/>
      <c r="V43" s="430"/>
      <c r="W43" s="696"/>
      <c r="X43" s="430"/>
      <c r="Y43" s="696"/>
      <c r="Z43" s="430"/>
      <c r="AA43" s="1930"/>
      <c r="AB43" s="992">
        <f>ROUND(SUM(C43:Y43),1)</f>
        <v>929.4</v>
      </c>
      <c r="AC43" s="430"/>
      <c r="AD43" s="991"/>
      <c r="AE43" s="696">
        <f>+'Exhibit F'!AF41+'Exhibit G'!AF32</f>
        <v>898.59999999999991</v>
      </c>
      <c r="AF43" s="430"/>
      <c r="AG43" s="430"/>
      <c r="AH43" s="1171">
        <f>ROUND(SUM(+AB43-AE43),1)</f>
        <v>30.8</v>
      </c>
      <c r="AI43" s="273"/>
      <c r="AJ43" s="1864">
        <f t="shared" si="5"/>
        <v>3.4000000000000002E-2</v>
      </c>
    </row>
    <row r="44" spans="1:36" ht="16.5" customHeight="1">
      <c r="A44" s="1270" t="s">
        <v>1390</v>
      </c>
      <c r="B44" s="1270"/>
      <c r="C44" s="696">
        <f>+'Exhibit F'!D42+'Exhibit G'!D33</f>
        <v>30.4</v>
      </c>
      <c r="D44" s="1137"/>
      <c r="E44" s="696">
        <f>+'Exhibit F'!F42+'Exhibit G'!F33</f>
        <v>-13.5</v>
      </c>
      <c r="F44" s="1137"/>
      <c r="G44" s="696">
        <f>+'Exhibit F'!H42+'Exhibit G'!H33</f>
        <v>6.5</v>
      </c>
      <c r="H44" s="992"/>
      <c r="I44" s="696">
        <f>+'Exhibit F'!J42+'Exhibit G'!J33</f>
        <v>10.5</v>
      </c>
      <c r="J44" s="992"/>
      <c r="K44" s="696">
        <f>+'Exhibit F'!L42+'Exhibit G'!L33</f>
        <v>63.7</v>
      </c>
      <c r="L44" s="430"/>
      <c r="M44" s="696">
        <f>+'Exhibit F'!N42+'Exhibit G'!N33</f>
        <v>-3.4</v>
      </c>
      <c r="N44" s="430"/>
      <c r="O44" s="696">
        <f>+'Exhibit F'!P42+'Exhibit G'!P33</f>
        <v>21.3</v>
      </c>
      <c r="P44" s="430"/>
      <c r="Q44" s="696">
        <f>+'Exhibit F'!R42+'Exhibit G'!R33</f>
        <v>-51.599999999999994</v>
      </c>
      <c r="R44" s="430"/>
      <c r="S44" s="696">
        <f>+'Exhibit F'!T42+'Exhibit G'!T33</f>
        <v>-145.4</v>
      </c>
      <c r="T44" s="430"/>
      <c r="U44" s="696"/>
      <c r="V44" s="430"/>
      <c r="W44" s="696"/>
      <c r="X44" s="430"/>
      <c r="Y44" s="696"/>
      <c r="Z44" s="430"/>
      <c r="AA44" s="1930"/>
      <c r="AB44" s="992">
        <f>ROUND(SUM(C44:Y44),1)</f>
        <v>-81.5</v>
      </c>
      <c r="AC44" s="430"/>
      <c r="AD44" s="991"/>
      <c r="AE44" s="696">
        <f>+'Exhibit F'!AF42+'Exhibit G'!AF33</f>
        <v>1262.6000000000001</v>
      </c>
      <c r="AF44" s="430"/>
      <c r="AG44" s="430"/>
      <c r="AH44" s="1171">
        <f>ROUND(SUM(+AB44-AE44),1)</f>
        <v>-1344.1</v>
      </c>
      <c r="AI44" s="273"/>
      <c r="AJ44" s="1864">
        <f t="shared" si="5"/>
        <v>-1.0649999999999999</v>
      </c>
    </row>
    <row r="45" spans="1:36" ht="16.5" customHeight="1">
      <c r="A45" s="1270" t="s">
        <v>1391</v>
      </c>
      <c r="B45" s="1270"/>
      <c r="C45" s="696">
        <f>+'Exhibit F'!D43+'Exhibit G'!D34+' Exhbit I '!E27</f>
        <v>91.4</v>
      </c>
      <c r="D45" s="1137"/>
      <c r="E45" s="696">
        <f>+'Exhibit F'!F43+'Exhibit G'!F34+' Exhbit I '!G27</f>
        <v>89.699999999999989</v>
      </c>
      <c r="F45" s="1137"/>
      <c r="G45" s="696">
        <f>+'Exhibit F'!H43+'Exhibit G'!H34+' Exhbit I '!I27</f>
        <v>92.199999999999989</v>
      </c>
      <c r="H45" s="992"/>
      <c r="I45" s="696">
        <f>+'Exhibit F'!J43+'Exhibit G'!J34+' Exhbit I '!K27</f>
        <v>96.5</v>
      </c>
      <c r="J45" s="992"/>
      <c r="K45" s="696">
        <f>+'Exhibit F'!L43+'Exhibit G'!L34+' Exhbit I '!M27</f>
        <v>104.1</v>
      </c>
      <c r="L45" s="430"/>
      <c r="M45" s="696">
        <f>+'Exhibit F'!N43+'Exhibit G'!N34+' Exhbit I '!O27</f>
        <v>95.1</v>
      </c>
      <c r="N45" s="430"/>
      <c r="O45" s="696">
        <f>+'Exhibit F'!P43+'Exhibit G'!P34+' Exhbit I '!Q27</f>
        <v>97</v>
      </c>
      <c r="P45" s="430"/>
      <c r="Q45" s="696">
        <f>+'Exhibit F'!R43+'Exhibit G'!R34+' Exhbit I '!S27</f>
        <v>91.9</v>
      </c>
      <c r="R45" s="430"/>
      <c r="S45" s="696">
        <f>+'Exhibit F'!T43+'Exhibit G'!T34+' Exhbit I '!U27</f>
        <v>90.300000000000011</v>
      </c>
      <c r="T45" s="430"/>
      <c r="U45" s="696"/>
      <c r="V45" s="430"/>
      <c r="W45" s="696"/>
      <c r="X45" s="430"/>
      <c r="Y45" s="696"/>
      <c r="Z45" s="430"/>
      <c r="AA45" s="1930"/>
      <c r="AB45" s="992">
        <f>ROUND(SUM(C45:Y45),1)</f>
        <v>848.2</v>
      </c>
      <c r="AC45" s="430"/>
      <c r="AD45" s="991"/>
      <c r="AE45" s="696">
        <f>+'Exhibit F'!AF43+'Exhibit G'!AF34+' Exhbit I '!AG27</f>
        <v>883.2</v>
      </c>
      <c r="AF45" s="430"/>
      <c r="AG45" s="430"/>
      <c r="AH45" s="1171">
        <f>ROUND(SUM(+AB45-AE45),1)</f>
        <v>-35</v>
      </c>
      <c r="AI45" s="273"/>
      <c r="AJ45" s="1864">
        <f t="shared" si="5"/>
        <v>-0.04</v>
      </c>
    </row>
    <row r="46" spans="1:36" ht="16.5" customHeight="1">
      <c r="A46" s="589" t="s">
        <v>1386</v>
      </c>
      <c r="B46" s="1270"/>
      <c r="C46" s="1824">
        <f>ROUND(SUM(C41:C45),1)</f>
        <v>314.7</v>
      </c>
      <c r="D46" s="184"/>
      <c r="E46" s="1824">
        <f>ROUND(SUM(E41:E45),1)</f>
        <v>60.7</v>
      </c>
      <c r="F46" s="184"/>
      <c r="G46" s="1824">
        <f>ROUND(SUM(G41:G45),1)</f>
        <v>1401.2</v>
      </c>
      <c r="H46" s="430"/>
      <c r="I46" s="1824">
        <f>ROUND(SUM(I41:I45),1)</f>
        <v>257.60000000000002</v>
      </c>
      <c r="J46" s="430"/>
      <c r="K46" s="1824">
        <f>ROUND(SUM(K41:K45),1)</f>
        <v>344</v>
      </c>
      <c r="L46" s="430"/>
      <c r="M46" s="1824">
        <f>ROUND(SUM(M41:M45),1)</f>
        <v>1351.1</v>
      </c>
      <c r="N46" s="430"/>
      <c r="O46" s="1824">
        <f>ROUND(SUM(O41:O45),1)</f>
        <v>206.6</v>
      </c>
      <c r="P46" s="430"/>
      <c r="Q46" s="1824">
        <f>ROUND(SUM(Q41:Q45),1)</f>
        <v>138.19999999999999</v>
      </c>
      <c r="R46" s="430"/>
      <c r="S46" s="1824">
        <f>ROUND(SUM(S41:S45),1)</f>
        <v>1367.5</v>
      </c>
      <c r="T46" s="430"/>
      <c r="U46" s="1824">
        <f>ROUND(SUM(U41:U45),1)</f>
        <v>0</v>
      </c>
      <c r="V46" s="430"/>
      <c r="W46" s="1824">
        <f>ROUND(SUM(W41:W45),1)</f>
        <v>0</v>
      </c>
      <c r="X46" s="430"/>
      <c r="Y46" s="1824">
        <f>ROUND(SUM(Y41:Y45),1)</f>
        <v>0</v>
      </c>
      <c r="Z46" s="430"/>
      <c r="AA46" s="1930"/>
      <c r="AB46" s="1824">
        <f>ROUND(SUM(AB41:AB45),1)</f>
        <v>5441.6</v>
      </c>
      <c r="AC46" s="430"/>
      <c r="AD46" s="991"/>
      <c r="AE46" s="1824">
        <f>ROUND(SUM(AE41:AE45),1)</f>
        <v>5288.5</v>
      </c>
      <c r="AF46" s="430"/>
      <c r="AG46" s="430"/>
      <c r="AH46" s="1824">
        <f>ROUND(SUM(AH41:AH45),1)</f>
        <v>153.1</v>
      </c>
      <c r="AI46" s="273"/>
      <c r="AJ46" s="72">
        <f t="shared" si="5"/>
        <v>2.9000000000000001E-2</v>
      </c>
    </row>
    <row r="47" spans="1:36" ht="16.5" customHeight="1">
      <c r="A47" s="2076" t="s">
        <v>1432</v>
      </c>
      <c r="B47" s="1270"/>
      <c r="C47" s="1118"/>
      <c r="D47" s="1118"/>
      <c r="E47" s="1118"/>
      <c r="F47" s="1118"/>
      <c r="G47" s="1118"/>
      <c r="H47" s="430"/>
      <c r="I47" s="989"/>
      <c r="J47" s="430"/>
      <c r="K47" s="989"/>
      <c r="L47" s="430"/>
      <c r="M47" s="989"/>
      <c r="N47" s="430"/>
      <c r="O47" s="989"/>
      <c r="P47" s="430"/>
      <c r="Q47" s="989"/>
      <c r="R47" s="430"/>
      <c r="S47" s="989"/>
      <c r="T47" s="430"/>
      <c r="U47" s="989"/>
      <c r="V47" s="430"/>
      <c r="W47" s="989"/>
      <c r="X47" s="430"/>
      <c r="Y47" s="989"/>
      <c r="Z47" s="430"/>
      <c r="AA47" s="1930"/>
      <c r="AB47" s="430"/>
      <c r="AC47" s="430"/>
      <c r="AD47" s="991"/>
      <c r="AE47" s="989"/>
      <c r="AF47" s="430"/>
      <c r="AG47" s="430"/>
      <c r="AH47" s="273"/>
      <c r="AI47" s="273"/>
      <c r="AJ47" s="2074"/>
    </row>
    <row r="48" spans="1:36" ht="16.5" customHeight="1">
      <c r="A48" s="1270" t="s">
        <v>1394</v>
      </c>
      <c r="B48" s="1270"/>
      <c r="C48" s="1202">
        <v>0</v>
      </c>
      <c r="D48" s="1137"/>
      <c r="E48" s="3166">
        <v>0</v>
      </c>
      <c r="F48" s="1137"/>
      <c r="G48" s="3166">
        <v>0</v>
      </c>
      <c r="H48" s="992"/>
      <c r="I48" s="3166">
        <v>0</v>
      </c>
      <c r="J48" s="992"/>
      <c r="K48" s="3166">
        <v>0</v>
      </c>
      <c r="L48" s="430"/>
      <c r="M48" s="3166">
        <v>0</v>
      </c>
      <c r="N48" s="430"/>
      <c r="O48" s="3166">
        <v>0</v>
      </c>
      <c r="P48" s="430"/>
      <c r="Q48" s="3166">
        <v>0</v>
      </c>
      <c r="R48" s="430"/>
      <c r="S48" s="3166">
        <v>0</v>
      </c>
      <c r="T48" s="430"/>
      <c r="U48" s="2671"/>
      <c r="V48" s="430"/>
      <c r="W48" s="2131"/>
      <c r="X48" s="430"/>
      <c r="Y48" s="2131"/>
      <c r="Z48" s="430"/>
      <c r="AA48" s="1930"/>
      <c r="AB48" s="992">
        <f t="shared" ref="AB48:AB53" si="6">ROUND(SUM(C48:Y48),1)</f>
        <v>0</v>
      </c>
      <c r="AC48" s="430"/>
      <c r="AD48" s="991"/>
      <c r="AE48" s="2671">
        <f>+'Exhibit F'!AF46</f>
        <v>0</v>
      </c>
      <c r="AF48" s="2819"/>
      <c r="AG48" s="2819"/>
      <c r="AH48" s="2822">
        <f t="shared" ref="AH48:AH53" si="7">ROUND(SUM(+AB48-AE48),1)</f>
        <v>0</v>
      </c>
      <c r="AI48" s="2823"/>
      <c r="AJ48" s="2817">
        <f>-ROUND(IF(AE48=0,0,AH48/ABS(AE48)),3)</f>
        <v>0</v>
      </c>
    </row>
    <row r="49" spans="1:36" ht="16.5" customHeight="1">
      <c r="A49" s="1270" t="s">
        <v>1395</v>
      </c>
      <c r="B49" s="1270"/>
      <c r="C49" s="696">
        <f>+'Exhibit F'!D47</f>
        <v>148.9</v>
      </c>
      <c r="D49" s="1137"/>
      <c r="E49" s="696">
        <f>+'Exhibit F'!F47</f>
        <v>149.19999999999999</v>
      </c>
      <c r="F49" s="1137"/>
      <c r="G49" s="696">
        <f>+'Exhibit F'!H47</f>
        <v>116.7</v>
      </c>
      <c r="H49" s="992"/>
      <c r="I49" s="696">
        <f>+'Exhibit F'!J47</f>
        <v>208</v>
      </c>
      <c r="J49" s="992"/>
      <c r="K49" s="696">
        <f>+'Exhibit F'!L47</f>
        <v>162.1</v>
      </c>
      <c r="L49" s="992"/>
      <c r="M49" s="696">
        <f>+'Exhibit F'!N47</f>
        <v>135.30000000000001</v>
      </c>
      <c r="N49" s="430"/>
      <c r="O49" s="696">
        <f>+'Exhibit F'!P47</f>
        <v>142.6</v>
      </c>
      <c r="P49" s="430"/>
      <c r="Q49" s="696">
        <f>+'Exhibit F'!R47</f>
        <v>102.9</v>
      </c>
      <c r="R49" s="430"/>
      <c r="S49" s="696">
        <f>+'Exhibit F'!T47</f>
        <v>74.2</v>
      </c>
      <c r="T49" s="430"/>
      <c r="U49" s="696"/>
      <c r="V49" s="430"/>
      <c r="W49" s="696"/>
      <c r="X49" s="430"/>
      <c r="Y49" s="696"/>
      <c r="Z49" s="430"/>
      <c r="AA49" s="1930"/>
      <c r="AB49" s="992">
        <f t="shared" si="6"/>
        <v>1239.9000000000001</v>
      </c>
      <c r="AC49" s="430"/>
      <c r="AD49" s="991"/>
      <c r="AE49" s="696">
        <f>+'Exhibit F'!AF47</f>
        <v>852.5</v>
      </c>
      <c r="AF49" s="430"/>
      <c r="AG49" s="430"/>
      <c r="AH49" s="1171">
        <f t="shared" si="7"/>
        <v>387.4</v>
      </c>
      <c r="AI49" s="273"/>
      <c r="AJ49" s="1864">
        <f t="shared" ref="AJ49:AJ54" si="8">ROUND(IF(AE49=0,0,AH49/ABS(AE49)),3)</f>
        <v>0.45400000000000001</v>
      </c>
    </row>
    <row r="50" spans="1:36" ht="16.5" customHeight="1">
      <c r="A50" s="1270" t="s">
        <v>1396</v>
      </c>
      <c r="B50" s="1270"/>
      <c r="C50" s="696">
        <f>+'Exhibit F'!D48</f>
        <v>0.9</v>
      </c>
      <c r="D50" s="1137"/>
      <c r="E50" s="696">
        <f>+'Exhibit F'!F48</f>
        <v>1.5</v>
      </c>
      <c r="F50" s="1137"/>
      <c r="G50" s="696">
        <f>+'Exhibit F'!H48</f>
        <v>1.9</v>
      </c>
      <c r="H50" s="992"/>
      <c r="I50" s="696">
        <f>+'Exhibit F'!J48</f>
        <v>1.2</v>
      </c>
      <c r="J50" s="992"/>
      <c r="K50" s="696">
        <f>+'Exhibit F'!L48</f>
        <v>2.6</v>
      </c>
      <c r="L50" s="992"/>
      <c r="M50" s="696">
        <f>+'Exhibit F'!N48</f>
        <v>2.2000000000000002</v>
      </c>
      <c r="N50" s="430"/>
      <c r="O50" s="696">
        <f>+'Exhibit F'!P48</f>
        <v>1.2</v>
      </c>
      <c r="P50" s="430"/>
      <c r="Q50" s="696">
        <f>+'Exhibit F'!R48</f>
        <v>1.5</v>
      </c>
      <c r="R50" s="430"/>
      <c r="S50" s="696">
        <f>+'Exhibit F'!T48</f>
        <v>0.9</v>
      </c>
      <c r="T50" s="430"/>
      <c r="U50" s="696"/>
      <c r="V50" s="430"/>
      <c r="W50" s="696"/>
      <c r="X50" s="430"/>
      <c r="Y50" s="696"/>
      <c r="Z50" s="430"/>
      <c r="AA50" s="1930"/>
      <c r="AB50" s="992">
        <f t="shared" si="6"/>
        <v>13.9</v>
      </c>
      <c r="AC50" s="430"/>
      <c r="AD50" s="991"/>
      <c r="AE50" s="696">
        <f>+'Exhibit F'!AF48</f>
        <v>15</v>
      </c>
      <c r="AF50" s="430"/>
      <c r="AG50" s="430"/>
      <c r="AH50" s="1171">
        <f t="shared" si="7"/>
        <v>-1.1000000000000001</v>
      </c>
      <c r="AI50" s="273"/>
      <c r="AJ50" s="1864">
        <f t="shared" si="8"/>
        <v>-7.2999999999999995E-2</v>
      </c>
    </row>
    <row r="51" spans="1:36" ht="16.5" customHeight="1">
      <c r="A51" s="1270" t="s">
        <v>1397</v>
      </c>
      <c r="B51" s="1270"/>
      <c r="C51" s="696">
        <f>+'Exhibit F'!D49+'Exhibit H'!B22+' Exhbit I '!E30</f>
        <v>86.3</v>
      </c>
      <c r="D51" s="1137"/>
      <c r="E51" s="696">
        <f>+'Exhibit F'!F49+'Exhibit H'!D22+' Exhbit I '!G30</f>
        <v>97</v>
      </c>
      <c r="F51" s="1137"/>
      <c r="G51" s="696">
        <f>+'Exhibit F'!H49+'Exhibit H'!F22+' Exhbit I '!I30</f>
        <v>93.800000000000011</v>
      </c>
      <c r="H51" s="992"/>
      <c r="I51" s="696">
        <f>+'Exhibit F'!J49+'Exhibit H'!H22+' Exhbit I '!K30</f>
        <v>93.600000000000009</v>
      </c>
      <c r="J51" s="992"/>
      <c r="K51" s="696">
        <f>+'Exhibit F'!L49+'Exhibit H'!J22+' Exhbit I '!M30</f>
        <v>99</v>
      </c>
      <c r="L51" s="992"/>
      <c r="M51" s="696">
        <f>+'Exhibit F'!N49+'Exhibit H'!L22+' Exhbit I '!O30</f>
        <v>112.9</v>
      </c>
      <c r="N51" s="430"/>
      <c r="O51" s="696">
        <f>+'Exhibit F'!P49+'Exhibit H'!N22+' Exhbit I '!Q30</f>
        <v>107.2</v>
      </c>
      <c r="P51" s="430"/>
      <c r="Q51" s="696">
        <f>+'Exhibit F'!R49+'Exhibit H'!P22+' Exhbit I '!S30</f>
        <v>80.400000000000006</v>
      </c>
      <c r="R51" s="430"/>
      <c r="S51" s="696">
        <f>+'Exhibit F'!T49+'Exhibit H'!R22+' Exhbit I '!U30</f>
        <v>96.2</v>
      </c>
      <c r="T51" s="430"/>
      <c r="U51" s="696"/>
      <c r="V51" s="430"/>
      <c r="W51" s="696"/>
      <c r="X51" s="430"/>
      <c r="Y51" s="696"/>
      <c r="Z51" s="430"/>
      <c r="AA51" s="1930"/>
      <c r="AB51" s="992">
        <f t="shared" si="6"/>
        <v>866.4</v>
      </c>
      <c r="AC51" s="430"/>
      <c r="AD51" s="991"/>
      <c r="AE51" s="696">
        <f>+'Exhibit F'!AF49+'Exhibit H'!AD22+' Exhbit I '!AG30</f>
        <v>776</v>
      </c>
      <c r="AF51" s="430"/>
      <c r="AG51" s="430"/>
      <c r="AH51" s="1171">
        <f t="shared" si="7"/>
        <v>90.4</v>
      </c>
      <c r="AI51" s="273"/>
      <c r="AJ51" s="1864">
        <f t="shared" si="8"/>
        <v>0.11600000000000001</v>
      </c>
    </row>
    <row r="52" spans="1:36" ht="16.5" customHeight="1">
      <c r="A52" s="1270" t="s">
        <v>1398</v>
      </c>
      <c r="B52" s="1270"/>
      <c r="C52" s="696">
        <f>+'Exhibit F'!D50</f>
        <v>0</v>
      </c>
      <c r="D52" s="1137"/>
      <c r="E52" s="696">
        <f>+'Exhibit F'!F50</f>
        <v>0.1</v>
      </c>
      <c r="F52" s="1137"/>
      <c r="G52" s="696">
        <f>+'Exhibit F'!H50</f>
        <v>0.2</v>
      </c>
      <c r="H52" s="992"/>
      <c r="I52" s="696">
        <f>+'Exhibit F'!J50</f>
        <v>0</v>
      </c>
      <c r="J52" s="992"/>
      <c r="K52" s="696">
        <f>+'Exhibit F'!L50</f>
        <v>0.3</v>
      </c>
      <c r="L52" s="992"/>
      <c r="M52" s="696">
        <f>+'Exhibit F'!N50</f>
        <v>0.4</v>
      </c>
      <c r="N52" s="430"/>
      <c r="O52" s="696">
        <f>+'Exhibit F'!P50</f>
        <v>0.1</v>
      </c>
      <c r="P52" s="430"/>
      <c r="Q52" s="696">
        <f>+'Exhibit F'!R50</f>
        <v>0.1</v>
      </c>
      <c r="R52" s="430"/>
      <c r="S52" s="696">
        <f>+'Exhibit F'!T50</f>
        <v>0</v>
      </c>
      <c r="T52" s="430"/>
      <c r="U52" s="696"/>
      <c r="V52" s="430"/>
      <c r="W52" s="696"/>
      <c r="X52" s="430"/>
      <c r="Y52" s="696"/>
      <c r="Z52" s="430"/>
      <c r="AA52" s="1930"/>
      <c r="AB52" s="992">
        <f t="shared" si="6"/>
        <v>1.2</v>
      </c>
      <c r="AC52" s="430"/>
      <c r="AD52" s="991"/>
      <c r="AE52" s="696">
        <f>+'Exhibit F'!AF50</f>
        <v>0.7</v>
      </c>
      <c r="AF52" s="430"/>
      <c r="AG52" s="430"/>
      <c r="AH52" s="1171">
        <f t="shared" si="7"/>
        <v>0.5</v>
      </c>
      <c r="AI52" s="273"/>
      <c r="AJ52" s="1864">
        <f>ROUND(IF(AE52=0,0,AH52/ABS(AE52)),3)</f>
        <v>0.71399999999999997</v>
      </c>
    </row>
    <row r="53" spans="1:36" ht="16.5" customHeight="1">
      <c r="A53" s="2115" t="s">
        <v>1399</v>
      </c>
      <c r="B53" s="1270"/>
      <c r="C53" s="696">
        <f>+'Exhibit F'!D51+'Exhibit G'!D37</f>
        <v>132.6</v>
      </c>
      <c r="D53" s="1137"/>
      <c r="E53" s="696">
        <f>+'Exhibit F'!F51+'Exhibit G'!F37</f>
        <v>87.3</v>
      </c>
      <c r="F53" s="1137"/>
      <c r="G53" s="696">
        <f>+'Exhibit F'!H51+'Exhibit G'!H37</f>
        <v>95.8</v>
      </c>
      <c r="H53" s="992"/>
      <c r="I53" s="696">
        <f>+'Exhibit F'!J51+'Exhibit G'!J37</f>
        <v>95.7</v>
      </c>
      <c r="J53" s="992"/>
      <c r="K53" s="696">
        <f>+'Exhibit F'!L51+'Exhibit G'!L37</f>
        <v>85.1</v>
      </c>
      <c r="L53" s="430"/>
      <c r="M53" s="696">
        <f>+'Exhibit F'!N51+'Exhibit G'!N37</f>
        <v>99.6</v>
      </c>
      <c r="N53" s="430"/>
      <c r="O53" s="696">
        <f>+'Exhibit F'!P51+'Exhibit G'!P37</f>
        <v>87.2</v>
      </c>
      <c r="P53" s="430"/>
      <c r="Q53" s="696">
        <f>+'Exhibit F'!R51+'Exhibit G'!R37</f>
        <v>94.8</v>
      </c>
      <c r="R53" s="430"/>
      <c r="S53" s="696">
        <f>+'Exhibit F'!T51+'Exhibit G'!T37</f>
        <v>111.4</v>
      </c>
      <c r="T53" s="430"/>
      <c r="U53" s="696"/>
      <c r="V53" s="430"/>
      <c r="W53" s="696"/>
      <c r="X53" s="430"/>
      <c r="Y53" s="696"/>
      <c r="Z53" s="430"/>
      <c r="AA53" s="1930"/>
      <c r="AB53" s="992">
        <f t="shared" si="6"/>
        <v>889.5</v>
      </c>
      <c r="AC53" s="430"/>
      <c r="AD53" s="991"/>
      <c r="AE53" s="696">
        <f>+'Exhibit F'!AF51+'Exhibit G'!AF37</f>
        <v>867.7</v>
      </c>
      <c r="AF53" s="430"/>
      <c r="AG53" s="430"/>
      <c r="AH53" s="1171">
        <f t="shared" si="7"/>
        <v>21.8</v>
      </c>
      <c r="AI53" s="273"/>
      <c r="AJ53" s="1864">
        <f t="shared" si="8"/>
        <v>2.5000000000000001E-2</v>
      </c>
    </row>
    <row r="54" spans="1:36" ht="16.5" customHeight="1">
      <c r="A54" s="589" t="s">
        <v>1392</v>
      </c>
      <c r="B54" s="1270"/>
      <c r="C54" s="1824">
        <f>ROUND(SUM(C48:C53),1)</f>
        <v>368.7</v>
      </c>
      <c r="D54" s="184"/>
      <c r="E54" s="1824">
        <f>ROUND(SUM(E48:E53),1)</f>
        <v>335.1</v>
      </c>
      <c r="F54" s="184"/>
      <c r="G54" s="1824">
        <f>ROUND(SUM(G48:G53),1)</f>
        <v>308.39999999999998</v>
      </c>
      <c r="H54" s="430"/>
      <c r="I54" s="1824">
        <f>ROUND(SUM(I48:I53),1)</f>
        <v>398.5</v>
      </c>
      <c r="J54" s="430"/>
      <c r="K54" s="1824">
        <f>ROUND(SUM(K48:K53),1)</f>
        <v>349.1</v>
      </c>
      <c r="L54" s="430"/>
      <c r="M54" s="1824">
        <f>ROUND(SUM(M48:M53),1)</f>
        <v>350.4</v>
      </c>
      <c r="N54" s="430"/>
      <c r="O54" s="1824">
        <f>ROUND(SUM(O48:O53),1)</f>
        <v>338.3</v>
      </c>
      <c r="P54" s="430"/>
      <c r="Q54" s="1824">
        <f>ROUND(SUM(Q48:Q53),1)</f>
        <v>279.7</v>
      </c>
      <c r="R54" s="430"/>
      <c r="S54" s="1824">
        <f>ROUND(SUM(S48:S53),1)</f>
        <v>282.7</v>
      </c>
      <c r="T54" s="430"/>
      <c r="U54" s="1824">
        <f>ROUND(SUM(U48:U53),1)</f>
        <v>0</v>
      </c>
      <c r="V54" s="430"/>
      <c r="W54" s="1824">
        <f>ROUND(SUM(W48:W53),1)</f>
        <v>0</v>
      </c>
      <c r="X54" s="430"/>
      <c r="Y54" s="1824">
        <f>ROUND(SUM(Y48:Y53),1)</f>
        <v>0</v>
      </c>
      <c r="Z54" s="430"/>
      <c r="AA54" s="1930"/>
      <c r="AB54" s="1824">
        <f>ROUND(SUM(AB48:AB53),1)</f>
        <v>3010.9</v>
      </c>
      <c r="AC54" s="430"/>
      <c r="AD54" s="991"/>
      <c r="AE54" s="1824">
        <f>ROUND(SUM(AE48:AE53),1)</f>
        <v>2511.9</v>
      </c>
      <c r="AF54" s="430"/>
      <c r="AG54" s="430"/>
      <c r="AH54" s="1824">
        <f>ROUND(SUM(AH48:AH53),1)</f>
        <v>499</v>
      </c>
      <c r="AI54" s="273"/>
      <c r="AJ54" s="72">
        <f t="shared" si="8"/>
        <v>0.19900000000000001</v>
      </c>
    </row>
    <row r="55" spans="1:36" ht="16.5" customHeight="1">
      <c r="A55" s="589"/>
      <c r="B55" s="1270"/>
      <c r="C55" s="186"/>
      <c r="D55" s="186"/>
      <c r="E55" s="186"/>
      <c r="F55" s="186"/>
      <c r="G55" s="186"/>
      <c r="H55" s="2111"/>
      <c r="I55" s="2351"/>
      <c r="J55" s="2111"/>
      <c r="K55" s="2351"/>
      <c r="L55" s="2111"/>
      <c r="M55" s="2351"/>
      <c r="N55" s="2111"/>
      <c r="O55" s="2351"/>
      <c r="P55" s="2111"/>
      <c r="Q55" s="2351"/>
      <c r="R55" s="2111"/>
      <c r="S55" s="2351"/>
      <c r="T55" s="2111"/>
      <c r="U55" s="2351"/>
      <c r="V55" s="2111"/>
      <c r="W55" s="2351"/>
      <c r="X55" s="2111"/>
      <c r="Y55" s="2351"/>
      <c r="Z55" s="430"/>
      <c r="AA55" s="990"/>
      <c r="AB55" s="2111"/>
      <c r="AC55" s="430"/>
      <c r="AD55" s="991"/>
      <c r="AE55" s="2111"/>
      <c r="AF55" s="430"/>
      <c r="AG55" s="430"/>
      <c r="AH55" s="1267"/>
      <c r="AI55" s="430"/>
      <c r="AJ55" s="1267"/>
    </row>
    <row r="56" spans="1:36" ht="16.5" customHeight="1">
      <c r="A56" s="589" t="s">
        <v>1393</v>
      </c>
      <c r="B56" s="222"/>
      <c r="C56" s="195">
        <f>ROUND(SUM(C54+C46+C39+C30),1)</f>
        <v>8641.2999999999993</v>
      </c>
      <c r="D56" s="261"/>
      <c r="E56" s="195">
        <f>ROUND(SUM(E54+E46+E39+E30),1)</f>
        <v>3885</v>
      </c>
      <c r="F56" s="261"/>
      <c r="G56" s="195">
        <f>ROUND(SUM(G54+G46+G39+G30),1)</f>
        <v>8106.2</v>
      </c>
      <c r="H56" s="261"/>
      <c r="I56" s="195">
        <f>ROUND(SUM(I54+I46+I39+I30),1)</f>
        <v>4665.8</v>
      </c>
      <c r="J56" s="261"/>
      <c r="K56" s="195">
        <f>ROUND(SUM(K54+K46+K39+K30),1)</f>
        <v>4454.3</v>
      </c>
      <c r="L56" s="261"/>
      <c r="M56" s="195">
        <f>ROUND(SUM(M54+M46+M39+M30),1)</f>
        <v>8439</v>
      </c>
      <c r="N56" s="261"/>
      <c r="O56" s="195">
        <f>ROUND(SUM(O54+O46+O39+O30),1)</f>
        <v>4134.8</v>
      </c>
      <c r="P56" s="261"/>
      <c r="Q56" s="195">
        <f>ROUND(SUM(Q54+Q46+Q39+Q30),1)</f>
        <v>3972.7</v>
      </c>
      <c r="R56" s="261"/>
      <c r="S56" s="195">
        <f>ROUND(SUM(S54+S46+S39+S30),1)</f>
        <v>8134.7</v>
      </c>
      <c r="T56" s="261"/>
      <c r="U56" s="195">
        <f>ROUND(SUM(U54+U46+U39+U30),1)</f>
        <v>0</v>
      </c>
      <c r="V56" s="261"/>
      <c r="W56" s="195">
        <f>ROUND(SUM(W54+W46+W39+W30),1)</f>
        <v>0</v>
      </c>
      <c r="X56" s="368"/>
      <c r="Y56" s="195">
        <f>ROUND(SUM(Y54+Y46+Y39+Y30),1)</f>
        <v>0</v>
      </c>
      <c r="Z56" s="368"/>
      <c r="AA56" s="237"/>
      <c r="AB56" s="616">
        <f>ROUND(+AB54+AB46+AB39+AB30,1)</f>
        <v>54433.8</v>
      </c>
      <c r="AC56" s="261"/>
      <c r="AD56" s="250"/>
      <c r="AE56" s="616">
        <f>ROUND(+AE54+AE46+AE39+AE30,1)</f>
        <v>49740.4</v>
      </c>
      <c r="AF56" s="249"/>
      <c r="AG56" s="1286"/>
      <c r="AH56" s="616">
        <f>ROUND(+AH54+AH46+AH39+AH30,1)</f>
        <v>4693.3999999999996</v>
      </c>
      <c r="AI56" s="1908"/>
      <c r="AJ56" s="1961">
        <f>ROUND(IF(AE56=0,0,AH56/ABS(AE56)),3)</f>
        <v>9.4E-2</v>
      </c>
    </row>
    <row r="57" spans="1:36" ht="16.5" customHeight="1">
      <c r="A57" s="430"/>
      <c r="B57" s="430"/>
      <c r="C57" s="992"/>
      <c r="D57" s="992"/>
      <c r="E57" s="992"/>
      <c r="F57" s="992"/>
      <c r="G57" s="992"/>
      <c r="H57" s="992"/>
      <c r="I57" s="992"/>
      <c r="J57" s="992"/>
      <c r="K57" s="992"/>
      <c r="L57" s="992"/>
      <c r="M57" s="992"/>
      <c r="N57" s="992"/>
      <c r="O57" s="186"/>
      <c r="P57" s="992"/>
      <c r="Q57" s="992"/>
      <c r="R57" s="992"/>
      <c r="S57" s="992"/>
      <c r="T57" s="992"/>
      <c r="U57" s="992"/>
      <c r="V57" s="992"/>
      <c r="X57" s="992"/>
      <c r="Y57" s="992"/>
      <c r="Z57" s="992"/>
      <c r="AA57" s="993"/>
      <c r="AB57" s="992"/>
      <c r="AC57" s="992"/>
      <c r="AD57" s="994"/>
      <c r="AE57" s="992"/>
      <c r="AF57" s="992"/>
      <c r="AG57" s="992"/>
      <c r="AH57" s="992"/>
      <c r="AI57" s="430"/>
      <c r="AJ57" s="1932"/>
    </row>
    <row r="58" spans="1:36" ht="16.5" customHeight="1">
      <c r="A58" s="490" t="s">
        <v>1294</v>
      </c>
      <c r="B58" s="1828"/>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992"/>
      <c r="AG58" s="992"/>
      <c r="AH58" s="992"/>
      <c r="AI58" s="430"/>
      <c r="AJ58" s="1932"/>
    </row>
    <row r="59" spans="1:36" ht="16.5" customHeight="1">
      <c r="A59" s="1830" t="s">
        <v>1422</v>
      </c>
      <c r="B59" s="1828"/>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992"/>
      <c r="AG59" s="992"/>
      <c r="AH59" s="992"/>
      <c r="AI59" s="430"/>
      <c r="AJ59" s="1932"/>
    </row>
    <row r="60" spans="1:36" ht="16.5" customHeight="1">
      <c r="A60" s="1830" t="s">
        <v>1292</v>
      </c>
      <c r="B60" s="1830"/>
      <c r="C60" s="992">
        <f>+'Exhibit F'!D58+'Exhibit G'!D44</f>
        <v>0.8</v>
      </c>
      <c r="D60" s="992"/>
      <c r="E60" s="992">
        <f>+'Exhibit F'!F58+'Exhibit G'!F44</f>
        <v>0.6</v>
      </c>
      <c r="F60" s="992"/>
      <c r="G60" s="992">
        <f>+'Exhibit F'!H58+'Exhibit G'!H44</f>
        <v>0.9</v>
      </c>
      <c r="H60" s="992"/>
      <c r="I60" s="992">
        <f>+'Exhibit F'!J58+'Exhibit G'!J44</f>
        <v>1.1000000000000001</v>
      </c>
      <c r="J60" s="992"/>
      <c r="K60" s="992">
        <f>+'Exhibit F'!L58+'Exhibit G'!L44</f>
        <v>0.9</v>
      </c>
      <c r="L60" s="992"/>
      <c r="M60" s="992">
        <f>+'Exhibit F'!N58+'Exhibit G'!N44</f>
        <v>23</v>
      </c>
      <c r="N60" s="992"/>
      <c r="O60" s="992">
        <f>+'Exhibit F'!P58+'Exhibit G'!P44</f>
        <v>25</v>
      </c>
      <c r="P60" s="992"/>
      <c r="Q60" s="992">
        <f>+'Exhibit F'!R58+'Exhibit G'!R44</f>
        <v>121</v>
      </c>
      <c r="R60" s="992"/>
      <c r="S60" s="992">
        <f>+'Exhibit F'!T58+'Exhibit G'!T44</f>
        <v>27</v>
      </c>
      <c r="T60" s="992"/>
      <c r="U60" s="992"/>
      <c r="V60" s="992"/>
      <c r="W60" s="2905"/>
      <c r="X60" s="992"/>
      <c r="Y60" s="2905"/>
      <c r="Z60" s="992"/>
      <c r="AA60" s="993"/>
      <c r="AB60" s="992">
        <f t="shared" ref="AB60:AB99" si="9">ROUND(SUM(C60:Y60),1)</f>
        <v>200.3</v>
      </c>
      <c r="AC60" s="992"/>
      <c r="AD60" s="994"/>
      <c r="AE60" s="992">
        <f>+'Exhibit F'!AF58+'Exhibit G'!AF44</f>
        <v>258.59999999999997</v>
      </c>
      <c r="AF60" s="992"/>
      <c r="AG60" s="992"/>
      <c r="AH60" s="992">
        <f t="shared" ref="AH60:AH99" si="10">ROUND(SUM(AB60-AE60),1)</f>
        <v>-58.3</v>
      </c>
      <c r="AI60" s="430"/>
      <c r="AJ60" s="1864">
        <f>ROUND(IF(AE60=0,0,AH60/ABS(AE60)),3)</f>
        <v>-0.22500000000000001</v>
      </c>
    </row>
    <row r="61" spans="1:36" ht="16.5" customHeight="1">
      <c r="A61" s="1830" t="s">
        <v>1293</v>
      </c>
      <c r="B61" s="1830"/>
      <c r="C61" s="992">
        <f>+'Exhibit F'!D59+' Exhbit I '!E37</f>
        <v>0.5</v>
      </c>
      <c r="D61" s="992"/>
      <c r="E61" s="992">
        <f>+'Exhibit F'!F59+' Exhbit I '!G37</f>
        <v>0</v>
      </c>
      <c r="F61" s="992"/>
      <c r="G61" s="992">
        <f>+'Exhibit F'!H59+' Exhbit I '!I37</f>
        <v>30.5</v>
      </c>
      <c r="H61" s="992"/>
      <c r="I61" s="992">
        <f>+'Exhibit F'!J59+' Exhbit I '!K37</f>
        <v>-0.7</v>
      </c>
      <c r="J61" s="992"/>
      <c r="K61" s="992">
        <f>+'Exhibit F'!L59+' Exhbit I '!M37</f>
        <v>-0.1</v>
      </c>
      <c r="L61" s="992"/>
      <c r="M61" s="992">
        <f>+'Exhibit F'!N59+' Exhbit I '!O37</f>
        <v>29.3</v>
      </c>
      <c r="N61" s="992"/>
      <c r="O61" s="992">
        <f>+'Exhibit F'!P59+' Exhbit I '!Q37</f>
        <v>2.6</v>
      </c>
      <c r="P61" s="992"/>
      <c r="Q61" s="992">
        <f>+'Exhibit F'!R59+' Exhbit I '!S37</f>
        <v>0.4</v>
      </c>
      <c r="R61" s="992"/>
      <c r="S61" s="992">
        <f>+'Exhibit F'!T59+' Exhbit I '!U37</f>
        <v>20.399999999999999</v>
      </c>
      <c r="T61" s="992"/>
      <c r="U61" s="992"/>
      <c r="V61" s="992"/>
      <c r="W61" s="2905"/>
      <c r="X61" s="992"/>
      <c r="Y61" s="2905"/>
      <c r="Z61" s="992"/>
      <c r="AA61" s="993"/>
      <c r="AB61" s="992">
        <f t="shared" si="9"/>
        <v>82.9</v>
      </c>
      <c r="AC61" s="992"/>
      <c r="AD61" s="994"/>
      <c r="AE61" s="992">
        <f>+'Exhibit F'!AF59+' Exhbit I '!AG37</f>
        <v>81.3</v>
      </c>
      <c r="AF61" s="992"/>
      <c r="AG61" s="992"/>
      <c r="AH61" s="992">
        <f t="shared" si="10"/>
        <v>1.6</v>
      </c>
      <c r="AI61" s="430"/>
      <c r="AJ61" s="1864">
        <f>ROUND(IF(AE61=0,0,AH61/ABS(AE61)),3)</f>
        <v>0.02</v>
      </c>
    </row>
    <row r="62" spans="1:36" ht="16.5" customHeight="1">
      <c r="A62" s="1830" t="s">
        <v>1423</v>
      </c>
      <c r="B62" s="1830"/>
      <c r="C62" s="992"/>
      <c r="D62" s="992"/>
      <c r="E62" s="992"/>
      <c r="F62" s="992"/>
      <c r="G62" s="992"/>
      <c r="H62" s="992"/>
      <c r="I62" s="992"/>
      <c r="J62" s="992"/>
      <c r="K62" s="992"/>
      <c r="L62" s="992"/>
      <c r="M62" s="992"/>
      <c r="N62" s="992"/>
      <c r="O62" s="992"/>
      <c r="P62" s="992"/>
      <c r="Q62" s="992"/>
      <c r="R62" s="992"/>
      <c r="S62" s="992"/>
      <c r="T62" s="992"/>
      <c r="U62" s="992"/>
      <c r="V62" s="992"/>
      <c r="W62" s="2905"/>
      <c r="X62" s="992"/>
      <c r="Y62" s="2905"/>
      <c r="Z62" s="992"/>
      <c r="AA62" s="993"/>
      <c r="AB62" s="992"/>
      <c r="AC62" s="992"/>
      <c r="AD62" s="994"/>
      <c r="AE62" s="992"/>
      <c r="AF62" s="992"/>
      <c r="AG62" s="992"/>
      <c r="AH62" s="992"/>
      <c r="AI62" s="430"/>
      <c r="AJ62" s="1864"/>
    </row>
    <row r="63" spans="1:36" ht="16.5" customHeight="1">
      <c r="A63" s="1830" t="s">
        <v>1297</v>
      </c>
      <c r="B63" s="1830"/>
      <c r="C63" s="992">
        <f>+'Exhibit F'!D61+'Exhibit G'!D46+' Exhbit I '!E39</f>
        <v>88.399999999999991</v>
      </c>
      <c r="D63" s="992"/>
      <c r="E63" s="992">
        <f>+'Exhibit F'!F61+'Exhibit G'!F46+' Exhbit I '!G39</f>
        <v>310.8</v>
      </c>
      <c r="F63" s="992"/>
      <c r="G63" s="992">
        <f>+'Exhibit F'!H61+'Exhibit G'!H46+' Exhbit I '!I39</f>
        <v>99.8</v>
      </c>
      <c r="H63" s="992"/>
      <c r="I63" s="992">
        <f>+'Exhibit F'!J61+'Exhibit G'!J46+' Exhbit I '!K39</f>
        <v>35.799999999999997</v>
      </c>
      <c r="J63" s="992"/>
      <c r="K63" s="992">
        <f>+'Exhibit F'!L61+'Exhibit G'!L46+' Exhbit I '!M39</f>
        <v>42.099999999999994</v>
      </c>
      <c r="L63" s="992"/>
      <c r="M63" s="992">
        <f>+'Exhibit F'!N61+'Exhibit G'!N46+' Exhbit I '!O39</f>
        <v>141.6</v>
      </c>
      <c r="N63" s="992"/>
      <c r="O63" s="992">
        <f>+'Exhibit F'!P61+'Exhibit G'!P46+' Exhbit I '!Q39</f>
        <v>23.1</v>
      </c>
      <c r="P63" s="992"/>
      <c r="Q63" s="992">
        <f>+'Exhibit F'!R61+'Exhibit G'!R46+' Exhbit I '!S39</f>
        <v>43.9</v>
      </c>
      <c r="R63" s="992"/>
      <c r="S63" s="992">
        <f>+'Exhibit F'!T61+'Exhibit G'!T46+' Exhbit I '!U39</f>
        <v>191.79999999999998</v>
      </c>
      <c r="T63" s="992"/>
      <c r="U63" s="992"/>
      <c r="V63" s="992"/>
      <c r="W63" s="2905"/>
      <c r="X63" s="992"/>
      <c r="Y63" s="2905"/>
      <c r="Z63" s="992"/>
      <c r="AA63" s="993"/>
      <c r="AB63" s="992">
        <f t="shared" si="9"/>
        <v>977.3</v>
      </c>
      <c r="AC63" s="992"/>
      <c r="AD63" s="994"/>
      <c r="AE63" s="992">
        <f>+'Exhibit F'!AF61+'Exhibit G'!AF46+' Exhbit I '!AG39</f>
        <v>1733.5</v>
      </c>
      <c r="AF63" s="992"/>
      <c r="AG63" s="992"/>
      <c r="AH63" s="992">
        <f t="shared" si="10"/>
        <v>-756.2</v>
      </c>
      <c r="AI63" s="430"/>
      <c r="AJ63" s="1864">
        <f>ROUND(IF(AE63=0,0,AH63/ABS(AE63)),3)</f>
        <v>-0.436</v>
      </c>
    </row>
    <row r="64" spans="1:36" ht="16.5" customHeight="1">
      <c r="A64" s="1830" t="s">
        <v>1298</v>
      </c>
      <c r="B64" s="1830"/>
      <c r="C64" s="992">
        <f>+'Exhibit F'!D62+'Exhibit G'!D47</f>
        <v>376.8</v>
      </c>
      <c r="D64" s="992"/>
      <c r="E64" s="992">
        <f>+'Exhibit F'!F62+'Exhibit G'!F47</f>
        <v>425.79999999999995</v>
      </c>
      <c r="F64" s="992"/>
      <c r="G64" s="992">
        <f>+'Exhibit F'!H62+'Exhibit G'!H47</f>
        <v>493.7</v>
      </c>
      <c r="H64" s="992"/>
      <c r="I64" s="992">
        <f>+'Exhibit F'!J62+'Exhibit G'!J47</f>
        <v>475.59999999999997</v>
      </c>
      <c r="J64" s="992"/>
      <c r="K64" s="992">
        <f>+'Exhibit F'!L62+'Exhibit G'!L47</f>
        <v>431.2</v>
      </c>
      <c r="L64" s="992"/>
      <c r="M64" s="992">
        <f>+'Exhibit F'!N62+'Exhibit G'!N47</f>
        <v>428.2</v>
      </c>
      <c r="N64" s="992"/>
      <c r="O64" s="992">
        <f>+'Exhibit F'!P62+'Exhibit G'!P47</f>
        <v>435.9</v>
      </c>
      <c r="P64" s="992"/>
      <c r="Q64" s="992">
        <f>+'Exhibit F'!R62+'Exhibit G'!R47</f>
        <v>453.3</v>
      </c>
      <c r="R64" s="992"/>
      <c r="S64" s="992">
        <f>+'Exhibit F'!T62+'Exhibit G'!T47</f>
        <v>408.1</v>
      </c>
      <c r="T64" s="992"/>
      <c r="U64" s="992"/>
      <c r="V64" s="992"/>
      <c r="W64" s="2905"/>
      <c r="X64" s="992"/>
      <c r="Y64" s="2905"/>
      <c r="Z64" s="992"/>
      <c r="AA64" s="993"/>
      <c r="AB64" s="992">
        <f t="shared" si="9"/>
        <v>3928.6</v>
      </c>
      <c r="AC64" s="992"/>
      <c r="AD64" s="994"/>
      <c r="AE64" s="992">
        <f>+'Exhibit F'!AF62+'Exhibit G'!AF47+'Exhibit H'!AD29</f>
        <v>3782.6</v>
      </c>
      <c r="AF64" s="992"/>
      <c r="AG64" s="992"/>
      <c r="AH64" s="992">
        <f t="shared" si="10"/>
        <v>146</v>
      </c>
      <c r="AI64" s="430"/>
      <c r="AJ64" s="1864">
        <f>ROUND(IF(AE64=0,0,AH64/ABS(AE64)),3)</f>
        <v>3.9E-2</v>
      </c>
    </row>
    <row r="65" spans="1:36" ht="16.5" customHeight="1">
      <c r="A65" s="1830" t="s">
        <v>1299</v>
      </c>
      <c r="B65" s="1830"/>
      <c r="C65" s="992">
        <f>+'Exhibit F'!D63+'Exhibit G'!D48</f>
        <v>0.7</v>
      </c>
      <c r="D65" s="992"/>
      <c r="E65" s="992">
        <f>+'Exhibit F'!F63+'Exhibit G'!F48</f>
        <v>-0.1</v>
      </c>
      <c r="F65" s="992"/>
      <c r="G65" s="992">
        <f>+'Exhibit F'!H63+'Exhibit G'!H48</f>
        <v>0.3</v>
      </c>
      <c r="H65" s="992"/>
      <c r="I65" s="992">
        <f>+'Exhibit F'!J63+'Exhibit G'!J48</f>
        <v>0</v>
      </c>
      <c r="J65" s="992"/>
      <c r="K65" s="992">
        <f>+'Exhibit F'!L63+'Exhibit G'!L48</f>
        <v>0.6</v>
      </c>
      <c r="L65" s="992"/>
      <c r="M65" s="992">
        <f>+'Exhibit F'!N63+'Exhibit G'!N48</f>
        <v>162.5</v>
      </c>
      <c r="N65" s="992"/>
      <c r="O65" s="992">
        <f>+'Exhibit F'!P63+'Exhibit G'!P48</f>
        <v>-1</v>
      </c>
      <c r="P65" s="992"/>
      <c r="Q65" s="992">
        <f>+'Exhibit F'!R63+'Exhibit G'!R48</f>
        <v>-3.5</v>
      </c>
      <c r="R65" s="992"/>
      <c r="S65" s="992">
        <f>+'Exhibit F'!T63+'Exhibit G'!T48</f>
        <v>-0.7</v>
      </c>
      <c r="T65" s="992"/>
      <c r="U65" s="992"/>
      <c r="V65" s="992"/>
      <c r="W65" s="2905"/>
      <c r="X65" s="992"/>
      <c r="Y65" s="2905"/>
      <c r="Z65" s="992"/>
      <c r="AA65" s="993"/>
      <c r="AB65" s="992">
        <f t="shared" si="9"/>
        <v>158.80000000000001</v>
      </c>
      <c r="AC65" s="992"/>
      <c r="AD65" s="994"/>
      <c r="AE65" s="992">
        <f>+'Exhibit F'!AF63+'Exhibit G'!AF48</f>
        <v>216.3</v>
      </c>
      <c r="AF65" s="992"/>
      <c r="AG65" s="992"/>
      <c r="AH65" s="992">
        <f t="shared" si="10"/>
        <v>-57.5</v>
      </c>
      <c r="AI65" s="430"/>
      <c r="AJ65" s="1864">
        <f>ROUND(IF(AE65=0,0,AH65/ABS(AE65)),3)</f>
        <v>-0.26600000000000001</v>
      </c>
    </row>
    <row r="66" spans="1:36" ht="16.5" customHeight="1">
      <c r="A66" s="1830" t="s">
        <v>1300</v>
      </c>
      <c r="B66" s="1830"/>
      <c r="C66" s="992">
        <f>+'Exhibit F'!D64+'Exhibit G'!D49</f>
        <v>18.2</v>
      </c>
      <c r="D66" s="992"/>
      <c r="E66" s="992">
        <f>+'Exhibit F'!F64+'Exhibit G'!F49</f>
        <v>19.400000000000002</v>
      </c>
      <c r="F66" s="992"/>
      <c r="G66" s="992">
        <f>+'Exhibit F'!H64+'Exhibit G'!H49</f>
        <v>18</v>
      </c>
      <c r="H66" s="992"/>
      <c r="I66" s="992">
        <f>+'Exhibit F'!J64+'Exhibit G'!J49</f>
        <v>19</v>
      </c>
      <c r="J66" s="992"/>
      <c r="K66" s="992">
        <f>+'Exhibit F'!L64+'Exhibit G'!L49</f>
        <v>18.900000000000002</v>
      </c>
      <c r="L66" s="992"/>
      <c r="M66" s="992">
        <f>+'Exhibit F'!N64+'Exhibit G'!N49</f>
        <v>18</v>
      </c>
      <c r="N66" s="992"/>
      <c r="O66" s="992">
        <f>+'Exhibit F'!P64+'Exhibit G'!P49</f>
        <v>18.8</v>
      </c>
      <c r="P66" s="992"/>
      <c r="Q66" s="992">
        <f>+'Exhibit F'!R64+'Exhibit G'!R49</f>
        <v>18.100000000000001</v>
      </c>
      <c r="R66" s="992"/>
      <c r="S66" s="992">
        <f>+'Exhibit F'!T64+'Exhibit G'!T49</f>
        <v>18.2</v>
      </c>
      <c r="T66" s="992"/>
      <c r="U66" s="992"/>
      <c r="V66" s="992"/>
      <c r="W66" s="2905"/>
      <c r="X66" s="992"/>
      <c r="Y66" s="2905"/>
      <c r="Z66" s="992"/>
      <c r="AA66" s="993"/>
      <c r="AB66" s="992">
        <f t="shared" si="9"/>
        <v>166.6</v>
      </c>
      <c r="AC66" s="992"/>
      <c r="AD66" s="994"/>
      <c r="AE66" s="992">
        <f>+'Exhibit F'!AF64+'Exhibit G'!AF49</f>
        <v>155</v>
      </c>
      <c r="AF66" s="992"/>
      <c r="AG66" s="992"/>
      <c r="AH66" s="992">
        <f t="shared" si="10"/>
        <v>11.6</v>
      </c>
      <c r="AI66" s="430"/>
      <c r="AJ66" s="1864">
        <f>ROUND(IF(AE66=0,0,AH66/ABS(AE66)),3)</f>
        <v>7.4999999999999997E-2</v>
      </c>
    </row>
    <row r="67" spans="1:36" ht="16.5" customHeight="1">
      <c r="A67" s="1830" t="s">
        <v>1428</v>
      </c>
      <c r="B67" s="1830"/>
      <c r="C67" s="992"/>
      <c r="D67" s="992"/>
      <c r="E67" s="992"/>
      <c r="F67" s="992"/>
      <c r="G67" s="992"/>
      <c r="H67" s="992"/>
      <c r="I67" s="992"/>
      <c r="J67" s="992"/>
      <c r="K67" s="992"/>
      <c r="L67" s="992"/>
      <c r="M67" s="992"/>
      <c r="N67" s="992"/>
      <c r="O67" s="992"/>
      <c r="P67" s="992"/>
      <c r="Q67" s="992"/>
      <c r="R67" s="992"/>
      <c r="S67" s="992"/>
      <c r="T67" s="992"/>
      <c r="U67" s="992"/>
      <c r="V67" s="992"/>
      <c r="W67" s="2905"/>
      <c r="X67" s="992"/>
      <c r="Y67" s="2905"/>
      <c r="Z67" s="992"/>
      <c r="AA67" s="993"/>
      <c r="AB67" s="992"/>
      <c r="AC67" s="992"/>
      <c r="AD67" s="994"/>
      <c r="AE67" s="992"/>
      <c r="AF67" s="992"/>
      <c r="AG67" s="992"/>
      <c r="AH67" s="992"/>
      <c r="AI67" s="430"/>
      <c r="AJ67" s="1864"/>
    </row>
    <row r="68" spans="1:36" ht="16.5" customHeight="1">
      <c r="A68" s="1830" t="s">
        <v>1301</v>
      </c>
      <c r="B68" s="18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f>+'Exhibit F'!T66+'Exhibit H'!R31</f>
        <v>4.9000000000000004</v>
      </c>
      <c r="T68" s="992"/>
      <c r="U68" s="992"/>
      <c r="V68" s="992"/>
      <c r="W68" s="2905"/>
      <c r="X68" s="992"/>
      <c r="Y68" s="2905"/>
      <c r="Z68" s="992"/>
      <c r="AA68" s="993"/>
      <c r="AB68" s="992">
        <f t="shared" si="9"/>
        <v>52.1</v>
      </c>
      <c r="AC68" s="992"/>
      <c r="AD68" s="994"/>
      <c r="AE68" s="992">
        <f>+'Exhibit F'!AF66+'Exhibit H'!AD31</f>
        <v>45.9</v>
      </c>
      <c r="AF68" s="992"/>
      <c r="AG68" s="992"/>
      <c r="AH68" s="992">
        <f t="shared" si="10"/>
        <v>6.2</v>
      </c>
      <c r="AI68" s="430"/>
      <c r="AJ68" s="1864">
        <f t="shared" ref="AJ68:AJ75" si="11">ROUND(IF(AE68=0,0,AH68/ABS(AE68)),3)</f>
        <v>0.13500000000000001</v>
      </c>
    </row>
    <row r="69" spans="1:36" ht="16.5" customHeight="1">
      <c r="A69" s="1830" t="s">
        <v>1690</v>
      </c>
      <c r="B69" s="1830"/>
      <c r="C69" s="992">
        <f>'Exhibit G'!D51</f>
        <v>0</v>
      </c>
      <c r="D69" s="992"/>
      <c r="E69" s="992">
        <f>'Exhibit G'!F51</f>
        <v>0</v>
      </c>
      <c r="F69" s="992" t="s">
        <v>16</v>
      </c>
      <c r="G69" s="992">
        <f>'Exhibit G'!H51</f>
        <v>0</v>
      </c>
      <c r="H69" s="992" t="s">
        <v>16</v>
      </c>
      <c r="I69" s="992">
        <f>'Exhibit G'!J51</f>
        <v>0</v>
      </c>
      <c r="J69" s="992" t="s">
        <v>16</v>
      </c>
      <c r="K69" s="992">
        <f>'Exhibit G'!L51</f>
        <v>0</v>
      </c>
      <c r="L69" s="992" t="s">
        <v>16</v>
      </c>
      <c r="M69" s="992">
        <f>'Exhibit G'!N51</f>
        <v>0</v>
      </c>
      <c r="N69" s="992" t="s">
        <v>16</v>
      </c>
      <c r="O69" s="992">
        <f>'Exhibit G'!P51</f>
        <v>0</v>
      </c>
      <c r="P69" s="992" t="s">
        <v>16</v>
      </c>
      <c r="Q69" s="992">
        <f>'Exhibit G'!R51</f>
        <v>0</v>
      </c>
      <c r="R69" s="992" t="s">
        <v>16</v>
      </c>
      <c r="S69" s="992">
        <f>'Exhibit G'!T51</f>
        <v>2.1</v>
      </c>
      <c r="T69" s="992">
        <f>'Exhibit G'!U51</f>
        <v>0</v>
      </c>
      <c r="U69" s="992"/>
      <c r="V69" s="992"/>
      <c r="W69" s="2905"/>
      <c r="X69" s="992"/>
      <c r="Y69" s="2905"/>
      <c r="Z69" s="992"/>
      <c r="AA69" s="1931"/>
      <c r="AB69" s="992">
        <f t="shared" si="9"/>
        <v>2.1</v>
      </c>
      <c r="AC69" s="992"/>
      <c r="AD69" s="994"/>
      <c r="AE69" s="992">
        <f>'Exhibit G'!AF51</f>
        <v>0</v>
      </c>
      <c r="AF69" s="992"/>
      <c r="AG69" s="992"/>
      <c r="AH69" s="992">
        <f t="shared" ref="AH69:AH70" si="12">ROUND(SUM(AB69-AE69),1)</f>
        <v>2.1</v>
      </c>
      <c r="AI69" s="3153"/>
      <c r="AJ69" s="1864">
        <f>ROUND(IF(AE69=0,1,AH69/ABS(AE69)),3)</f>
        <v>1</v>
      </c>
    </row>
    <row r="70" spans="1:36" ht="16.5" customHeight="1">
      <c r="A70" s="1830" t="s">
        <v>1424</v>
      </c>
      <c r="B70" s="1830"/>
      <c r="C70" s="992">
        <f>+'Exhibit F'!D67+'Exhibit G'!D52+' Exhbit I '!E41+'Exhibit H'!B32</f>
        <v>78.8</v>
      </c>
      <c r="D70" s="992"/>
      <c r="E70" s="992">
        <f>+'Exhibit F'!F67+'Exhibit G'!F52+' Exhbit I '!G41+'Exhibit H'!D32</f>
        <v>72.100000000000009</v>
      </c>
      <c r="F70" s="992"/>
      <c r="G70" s="992">
        <f>+'Exhibit F'!H67+'Exhibit G'!H52+' Exhbit I '!I41+'Exhibit H'!F32</f>
        <v>129.20000000000002</v>
      </c>
      <c r="H70" s="992"/>
      <c r="I70" s="992">
        <f>+'Exhibit F'!J67+'Exhibit G'!J52+' Exhbit I '!K41+'Exhibit H'!H32</f>
        <v>51.7</v>
      </c>
      <c r="J70" s="992"/>
      <c r="K70" s="992">
        <f>+'Exhibit F'!L67+'Exhibit G'!L52+' Exhbit I '!M41+'Exhibit H'!J32</f>
        <v>90.6</v>
      </c>
      <c r="L70" s="992"/>
      <c r="M70" s="992">
        <f>+'Exhibit F'!N67+'Exhibit G'!N52+' Exhbit I '!O41+'Exhibit H'!L32</f>
        <v>192</v>
      </c>
      <c r="N70" s="992"/>
      <c r="O70" s="992">
        <f>+'Exhibit F'!P67+'Exhibit G'!P52+' Exhbit I '!Q41+'Exhibit H'!N32</f>
        <v>95.700000000000017</v>
      </c>
      <c r="P70" s="992"/>
      <c r="Q70" s="992">
        <f>+'Exhibit F'!R67+'Exhibit G'!R52+' Exhbit I '!S41+'Exhibit H'!P32</f>
        <v>87.899999999999991</v>
      </c>
      <c r="R70" s="992"/>
      <c r="S70" s="992">
        <f>+'Exhibit F'!T67+'Exhibit G'!T52+' Exhbit I '!U41+'Exhibit H'!R32</f>
        <v>135.5</v>
      </c>
      <c r="T70" s="992"/>
      <c r="U70" s="992"/>
      <c r="V70" s="992"/>
      <c r="W70" s="2905"/>
      <c r="X70" s="992"/>
      <c r="Y70" s="2905"/>
      <c r="Z70" s="992"/>
      <c r="AA70" s="993"/>
      <c r="AB70" s="992">
        <f t="shared" si="9"/>
        <v>933.5</v>
      </c>
      <c r="AC70" s="992"/>
      <c r="AD70" s="994"/>
      <c r="AE70" s="992">
        <f>+'Exhibit F'!AF67+'Exhibit G'!AF52+' Exhbit I '!AG41+'Exhibit H'!AD32</f>
        <v>998.30000000000007</v>
      </c>
      <c r="AF70" s="992"/>
      <c r="AG70" s="992"/>
      <c r="AH70" s="992">
        <f t="shared" si="12"/>
        <v>-64.8</v>
      </c>
      <c r="AI70" s="3153"/>
      <c r="AJ70" s="1864">
        <f t="shared" ref="AJ70" si="13">ROUND(IF(AE70=0,0,AH70/ABS(AE70)),3)</f>
        <v>-6.5000000000000002E-2</v>
      </c>
    </row>
    <row r="71" spans="1:36" ht="16.5" customHeight="1">
      <c r="A71" s="1830" t="s">
        <v>1303</v>
      </c>
      <c r="B71" s="1830"/>
      <c r="C71" s="992">
        <f>+'Exhibit F'!D68+'Exhibit G'!D53+'Exhibit H'!B33</f>
        <v>27.6</v>
      </c>
      <c r="D71" s="992"/>
      <c r="E71" s="992">
        <f>+'Exhibit F'!F68+'Exhibit G'!F53+'Exhibit H'!D33</f>
        <v>25.5</v>
      </c>
      <c r="F71" s="992"/>
      <c r="G71" s="992">
        <f>+'Exhibit F'!H68+'Exhibit G'!H53+'Exhibit H'!F33</f>
        <v>22.2</v>
      </c>
      <c r="H71" s="992"/>
      <c r="I71" s="992">
        <f>+'Exhibit F'!J68+'Exhibit G'!J53+'Exhibit H'!H33</f>
        <v>24.099999999999998</v>
      </c>
      <c r="J71" s="992"/>
      <c r="K71" s="992">
        <f>+'Exhibit F'!L68+'Exhibit G'!L53+'Exhibit H'!J33</f>
        <v>24.200000000000003</v>
      </c>
      <c r="L71" s="992"/>
      <c r="M71" s="992">
        <f>+'Exhibit F'!N68+'Exhibit G'!N53+'Exhibit H'!L33</f>
        <v>22.1</v>
      </c>
      <c r="N71" s="992"/>
      <c r="O71" s="992">
        <f>+'Exhibit F'!P68+'Exhibit G'!P53+'Exhibit H'!N33</f>
        <v>29.8</v>
      </c>
      <c r="P71" s="992"/>
      <c r="Q71" s="992">
        <f>+'Exhibit F'!R68+'Exhibit G'!R53+'Exhibit H'!P33</f>
        <v>16.7</v>
      </c>
      <c r="R71" s="992"/>
      <c r="S71" s="992">
        <f>+'Exhibit F'!T68+'Exhibit G'!T53+'Exhibit H'!R33</f>
        <v>23.9</v>
      </c>
      <c r="T71" s="992"/>
      <c r="U71" s="992"/>
      <c r="V71" s="992"/>
      <c r="W71" s="2905"/>
      <c r="X71" s="992"/>
      <c r="Y71" s="2905"/>
      <c r="Z71" s="992"/>
      <c r="AA71" s="993"/>
      <c r="AB71" s="992">
        <f t="shared" si="9"/>
        <v>216.1</v>
      </c>
      <c r="AC71" s="992"/>
      <c r="AD71" s="994"/>
      <c r="AE71" s="992">
        <f>+'Exhibit F'!AF68+'Exhibit G'!AF53+'Exhibit H'!AD33+' Exhbit I '!AG42</f>
        <v>182</v>
      </c>
      <c r="AF71" s="992"/>
      <c r="AG71" s="992"/>
      <c r="AH71" s="992">
        <f t="shared" si="10"/>
        <v>34.1</v>
      </c>
      <c r="AI71" s="430"/>
      <c r="AJ71" s="1864">
        <f t="shared" si="11"/>
        <v>0.187</v>
      </c>
    </row>
    <row r="72" spans="1:36" ht="16.5" customHeight="1">
      <c r="A72" s="1830" t="s">
        <v>1304</v>
      </c>
      <c r="B72" s="1830"/>
      <c r="C72" s="992">
        <f>+'Exhibit F'!D69+'Exhibit G'!D54+'Exhibit H'!B34</f>
        <v>0.1</v>
      </c>
      <c r="D72" s="992"/>
      <c r="E72" s="992">
        <f>+'Exhibit F'!F69+'Exhibit G'!F54+'Exhibit H'!D34</f>
        <v>0.3</v>
      </c>
      <c r="F72" s="992"/>
      <c r="G72" s="992">
        <f>+'Exhibit F'!H69+'Exhibit G'!H54+'Exhibit H'!F34</f>
        <v>1.9000000000000001</v>
      </c>
      <c r="H72" s="992"/>
      <c r="I72" s="992">
        <f>+'Exhibit F'!J69+'Exhibit G'!J54+'Exhibit H'!H34</f>
        <v>1</v>
      </c>
      <c r="J72" s="992"/>
      <c r="K72" s="992">
        <f>+'Exhibit F'!L69+'Exhibit G'!L54+'Exhibit H'!J34</f>
        <v>1.7000000000000002</v>
      </c>
      <c r="L72" s="992"/>
      <c r="M72" s="992">
        <f>+'Exhibit F'!N69+'Exhibit G'!N54+'Exhibit H'!L34</f>
        <v>0</v>
      </c>
      <c r="N72" s="992"/>
      <c r="O72" s="992">
        <f>+'Exhibit F'!P69+'Exhibit G'!P54+'Exhibit H'!N34</f>
        <v>0</v>
      </c>
      <c r="P72" s="992"/>
      <c r="Q72" s="992">
        <f>+'Exhibit F'!R69+'Exhibit G'!R54+'Exhibit H'!P34</f>
        <v>0.4</v>
      </c>
      <c r="R72" s="992"/>
      <c r="S72" s="992">
        <f>+'Exhibit F'!T69+'Exhibit G'!T54+'Exhibit H'!R34</f>
        <v>2.2000000000000002</v>
      </c>
      <c r="T72" s="992"/>
      <c r="U72" s="992"/>
      <c r="V72" s="992"/>
      <c r="W72" s="2905"/>
      <c r="X72" s="992"/>
      <c r="Y72" s="2905"/>
      <c r="Z72" s="992"/>
      <c r="AA72" s="993"/>
      <c r="AB72" s="992">
        <f t="shared" si="9"/>
        <v>7.6</v>
      </c>
      <c r="AC72" s="992"/>
      <c r="AD72" s="994"/>
      <c r="AE72" s="992">
        <f>+'Exhibit F'!AF69+'Exhibit G'!AF54+'Exhibit H'!AD34</f>
        <v>7.3</v>
      </c>
      <c r="AF72" s="992"/>
      <c r="AG72" s="992"/>
      <c r="AH72" s="992">
        <f t="shared" si="10"/>
        <v>0.3</v>
      </c>
      <c r="AI72" s="430"/>
      <c r="AJ72" s="1864">
        <f t="shared" si="11"/>
        <v>4.1000000000000002E-2</v>
      </c>
    </row>
    <row r="73" spans="1:36" ht="16.5" customHeight="1">
      <c r="A73" s="1830" t="s">
        <v>1305</v>
      </c>
      <c r="B73" s="1830"/>
      <c r="C73" s="992">
        <f>+'Exhibit F'!D70+'Exhibit G'!D55+' Exhbit I '!E43+'Exhibit H'!B35</f>
        <v>128.1</v>
      </c>
      <c r="D73" s="992"/>
      <c r="E73" s="992">
        <f>+'Exhibit F'!F70+'Exhibit G'!F55+' Exhbit I '!G43+'Exhibit H'!D35</f>
        <v>121.5</v>
      </c>
      <c r="F73" s="992"/>
      <c r="G73" s="992">
        <f>+'Exhibit F'!H70+'Exhibit G'!H55+' Exhbit I '!I43+'Exhibit H'!F35</f>
        <v>131.4</v>
      </c>
      <c r="H73" s="992"/>
      <c r="I73" s="992">
        <f>+'Exhibit F'!J70+'Exhibit G'!J55+' Exhbit I '!K43+'Exhibit H'!H35</f>
        <v>119.80000000000001</v>
      </c>
      <c r="J73" s="992"/>
      <c r="K73" s="992">
        <f>+'Exhibit F'!L70+'Exhibit G'!L55+' Exhbit I '!M43+'Exhibit H'!J35</f>
        <v>96.300000000000011</v>
      </c>
      <c r="L73" s="992"/>
      <c r="M73" s="992">
        <f>+'Exhibit F'!N70+'Exhibit G'!N55+' Exhbit I '!O43+'Exhibit H'!L35</f>
        <v>116.6</v>
      </c>
      <c r="N73" s="992"/>
      <c r="O73" s="992">
        <f>+'Exhibit F'!P70+'Exhibit G'!P55+' Exhbit I '!Q43+'Exhibit H'!N35</f>
        <v>108.5</v>
      </c>
      <c r="P73" s="992"/>
      <c r="Q73" s="992">
        <f>+'Exhibit F'!R70+'Exhibit G'!R55+' Exhbit I '!S43+'Exhibit H'!P35</f>
        <v>102.2</v>
      </c>
      <c r="R73" s="992"/>
      <c r="S73" s="992">
        <f>+'Exhibit F'!T70+'Exhibit G'!T55+' Exhbit I '!U43+'Exhibit H'!R35</f>
        <v>112.19999999999999</v>
      </c>
      <c r="T73" s="992"/>
      <c r="U73" s="992"/>
      <c r="V73" s="992"/>
      <c r="W73" s="2905"/>
      <c r="X73" s="992"/>
      <c r="Y73" s="2905"/>
      <c r="Z73" s="992"/>
      <c r="AA73" s="993"/>
      <c r="AB73" s="992">
        <f t="shared" si="9"/>
        <v>1036.5999999999999</v>
      </c>
      <c r="AC73" s="992"/>
      <c r="AD73" s="994"/>
      <c r="AE73" s="992">
        <f>+'Exhibit F'!AF70+'Exhibit G'!AF55+' Exhbit I '!AG43+'Exhibit H'!AD35</f>
        <v>984.3</v>
      </c>
      <c r="AF73" s="992"/>
      <c r="AG73" s="992"/>
      <c r="AH73" s="992">
        <f t="shared" si="10"/>
        <v>52.3</v>
      </c>
      <c r="AI73" s="430"/>
      <c r="AJ73" s="1864">
        <f t="shared" si="11"/>
        <v>5.2999999999999999E-2</v>
      </c>
    </row>
    <row r="74" spans="1:36" ht="16.5" customHeight="1">
      <c r="A74" s="1830" t="s">
        <v>1306</v>
      </c>
      <c r="B74" s="1830"/>
      <c r="C74" s="992">
        <f>+'Exhibit F'!D71+'Exhibit G'!D56+' Exhbit I '!E44+'Exhibit H'!B36</f>
        <v>16.600000000000001</v>
      </c>
      <c r="D74" s="992"/>
      <c r="E74" s="992">
        <f>+'Exhibit F'!F71+'Exhibit G'!F56+' Exhbit I '!G44+'Exhibit H'!D36</f>
        <v>27.400000000000002</v>
      </c>
      <c r="F74" s="992"/>
      <c r="G74" s="992">
        <f>+'Exhibit F'!H71+'Exhibit G'!H56+' Exhbit I '!I44+'Exhibit H'!F36</f>
        <v>26.999999999999996</v>
      </c>
      <c r="H74" s="992"/>
      <c r="I74" s="992">
        <f>+'Exhibit F'!J71+'Exhibit G'!J56+' Exhbit I '!K44+'Exhibit H'!H36</f>
        <v>34.799999999999997</v>
      </c>
      <c r="J74" s="992"/>
      <c r="K74" s="992">
        <f>+'Exhibit F'!L71+'Exhibit G'!L56+' Exhbit I '!M44+'Exhibit H'!J36</f>
        <v>29.5</v>
      </c>
      <c r="L74" s="992"/>
      <c r="M74" s="992">
        <f>+'Exhibit F'!N71+'Exhibit G'!N56+' Exhbit I '!O44+'Exhibit H'!L36</f>
        <v>38.200000000000003</v>
      </c>
      <c r="N74" s="992"/>
      <c r="O74" s="992">
        <f>+'Exhibit F'!P71+'Exhibit G'!P56+' Exhbit I '!Q44+'Exhibit H'!N36</f>
        <v>30.400000000000002</v>
      </c>
      <c r="P74" s="992"/>
      <c r="Q74" s="992">
        <f>+'Exhibit F'!R71+'Exhibit G'!R56+' Exhbit I '!S44+'Exhibit H'!P36</f>
        <v>22.3</v>
      </c>
      <c r="R74" s="992"/>
      <c r="S74" s="992">
        <f>+'Exhibit F'!T71+'Exhibit G'!T56+' Exhbit I '!U44+'Exhibit H'!R36</f>
        <v>22.200000000000003</v>
      </c>
      <c r="T74" s="992"/>
      <c r="U74" s="992"/>
      <c r="V74" s="992"/>
      <c r="W74" s="2905"/>
      <c r="X74" s="992"/>
      <c r="Y74" s="2905"/>
      <c r="Z74" s="992"/>
      <c r="AA74" s="993"/>
      <c r="AB74" s="992">
        <f t="shared" si="9"/>
        <v>248.4</v>
      </c>
      <c r="AC74" s="992"/>
      <c r="AD74" s="994"/>
      <c r="AE74" s="992">
        <f>+'Exhibit F'!AF71+'Exhibit G'!AF56+' Exhbit I '!AG44+'Exhibit H'!AD36</f>
        <v>217.6</v>
      </c>
      <c r="AF74" s="992"/>
      <c r="AG74" s="992"/>
      <c r="AH74" s="992">
        <f t="shared" si="10"/>
        <v>30.8</v>
      </c>
      <c r="AI74" s="430"/>
      <c r="AJ74" s="1864">
        <f t="shared" si="11"/>
        <v>0.14199999999999999</v>
      </c>
    </row>
    <row r="75" spans="1:36" ht="16.5" customHeight="1">
      <c r="A75" s="1830" t="s">
        <v>1295</v>
      </c>
      <c r="B75" s="1830"/>
      <c r="C75" s="992">
        <f>+'Exhibit F'!D72+'Exhibit G'!D57+' Exhbit I '!E45</f>
        <v>18.600000000000001</v>
      </c>
      <c r="D75" s="992"/>
      <c r="E75" s="992">
        <f>+'Exhibit F'!F72+'Exhibit G'!F57+' Exhbit I '!G45</f>
        <v>1414.6</v>
      </c>
      <c r="F75" s="992"/>
      <c r="G75" s="992">
        <f>+'Exhibit F'!H72+'Exhibit G'!H57+' Exhbit I '!I45</f>
        <v>71.7</v>
      </c>
      <c r="H75" s="992"/>
      <c r="I75" s="992">
        <f>+'Exhibit F'!J72+'Exhibit G'!J57+' Exhbit I '!K45</f>
        <v>49.9</v>
      </c>
      <c r="J75" s="992"/>
      <c r="K75" s="992">
        <f>+'Exhibit F'!L72+'Exhibit G'!L57+' Exhbit I '!M45</f>
        <v>57.3</v>
      </c>
      <c r="L75" s="992"/>
      <c r="M75" s="992">
        <f>+'Exhibit F'!N72+'Exhibit G'!N57+' Exhbit I '!O45</f>
        <v>34.5</v>
      </c>
      <c r="N75" s="992"/>
      <c r="O75" s="992">
        <f>+'Exhibit F'!P72+'Exhibit G'!P57+' Exhbit I '!Q45</f>
        <v>396.29999999999995</v>
      </c>
      <c r="P75" s="992"/>
      <c r="Q75" s="992">
        <f>+'Exhibit F'!R72+'Exhibit G'!R57+' Exhbit I '!S45</f>
        <v>421.1</v>
      </c>
      <c r="R75" s="992"/>
      <c r="S75" s="992">
        <f>+'Exhibit F'!T72+'Exhibit G'!T57+' Exhbit I '!U45</f>
        <v>77.099999999999994</v>
      </c>
      <c r="T75" s="992"/>
      <c r="U75" s="992"/>
      <c r="V75" s="992"/>
      <c r="W75" s="2905"/>
      <c r="X75" s="992"/>
      <c r="Y75" s="2905"/>
      <c r="Z75" s="992"/>
      <c r="AA75" s="993"/>
      <c r="AB75" s="992">
        <f t="shared" si="9"/>
        <v>2541.1</v>
      </c>
      <c r="AC75" s="992"/>
      <c r="AD75" s="994"/>
      <c r="AE75" s="992">
        <f>+'Exhibit F'!AF72+'Exhibit G'!AF57+' Exhbit I '!AG45</f>
        <v>4277.0999999999995</v>
      </c>
      <c r="AF75" s="992"/>
      <c r="AG75" s="992"/>
      <c r="AH75" s="992">
        <f t="shared" si="10"/>
        <v>-1736</v>
      </c>
      <c r="AI75" s="430"/>
      <c r="AJ75" s="1864">
        <f t="shared" si="11"/>
        <v>-0.40600000000000003</v>
      </c>
    </row>
    <row r="76" spans="1:36" ht="16.5" customHeight="1">
      <c r="A76" s="1830" t="s">
        <v>1425</v>
      </c>
      <c r="B76" s="1830"/>
      <c r="C76" s="992"/>
      <c r="D76" s="992"/>
      <c r="E76" s="992"/>
      <c r="F76" s="992"/>
      <c r="G76" s="992"/>
      <c r="H76" s="992"/>
      <c r="I76" s="992"/>
      <c r="J76" s="992"/>
      <c r="K76" s="992"/>
      <c r="L76" s="992"/>
      <c r="M76" s="992"/>
      <c r="N76" s="992"/>
      <c r="O76" s="992"/>
      <c r="P76" s="992"/>
      <c r="Q76" s="992"/>
      <c r="R76" s="992"/>
      <c r="S76" s="992"/>
      <c r="T76" s="992"/>
      <c r="U76" s="992"/>
      <c r="V76" s="992"/>
      <c r="W76" s="2905"/>
      <c r="X76" s="992"/>
      <c r="Y76" s="2905"/>
      <c r="Z76" s="992"/>
      <c r="AA76" s="993"/>
      <c r="AB76" s="992"/>
      <c r="AC76" s="992"/>
      <c r="AD76" s="994"/>
      <c r="AE76" s="992"/>
      <c r="AF76" s="992"/>
      <c r="AG76" s="992"/>
      <c r="AH76" s="992"/>
      <c r="AI76" s="430"/>
      <c r="AJ76" s="1864"/>
    </row>
    <row r="77" spans="1:36" ht="16.5" customHeight="1">
      <c r="A77" s="1830" t="s">
        <v>1307</v>
      </c>
      <c r="B77" s="1830"/>
      <c r="C77" s="992">
        <f>+'Exhibit G'!D59</f>
        <v>43.5</v>
      </c>
      <c r="D77" s="992"/>
      <c r="E77" s="992">
        <f>+'Exhibit G'!F59</f>
        <v>0.6</v>
      </c>
      <c r="F77" s="992"/>
      <c r="G77" s="992">
        <f>+'Exhibit G'!H59</f>
        <v>34.4</v>
      </c>
      <c r="H77" s="992"/>
      <c r="I77" s="992">
        <f>+'Exhibit G'!J59</f>
        <v>13.9</v>
      </c>
      <c r="J77" s="992"/>
      <c r="K77" s="992">
        <f>+'Exhibit G'!L59</f>
        <v>1</v>
      </c>
      <c r="L77" s="992"/>
      <c r="M77" s="992">
        <f>+'Exhibit G'!N59</f>
        <v>39.6</v>
      </c>
      <c r="N77" s="992"/>
      <c r="O77" s="992">
        <f>+'Exhibit G'!P59</f>
        <v>15.9</v>
      </c>
      <c r="P77" s="992"/>
      <c r="Q77" s="992">
        <f>+'Exhibit G'!R59</f>
        <v>0.7</v>
      </c>
      <c r="R77" s="992"/>
      <c r="S77" s="992">
        <f>+'Exhibit G'!T59</f>
        <v>38.200000000000003</v>
      </c>
      <c r="T77" s="992"/>
      <c r="U77" s="992"/>
      <c r="V77" s="992"/>
      <c r="W77" s="2905"/>
      <c r="X77" s="992"/>
      <c r="Y77" s="2905"/>
      <c r="Z77" s="992"/>
      <c r="AA77" s="993"/>
      <c r="AB77" s="992">
        <f t="shared" si="9"/>
        <v>187.8</v>
      </c>
      <c r="AC77" s="992"/>
      <c r="AD77" s="994"/>
      <c r="AE77" s="992">
        <f>+'Exhibit G'!AF59</f>
        <v>148.4</v>
      </c>
      <c r="AF77" s="992"/>
      <c r="AG77" s="992"/>
      <c r="AH77" s="992">
        <f t="shared" si="10"/>
        <v>39.4</v>
      </c>
      <c r="AI77" s="430"/>
      <c r="AJ77" s="2785">
        <f>ROUND(IF(AE77=0,0,AH77/ABS(AE77)),3)</f>
        <v>0.26500000000000001</v>
      </c>
    </row>
    <row r="78" spans="1:36" ht="16.5" customHeight="1">
      <c r="A78" s="1830" t="s">
        <v>1308</v>
      </c>
      <c r="B78" s="1830"/>
      <c r="C78" s="992">
        <f>+'Exhibit G'!D60</f>
        <v>226.4</v>
      </c>
      <c r="D78" s="992"/>
      <c r="E78" s="992">
        <f>+'Exhibit G'!F60</f>
        <v>191.2</v>
      </c>
      <c r="F78" s="992"/>
      <c r="G78" s="992">
        <f>+'Exhibit G'!H60</f>
        <v>188.5</v>
      </c>
      <c r="H78" s="992"/>
      <c r="I78" s="992">
        <f>+'Exhibit G'!J60</f>
        <v>220.2</v>
      </c>
      <c r="J78" s="992"/>
      <c r="K78" s="992">
        <f>+'Exhibit G'!L60</f>
        <v>170.1</v>
      </c>
      <c r="L78" s="992"/>
      <c r="M78" s="992">
        <f>+'Exhibit G'!N60</f>
        <v>227.1</v>
      </c>
      <c r="N78" s="992"/>
      <c r="O78" s="992">
        <f>+'Exhibit G'!P60</f>
        <v>178.4</v>
      </c>
      <c r="P78" s="992"/>
      <c r="Q78" s="992">
        <f>+'Exhibit G'!R60</f>
        <v>178.7</v>
      </c>
      <c r="R78" s="992"/>
      <c r="S78" s="992">
        <f>+'Exhibit G'!T60</f>
        <v>228.1</v>
      </c>
      <c r="T78" s="992"/>
      <c r="U78" s="992"/>
      <c r="V78" s="992"/>
      <c r="W78" s="2905"/>
      <c r="X78" s="992"/>
      <c r="Y78" s="2905"/>
      <c r="Z78" s="992"/>
      <c r="AA78" s="993"/>
      <c r="AB78" s="992">
        <f t="shared" si="9"/>
        <v>1808.7</v>
      </c>
      <c r="AC78" s="992"/>
      <c r="AD78" s="994"/>
      <c r="AE78" s="992">
        <f>+'Exhibit G'!AF60</f>
        <v>1746.3</v>
      </c>
      <c r="AF78" s="992"/>
      <c r="AG78" s="992"/>
      <c r="AH78" s="992">
        <f t="shared" si="10"/>
        <v>62.4</v>
      </c>
      <c r="AI78" s="430"/>
      <c r="AJ78" s="2785">
        <f>ROUND(IF(AE78=0,0,AH78/ABS(AE78)),3)</f>
        <v>3.5999999999999997E-2</v>
      </c>
    </row>
    <row r="79" spans="1:36" ht="16.5" customHeight="1">
      <c r="A79" s="1830" t="s">
        <v>1309</v>
      </c>
      <c r="B79" s="1830"/>
      <c r="C79" s="992">
        <f>+'Exhibit G'!D61</f>
        <v>94.5</v>
      </c>
      <c r="D79" s="992"/>
      <c r="E79" s="992">
        <f>+'Exhibit G'!F61</f>
        <v>73.400000000000006</v>
      </c>
      <c r="F79" s="992"/>
      <c r="G79" s="992">
        <f>+'Exhibit G'!H61</f>
        <v>72.900000000000006</v>
      </c>
      <c r="H79" s="992"/>
      <c r="I79" s="992">
        <f>+'Exhibit G'!J61</f>
        <v>90.1</v>
      </c>
      <c r="J79" s="992"/>
      <c r="K79" s="992">
        <f>+'Exhibit G'!L61</f>
        <v>72.3</v>
      </c>
      <c r="L79" s="992"/>
      <c r="M79" s="992">
        <f>+'Exhibit G'!N61</f>
        <v>91</v>
      </c>
      <c r="N79" s="992"/>
      <c r="O79" s="992">
        <f>+'Exhibit G'!P61</f>
        <v>68.900000000000006</v>
      </c>
      <c r="P79" s="992"/>
      <c r="Q79" s="992">
        <f>+'Exhibit G'!R61</f>
        <v>70</v>
      </c>
      <c r="R79" s="992"/>
      <c r="S79" s="992">
        <f>+'Exhibit G'!T61</f>
        <v>87.8</v>
      </c>
      <c r="T79" s="992"/>
      <c r="U79" s="992"/>
      <c r="V79" s="992"/>
      <c r="W79" s="2905"/>
      <c r="X79" s="992"/>
      <c r="Y79" s="2905"/>
      <c r="Z79" s="992"/>
      <c r="AA79" s="993"/>
      <c r="AB79" s="992">
        <f t="shared" si="9"/>
        <v>720.9</v>
      </c>
      <c r="AC79" s="992"/>
      <c r="AD79" s="994"/>
      <c r="AE79" s="992">
        <f>+'Exhibit G'!AF61</f>
        <v>699.5</v>
      </c>
      <c r="AF79" s="992"/>
      <c r="AG79" s="992"/>
      <c r="AH79" s="992">
        <f t="shared" si="10"/>
        <v>21.4</v>
      </c>
      <c r="AI79" s="430"/>
      <c r="AJ79" s="2785">
        <f>ROUND(IF(AE79=0,0,AH79/ABS(AE79)),3)</f>
        <v>3.1E-2</v>
      </c>
    </row>
    <row r="80" spans="1:36" ht="16.5" customHeight="1">
      <c r="A80" s="1830" t="s">
        <v>1296</v>
      </c>
      <c r="B80" s="1830"/>
      <c r="C80" s="992">
        <f>+'Exhibit F'!D73+'Exhibit G'!D62+'Exhibit H'!B37+' Exhbit I '!E46</f>
        <v>2.9</v>
      </c>
      <c r="D80" s="992"/>
      <c r="E80" s="992">
        <f>+'Exhibit F'!F73+'Exhibit G'!F62+'Exhibit H'!D37+' Exhbit I '!G46</f>
        <v>4.0999999999999996</v>
      </c>
      <c r="F80" s="992"/>
      <c r="G80" s="992">
        <f>+'Exhibit F'!H73+'Exhibit G'!H62+'Exhibit H'!F37+' Exhbit I '!I46</f>
        <v>2.6</v>
      </c>
      <c r="H80" s="992"/>
      <c r="I80" s="992">
        <f>+'Exhibit F'!J73+'Exhibit G'!J62+'Exhibit H'!H37+' Exhbit I '!K46</f>
        <v>3.3000000000000003</v>
      </c>
      <c r="J80" s="992"/>
      <c r="K80" s="992">
        <f>+'Exhibit F'!L73+'Exhibit G'!L62+'Exhibit H'!J37+' Exhbit I '!M46</f>
        <v>6.6</v>
      </c>
      <c r="L80" s="992"/>
      <c r="M80" s="992">
        <f>+'Exhibit F'!N73+'Exhibit G'!N62+'Exhibit H'!L37+' Exhbit I '!O46</f>
        <v>3.0999999999999996</v>
      </c>
      <c r="N80" s="992"/>
      <c r="O80" s="992">
        <f>+'Exhibit F'!P73+'Exhibit G'!P62+'Exhibit H'!N37+' Exhbit I '!Q46</f>
        <v>2.5</v>
      </c>
      <c r="P80" s="992"/>
      <c r="Q80" s="992">
        <f>+'Exhibit F'!R73+'Exhibit G'!R62+'Exhibit H'!P37+' Exhbit I '!S46</f>
        <v>4.2</v>
      </c>
      <c r="R80" s="992"/>
      <c r="S80" s="992">
        <f>+'Exhibit F'!T73+'Exhibit G'!T62+'Exhibit H'!R37+' Exhbit I '!U46</f>
        <v>3.7</v>
      </c>
      <c r="T80" s="992"/>
      <c r="U80" s="992"/>
      <c r="V80" s="992"/>
      <c r="W80" s="2905"/>
      <c r="X80" s="992"/>
      <c r="Y80" s="2905"/>
      <c r="Z80" s="992"/>
      <c r="AA80" s="993"/>
      <c r="AB80" s="992">
        <f t="shared" si="9"/>
        <v>33</v>
      </c>
      <c r="AC80" s="992"/>
      <c r="AD80" s="994"/>
      <c r="AE80" s="992">
        <f>+'Exhibit F'!AF73+'Exhibit G'!AF62+'Exhibit H'!AD37+' Exhbit I '!AG46</f>
        <v>23.2</v>
      </c>
      <c r="AF80" s="992"/>
      <c r="AG80" s="992"/>
      <c r="AH80" s="992">
        <f t="shared" si="10"/>
        <v>9.8000000000000007</v>
      </c>
      <c r="AI80" s="430"/>
      <c r="AJ80" s="2785">
        <f>ROUND(IF(AE80=0,0,AH80/ABS(AE80)),3)</f>
        <v>0.42199999999999999</v>
      </c>
    </row>
    <row r="81" spans="1:36" ht="16.5" customHeight="1">
      <c r="A81" s="1830" t="s">
        <v>1426</v>
      </c>
      <c r="B81" s="1830"/>
      <c r="C81" s="992"/>
      <c r="D81" s="992"/>
      <c r="E81" s="992"/>
      <c r="F81" s="992"/>
      <c r="G81" s="992"/>
      <c r="H81" s="992"/>
      <c r="I81" s="992"/>
      <c r="J81" s="992"/>
      <c r="K81" s="992"/>
      <c r="L81" s="992"/>
      <c r="M81" s="992"/>
      <c r="N81" s="992"/>
      <c r="O81" s="992"/>
      <c r="P81" s="992"/>
      <c r="Q81" s="992"/>
      <c r="R81" s="992"/>
      <c r="S81" s="992"/>
      <c r="T81" s="992"/>
      <c r="U81" s="992"/>
      <c r="V81" s="992"/>
      <c r="W81" s="2905"/>
      <c r="X81" s="992"/>
      <c r="Y81" s="2905"/>
      <c r="Z81" s="992"/>
      <c r="AA81" s="993"/>
      <c r="AB81" s="992"/>
      <c r="AC81" s="992"/>
      <c r="AD81" s="994"/>
      <c r="AE81" s="992"/>
      <c r="AF81" s="992"/>
      <c r="AG81" s="992"/>
      <c r="AH81" s="992"/>
      <c r="AI81" s="430"/>
      <c r="AJ81" s="1864"/>
    </row>
    <row r="82" spans="1:36" ht="16.5" customHeight="1">
      <c r="A82" s="1830" t="s">
        <v>1310</v>
      </c>
      <c r="B82" s="1830"/>
      <c r="C82" s="992">
        <f>+'Exhibit G'!D64+' Exhbit I '!E48</f>
        <v>12.2</v>
      </c>
      <c r="D82" s="992"/>
      <c r="E82" s="992">
        <f>+'Exhibit G'!F64+' Exhbit I '!G48</f>
        <v>43.1</v>
      </c>
      <c r="F82" s="992"/>
      <c r="G82" s="992">
        <f>+'Exhibit G'!H64+' Exhbit I '!I48</f>
        <v>854.6</v>
      </c>
      <c r="H82" s="992"/>
      <c r="I82" s="992">
        <f>+'Exhibit G'!J64+' Exhbit I '!K48</f>
        <v>56</v>
      </c>
      <c r="J82" s="992"/>
      <c r="K82" s="992">
        <f>+'Exhibit G'!L64+' Exhbit I '!M48</f>
        <v>21.3</v>
      </c>
      <c r="L82" s="992"/>
      <c r="M82" s="992">
        <f>+'Exhibit G'!N64+' Exhbit I '!O48</f>
        <v>215.4</v>
      </c>
      <c r="N82" s="992"/>
      <c r="O82" s="992">
        <f>+'Exhibit G'!P64+' Exhbit I '!Q48</f>
        <v>310.2</v>
      </c>
      <c r="P82" s="992"/>
      <c r="Q82" s="992">
        <f>+'Exhibit G'!R64+' Exhbit I '!S48</f>
        <v>23.9</v>
      </c>
      <c r="R82" s="992"/>
      <c r="S82" s="992">
        <f>+'Exhibit G'!T64+' Exhbit I '!U48</f>
        <v>692.1</v>
      </c>
      <c r="T82" s="992"/>
      <c r="U82" s="992"/>
      <c r="V82" s="992"/>
      <c r="W82" s="2905"/>
      <c r="X82" s="992"/>
      <c r="Y82" s="2905"/>
      <c r="Z82" s="992"/>
      <c r="AA82" s="993"/>
      <c r="AB82" s="992">
        <f t="shared" si="9"/>
        <v>2228.8000000000002</v>
      </c>
      <c r="AC82" s="992"/>
      <c r="AD82" s="994"/>
      <c r="AE82" s="992">
        <f>+'Exhibit G'!AF64+' Exhbit I '!AG48</f>
        <v>1457.6</v>
      </c>
      <c r="AF82" s="992"/>
      <c r="AG82" s="992"/>
      <c r="AH82" s="992">
        <f t="shared" si="10"/>
        <v>771.2</v>
      </c>
      <c r="AI82" s="430"/>
      <c r="AJ82" s="1864">
        <f t="shared" ref="AJ82:AJ87" si="14">ROUND(IF(AE82=0,0,AH82/ABS(AE82)),3)</f>
        <v>0.52900000000000003</v>
      </c>
    </row>
    <row r="83" spans="1:36" ht="16.5" customHeight="1">
      <c r="A83" s="1830" t="s">
        <v>1311</v>
      </c>
      <c r="B83" s="1830"/>
      <c r="C83" s="992">
        <f>+'Exhibit F'!D75+'Exhibit G'!D65</f>
        <v>0</v>
      </c>
      <c r="D83" s="992"/>
      <c r="E83" s="992">
        <f>+'Exhibit F'!F75+'Exhibit G'!F65</f>
        <v>0</v>
      </c>
      <c r="F83" s="992"/>
      <c r="G83" s="992">
        <f>+'Exhibit F'!H75+'Exhibit G'!H65</f>
        <v>0</v>
      </c>
      <c r="H83" s="992"/>
      <c r="I83" s="992">
        <f>+'Exhibit F'!J75+'Exhibit G'!J65</f>
        <v>11</v>
      </c>
      <c r="J83" s="992"/>
      <c r="K83" s="992">
        <f>+'Exhibit F'!L75+'Exhibit G'!L65</f>
        <v>14.2</v>
      </c>
      <c r="L83" s="992"/>
      <c r="M83" s="992">
        <f>+'Exhibit F'!N75+'Exhibit G'!N65</f>
        <v>0</v>
      </c>
      <c r="N83" s="992"/>
      <c r="O83" s="992">
        <f>+'Exhibit F'!P75+'Exhibit G'!P65</f>
        <v>0</v>
      </c>
      <c r="P83" s="992"/>
      <c r="Q83" s="992">
        <f>+'Exhibit F'!R75+'Exhibit G'!R65</f>
        <v>7.3</v>
      </c>
      <c r="R83" s="992"/>
      <c r="S83" s="992">
        <f>+'Exhibit F'!T75+'Exhibit G'!T65</f>
        <v>5</v>
      </c>
      <c r="T83" s="992"/>
      <c r="U83" s="992"/>
      <c r="V83" s="992"/>
      <c r="W83" s="2905"/>
      <c r="X83" s="992"/>
      <c r="Y83" s="2905"/>
      <c r="Z83" s="992"/>
      <c r="AA83" s="993"/>
      <c r="AB83" s="992">
        <f t="shared" si="9"/>
        <v>37.5</v>
      </c>
      <c r="AC83" s="992"/>
      <c r="AD83" s="994"/>
      <c r="AE83" s="992">
        <f>+'Exhibit F'!AF75+'Exhibit G'!AF65</f>
        <v>33.200000000000003</v>
      </c>
      <c r="AF83" s="992"/>
      <c r="AG83" s="992"/>
      <c r="AH83" s="992">
        <f t="shared" si="10"/>
        <v>4.3</v>
      </c>
      <c r="AI83" s="430"/>
      <c r="AJ83" s="1864">
        <f t="shared" si="14"/>
        <v>0.13</v>
      </c>
    </row>
    <row r="84" spans="1:36" ht="16.5" customHeight="1">
      <c r="A84" s="1830" t="s">
        <v>1312</v>
      </c>
      <c r="B84" s="1830"/>
      <c r="C84" s="992">
        <f>+'Exhibit F'!D76+'Exhibit G'!D66</f>
        <v>0.2</v>
      </c>
      <c r="D84" s="992"/>
      <c r="E84" s="992">
        <f>+'Exhibit F'!F76+'Exhibit G'!F66</f>
        <v>5.7</v>
      </c>
      <c r="F84" s="992"/>
      <c r="G84" s="992">
        <f>+'Exhibit F'!H76+'Exhibit G'!H66</f>
        <v>10.8</v>
      </c>
      <c r="H84" s="992"/>
      <c r="I84" s="992">
        <f>+'Exhibit F'!J76+'Exhibit G'!J66</f>
        <v>17.5</v>
      </c>
      <c r="J84" s="992"/>
      <c r="K84" s="992">
        <f>+'Exhibit F'!L76+'Exhibit G'!L66</f>
        <v>3.7</v>
      </c>
      <c r="L84" s="992"/>
      <c r="M84" s="992">
        <f>+'Exhibit F'!N76+'Exhibit G'!N66</f>
        <v>18.8</v>
      </c>
      <c r="N84" s="992"/>
      <c r="O84" s="992">
        <f>+'Exhibit F'!P76+'Exhibit G'!P66</f>
        <v>8.5</v>
      </c>
      <c r="P84" s="992"/>
      <c r="Q84" s="992">
        <f>+'Exhibit F'!R76+'Exhibit G'!R66</f>
        <v>2.7</v>
      </c>
      <c r="R84" s="992"/>
      <c r="S84" s="992">
        <f>+'Exhibit F'!T76+'Exhibit G'!T66</f>
        <v>13.8</v>
      </c>
      <c r="T84" s="992"/>
      <c r="U84" s="992"/>
      <c r="V84" s="992"/>
      <c r="W84" s="2905"/>
      <c r="X84" s="992"/>
      <c r="Y84" s="2905"/>
      <c r="Z84" s="992"/>
      <c r="AA84" s="993"/>
      <c r="AB84" s="992">
        <f t="shared" si="9"/>
        <v>81.7</v>
      </c>
      <c r="AC84" s="992"/>
      <c r="AD84" s="994"/>
      <c r="AE84" s="992">
        <f>+'Exhibit F'!AF76+'Exhibit G'!AF66</f>
        <v>72.7</v>
      </c>
      <c r="AF84" s="992"/>
      <c r="AG84" s="992"/>
      <c r="AH84" s="992">
        <f t="shared" si="10"/>
        <v>9</v>
      </c>
      <c r="AI84" s="430"/>
      <c r="AJ84" s="1864">
        <f t="shared" si="14"/>
        <v>0.124</v>
      </c>
    </row>
    <row r="85" spans="1:36" ht="16.5" customHeight="1">
      <c r="A85" s="1830" t="s">
        <v>1313</v>
      </c>
      <c r="B85" s="1830"/>
      <c r="C85" s="992">
        <f>+'Exhibit F'!D77+'Exhibit G'!D67+' Exhbit I '!E50</f>
        <v>0.2</v>
      </c>
      <c r="D85" s="992"/>
      <c r="E85" s="992">
        <f>+'Exhibit F'!F77+'Exhibit G'!F67+' Exhbit I '!G50</f>
        <v>2</v>
      </c>
      <c r="F85" s="992"/>
      <c r="G85" s="992">
        <f>+'Exhibit F'!H77+'Exhibit G'!H67+' Exhbit I '!I50</f>
        <v>0.3</v>
      </c>
      <c r="H85" s="992"/>
      <c r="I85" s="992">
        <f>+'Exhibit F'!J77+'Exhibit G'!J67+' Exhbit I '!K50</f>
        <v>1.7999999999999998</v>
      </c>
      <c r="J85" s="992"/>
      <c r="K85" s="992">
        <f>+'Exhibit F'!L77+'Exhibit G'!L67+' Exhbit I '!M50</f>
        <v>0.8</v>
      </c>
      <c r="L85" s="992"/>
      <c r="M85" s="992">
        <f>+'Exhibit F'!N77+'Exhibit G'!N67+' Exhbit I '!O50</f>
        <v>41.4</v>
      </c>
      <c r="N85" s="992"/>
      <c r="O85" s="992">
        <f>+'Exhibit F'!P77+'Exhibit G'!P67+' Exhbit I '!Q50</f>
        <v>0.5</v>
      </c>
      <c r="P85" s="992"/>
      <c r="Q85" s="992">
        <f>+'Exhibit F'!R77+'Exhibit G'!R67+' Exhbit I '!S50</f>
        <v>3.7</v>
      </c>
      <c r="R85" s="992"/>
      <c r="S85" s="992">
        <f>+'Exhibit F'!T77+'Exhibit G'!T67+' Exhbit I '!U50</f>
        <v>1.4</v>
      </c>
      <c r="T85" s="992"/>
      <c r="U85" s="992"/>
      <c r="V85" s="992"/>
      <c r="W85" s="2905"/>
      <c r="X85" s="992"/>
      <c r="Y85" s="2905"/>
      <c r="Z85" s="992"/>
      <c r="AA85" s="993"/>
      <c r="AB85" s="992">
        <f t="shared" si="9"/>
        <v>52.1</v>
      </c>
      <c r="AC85" s="992"/>
      <c r="AD85" s="994"/>
      <c r="AE85" s="992">
        <f>+'Exhibit F'!AF77+'Exhibit G'!AF67+' Exhbit I '!AG50</f>
        <v>16.399999999999999</v>
      </c>
      <c r="AF85" s="992"/>
      <c r="AG85" s="992"/>
      <c r="AH85" s="992">
        <f t="shared" si="10"/>
        <v>35.700000000000003</v>
      </c>
      <c r="AI85" s="430"/>
      <c r="AJ85" s="1864">
        <f t="shared" si="14"/>
        <v>2.177</v>
      </c>
    </row>
    <row r="86" spans="1:36" ht="16.5" customHeight="1">
      <c r="A86" s="1830" t="s">
        <v>1314</v>
      </c>
      <c r="B86" s="1830"/>
      <c r="C86" s="992">
        <f>+'Exhibit F'!D78+'Exhibit G'!D68+'Exhibit H'!B38+' Exhbit I '!E51</f>
        <v>39.800000000000004</v>
      </c>
      <c r="D86" s="992"/>
      <c r="E86" s="992">
        <f>+'Exhibit F'!F78+'Exhibit G'!F68+'Exhibit H'!D38+' Exhbit I '!G51</f>
        <v>8.5</v>
      </c>
      <c r="F86" s="992"/>
      <c r="G86" s="992">
        <f>+'Exhibit F'!H78+'Exhibit G'!H68+'Exhibit H'!F38+' Exhbit I '!I51</f>
        <v>7.9</v>
      </c>
      <c r="H86" s="992"/>
      <c r="I86" s="992">
        <f>+'Exhibit F'!J78+'Exhibit G'!J68+'Exhibit H'!H38+' Exhbit I '!K51</f>
        <v>6.3000000000000007</v>
      </c>
      <c r="J86" s="992"/>
      <c r="K86" s="992">
        <f>+'Exhibit F'!L78+'Exhibit G'!L68+'Exhibit H'!J38+' Exhbit I '!M51</f>
        <v>3.8</v>
      </c>
      <c r="L86" s="992"/>
      <c r="M86" s="992">
        <f>+'Exhibit F'!N78+'Exhibit G'!N68+'Exhibit H'!L38+' Exhbit I '!O51</f>
        <v>11.6</v>
      </c>
      <c r="N86" s="992"/>
      <c r="O86" s="992">
        <f>+'Exhibit F'!P78+'Exhibit G'!P68+'Exhibit H'!N38+' Exhbit I '!Q51</f>
        <v>7.5</v>
      </c>
      <c r="P86" s="992"/>
      <c r="Q86" s="992">
        <f>+'Exhibit F'!R78+'Exhibit G'!R68+'Exhibit H'!P38+' Exhbit I '!S51</f>
        <v>3.5000000000000004</v>
      </c>
      <c r="R86" s="992"/>
      <c r="S86" s="992">
        <f>+'Exhibit F'!T78+'Exhibit G'!T68+'Exhibit H'!R38+' Exhbit I '!U51</f>
        <v>8.1</v>
      </c>
      <c r="T86" s="992"/>
      <c r="U86" s="992"/>
      <c r="V86" s="992"/>
      <c r="W86" s="2905"/>
      <c r="X86" s="992"/>
      <c r="Y86" s="2905"/>
      <c r="Z86" s="992"/>
      <c r="AA86" s="993"/>
      <c r="AB86" s="992">
        <f t="shared" si="9"/>
        <v>97</v>
      </c>
      <c r="AC86" s="992"/>
      <c r="AD86" s="994"/>
      <c r="AE86" s="992">
        <f>+'Exhibit F'!AF78+'Exhibit G'!AF68+'Exhibit H'!AD38+' Exhbit I '!AG51</f>
        <v>95.5</v>
      </c>
      <c r="AF86" s="992"/>
      <c r="AG86" s="992"/>
      <c r="AH86" s="992">
        <f t="shared" si="10"/>
        <v>1.5</v>
      </c>
      <c r="AI86" s="430"/>
      <c r="AJ86" s="1864">
        <f t="shared" si="14"/>
        <v>1.6E-2</v>
      </c>
    </row>
    <row r="87" spans="1:36" ht="16.5" customHeight="1">
      <c r="A87" s="1830" t="s">
        <v>1315</v>
      </c>
      <c r="B87" s="1830"/>
      <c r="C87" s="992">
        <f>+'Exhibit F'!D79+'Exhibit G'!D69+'Exhibit H'!B39+' Exhbit I '!E52</f>
        <v>34.200000000000003</v>
      </c>
      <c r="D87" s="992"/>
      <c r="E87" s="992">
        <f>+'Exhibit F'!F79+'Exhibit G'!F69+'Exhibit H'!D39+' Exhbit I '!G52</f>
        <v>22.3</v>
      </c>
      <c r="F87" s="992"/>
      <c r="G87" s="992">
        <f>+'Exhibit F'!H79+'Exhibit G'!H69+'Exhibit H'!F39+' Exhbit I '!I52</f>
        <v>22.8</v>
      </c>
      <c r="H87" s="992"/>
      <c r="I87" s="992">
        <f>+'Exhibit F'!J79+'Exhibit G'!J69+'Exhibit H'!H39+' Exhbit I '!K52</f>
        <v>10.099999999999998</v>
      </c>
      <c r="J87" s="992"/>
      <c r="K87" s="992">
        <f>+'Exhibit F'!L79+'Exhibit G'!L69+'Exhibit H'!J39+' Exhbit I '!M52</f>
        <v>29.1</v>
      </c>
      <c r="L87" s="992"/>
      <c r="M87" s="992">
        <f>+'Exhibit F'!N79+'Exhibit G'!N69+'Exhibit H'!L39+' Exhbit I '!O52</f>
        <v>4.4000000000000004</v>
      </c>
      <c r="N87" s="992"/>
      <c r="O87" s="992">
        <f>+'Exhibit F'!P79+'Exhibit G'!P69+'Exhibit H'!N39+' Exhbit I '!Q52</f>
        <v>1.5</v>
      </c>
      <c r="P87" s="992"/>
      <c r="Q87" s="992">
        <f>+'Exhibit F'!R79+'Exhibit G'!R69+'Exhibit H'!P39+' Exhbit I '!S52</f>
        <v>-14.700000000000001</v>
      </c>
      <c r="R87" s="992"/>
      <c r="S87" s="992">
        <f>+'Exhibit F'!T79+'Exhibit G'!T69+'Exhibit H'!R39+' Exhbit I '!U52</f>
        <v>113.5</v>
      </c>
      <c r="T87" s="992"/>
      <c r="U87" s="992"/>
      <c r="V87" s="992"/>
      <c r="W87" s="2905"/>
      <c r="X87" s="992"/>
      <c r="Y87" s="2905"/>
      <c r="Z87" s="992"/>
      <c r="AA87" s="993"/>
      <c r="AB87" s="992">
        <f t="shared" si="9"/>
        <v>223.2</v>
      </c>
      <c r="AC87" s="992"/>
      <c r="AD87" s="994"/>
      <c r="AE87" s="992">
        <f>+'Exhibit F'!AF79+'Exhibit G'!AF69+'Exhibit H'!AD39+' Exhbit I '!AG52</f>
        <v>228.5</v>
      </c>
      <c r="AF87" s="992"/>
      <c r="AG87" s="992"/>
      <c r="AH87" s="992">
        <f t="shared" si="10"/>
        <v>-5.3</v>
      </c>
      <c r="AI87" s="430"/>
      <c r="AJ87" s="1864">
        <f t="shared" si="14"/>
        <v>-2.3E-2</v>
      </c>
    </row>
    <row r="88" spans="1:36" ht="16.5" customHeight="1">
      <c r="A88" s="1830" t="s">
        <v>1427</v>
      </c>
      <c r="B88" s="1830"/>
      <c r="C88" s="992"/>
      <c r="D88" s="992"/>
      <c r="E88" s="992"/>
      <c r="F88" s="992"/>
      <c r="G88" s="992"/>
      <c r="H88" s="992"/>
      <c r="I88" s="992"/>
      <c r="J88" s="992"/>
      <c r="K88" s="992"/>
      <c r="L88" s="992"/>
      <c r="M88" s="992"/>
      <c r="N88" s="992"/>
      <c r="O88" s="992"/>
      <c r="P88" s="992"/>
      <c r="Q88" s="992"/>
      <c r="R88" s="992"/>
      <c r="S88" s="992"/>
      <c r="T88" s="992"/>
      <c r="U88" s="992"/>
      <c r="V88" s="992"/>
      <c r="W88" s="2905"/>
      <c r="X88" s="992"/>
      <c r="Y88" s="2905"/>
      <c r="Z88" s="992"/>
      <c r="AA88" s="993"/>
      <c r="AB88" s="992"/>
      <c r="AC88" s="992"/>
      <c r="AD88" s="994"/>
      <c r="AE88" s="992"/>
      <c r="AF88" s="992"/>
      <c r="AG88" s="992"/>
      <c r="AH88" s="992"/>
      <c r="AI88" s="430"/>
      <c r="AJ88" s="1864"/>
    </row>
    <row r="89" spans="1:36" ht="16.5" customHeight="1">
      <c r="A89" s="1830" t="s">
        <v>1316</v>
      </c>
      <c r="B89" s="1830"/>
      <c r="C89" s="992">
        <f>+'Exhibit F'!D81+'Exhibit G'!D71+' Exhbit I '!E54</f>
        <v>0.7</v>
      </c>
      <c r="D89" s="992"/>
      <c r="E89" s="992">
        <f>+'Exhibit F'!F81+'Exhibit G'!F71+' Exhbit I '!G54</f>
        <v>16.100000000000001</v>
      </c>
      <c r="F89" s="992"/>
      <c r="G89" s="992">
        <f>+'Exhibit F'!H81+'Exhibit G'!H71+' Exhbit I '!I54</f>
        <v>29.6</v>
      </c>
      <c r="H89" s="992"/>
      <c r="I89" s="992">
        <f>+'Exhibit F'!J81+'Exhibit G'!J71+' Exhbit I '!K54</f>
        <v>9.4</v>
      </c>
      <c r="J89" s="992"/>
      <c r="K89" s="992">
        <f>+'Exhibit F'!L81+'Exhibit G'!L71+' Exhbit I '!M54</f>
        <v>9.9</v>
      </c>
      <c r="L89" s="992"/>
      <c r="M89" s="992">
        <f>+'Exhibit F'!N81+'Exhibit G'!N71+' Exhbit I '!O54</f>
        <v>27.2</v>
      </c>
      <c r="N89" s="992"/>
      <c r="O89" s="992">
        <f>+'Exhibit F'!P81+'Exhibit G'!P71+' Exhbit I '!Q54</f>
        <v>8.6999999999999993</v>
      </c>
      <c r="P89" s="992"/>
      <c r="Q89" s="992">
        <f>+'Exhibit F'!R81+'Exhibit G'!R71+' Exhbit I '!S54</f>
        <v>8.6999999999999993</v>
      </c>
      <c r="R89" s="992"/>
      <c r="S89" s="992">
        <f>+'Exhibit F'!T81+'Exhibit G'!T71+' Exhbit I '!U54</f>
        <v>30.7</v>
      </c>
      <c r="T89" s="992"/>
      <c r="U89" s="992"/>
      <c r="V89" s="992"/>
      <c r="W89" s="2905"/>
      <c r="X89" s="992"/>
      <c r="Y89" s="2905"/>
      <c r="Z89" s="992"/>
      <c r="AA89" s="993"/>
      <c r="AB89" s="992">
        <f t="shared" si="9"/>
        <v>141</v>
      </c>
      <c r="AC89" s="992"/>
      <c r="AD89" s="994"/>
      <c r="AE89" s="992">
        <f>+'Exhibit F'!AF81+'Exhibit G'!AF71+' Exhbit I '!AG54</f>
        <v>142.10000000000002</v>
      </c>
      <c r="AF89" s="992"/>
      <c r="AG89" s="992"/>
      <c r="AH89" s="992">
        <f t="shared" si="10"/>
        <v>-1.1000000000000001</v>
      </c>
      <c r="AI89" s="430"/>
      <c r="AJ89" s="1864">
        <f>ROUND(IF(AE89=0,0,AH89/ABS(AE89)),3)</f>
        <v>-8.0000000000000002E-3</v>
      </c>
    </row>
    <row r="90" spans="1:36" ht="16.5" customHeight="1">
      <c r="A90" s="1830" t="s">
        <v>1317</v>
      </c>
      <c r="B90" s="1830"/>
      <c r="C90" s="992">
        <f>+'Exhibit G'!D72</f>
        <v>0.1</v>
      </c>
      <c r="D90" s="992"/>
      <c r="E90" s="992">
        <f>+'Exhibit G'!F72</f>
        <v>0.1</v>
      </c>
      <c r="F90" s="992"/>
      <c r="G90" s="992">
        <f>+'Exhibit G'!H72</f>
        <v>0.4</v>
      </c>
      <c r="H90" s="992"/>
      <c r="I90" s="992">
        <f>+'Exhibit G'!J72</f>
        <v>0.1</v>
      </c>
      <c r="J90" s="992"/>
      <c r="K90" s="992">
        <f>+'Exhibit G'!L72</f>
        <v>0.1</v>
      </c>
      <c r="L90" s="992"/>
      <c r="M90" s="992">
        <f>+'Exhibit G'!N72</f>
        <v>0.4</v>
      </c>
      <c r="N90" s="992"/>
      <c r="O90" s="992">
        <f>+'Exhibit G'!P72</f>
        <v>1</v>
      </c>
      <c r="P90" s="992"/>
      <c r="Q90" s="992">
        <f>+'Exhibit G'!R72</f>
        <v>1.5</v>
      </c>
      <c r="R90" s="992"/>
      <c r="S90" s="992">
        <f>+'Exhibit G'!T72</f>
        <v>3.7</v>
      </c>
      <c r="T90" s="992"/>
      <c r="U90" s="992"/>
      <c r="V90" s="992"/>
      <c r="W90" s="2905"/>
      <c r="X90" s="992"/>
      <c r="Y90" s="2905"/>
      <c r="Z90" s="992"/>
      <c r="AA90" s="993"/>
      <c r="AB90" s="992">
        <f t="shared" si="9"/>
        <v>7.4</v>
      </c>
      <c r="AC90" s="992"/>
      <c r="AD90" s="994"/>
      <c r="AE90" s="992">
        <f>+'Exhibit G'!AF72</f>
        <v>7</v>
      </c>
      <c r="AF90" s="992"/>
      <c r="AG90" s="992"/>
      <c r="AH90" s="992">
        <f t="shared" si="10"/>
        <v>0.4</v>
      </c>
      <c r="AI90" s="430"/>
      <c r="AJ90" s="1864">
        <f t="shared" ref="AJ90:AJ98" si="15">ROUND(IF(AE90=0,0,AH90/ABS(AE90)),3)</f>
        <v>5.7000000000000002E-2</v>
      </c>
    </row>
    <row r="91" spans="1:36" ht="16.5" customHeight="1">
      <c r="A91" s="1830" t="s">
        <v>1318</v>
      </c>
      <c r="B91" s="1830"/>
      <c r="C91" s="992">
        <f>+'Exhibit F'!D82+'Exhibit G'!D73+' Exhbit I '!E55</f>
        <v>1</v>
      </c>
      <c r="D91" s="992"/>
      <c r="E91" s="992">
        <f>+'Exhibit F'!F82+'Exhibit G'!F73+' Exhbit I '!G55</f>
        <v>0.7</v>
      </c>
      <c r="F91" s="992"/>
      <c r="G91" s="992">
        <f>+'Exhibit F'!H82+'Exhibit G'!H73+' Exhbit I '!I55</f>
        <v>1.2</v>
      </c>
      <c r="H91" s="992"/>
      <c r="I91" s="992">
        <f>+'Exhibit F'!J82+'Exhibit G'!J73+' Exhbit I '!K55</f>
        <v>0.4</v>
      </c>
      <c r="J91" s="992"/>
      <c r="K91" s="992">
        <f>+'Exhibit F'!L82+'Exhibit G'!L73+' Exhbit I '!M55</f>
        <v>0.2</v>
      </c>
      <c r="L91" s="992"/>
      <c r="M91" s="992">
        <f>+'Exhibit F'!N82+'Exhibit G'!N73+' Exhbit I '!O55</f>
        <v>1</v>
      </c>
      <c r="N91" s="992"/>
      <c r="O91" s="992">
        <f>+'Exhibit F'!P82+'Exhibit G'!P73+' Exhbit I '!Q55</f>
        <v>0.5</v>
      </c>
      <c r="P91" s="992"/>
      <c r="Q91" s="992">
        <f>+'Exhibit F'!R82+'Exhibit G'!R73+' Exhbit I '!S55</f>
        <v>1.2</v>
      </c>
      <c r="R91" s="992"/>
      <c r="S91" s="992">
        <f>+'Exhibit F'!T82+'Exhibit G'!T73+' Exhbit I '!U55</f>
        <v>1.2000000000000002</v>
      </c>
      <c r="T91" s="992"/>
      <c r="U91" s="992"/>
      <c r="V91" s="992"/>
      <c r="W91" s="2905"/>
      <c r="X91" s="992"/>
      <c r="Y91" s="2905"/>
      <c r="Z91" s="992"/>
      <c r="AA91" s="993"/>
      <c r="AB91" s="992">
        <f t="shared" si="9"/>
        <v>7.4</v>
      </c>
      <c r="AC91" s="992"/>
      <c r="AD91" s="994"/>
      <c r="AE91" s="992">
        <f>+'Exhibit F'!AF82+'Exhibit G'!AF73+' Exhbit I '!AG55</f>
        <v>17.5</v>
      </c>
      <c r="AF91" s="992"/>
      <c r="AG91" s="992"/>
      <c r="AH91" s="992">
        <f t="shared" si="10"/>
        <v>-10.1</v>
      </c>
      <c r="AI91" s="430"/>
      <c r="AJ91" s="1864">
        <f t="shared" si="15"/>
        <v>-0.57699999999999996</v>
      </c>
    </row>
    <row r="92" spans="1:36" ht="16.5" customHeight="1">
      <c r="A92" s="1830" t="s">
        <v>1319</v>
      </c>
      <c r="B92" s="1830"/>
      <c r="C92" s="992">
        <f>+'Exhibit F'!D83+'Exhibit G'!D74</f>
        <v>1.4</v>
      </c>
      <c r="D92" s="992"/>
      <c r="E92" s="992">
        <f>+'Exhibit F'!F83+'Exhibit G'!F74</f>
        <v>12</v>
      </c>
      <c r="F92" s="992"/>
      <c r="G92" s="992">
        <f>+'Exhibit F'!H83+'Exhibit G'!H74</f>
        <v>14.6</v>
      </c>
      <c r="H92" s="992"/>
      <c r="I92" s="992">
        <f>+'Exhibit F'!J83+'Exhibit G'!J74</f>
        <v>2.4</v>
      </c>
      <c r="J92" s="992"/>
      <c r="K92" s="992">
        <f>+'Exhibit F'!L83+'Exhibit G'!L74</f>
        <v>23.9</v>
      </c>
      <c r="L92" s="992"/>
      <c r="M92" s="992">
        <f>+'Exhibit F'!N83+'Exhibit G'!N74</f>
        <v>7.7</v>
      </c>
      <c r="N92" s="992"/>
      <c r="O92" s="992">
        <f>+'Exhibit F'!P83+'Exhibit G'!P74</f>
        <v>0.1</v>
      </c>
      <c r="P92" s="992"/>
      <c r="Q92" s="992">
        <f>+'Exhibit F'!R83+'Exhibit G'!R74+' Exhbit I '!S56</f>
        <v>1.5999999999999999</v>
      </c>
      <c r="R92" s="992"/>
      <c r="S92" s="992">
        <f>+'Exhibit F'!T83+'Exhibit G'!T74+' Exhbit I '!U56</f>
        <v>23.2</v>
      </c>
      <c r="T92" s="992"/>
      <c r="U92" s="992"/>
      <c r="V92" s="992"/>
      <c r="W92" s="2905"/>
      <c r="X92" s="992"/>
      <c r="Y92" s="2905"/>
      <c r="Z92" s="992"/>
      <c r="AA92" s="993"/>
      <c r="AB92" s="992">
        <f>ROUND(SUM(C92:Y92),1)</f>
        <v>86.9</v>
      </c>
      <c r="AC92" s="992"/>
      <c r="AD92" s="994"/>
      <c r="AE92" s="992">
        <f>+'Exhibit F'!AF83+'Exhibit G'!AF74</f>
        <v>91.2</v>
      </c>
      <c r="AF92" s="992"/>
      <c r="AG92" s="992"/>
      <c r="AH92" s="992">
        <f t="shared" si="10"/>
        <v>-4.3</v>
      </c>
      <c r="AI92" s="430"/>
      <c r="AJ92" s="1864">
        <f t="shared" si="15"/>
        <v>-4.7E-2</v>
      </c>
    </row>
    <row r="93" spans="1:36" ht="16.5" customHeight="1">
      <c r="A93" s="1830" t="s">
        <v>1320</v>
      </c>
      <c r="B93" s="1830"/>
      <c r="C93" s="992">
        <f>+'Exhibit G'!D75+'Exhibit H'!B41</f>
        <v>-756.09999999999991</v>
      </c>
      <c r="D93" s="992"/>
      <c r="E93" s="992">
        <f>+'Exhibit G'!F75+'Exhibit H'!D41</f>
        <v>322.89999999999998</v>
      </c>
      <c r="F93" s="992"/>
      <c r="G93" s="992">
        <f>+'Exhibit G'!H75+'Exhibit H'!F41</f>
        <v>197.29999999999998</v>
      </c>
      <c r="H93" s="992"/>
      <c r="I93" s="992">
        <f>+'Exhibit G'!J75+'Exhibit H'!H41</f>
        <v>296.2</v>
      </c>
      <c r="J93" s="992"/>
      <c r="K93" s="992">
        <f>+'Exhibit G'!L75+'Exhibit H'!J41</f>
        <v>137.69999999999999</v>
      </c>
      <c r="L93" s="992"/>
      <c r="M93" s="992">
        <f>+'Exhibit G'!N75+'Exhibit H'!L41</f>
        <v>100.6</v>
      </c>
      <c r="N93" s="992"/>
      <c r="O93" s="992">
        <f>+'Exhibit G'!P75+'Exhibit H'!N41</f>
        <v>268.5</v>
      </c>
      <c r="P93" s="992"/>
      <c r="Q93" s="992">
        <f>+'Exhibit G'!R75+'Exhibit H'!P41</f>
        <v>172.39999999999998</v>
      </c>
      <c r="R93" s="992"/>
      <c r="S93" s="992">
        <f>+'Exhibit G'!T75+'Exhibit H'!R41</f>
        <v>218.7</v>
      </c>
      <c r="T93" s="992"/>
      <c r="U93" s="992"/>
      <c r="V93" s="992"/>
      <c r="W93" s="2905"/>
      <c r="X93" s="992"/>
      <c r="Y93" s="2905"/>
      <c r="Z93" s="992"/>
      <c r="AA93" s="993"/>
      <c r="AB93" s="992">
        <f t="shared" si="9"/>
        <v>958.2</v>
      </c>
      <c r="AC93" s="992"/>
      <c r="AD93" s="994"/>
      <c r="AE93" s="992">
        <f>+'Exhibit G'!AF75+'Exhibit H'!AD41</f>
        <v>1814.6</v>
      </c>
      <c r="AF93" s="992"/>
      <c r="AG93" s="992"/>
      <c r="AH93" s="992">
        <f t="shared" si="10"/>
        <v>-856.4</v>
      </c>
      <c r="AI93" s="430"/>
      <c r="AJ93" s="1864">
        <f t="shared" si="15"/>
        <v>-0.47199999999999998</v>
      </c>
    </row>
    <row r="94" spans="1:36" ht="16.5" customHeight="1">
      <c r="A94" s="1830" t="s">
        <v>1321</v>
      </c>
      <c r="B94" s="1830"/>
      <c r="C94" s="992">
        <f>+'Exhibit G'!D76</f>
        <v>11.2</v>
      </c>
      <c r="D94" s="992"/>
      <c r="E94" s="992">
        <f>+'Exhibit G'!F76</f>
        <v>9.3000000000000007</v>
      </c>
      <c r="F94" s="992"/>
      <c r="G94" s="992">
        <f>+'Exhibit F'!H84+'Exhibit G'!H76+' Exhbit I '!I57</f>
        <v>9.7999999999999989</v>
      </c>
      <c r="H94" s="992"/>
      <c r="I94" s="992">
        <f>+'Exhibit F'!J84+'Exhibit G'!J76+' Exhbit I '!K57</f>
        <v>26.8</v>
      </c>
      <c r="J94" s="992"/>
      <c r="K94" s="992">
        <f>+'Exhibit F'!L84+'Exhibit G'!L76+' Exhbit I '!M57</f>
        <v>9.0000000000000018</v>
      </c>
      <c r="L94" s="992"/>
      <c r="M94" s="992">
        <f>+'Exhibit F'!N84+'Exhibit G'!N76+' Exhbit I '!O57</f>
        <v>11.700000000000001</v>
      </c>
      <c r="N94" s="992"/>
      <c r="O94" s="992">
        <f>+'Exhibit F'!P84+'Exhibit G'!P76+' Exhbit I '!Q57</f>
        <v>10.7</v>
      </c>
      <c r="P94" s="992"/>
      <c r="Q94" s="992">
        <f>+'Exhibit F'!R84+'Exhibit G'!R76+' Exhbit I '!S57</f>
        <v>11.5</v>
      </c>
      <c r="R94" s="992"/>
      <c r="S94" s="992">
        <f>+'Exhibit F'!T84+'Exhibit G'!T76+' Exhbit I '!U57</f>
        <v>17.899999999999999</v>
      </c>
      <c r="T94" s="992"/>
      <c r="U94" s="992"/>
      <c r="V94" s="992"/>
      <c r="W94" s="2905"/>
      <c r="X94" s="992"/>
      <c r="Y94" s="2905"/>
      <c r="Z94" s="992"/>
      <c r="AA94" s="993"/>
      <c r="AB94" s="992">
        <f t="shared" si="9"/>
        <v>117.9</v>
      </c>
      <c r="AC94" s="992"/>
      <c r="AD94" s="994"/>
      <c r="AE94" s="992">
        <f>+'Exhibit G'!AF76+'Exhibit F'!AF84+' Exhbit I '!AG57</f>
        <v>115</v>
      </c>
      <c r="AF94" s="992"/>
      <c r="AG94" s="992"/>
      <c r="AH94" s="992">
        <f t="shared" si="10"/>
        <v>2.9</v>
      </c>
      <c r="AI94" s="430"/>
      <c r="AJ94" s="1864">
        <f t="shared" si="15"/>
        <v>2.5000000000000001E-2</v>
      </c>
    </row>
    <row r="95" spans="1:36" ht="16.5" customHeight="1">
      <c r="A95" s="1830" t="s">
        <v>1322</v>
      </c>
      <c r="B95" s="1830"/>
      <c r="C95" s="992">
        <f>+'Exhibit F'!D85+'Exhibit G'!D77+' Exhbit I '!E58</f>
        <v>82.899999999999991</v>
      </c>
      <c r="D95" s="992"/>
      <c r="E95" s="992">
        <f>+'Exhibit F'!F85+'Exhibit G'!F77+' Exhbit I '!G58</f>
        <v>1053.7</v>
      </c>
      <c r="F95" s="992"/>
      <c r="G95" s="992">
        <f>+'Exhibit F'!H85+'Exhibit G'!H77+' Exhbit I '!I58</f>
        <v>1.9</v>
      </c>
      <c r="H95" s="992"/>
      <c r="I95" s="992">
        <f>+'Exhibit F'!J85+'Exhibit G'!J77+' Exhbit I '!K58</f>
        <v>5.7</v>
      </c>
      <c r="J95" s="992"/>
      <c r="K95" s="992">
        <f>+'Exhibit F'!L85+'Exhibit G'!L77+' Exhbit I '!M58</f>
        <v>34.4</v>
      </c>
      <c r="L95" s="992"/>
      <c r="M95" s="992">
        <f>+'Exhibit F'!N85+'Exhibit G'!N77+' Exhbit I '!O58</f>
        <v>0.7</v>
      </c>
      <c r="N95" s="992"/>
      <c r="O95" s="992">
        <f>+'Exhibit F'!P85+'Exhibit G'!P77+' Exhbit I '!Q58</f>
        <v>3.9</v>
      </c>
      <c r="P95" s="992"/>
      <c r="Q95" s="992">
        <f>+'Exhibit F'!R85+'Exhibit G'!R77+' Exhbit I '!S58</f>
        <v>98.899999999999991</v>
      </c>
      <c r="R95" s="992"/>
      <c r="S95" s="992">
        <f>+'Exhibit F'!T85+'Exhibit G'!T77+' Exhbit I '!U58</f>
        <v>-17.3</v>
      </c>
      <c r="T95" s="992"/>
      <c r="U95" s="992"/>
      <c r="V95" s="992"/>
      <c r="W95" s="2905"/>
      <c r="X95" s="992"/>
      <c r="Y95" s="2905"/>
      <c r="Z95" s="992"/>
      <c r="AA95" s="993"/>
      <c r="AB95" s="992">
        <f t="shared" si="9"/>
        <v>1264.8</v>
      </c>
      <c r="AC95" s="992"/>
      <c r="AD95" s="994"/>
      <c r="AE95" s="992">
        <f>+'Exhibit F'!AF85+'Exhibit G'!AF77+' Exhbit I '!AG58</f>
        <v>262.20000000000005</v>
      </c>
      <c r="AF95" s="992"/>
      <c r="AG95" s="992"/>
      <c r="AH95" s="992">
        <f t="shared" si="10"/>
        <v>1002.6</v>
      </c>
      <c r="AI95" s="430"/>
      <c r="AJ95" s="1864">
        <f t="shared" si="15"/>
        <v>3.8239999999999998</v>
      </c>
    </row>
    <row r="96" spans="1:36" ht="16.5" customHeight="1">
      <c r="A96" s="1830" t="s">
        <v>1323</v>
      </c>
      <c r="B96" s="1830"/>
      <c r="C96" s="992">
        <f>+'Exhibit F'!D86+'Exhibit G'!D78</f>
        <v>8.4</v>
      </c>
      <c r="D96" s="992"/>
      <c r="E96" s="992">
        <f>+'Exhibit F'!F86+'Exhibit G'!F78</f>
        <v>7.9</v>
      </c>
      <c r="F96" s="992"/>
      <c r="G96" s="992">
        <f>+'Exhibit F'!H86+'Exhibit G'!H78</f>
        <v>5.3</v>
      </c>
      <c r="H96" s="992"/>
      <c r="I96" s="992">
        <f>+'Exhibit F'!J86+'Exhibit G'!J78</f>
        <v>2.7</v>
      </c>
      <c r="J96" s="992"/>
      <c r="K96" s="992">
        <f>+'Exhibit F'!L86+'Exhibit G'!L78</f>
        <v>7</v>
      </c>
      <c r="L96" s="992"/>
      <c r="M96" s="992">
        <f>+'Exhibit F'!N86+'Exhibit G'!N78</f>
        <v>6.7</v>
      </c>
      <c r="N96" s="992"/>
      <c r="O96" s="992">
        <f>+'Exhibit F'!P86+'Exhibit G'!P78</f>
        <v>6.8</v>
      </c>
      <c r="P96" s="992"/>
      <c r="Q96" s="992">
        <f>+'Exhibit F'!R86+'Exhibit G'!R78</f>
        <v>2.2999999999999998</v>
      </c>
      <c r="R96" s="992"/>
      <c r="S96" s="992">
        <f>+'Exhibit F'!T86+'Exhibit G'!T78</f>
        <v>5.9</v>
      </c>
      <c r="T96" s="992"/>
      <c r="U96" s="992"/>
      <c r="V96" s="992"/>
      <c r="W96" s="2905"/>
      <c r="X96" s="992"/>
      <c r="Y96" s="2905"/>
      <c r="Z96" s="992"/>
      <c r="AA96" s="993"/>
      <c r="AB96" s="992">
        <f t="shared" si="9"/>
        <v>53</v>
      </c>
      <c r="AC96" s="992"/>
      <c r="AD96" s="994"/>
      <c r="AE96" s="992">
        <f>+'Exhibit F'!AF86+'Exhibit G'!AF78</f>
        <v>62.7</v>
      </c>
      <c r="AF96" s="992"/>
      <c r="AG96" s="992"/>
      <c r="AH96" s="992">
        <f t="shared" si="10"/>
        <v>-9.6999999999999993</v>
      </c>
      <c r="AI96" s="430"/>
      <c r="AJ96" s="1864">
        <f t="shared" si="15"/>
        <v>-0.155</v>
      </c>
    </row>
    <row r="97" spans="1:45" ht="16.5" customHeight="1">
      <c r="A97" s="1830" t="s">
        <v>1324</v>
      </c>
      <c r="B97" s="1830"/>
      <c r="C97" s="992">
        <f>+'Exhibit F'!D87+'Exhibit G'!D79+' Exhbit I '!E59</f>
        <v>12.2</v>
      </c>
      <c r="D97" s="992"/>
      <c r="E97" s="992">
        <f>+'Exhibit F'!F87+'Exhibit G'!F79+' Exhbit I '!G59</f>
        <v>-2.1</v>
      </c>
      <c r="F97" s="992"/>
      <c r="G97" s="992">
        <f>+'Exhibit F'!H87+'Exhibit G'!H79+' Exhbit I '!I59</f>
        <v>3.2</v>
      </c>
      <c r="H97" s="992"/>
      <c r="I97" s="992">
        <f>+'Exhibit F'!J87+'Exhibit G'!J79+' Exhbit I '!K59</f>
        <v>28.1</v>
      </c>
      <c r="J97" s="992"/>
      <c r="K97" s="992">
        <f>+'Exhibit F'!L87+'Exhibit G'!L79+' Exhbit I '!M59</f>
        <v>4.4000000000000004</v>
      </c>
      <c r="L97" s="992"/>
      <c r="M97" s="992">
        <f>+'Exhibit F'!N87+'Exhibit G'!N79+' Exhbit I '!O59</f>
        <v>5.6000000000000005</v>
      </c>
      <c r="N97" s="992"/>
      <c r="O97" s="992">
        <f>+'Exhibit F'!P87+'Exhibit G'!P79+' Exhbit I '!Q59</f>
        <v>7.1400000000000006</v>
      </c>
      <c r="P97" s="992"/>
      <c r="Q97" s="992">
        <f>+'Exhibit F'!R87+'Exhibit G'!R79+' Exhbit I '!S59</f>
        <v>7.6999999999999993</v>
      </c>
      <c r="R97" s="992"/>
      <c r="S97" s="992">
        <f>+'Exhibit F'!T87+'Exhibit G'!T79+' Exhbit I '!U59</f>
        <v>4.9000000000000004</v>
      </c>
      <c r="T97" s="992"/>
      <c r="U97" s="992"/>
      <c r="V97" s="992"/>
      <c r="W97" s="2905"/>
      <c r="X97" s="992"/>
      <c r="Y97" s="2905"/>
      <c r="Z97" s="992"/>
      <c r="AA97" s="993"/>
      <c r="AB97" s="992">
        <f t="shared" si="9"/>
        <v>71.099999999999994</v>
      </c>
      <c r="AC97" s="992"/>
      <c r="AD97" s="994"/>
      <c r="AE97" s="992">
        <f>+'Exhibit F'!AF87+'Exhibit G'!AF79+' Exhbit I '!AG59</f>
        <v>41</v>
      </c>
      <c r="AF97" s="992"/>
      <c r="AG97" s="992"/>
      <c r="AH97" s="992">
        <f t="shared" si="10"/>
        <v>30.1</v>
      </c>
      <c r="AI97" s="430"/>
      <c r="AJ97" s="1864">
        <f t="shared" si="15"/>
        <v>0.73399999999999999</v>
      </c>
    </row>
    <row r="98" spans="1:45" ht="16.5" customHeight="1">
      <c r="A98" s="1830" t="s">
        <v>1325</v>
      </c>
      <c r="B98" s="1830"/>
      <c r="C98" s="992">
        <f>+'Exhibit F'!D88+'Exhibit G'!D80+' Exhbit I '!E60</f>
        <v>2</v>
      </c>
      <c r="D98" s="992"/>
      <c r="E98" s="992">
        <f>+'Exhibit F'!F88+'Exhibit G'!F80+' Exhbit I '!G60</f>
        <v>4.4000000000000004</v>
      </c>
      <c r="F98" s="992"/>
      <c r="G98" s="992">
        <f>+'Exhibit F'!H88+'Exhibit G'!H80+' Exhbit I '!I60</f>
        <v>1.5999999999999999</v>
      </c>
      <c r="H98" s="992"/>
      <c r="I98" s="992">
        <f>+'Exhibit F'!J88+'Exhibit G'!J80+' Exhbit I '!K60</f>
        <v>0.7</v>
      </c>
      <c r="J98" s="992"/>
      <c r="K98" s="992">
        <f>+'Exhibit F'!L88+'Exhibit G'!L80+' Exhbit I '!M60+'Exhibit H'!J42</f>
        <v>5.4999999999999991</v>
      </c>
      <c r="L98" s="992"/>
      <c r="M98" s="992">
        <f>+'Exhibit F'!N88+'Exhibit G'!N80+' Exhbit I '!O60+'Exhibit H'!L42</f>
        <v>2.1</v>
      </c>
      <c r="N98" s="992"/>
      <c r="O98" s="992">
        <f>+'Exhibit F'!P88+'Exhibit G'!P80+' Exhbit I '!Q60+'Exhibit H'!N42</f>
        <v>1</v>
      </c>
      <c r="P98" s="992"/>
      <c r="Q98" s="992">
        <f>+'Exhibit F'!R88+'Exhibit G'!R80+' Exhbit I '!S60+'Exhibit H'!P42</f>
        <v>2.2000000000000002</v>
      </c>
      <c r="R98" s="992"/>
      <c r="S98" s="992">
        <f>+'Exhibit F'!T88+'Exhibit G'!T80+' Exhbit I '!U60+'Exhibit H'!R42</f>
        <v>0.30000000000000004</v>
      </c>
      <c r="T98" s="992"/>
      <c r="U98" s="992"/>
      <c r="V98" s="992"/>
      <c r="W98" s="2905"/>
      <c r="X98" s="992"/>
      <c r="Y98" s="2905"/>
      <c r="Z98" s="992"/>
      <c r="AA98" s="993"/>
      <c r="AB98" s="992">
        <f t="shared" si="9"/>
        <v>19.8</v>
      </c>
      <c r="AC98" s="992"/>
      <c r="AD98" s="994"/>
      <c r="AE98" s="992">
        <f>+'Exhibit F'!AF88+'Exhibit G'!AF80+' Exhbit I '!AG60+'Exhibit H'!AD42</f>
        <v>26.7</v>
      </c>
      <c r="AF98" s="992"/>
      <c r="AG98" s="992"/>
      <c r="AH98" s="992">
        <f t="shared" si="10"/>
        <v>-6.9</v>
      </c>
      <c r="AI98" s="430"/>
      <c r="AJ98" s="1864">
        <f t="shared" si="15"/>
        <v>-0.25800000000000001</v>
      </c>
    </row>
    <row r="99" spans="1:45" ht="16.5" customHeight="1">
      <c r="A99" s="1830" t="s">
        <v>1326</v>
      </c>
      <c r="B99" s="1830"/>
      <c r="C99" s="992">
        <f>+'Exhibit G'!D81</f>
        <v>125.2</v>
      </c>
      <c r="D99" s="992"/>
      <c r="E99" s="992">
        <f>+'Exhibit G'!F81</f>
        <v>76.099999999999994</v>
      </c>
      <c r="F99" s="992"/>
      <c r="G99" s="992">
        <f>+'Exhibit G'!H81</f>
        <v>92.5</v>
      </c>
      <c r="H99" s="992"/>
      <c r="I99" s="992">
        <f>+'Exhibit G'!J81</f>
        <v>92.9</v>
      </c>
      <c r="J99" s="992"/>
      <c r="K99" s="992">
        <f>+'Exhibit G'!L81</f>
        <v>203</v>
      </c>
      <c r="L99" s="992"/>
      <c r="M99" s="992">
        <f>+'Exhibit G'!N81</f>
        <v>420.3</v>
      </c>
      <c r="N99" s="992"/>
      <c r="O99" s="992">
        <f>+'Exhibit G'!P81</f>
        <v>225.4</v>
      </c>
      <c r="P99" s="992"/>
      <c r="Q99" s="992">
        <f>+'Exhibit G'!R81</f>
        <v>129.19999999999999</v>
      </c>
      <c r="R99" s="992"/>
      <c r="S99" s="992">
        <f>+'Exhibit G'!T81</f>
        <v>92.5</v>
      </c>
      <c r="T99" s="992"/>
      <c r="U99" s="992"/>
      <c r="V99" s="992"/>
      <c r="W99" s="2905"/>
      <c r="X99" s="992"/>
      <c r="Y99" s="2905"/>
      <c r="Z99" s="992"/>
      <c r="AA99" s="993"/>
      <c r="AB99" s="992">
        <f t="shared" si="9"/>
        <v>1457.1</v>
      </c>
      <c r="AC99" s="992"/>
      <c r="AD99" s="994"/>
      <c r="AE99" s="992">
        <f>+'Exhibit G'!AF81</f>
        <v>1373.6</v>
      </c>
      <c r="AF99" s="992"/>
      <c r="AG99" s="992"/>
      <c r="AH99" s="992">
        <f t="shared" si="10"/>
        <v>83.5</v>
      </c>
      <c r="AI99" s="430"/>
      <c r="AJ99" s="1864">
        <f>ROUND(IF(AE99=0,0,AH99/ABS(AE99)),3)</f>
        <v>6.0999999999999999E-2</v>
      </c>
    </row>
    <row r="100" spans="1:45" s="795" customFormat="1" ht="16.5" customHeight="1">
      <c r="A100" s="589" t="s">
        <v>1361</v>
      </c>
      <c r="B100" s="413"/>
      <c r="C100" s="484">
        <f>ROUND(SUM(C60:C99),1)</f>
        <v>705</v>
      </c>
      <c r="D100" s="2101"/>
      <c r="E100" s="484">
        <f>ROUND(SUM(E60:E99),1)</f>
        <v>4275.3999999999996</v>
      </c>
      <c r="F100" s="2101"/>
      <c r="G100" s="484">
        <f>ROUND(SUM(G60:G99),1)</f>
        <v>2585.6999999999998</v>
      </c>
      <c r="H100" s="1886"/>
      <c r="I100" s="484">
        <f>ROUND(SUM(I60:I99),1)</f>
        <v>1713.4</v>
      </c>
      <c r="J100" s="1886"/>
      <c r="K100" s="484">
        <f>ROUND(SUM(K60:K99),1)</f>
        <v>1556.9</v>
      </c>
      <c r="L100" s="1886"/>
      <c r="M100" s="484">
        <f>ROUND(SUM(M60:M99),1)</f>
        <v>2448.9</v>
      </c>
      <c r="N100" s="1886"/>
      <c r="O100" s="484">
        <f>ROUND(SUM(O60:O99),1)</f>
        <v>2298.6</v>
      </c>
      <c r="P100" s="1886"/>
      <c r="Q100" s="484">
        <f>ROUND(SUM(Q60:Q99),1)</f>
        <v>2005.1</v>
      </c>
      <c r="R100" s="1886"/>
      <c r="S100" s="484">
        <f>ROUND(SUM(S60:S99),1)</f>
        <v>2618.3000000000002</v>
      </c>
      <c r="T100" s="1886"/>
      <c r="U100" s="484">
        <f>ROUND(SUM(U60:U99),1)</f>
        <v>0</v>
      </c>
      <c r="V100" s="1886"/>
      <c r="W100" s="484">
        <f>ROUND(SUM(W60:W99),1)</f>
        <v>0</v>
      </c>
      <c r="X100" s="410"/>
      <c r="Y100" s="484">
        <f>ROUND(SUM(Y60:Y99),1)</f>
        <v>0</v>
      </c>
      <c r="Z100" s="410"/>
      <c r="AA100" s="485"/>
      <c r="AB100" s="484">
        <f>ROUND(SUM(AB60:AB99),1)</f>
        <v>20207.3</v>
      </c>
      <c r="AC100" s="1886"/>
      <c r="AD100" s="259"/>
      <c r="AE100" s="484">
        <f>ROUND(SUM(AE60:AE99),1)</f>
        <v>21414.7</v>
      </c>
      <c r="AF100" s="273"/>
      <c r="AG100" s="2110"/>
      <c r="AH100" s="484">
        <f>ROUND(SUM(AH60:AH99),1)</f>
        <v>-1207.4000000000001</v>
      </c>
      <c r="AI100" s="273"/>
      <c r="AJ100" s="72">
        <f>ROUND(IF(AE100=0,0,AH100/ABS(AE100)),3)</f>
        <v>-5.6000000000000001E-2</v>
      </c>
    </row>
    <row r="101" spans="1:45" s="795" customFormat="1" ht="16.5" customHeight="1">
      <c r="A101" s="982"/>
      <c r="B101" s="982"/>
      <c r="C101" s="1000"/>
      <c r="D101" s="1000"/>
      <c r="E101" s="1000"/>
      <c r="F101" s="1000"/>
      <c r="G101" s="1000"/>
      <c r="H101" s="1000"/>
      <c r="I101" s="1000"/>
      <c r="J101" s="1000"/>
      <c r="K101" s="1000"/>
      <c r="L101" s="1000"/>
      <c r="M101" s="1000"/>
      <c r="N101" s="1000"/>
      <c r="O101" s="1000"/>
      <c r="P101" s="1000"/>
      <c r="Q101" s="1000"/>
      <c r="R101" s="1000"/>
      <c r="S101" s="1000"/>
      <c r="T101" s="1000"/>
      <c r="U101" s="1000"/>
      <c r="V101" s="1000"/>
      <c r="X101" s="1000"/>
      <c r="Y101" s="1000"/>
      <c r="Z101" s="1000"/>
      <c r="AA101" s="1001"/>
      <c r="AB101" s="1000"/>
      <c r="AC101" s="2109"/>
      <c r="AD101" s="1001"/>
      <c r="AE101" s="1000"/>
      <c r="AF101" s="2109"/>
      <c r="AG101" s="1000"/>
      <c r="AH101" s="1000"/>
      <c r="AI101" s="982"/>
      <c r="AJ101" s="513"/>
    </row>
    <row r="102" spans="1:45" ht="16.5" customHeight="1">
      <c r="A102" s="430" t="s">
        <v>22</v>
      </c>
      <c r="B102" s="430"/>
      <c r="C102" s="997">
        <f>+'Exhibit F'!D91+'Exhibit G'!D84+'Exhibit H'!B45+' Exhbit I '!E63</f>
        <v>1730</v>
      </c>
      <c r="D102" s="992"/>
      <c r="E102" s="997">
        <f>+'Exhibit F'!F91+'Exhibit G'!F84+'Exhibit H'!D45+' Exhbit I '!G63</f>
        <v>4648.4000000000005</v>
      </c>
      <c r="F102" s="992"/>
      <c r="G102" s="997">
        <f>+'Exhibit F'!H91+'Exhibit G'!H84+'Exhibit H'!F45+' Exhbit I '!I63</f>
        <v>4627.6000000000004</v>
      </c>
      <c r="H102" s="992"/>
      <c r="I102" s="997">
        <f>+'Exhibit F'!J91+'Exhibit G'!J84+'Exhibit H'!H45+' Exhbit I '!K63</f>
        <v>3878.2</v>
      </c>
      <c r="J102" s="992"/>
      <c r="K102" s="997">
        <f>+'Exhibit F'!L91+'Exhibit G'!L84+'Exhibit H'!J45+' Exhbit I '!M63</f>
        <v>4470.8</v>
      </c>
      <c r="L102" s="992"/>
      <c r="M102" s="997">
        <f>+'Exhibit F'!N91+'Exhibit G'!N84+'Exhibit H'!L45+' Exhbit I '!O63</f>
        <v>4371.2</v>
      </c>
      <c r="N102" s="992"/>
      <c r="O102" s="997">
        <f>+'Exhibit F'!P91+'Exhibit G'!P84+'Exhibit H'!N45+' Exhbit I '!Q63</f>
        <v>3333.7000000000003</v>
      </c>
      <c r="P102" s="992"/>
      <c r="Q102" s="996">
        <f>+'Exhibit F'!R91+'Exhibit G'!R84+'Exhibit H'!P45+' Exhbit I '!S63</f>
        <v>4762.6000000000004</v>
      </c>
      <c r="R102" s="992"/>
      <c r="S102" s="996">
        <f>+'Exhibit F'!T91+'Exhibit G'!T84+'Exhibit H'!R45+' Exhbit I '!U63</f>
        <v>5410.0000000000009</v>
      </c>
      <c r="T102" s="992"/>
      <c r="U102" s="996"/>
      <c r="V102" s="992"/>
      <c r="W102" s="997"/>
      <c r="X102" s="992"/>
      <c r="Y102" s="997"/>
      <c r="Z102" s="992"/>
      <c r="AA102" s="993"/>
      <c r="AB102" s="996">
        <f>ROUND(SUM(C102:Y102),1)</f>
        <v>37232.5</v>
      </c>
      <c r="AC102" s="992"/>
      <c r="AD102" s="994"/>
      <c r="AE102" s="997">
        <f>+'Exhibit F'!AF91+'Exhibit G'!AF84+'Exhibit H'!AD45+' Exhbit I '!AG63</f>
        <v>34873.4</v>
      </c>
      <c r="AF102" s="1004"/>
      <c r="AG102" s="992"/>
      <c r="AH102" s="996">
        <f>ROUND(SUM(AB102-AE102),1)</f>
        <v>2359.1</v>
      </c>
      <c r="AI102" s="430"/>
      <c r="AJ102" s="2624">
        <f>ROUND(IF(AE102=0,0,AH102/ABS(AE102)),3)</f>
        <v>6.8000000000000005E-2</v>
      </c>
    </row>
    <row r="103" spans="1:45" ht="16.5" customHeight="1">
      <c r="A103" s="430"/>
      <c r="B103" s="430"/>
      <c r="C103" s="992"/>
      <c r="D103" s="992"/>
      <c r="E103" s="992"/>
      <c r="F103" s="992"/>
      <c r="G103" s="992"/>
      <c r="H103" s="992"/>
      <c r="I103" s="992"/>
      <c r="J103" s="992"/>
      <c r="K103" s="992"/>
      <c r="L103" s="992"/>
      <c r="M103" s="992"/>
      <c r="N103" s="992"/>
      <c r="O103" s="992"/>
      <c r="P103" s="992"/>
      <c r="Q103" s="992"/>
      <c r="R103" s="992"/>
      <c r="S103" s="992"/>
      <c r="T103" s="992"/>
      <c r="U103" s="992"/>
      <c r="V103" s="992"/>
      <c r="W103" s="992"/>
      <c r="X103" s="992"/>
      <c r="Y103" s="992"/>
      <c r="Z103" s="992"/>
      <c r="AA103" s="993"/>
      <c r="AB103" s="992"/>
      <c r="AC103" s="992"/>
      <c r="AD103" s="994"/>
      <c r="AE103" s="992"/>
      <c r="AF103" s="1004"/>
      <c r="AG103" s="992"/>
      <c r="AH103" s="992"/>
      <c r="AI103" s="430"/>
      <c r="AJ103" s="998"/>
    </row>
    <row r="104" spans="1:45" ht="16.5" customHeight="1">
      <c r="A104" s="221" t="s">
        <v>156</v>
      </c>
      <c r="B104" s="222"/>
      <c r="C104" s="1738">
        <f>ROUND(SUM(C102+C100+C56),1)</f>
        <v>11076.3</v>
      </c>
      <c r="D104" s="1886"/>
      <c r="E104" s="1738">
        <f>ROUND(SUM(E102+E100+E56),1)</f>
        <v>12808.8</v>
      </c>
      <c r="F104" s="1886"/>
      <c r="G104" s="1738">
        <f>ROUND(SUM(G102+G100+G56),1)</f>
        <v>15319.5</v>
      </c>
      <c r="H104" s="1886"/>
      <c r="I104" s="1738">
        <f>ROUND(SUM(I102+I100+I56),1)</f>
        <v>10257.4</v>
      </c>
      <c r="J104" s="1886"/>
      <c r="K104" s="1738">
        <f>ROUND(SUM(K102+K100+K56),1)</f>
        <v>10482</v>
      </c>
      <c r="L104" s="1886"/>
      <c r="M104" s="1738">
        <f>ROUND(SUM(M102+M100+M56),1)</f>
        <v>15259.1</v>
      </c>
      <c r="N104" s="1886"/>
      <c r="O104" s="1738">
        <f>ROUND(SUM(O102+O100+O56),1)</f>
        <v>9767.1</v>
      </c>
      <c r="P104" s="1886"/>
      <c r="Q104" s="1738">
        <f>ROUND(SUM(Q102+Q100+Q56),1)</f>
        <v>10740.4</v>
      </c>
      <c r="R104" s="1886"/>
      <c r="S104" s="1738">
        <f>ROUND(SUM(S102+S100+S56),1)</f>
        <v>16163</v>
      </c>
      <c r="T104" s="1886"/>
      <c r="U104" s="1738">
        <f>ROUND(SUM(U102+U100+U56),1)</f>
        <v>0</v>
      </c>
      <c r="V104" s="1886"/>
      <c r="W104" s="1738">
        <f>ROUND(SUM(W102+W100+W56),1)</f>
        <v>0</v>
      </c>
      <c r="X104" s="410"/>
      <c r="Y104" s="1738">
        <f>ROUND(SUM(Y102+Y100+Y56),1)</f>
        <v>0</v>
      </c>
      <c r="Z104" s="477"/>
      <c r="AA104" s="478"/>
      <c r="AB104" s="1738">
        <f>ROUND(SUM(AB102+AB100+AB56),1)</f>
        <v>111873.60000000001</v>
      </c>
      <c r="AC104" s="1886"/>
      <c r="AD104" s="259"/>
      <c r="AE104" s="1738">
        <f>ROUND(SUM(AE102+AE100+AE56),1)</f>
        <v>106028.5</v>
      </c>
      <c r="AF104" s="273"/>
      <c r="AG104" s="2110"/>
      <c r="AH104" s="1738">
        <f>ROUND(SUM(AH102+AH100+AH56),1)</f>
        <v>5845.1</v>
      </c>
      <c r="AI104" s="273"/>
      <c r="AJ104" s="1961">
        <f>ROUND(IF(AE104=0,0,AH104/ABS(AE104)),3)</f>
        <v>5.5E-2</v>
      </c>
      <c r="AK104" s="795"/>
      <c r="AL104" s="795"/>
      <c r="AM104" s="795"/>
      <c r="AN104" s="795"/>
      <c r="AO104" s="795"/>
      <c r="AP104" s="795"/>
      <c r="AQ104" s="795"/>
      <c r="AR104" s="795"/>
      <c r="AS104" s="795"/>
    </row>
    <row r="105" spans="1:45" ht="16.5" customHeight="1">
      <c r="A105" s="410"/>
      <c r="B105" s="430"/>
      <c r="C105" s="1003"/>
      <c r="D105" s="992"/>
      <c r="E105" s="1003"/>
      <c r="F105" s="992"/>
      <c r="G105" s="1003"/>
      <c r="H105" s="992"/>
      <c r="I105" s="1003"/>
      <c r="J105" s="992"/>
      <c r="K105" s="1003"/>
      <c r="L105" s="992"/>
      <c r="M105" s="1003"/>
      <c r="N105" s="992"/>
      <c r="O105" s="1003"/>
      <c r="P105" s="992"/>
      <c r="Q105" s="1003"/>
      <c r="R105" s="992"/>
      <c r="S105" s="1003"/>
      <c r="T105" s="992"/>
      <c r="U105" s="1003"/>
      <c r="V105" s="992"/>
      <c r="W105" s="1003"/>
      <c r="X105" s="992"/>
      <c r="Y105" s="1003"/>
      <c r="Z105" s="992"/>
      <c r="AA105" s="993"/>
      <c r="AB105" s="1003"/>
      <c r="AC105" s="992"/>
      <c r="AD105" s="994"/>
      <c r="AE105" s="1003"/>
      <c r="AF105" s="992"/>
      <c r="AG105" s="992"/>
      <c r="AH105" s="1171"/>
      <c r="AI105" s="430"/>
      <c r="AJ105" s="1714"/>
    </row>
    <row r="106" spans="1:45" ht="16.5" customHeight="1">
      <c r="A106" s="410" t="s">
        <v>24</v>
      </c>
      <c r="B106" s="430"/>
      <c r="C106" s="1004"/>
      <c r="D106" s="992"/>
      <c r="E106" s="1004"/>
      <c r="F106" s="992"/>
      <c r="G106" s="1004"/>
      <c r="H106" s="992"/>
      <c r="I106" s="1004"/>
      <c r="J106" s="992"/>
      <c r="K106" s="1004"/>
      <c r="L106" s="992"/>
      <c r="M106" s="1004"/>
      <c r="N106" s="992"/>
      <c r="O106" s="1004"/>
      <c r="P106" s="992"/>
      <c r="Q106" s="1004"/>
      <c r="R106" s="992"/>
      <c r="S106" s="1004"/>
      <c r="T106" s="992"/>
      <c r="U106" s="1004"/>
      <c r="V106" s="992"/>
      <c r="W106" s="1004"/>
      <c r="X106" s="992"/>
      <c r="Y106" s="1004"/>
      <c r="Z106" s="992"/>
      <c r="AA106" s="993"/>
      <c r="AB106" s="1004"/>
      <c r="AC106" s="992"/>
      <c r="AD106" s="994"/>
      <c r="AE106" s="1004"/>
      <c r="AF106" s="992"/>
      <c r="AG106" s="992"/>
      <c r="AH106" s="1171"/>
      <c r="AI106" s="430"/>
      <c r="AJ106" s="1714"/>
    </row>
    <row r="107" spans="1:45" ht="16.5" customHeight="1">
      <c r="A107" s="430" t="s">
        <v>142</v>
      </c>
      <c r="B107" s="430"/>
      <c r="C107" s="992"/>
      <c r="D107" s="992"/>
      <c r="E107" s="992"/>
      <c r="F107" s="992"/>
      <c r="G107" s="992"/>
      <c r="H107" s="992"/>
      <c r="I107" s="992"/>
      <c r="J107" s="992"/>
      <c r="K107" s="992"/>
      <c r="L107" s="992"/>
      <c r="M107" s="992"/>
      <c r="N107" s="992"/>
      <c r="O107" s="992"/>
      <c r="P107" s="992"/>
      <c r="Q107" s="992"/>
      <c r="R107" s="992"/>
      <c r="S107" s="992"/>
      <c r="T107" s="992"/>
      <c r="U107" s="992"/>
      <c r="V107" s="992"/>
      <c r="W107" s="992"/>
      <c r="X107" s="992"/>
      <c r="Y107" s="992"/>
      <c r="Z107" s="992"/>
      <c r="AA107" s="993"/>
      <c r="AB107" s="992"/>
      <c r="AC107" s="992"/>
      <c r="AD107" s="994"/>
      <c r="AE107" s="261"/>
      <c r="AF107" s="992"/>
      <c r="AG107" s="992"/>
      <c r="AH107" s="992"/>
      <c r="AI107" s="430"/>
      <c r="AJ107" s="1932"/>
    </row>
    <row r="108" spans="1:45" ht="16.5" customHeight="1">
      <c r="A108" s="481" t="s">
        <v>26</v>
      </c>
      <c r="B108" s="430"/>
      <c r="C108" s="992">
        <f>+'Exhibit F'!D97+'Exhibit G'!D90+' Exhbit I '!E69</f>
        <v>895.90000000000009</v>
      </c>
      <c r="D108" s="992"/>
      <c r="E108" s="992">
        <f>+'Exhibit F'!F97+'Exhibit G'!F90+' Exhbit I '!G69</f>
        <v>3267.7</v>
      </c>
      <c r="F108" s="992"/>
      <c r="G108" s="992">
        <f>+'Exhibit F'!H97+'Exhibit G'!H90+' Exhbit I '!I69</f>
        <v>4109.2000000000007</v>
      </c>
      <c r="H108" s="992"/>
      <c r="I108" s="992">
        <f>+'Exhibit F'!J97+'Exhibit G'!J90+' Exhbit I '!K69</f>
        <v>603.79999999999995</v>
      </c>
      <c r="J108" s="992"/>
      <c r="K108" s="992">
        <f>+'Exhibit F'!L97+'Exhibit G'!L90+' Exhbit I '!M69</f>
        <v>946.9</v>
      </c>
      <c r="L108" s="992"/>
      <c r="M108" s="992">
        <f>+'Exhibit F'!N97+'Exhibit G'!N90+' Exhbit I '!O69</f>
        <v>5766.8</v>
      </c>
      <c r="N108" s="992"/>
      <c r="O108" s="992">
        <f>+'Exhibit F'!P97+'Exhibit G'!P90+' Exhbit I '!Q69</f>
        <v>692.3</v>
      </c>
      <c r="P108" s="992"/>
      <c r="Q108" s="2094">
        <f>+'Exhibit F'!R97+'Exhibit G'!R90+' Exhbit I '!S69</f>
        <v>2632.7999999999997</v>
      </c>
      <c r="R108" s="992"/>
      <c r="S108" s="2094">
        <f>+'Exhibit F'!T97+'Exhibit G'!T90+' Exhbit I '!U69</f>
        <v>2457</v>
      </c>
      <c r="T108" s="992"/>
      <c r="U108" s="2094"/>
      <c r="V108" s="992"/>
      <c r="W108" s="2905"/>
      <c r="X108" s="992"/>
      <c r="Y108" s="2905"/>
      <c r="Z108" s="992"/>
      <c r="AA108" s="993"/>
      <c r="AB108" s="261">
        <f>ROUND(SUM(C108:Y108),1)</f>
        <v>21372.400000000001</v>
      </c>
      <c r="AC108" s="992"/>
      <c r="AD108" s="994"/>
      <c r="AE108" s="261">
        <f>+'Exhibit F'!AF97+'Exhibit G'!AF90+' Exhbit I '!AG69</f>
        <v>20356.399999999998</v>
      </c>
      <c r="AF108" s="992"/>
      <c r="AG108" s="992"/>
      <c r="AH108" s="992">
        <f>ROUND(SUM(AB108-AE108),1)</f>
        <v>1016</v>
      </c>
      <c r="AI108" s="430"/>
      <c r="AJ108" s="1864">
        <f>ROUND(IF(AE108=0,0,AH108/ABS(AE108)),3)</f>
        <v>0.05</v>
      </c>
    </row>
    <row r="109" spans="1:45" ht="16.5" customHeight="1">
      <c r="A109" s="481" t="s">
        <v>27</v>
      </c>
      <c r="B109" s="430"/>
      <c r="C109" s="992">
        <f>+'Exhibit F'!D98+'Exhibit G'!D91+' Exhbit I '!E70</f>
        <v>3</v>
      </c>
      <c r="D109" s="992"/>
      <c r="E109" s="992">
        <f>+'Exhibit F'!F98+'Exhibit G'!F91+' Exhbit I '!G70</f>
        <v>4.0999999999999996</v>
      </c>
      <c r="F109" s="992"/>
      <c r="G109" s="992">
        <f>+'Exhibit F'!H98+'Exhibit G'!H91+' Exhbit I '!I70</f>
        <v>7.7</v>
      </c>
      <c r="H109" s="992"/>
      <c r="I109" s="992">
        <f>+'Exhibit F'!J98+'Exhibit G'!J91+' Exhbit I '!K70</f>
        <v>13</v>
      </c>
      <c r="J109" s="992"/>
      <c r="K109" s="992">
        <f>+'Exhibit F'!L98+'Exhibit G'!L91+' Exhbit I '!M70</f>
        <v>8.1999999999999993</v>
      </c>
      <c r="L109" s="992"/>
      <c r="M109" s="992">
        <f>+'Exhibit F'!N98+'Exhibit G'!N91+' Exhbit I '!O70</f>
        <v>17.100000000000001</v>
      </c>
      <c r="N109" s="992"/>
      <c r="O109" s="992">
        <f>+'Exhibit F'!P98+'Exhibit G'!P91+' Exhbit I '!Q70</f>
        <v>0.5</v>
      </c>
      <c r="P109" s="992"/>
      <c r="Q109" s="2094">
        <f>+'Exhibit F'!R98+'Exhibit G'!R91+' Exhbit I '!S70</f>
        <v>183.5</v>
      </c>
      <c r="R109" s="992"/>
      <c r="S109" s="2094">
        <f>+'Exhibit F'!T98+'Exhibit G'!T91+' Exhbit I '!U70</f>
        <v>8.8000000000000007</v>
      </c>
      <c r="T109" s="992"/>
      <c r="U109" s="2094"/>
      <c r="V109" s="992"/>
      <c r="W109" s="2905"/>
      <c r="X109" s="992"/>
      <c r="Y109" s="2905"/>
      <c r="Z109" s="992"/>
      <c r="AA109" s="993"/>
      <c r="AB109" s="261">
        <f t="shared" ref="AB109:AB116" si="16">ROUND(SUM(C109:Y109),1)</f>
        <v>245.9</v>
      </c>
      <c r="AC109" s="992"/>
      <c r="AD109" s="994"/>
      <c r="AE109" s="261">
        <f>+'Exhibit F'!AF98+'Exhibit G'!AF91+' Exhbit I '!AG70</f>
        <v>71.100000000000009</v>
      </c>
      <c r="AF109" s="992"/>
      <c r="AG109" s="992"/>
      <c r="AH109" s="992">
        <f t="shared" ref="AH109:AH116" si="17">ROUND(SUM(AB109-AE109),1)</f>
        <v>174.8</v>
      </c>
      <c r="AI109" s="430"/>
      <c r="AJ109" s="1864">
        <f>ROUND(IF(AE109=0,0,AH109/ABS(AE109)),3)</f>
        <v>2.4590000000000001</v>
      </c>
    </row>
    <row r="110" spans="1:45" ht="16.5" customHeight="1">
      <c r="A110" s="481" t="s">
        <v>28</v>
      </c>
      <c r="B110" s="430"/>
      <c r="C110" s="992">
        <f>+'Exhibit F'!D99+'Exhibit G'!D92+' Exhbit I '!E71</f>
        <v>24.200000000000003</v>
      </c>
      <c r="D110" s="992"/>
      <c r="E110" s="992">
        <f>+'Exhibit F'!F99+'Exhibit G'!F92+' Exhbit I '!G71</f>
        <v>46.800000000000004</v>
      </c>
      <c r="F110" s="992"/>
      <c r="G110" s="992">
        <f>+'Exhibit F'!H99+'Exhibit G'!H92+' Exhbit I '!I71</f>
        <v>573</v>
      </c>
      <c r="H110" s="992"/>
      <c r="I110" s="992">
        <f>+'Exhibit F'!J99+'Exhibit G'!J92+' Exhbit I '!K71</f>
        <v>40.400000000000006</v>
      </c>
      <c r="J110" s="992"/>
      <c r="K110" s="992">
        <f>+'Exhibit F'!L99+'Exhibit G'!L92+' Exhbit I '!M71</f>
        <v>23.799999999999997</v>
      </c>
      <c r="L110" s="992"/>
      <c r="M110" s="992">
        <f>+'Exhibit F'!N99+'Exhibit G'!N92+' Exhbit I '!O71</f>
        <v>129.30000000000001</v>
      </c>
      <c r="N110" s="992"/>
      <c r="O110" s="992">
        <f>+'Exhibit F'!P99+'Exhibit G'!P92+' Exhbit I '!Q71</f>
        <v>40.9</v>
      </c>
      <c r="P110" s="992"/>
      <c r="Q110" s="2094">
        <f>+'Exhibit F'!R99+'Exhibit G'!R92+' Exhbit I '!S71</f>
        <v>44.399999999999991</v>
      </c>
      <c r="R110" s="992"/>
      <c r="S110" s="2094">
        <f>+'Exhibit F'!T99+'Exhibit G'!T92+' Exhbit I '!U71</f>
        <v>247.39999999999998</v>
      </c>
      <c r="T110" s="992"/>
      <c r="U110" s="2094"/>
      <c r="V110" s="992"/>
      <c r="W110" s="2905"/>
      <c r="X110" s="992"/>
      <c r="Y110" s="2905"/>
      <c r="Z110" s="992"/>
      <c r="AA110" s="993"/>
      <c r="AB110" s="261">
        <f t="shared" si="16"/>
        <v>1170.2</v>
      </c>
      <c r="AC110" s="992"/>
      <c r="AD110" s="994"/>
      <c r="AE110" s="261">
        <f>+'Exhibit F'!AF99+'Exhibit G'!AF92+' Exhbit I '!AG71</f>
        <v>1212</v>
      </c>
      <c r="AF110" s="992"/>
      <c r="AG110" s="992"/>
      <c r="AH110" s="992">
        <f t="shared" si="17"/>
        <v>-41.8</v>
      </c>
      <c r="AI110" s="430"/>
      <c r="AJ110" s="1864">
        <f>ROUND(IF(AE110=0,0,AH110/ABS(AE110)),3)</f>
        <v>-3.4000000000000002E-2</v>
      </c>
    </row>
    <row r="111" spans="1:45" ht="16.5" customHeight="1">
      <c r="A111" s="481" t="s">
        <v>29</v>
      </c>
      <c r="B111" s="430"/>
      <c r="C111" s="992"/>
      <c r="D111" s="992"/>
      <c r="E111" s="992"/>
      <c r="F111" s="992"/>
      <c r="G111" s="992"/>
      <c r="H111" s="992"/>
      <c r="I111" s="992"/>
      <c r="J111" s="992"/>
      <c r="K111" s="992"/>
      <c r="L111" s="992"/>
      <c r="M111" s="992"/>
      <c r="N111" s="992"/>
      <c r="O111" s="992"/>
      <c r="P111" s="992"/>
      <c r="Q111" s="2094"/>
      <c r="R111" s="992"/>
      <c r="S111" s="2094"/>
      <c r="T111" s="992"/>
      <c r="U111" s="2094"/>
      <c r="V111" s="992"/>
      <c r="W111" s="2905"/>
      <c r="X111" s="992"/>
      <c r="Y111" s="2905"/>
      <c r="Z111" s="992"/>
      <c r="AA111" s="993"/>
      <c r="AB111" s="261"/>
      <c r="AC111" s="992"/>
      <c r="AD111" s="994"/>
      <c r="AE111" s="373"/>
      <c r="AF111" s="992"/>
      <c r="AG111" s="992"/>
      <c r="AH111" s="992" t="s">
        <v>16</v>
      </c>
      <c r="AI111" s="430"/>
      <c r="AJ111" s="1932"/>
    </row>
    <row r="112" spans="1:45" ht="16.5" customHeight="1">
      <c r="A112" s="482" t="s">
        <v>30</v>
      </c>
      <c r="B112" s="430"/>
      <c r="C112" s="992">
        <f>+'Exhibit F'!D101+'Exhibit G'!D94+' Exhbit I '!E73</f>
        <v>3191.8</v>
      </c>
      <c r="D112" s="992"/>
      <c r="E112" s="992">
        <f>+'Exhibit F'!F101+'Exhibit G'!F94+' Exhbit I '!G73</f>
        <v>4470.2000000000007</v>
      </c>
      <c r="F112" s="992"/>
      <c r="G112" s="992">
        <f>+'Exhibit F'!H101+'Exhibit G'!H94+' Exhbit I '!I73</f>
        <v>4126.7</v>
      </c>
      <c r="H112" s="992"/>
      <c r="I112" s="992">
        <f>+'Exhibit F'!J101+'Exhibit G'!J94+' Exhbit I '!K73</f>
        <v>4225.3999999999996</v>
      </c>
      <c r="J112" s="992"/>
      <c r="K112" s="992">
        <f>+'Exhibit F'!L101+'Exhibit G'!L94+' Exhbit I '!M73</f>
        <v>3654</v>
      </c>
      <c r="L112" s="992"/>
      <c r="M112" s="992">
        <f>+'Exhibit F'!N101+'Exhibit G'!N94+' Exhbit I '!O73</f>
        <v>4790.3999999999996</v>
      </c>
      <c r="N112" s="992"/>
      <c r="O112" s="992">
        <f>+'Exhibit F'!P101+'Exhibit G'!P94+' Exhbit I '!Q73</f>
        <v>3302.8999999999996</v>
      </c>
      <c r="P112" s="992"/>
      <c r="Q112" s="2094">
        <f>+'Exhibit F'!R101+'Exhibit G'!R94+' Exhbit I '!S73</f>
        <v>4080</v>
      </c>
      <c r="R112" s="992"/>
      <c r="S112" s="2094">
        <f>+'Exhibit F'!T101+'Exhibit G'!T94+' Exhbit I '!U73</f>
        <v>4654.3999999999996</v>
      </c>
      <c r="T112" s="992"/>
      <c r="U112" s="2094"/>
      <c r="V112" s="992"/>
      <c r="W112" s="2905"/>
      <c r="X112" s="992"/>
      <c r="Y112" s="2905"/>
      <c r="Z112" s="992"/>
      <c r="AA112" s="993"/>
      <c r="AB112" s="261">
        <f t="shared" si="16"/>
        <v>36495.800000000003</v>
      </c>
      <c r="AC112" s="992"/>
      <c r="AD112" s="994"/>
      <c r="AE112" s="261">
        <f>+'Exhibit F'!AF101+'Exhibit G'!AF94+' Exhbit I '!AG73</f>
        <v>34975.200000000004</v>
      </c>
      <c r="AF112" s="992"/>
      <c r="AG112" s="992"/>
      <c r="AH112" s="992">
        <f t="shared" si="17"/>
        <v>1520.6</v>
      </c>
      <c r="AI112" s="430"/>
      <c r="AJ112" s="1864">
        <f t="shared" ref="AJ112:AJ118" si="18">ROUND(IF(AE112=0,0,AH112/ABS(AE112)),3)</f>
        <v>4.2999999999999997E-2</v>
      </c>
      <c r="AK112" s="418"/>
    </row>
    <row r="113" spans="1:44" ht="16.5" customHeight="1">
      <c r="A113" s="481" t="s">
        <v>31</v>
      </c>
      <c r="B113" s="430"/>
      <c r="C113" s="992">
        <f>+'Exhibit F'!D102+'Exhibit G'!D95+' Exhbit I '!E74</f>
        <v>220.99999999999997</v>
      </c>
      <c r="D113" s="992"/>
      <c r="E113" s="992">
        <f>+'Exhibit F'!F102+'Exhibit G'!F95+' Exhbit I '!G74</f>
        <v>382.79999999999995</v>
      </c>
      <c r="F113" s="992"/>
      <c r="G113" s="992">
        <f>+'Exhibit F'!H102+'Exhibit G'!H95+' Exhbit I '!I74</f>
        <v>742.2</v>
      </c>
      <c r="H113" s="992"/>
      <c r="I113" s="992">
        <f>+'Exhibit F'!J102+'Exhibit G'!J95+' Exhbit I '!K74</f>
        <v>629.29999999999995</v>
      </c>
      <c r="J113" s="992"/>
      <c r="K113" s="992">
        <f>+'Exhibit F'!L102+'Exhibit G'!L95+' Exhbit I '!M74</f>
        <v>687.4</v>
      </c>
      <c r="L113" s="992"/>
      <c r="M113" s="992">
        <f>+'Exhibit F'!N102+'Exhibit G'!N95+' Exhbit I '!O74</f>
        <v>670.2</v>
      </c>
      <c r="N113" s="992"/>
      <c r="O113" s="992">
        <f>+'Exhibit F'!P102+'Exhibit G'!P95+' Exhbit I '!Q74</f>
        <v>184.9</v>
      </c>
      <c r="P113" s="992"/>
      <c r="Q113" s="2094">
        <f>+'Exhibit F'!R102+'Exhibit G'!R95+' Exhbit I '!S74</f>
        <v>304.19999999999993</v>
      </c>
      <c r="R113" s="992"/>
      <c r="S113" s="2094">
        <f>+'Exhibit F'!T102+'Exhibit G'!T95+' Exhbit I '!U74</f>
        <v>599.9</v>
      </c>
      <c r="T113" s="992"/>
      <c r="U113" s="2094"/>
      <c r="V113" s="992"/>
      <c r="W113" s="2905"/>
      <c r="X113" s="992"/>
      <c r="Y113" s="2905"/>
      <c r="Z113" s="992"/>
      <c r="AA113" s="993"/>
      <c r="AB113" s="261">
        <f t="shared" si="16"/>
        <v>4421.8999999999996</v>
      </c>
      <c r="AC113" s="995"/>
      <c r="AD113" s="992"/>
      <c r="AE113" s="261">
        <f>+'Exhibit F'!AF102+'Exhibit G'!AF95+' Exhbit I '!AG74</f>
        <v>3703.9</v>
      </c>
      <c r="AF113" s="992"/>
      <c r="AG113" s="992"/>
      <c r="AH113" s="992">
        <f t="shared" si="17"/>
        <v>718</v>
      </c>
      <c r="AI113" s="430"/>
      <c r="AJ113" s="1864">
        <f t="shared" si="18"/>
        <v>0.19400000000000001</v>
      </c>
    </row>
    <row r="114" spans="1:44" ht="16.5" customHeight="1">
      <c r="A114" s="481" t="s">
        <v>32</v>
      </c>
      <c r="B114" s="430"/>
      <c r="C114" s="992">
        <f>+'Exhibit F'!D103+'Exhibit G'!D96+' Exhbit I '!E75</f>
        <v>172.4</v>
      </c>
      <c r="D114" s="992"/>
      <c r="E114" s="992">
        <f>+'Exhibit F'!F103+'Exhibit G'!F96+' Exhbit I '!G75</f>
        <v>141.1</v>
      </c>
      <c r="F114" s="992"/>
      <c r="G114" s="992">
        <f>+'Exhibit F'!H103+'Exhibit G'!H96+' Exhbit I '!I75</f>
        <v>75</v>
      </c>
      <c r="H114" s="992"/>
      <c r="I114" s="992">
        <f>+'Exhibit F'!J103+'Exhibit G'!J96+' Exhbit I '!K75</f>
        <v>128.39999999999998</v>
      </c>
      <c r="J114" s="992"/>
      <c r="K114" s="992">
        <f>+'Exhibit F'!L103+'Exhibit G'!L96+' Exhbit I '!M75</f>
        <v>173</v>
      </c>
      <c r="L114" s="992"/>
      <c r="M114" s="992">
        <f>+'Exhibit F'!N103+'Exhibit G'!N96+' Exhbit I '!O75</f>
        <v>268.10000000000002</v>
      </c>
      <c r="N114" s="992"/>
      <c r="O114" s="992">
        <f>+'Exhibit F'!P103+'Exhibit G'!P96+' Exhbit I '!Q75</f>
        <v>164.89999999999998</v>
      </c>
      <c r="P114" s="992"/>
      <c r="Q114" s="2094">
        <f>+'Exhibit F'!R103+'Exhibit G'!R96+' Exhbit I '!S75</f>
        <v>141.6</v>
      </c>
      <c r="R114" s="992"/>
      <c r="S114" s="2094">
        <f>+'Exhibit F'!T103+'Exhibit G'!T96+' Exhbit I '!U75</f>
        <v>422.70000000000005</v>
      </c>
      <c r="T114" s="992"/>
      <c r="U114" s="2094"/>
      <c r="V114" s="992"/>
      <c r="W114" s="2905"/>
      <c r="X114" s="992"/>
      <c r="Y114" s="2905"/>
      <c r="Z114" s="992"/>
      <c r="AA114" s="993"/>
      <c r="AB114" s="261">
        <f t="shared" si="16"/>
        <v>1687.2</v>
      </c>
      <c r="AC114" s="1005"/>
      <c r="AD114" s="994"/>
      <c r="AE114" s="261">
        <f>+'Exhibit F'!AF103+'Exhibit G'!AF96+' Exhbit I '!AG75</f>
        <v>2232</v>
      </c>
      <c r="AF114" s="992"/>
      <c r="AG114" s="992"/>
      <c r="AH114" s="992">
        <f t="shared" si="17"/>
        <v>-544.79999999999995</v>
      </c>
      <c r="AI114" s="430"/>
      <c r="AJ114" s="1864">
        <f t="shared" si="18"/>
        <v>-0.24399999999999999</v>
      </c>
    </row>
    <row r="115" spans="1:44" ht="16.5" customHeight="1">
      <c r="A115" s="481" t="s">
        <v>33</v>
      </c>
      <c r="B115" s="430"/>
      <c r="C115" s="992">
        <f>+'Exhibit F'!D104+'Exhibit G'!D97+' Exhbit I '!E76</f>
        <v>367.29999999999995</v>
      </c>
      <c r="D115" s="992"/>
      <c r="E115" s="992">
        <f>+'Exhibit F'!F104+'Exhibit G'!F97+' Exhbit I '!G76</f>
        <v>465.5</v>
      </c>
      <c r="F115" s="992"/>
      <c r="G115" s="992">
        <f>+'Exhibit F'!H104+'Exhibit G'!H97+' Exhbit I '!I76</f>
        <v>709.9</v>
      </c>
      <c r="H115" s="992"/>
      <c r="I115" s="992">
        <f>+'Exhibit F'!J104+'Exhibit G'!J97+' Exhbit I '!K76</f>
        <v>708.7</v>
      </c>
      <c r="J115" s="992"/>
      <c r="K115" s="992">
        <f>+'Exhibit F'!L104+'Exhibit G'!L97+' Exhbit I '!M76</f>
        <v>919</v>
      </c>
      <c r="L115" s="992"/>
      <c r="M115" s="992">
        <f>+'Exhibit F'!N104+'Exhibit G'!N97+' Exhbit I '!O76</f>
        <v>962.10000000000014</v>
      </c>
      <c r="N115" s="992"/>
      <c r="O115" s="992">
        <f>+'Exhibit F'!P104+'Exhibit G'!P97+' Exhbit I '!Q76</f>
        <v>401.7</v>
      </c>
      <c r="P115" s="992"/>
      <c r="Q115" s="2094">
        <f>+'Exhibit F'!R104+'Exhibit G'!R97+' Exhbit I '!S76</f>
        <v>399.3</v>
      </c>
      <c r="R115" s="992"/>
      <c r="S115" s="2094">
        <f>+'Exhibit F'!T104+'Exhibit G'!T97+' Exhbit I '!U76</f>
        <v>921.4</v>
      </c>
      <c r="T115" s="992"/>
      <c r="U115" s="2094"/>
      <c r="V115" s="992"/>
      <c r="W115" s="2905"/>
      <c r="X115" s="992"/>
      <c r="Y115" s="2905"/>
      <c r="Z115" s="992"/>
      <c r="AA115" s="993"/>
      <c r="AB115" s="261">
        <f t="shared" si="16"/>
        <v>5854.9</v>
      </c>
      <c r="AC115" s="1005"/>
      <c r="AD115" s="994"/>
      <c r="AE115" s="261">
        <f>+'Exhibit F'!AF104+'Exhibit G'!AF97+' Exhbit I '!AG76</f>
        <v>5489.1</v>
      </c>
      <c r="AF115" s="992"/>
      <c r="AG115" s="992"/>
      <c r="AH115" s="992">
        <f t="shared" si="17"/>
        <v>365.8</v>
      </c>
      <c r="AI115" s="430"/>
      <c r="AJ115" s="1864">
        <f t="shared" si="18"/>
        <v>6.7000000000000004E-2</v>
      </c>
    </row>
    <row r="116" spans="1:44" ht="16.5" customHeight="1">
      <c r="A116" s="481" t="s">
        <v>34</v>
      </c>
      <c r="B116" s="430"/>
      <c r="C116" s="992">
        <f>+'Exhibit F'!D105+'Exhibit G'!D98+' Exhbit I '!E77</f>
        <v>25.799999999999997</v>
      </c>
      <c r="D116" s="992"/>
      <c r="E116" s="992">
        <f>+'Exhibit F'!F105+'Exhibit G'!F98+' Exhbit I '!G77</f>
        <v>69.400000000000006</v>
      </c>
      <c r="F116" s="992"/>
      <c r="G116" s="992">
        <f>+'Exhibit F'!H105+'Exhibit G'!H98+' Exhbit I '!I77</f>
        <v>66.399999999999991</v>
      </c>
      <c r="H116" s="992"/>
      <c r="I116" s="992">
        <f>+'Exhibit F'!J105+'Exhibit G'!J98+' Exhbit I '!K77</f>
        <v>100.5</v>
      </c>
      <c r="J116" s="992"/>
      <c r="K116" s="992">
        <f>+'Exhibit F'!L105+'Exhibit G'!L98+' Exhbit I '!M77</f>
        <v>156.5</v>
      </c>
      <c r="L116" s="992"/>
      <c r="M116" s="992">
        <f>+'Exhibit F'!N105+'Exhibit G'!N98+' Exhbit I '!O77</f>
        <v>87.600000000000009</v>
      </c>
      <c r="N116" s="992"/>
      <c r="O116" s="992">
        <f>+'Exhibit F'!P105+'Exhibit G'!P98+' Exhbit I '!Q77</f>
        <v>11</v>
      </c>
      <c r="P116" s="992"/>
      <c r="Q116" s="2094">
        <f>+'Exhibit F'!R105+'Exhibit G'!R98+' Exhbit I '!S77</f>
        <v>67.5</v>
      </c>
      <c r="R116" s="992"/>
      <c r="S116" s="2094">
        <f>+'Exhibit F'!T105+'Exhibit G'!T98+' Exhbit I '!U77</f>
        <v>37.9</v>
      </c>
      <c r="T116" s="992"/>
      <c r="U116" s="2094"/>
      <c r="V116" s="992"/>
      <c r="W116" s="2905"/>
      <c r="X116" s="992"/>
      <c r="Y116" s="2905"/>
      <c r="Z116" s="992"/>
      <c r="AA116" s="993"/>
      <c r="AB116" s="261">
        <f t="shared" si="16"/>
        <v>622.6</v>
      </c>
      <c r="AC116" s="1005"/>
      <c r="AD116" s="994"/>
      <c r="AE116" s="261">
        <f>+'Exhibit F'!AF105+'Exhibit G'!AF98+' Exhbit I '!AG77</f>
        <v>481.70000000000005</v>
      </c>
      <c r="AF116" s="992"/>
      <c r="AG116" s="992"/>
      <c r="AH116" s="992">
        <f t="shared" si="17"/>
        <v>140.9</v>
      </c>
      <c r="AI116" s="430"/>
      <c r="AJ116" s="1864">
        <f t="shared" si="18"/>
        <v>0.29299999999999998</v>
      </c>
    </row>
    <row r="117" spans="1:44" ht="16.5" customHeight="1">
      <c r="A117" s="481" t="s">
        <v>35</v>
      </c>
      <c r="B117" s="430"/>
      <c r="C117" s="992">
        <f>+'Exhibit F'!D106+'Exhibit G'!D99+' Exhbit I '!E78</f>
        <v>158.5</v>
      </c>
      <c r="D117" s="992"/>
      <c r="E117" s="992">
        <f>+'Exhibit F'!F106+'Exhibit G'!F99+' Exhbit I '!G78</f>
        <v>529</v>
      </c>
      <c r="F117" s="992"/>
      <c r="G117" s="992">
        <f>+'Exhibit F'!H106+'Exhibit G'!H99+' Exhbit I '!I78</f>
        <v>528.70000000000005</v>
      </c>
      <c r="H117" s="992"/>
      <c r="I117" s="992">
        <f>+'Exhibit F'!J106+'Exhibit G'!J99+' Exhbit I '!K78</f>
        <v>347.40000000000003</v>
      </c>
      <c r="J117" s="992"/>
      <c r="K117" s="992">
        <f>+'Exhibit F'!L106+'Exhibit G'!L99+' Exhbit I '!M78</f>
        <v>486.59999999999997</v>
      </c>
      <c r="L117" s="992"/>
      <c r="M117" s="992">
        <f>+'Exhibit F'!N106+'Exhibit G'!N99+' Exhbit I '!O78</f>
        <v>603.5</v>
      </c>
      <c r="N117" s="992"/>
      <c r="O117" s="992">
        <f>+'Exhibit F'!P106+'Exhibit G'!P99+' Exhbit I '!Q78</f>
        <v>367.5</v>
      </c>
      <c r="P117" s="992"/>
      <c r="Q117" s="2094">
        <f>+'Exhibit F'!R106+'Exhibit G'!R99+' Exhbit I '!S78</f>
        <v>641.5</v>
      </c>
      <c r="R117" s="992"/>
      <c r="S117" s="2094">
        <f>+'Exhibit F'!T106+'Exhibit G'!T99+' Exhbit I '!U78</f>
        <v>1138.3000000000002</v>
      </c>
      <c r="T117" s="992"/>
      <c r="U117" s="2094"/>
      <c r="V117" s="992"/>
      <c r="W117" s="2905"/>
      <c r="X117" s="992"/>
      <c r="Y117" s="2905"/>
      <c r="Z117" s="992"/>
      <c r="AA117" s="993"/>
      <c r="AB117" s="992">
        <f>ROUND(SUM(C117:Y117),1)</f>
        <v>4801</v>
      </c>
      <c r="AC117" s="1005"/>
      <c r="AD117" s="994"/>
      <c r="AE117" s="261">
        <f>+'Exhibit F'!AF106+'Exhibit G'!AF99+' Exhbit I '!AG78</f>
        <v>4899.2</v>
      </c>
      <c r="AF117" s="992"/>
      <c r="AG117" s="992"/>
      <c r="AH117" s="992">
        <f>ROUND(SUM(AB117-AE117),1)</f>
        <v>-98.2</v>
      </c>
      <c r="AI117" s="430"/>
      <c r="AJ117" s="1864">
        <f t="shared" si="18"/>
        <v>-0.02</v>
      </c>
    </row>
    <row r="118" spans="1:44" ht="16.5" customHeight="1">
      <c r="A118" s="430" t="s">
        <v>36</v>
      </c>
      <c r="B118" s="430"/>
      <c r="C118" s="1009">
        <f>ROUND(SUM(C108:C117),1)</f>
        <v>5059.8999999999996</v>
      </c>
      <c r="D118" s="1000"/>
      <c r="E118" s="1009">
        <f>ROUND(SUM(E108:E117),1)</f>
        <v>9376.6</v>
      </c>
      <c r="F118" s="1000"/>
      <c r="G118" s="1009">
        <f>ROUND(SUM(G108:G117),1)</f>
        <v>10938.8</v>
      </c>
      <c r="H118" s="1000"/>
      <c r="I118" s="1009">
        <f>ROUND(SUM(I108:I117),1)</f>
        <v>6796.9</v>
      </c>
      <c r="J118" s="1000"/>
      <c r="K118" s="1009">
        <f>ROUND(SUM(K108:K117),1)</f>
        <v>7055.4</v>
      </c>
      <c r="L118" s="1000"/>
      <c r="M118" s="1009">
        <f>ROUND(SUM(M108:M117),1)</f>
        <v>13295.1</v>
      </c>
      <c r="N118" s="1000"/>
      <c r="O118" s="1009">
        <f>ROUND(SUM(O108:O117),1)</f>
        <v>5166.6000000000004</v>
      </c>
      <c r="P118" s="1000"/>
      <c r="Q118" s="1009">
        <f>ROUND(SUM(Q108:Q117),1)</f>
        <v>8494.7999999999993</v>
      </c>
      <c r="R118" s="1000"/>
      <c r="S118" s="1009">
        <f>ROUND(SUM(S108:S117),1)</f>
        <v>10487.8</v>
      </c>
      <c r="T118" s="1000"/>
      <c r="U118" s="1009">
        <f>ROUND(SUM(U108:U117),1)</f>
        <v>0</v>
      </c>
      <c r="V118" s="1000"/>
      <c r="W118" s="1009">
        <f>ROUND(SUM(W108:W117),1)</f>
        <v>0</v>
      </c>
      <c r="X118" s="1000"/>
      <c r="Y118" s="1009">
        <f>ROUND(SUM(Y108:Y117),1)</f>
        <v>0</v>
      </c>
      <c r="Z118" s="1000"/>
      <c r="AA118" s="1001"/>
      <c r="AB118" s="1009">
        <f>ROUND(SUM(AB108:AB117),1)</f>
        <v>76671.899999999994</v>
      </c>
      <c r="AC118" s="1010"/>
      <c r="AD118" s="1002"/>
      <c r="AE118" s="1009">
        <f>ROUND(SUM(AE108:AE117),1)</f>
        <v>73420.600000000006</v>
      </c>
      <c r="AF118" s="1000"/>
      <c r="AG118" s="1000"/>
      <c r="AH118" s="1009">
        <f>ROUND(SUM(AH108:AH117),1)</f>
        <v>3251.3</v>
      </c>
      <c r="AI118" s="982"/>
      <c r="AJ118" s="72">
        <f t="shared" si="18"/>
        <v>4.3999999999999997E-2</v>
      </c>
      <c r="AK118" s="795"/>
      <c r="AL118" s="795"/>
    </row>
    <row r="119" spans="1:44" ht="16.5" customHeight="1">
      <c r="A119" s="430" t="s">
        <v>37</v>
      </c>
      <c r="B119" s="430"/>
      <c r="C119" s="1004"/>
      <c r="D119" s="992"/>
      <c r="E119" s="1004"/>
      <c r="F119" s="992"/>
      <c r="G119" s="1004"/>
      <c r="H119" s="992"/>
      <c r="I119" s="1004"/>
      <c r="J119" s="992"/>
      <c r="K119" s="1004"/>
      <c r="L119" s="992"/>
      <c r="M119" s="1004"/>
      <c r="N119" s="992"/>
      <c r="O119" s="1004"/>
      <c r="P119" s="992"/>
      <c r="Q119" s="1004"/>
      <c r="R119" s="992"/>
      <c r="S119" s="1004"/>
      <c r="T119" s="992"/>
      <c r="U119" s="1004"/>
      <c r="V119" s="992"/>
      <c r="W119" s="1004"/>
      <c r="X119" s="992"/>
      <c r="Y119" s="1004"/>
      <c r="Z119" s="992"/>
      <c r="AA119" s="993"/>
      <c r="AB119" s="1004"/>
      <c r="AC119" s="992"/>
      <c r="AD119" s="994"/>
      <c r="AE119" s="249"/>
      <c r="AF119" s="992"/>
      <c r="AG119" s="992"/>
      <c r="AH119" s="1171"/>
      <c r="AI119" s="430"/>
      <c r="AJ119" s="1714"/>
    </row>
    <row r="120" spans="1:44" ht="16.5" customHeight="1">
      <c r="A120" s="430" t="s">
        <v>143</v>
      </c>
      <c r="B120" s="430"/>
      <c r="C120" s="992">
        <f>+'Exhibit F'!D109+'Exhibit G'!D102+' Exhbit I '!E81</f>
        <v>1237.7</v>
      </c>
      <c r="D120" s="992"/>
      <c r="E120" s="992">
        <f>+'Exhibit F'!F109+'Exhibit G'!F102+' Exhbit I '!G81</f>
        <v>1023.6</v>
      </c>
      <c r="F120" s="992"/>
      <c r="G120" s="992">
        <f>+'Exhibit F'!H109+'Exhibit G'!H102+' Exhbit I '!I81</f>
        <v>1023.9000000000001</v>
      </c>
      <c r="H120" s="992"/>
      <c r="I120" s="992">
        <f>+'Exhibit F'!J109+'Exhibit G'!J102+' Exhbit I '!K81</f>
        <v>1379.7</v>
      </c>
      <c r="J120" s="992"/>
      <c r="K120" s="992">
        <f>+'Exhibit F'!L109+'Exhibit G'!L102+' Exhbit I '!M81</f>
        <v>1030.8000000000002</v>
      </c>
      <c r="L120" s="992"/>
      <c r="M120" s="992">
        <f>+'Exhibit F'!N109+'Exhibit G'!N102+' Exhbit I '!O81</f>
        <v>1059.7</v>
      </c>
      <c r="N120" s="992"/>
      <c r="O120" s="992">
        <f>+'Exhibit F'!P109+'Exhibit G'!P102+' Exhbit I '!Q81</f>
        <v>1208</v>
      </c>
      <c r="P120" s="992"/>
      <c r="Q120" s="992">
        <f>+'Exhibit F'!R109+'Exhibit G'!R102+' Exhbit I '!S81</f>
        <v>1017.8</v>
      </c>
      <c r="R120" s="992"/>
      <c r="S120" s="992">
        <f>+'Exhibit F'!T109+'Exhibit G'!T102+' Exhbit I '!U81</f>
        <v>1407.6999999999998</v>
      </c>
      <c r="T120" s="992"/>
      <c r="U120" s="1004"/>
      <c r="V120" s="992"/>
      <c r="W120" s="2905"/>
      <c r="X120" s="992"/>
      <c r="Y120" s="2905"/>
      <c r="Z120" s="992"/>
      <c r="AA120" s="993"/>
      <c r="AB120" s="992">
        <f>ROUND(SUM(C120:Y120),1)</f>
        <v>10388.9</v>
      </c>
      <c r="AC120" s="992"/>
      <c r="AD120" s="994"/>
      <c r="AE120" s="249">
        <f>+'Exhibit F'!AF109+'Exhibit G'!AF102+' Exhbit I '!AG81</f>
        <v>10156.700000000001</v>
      </c>
      <c r="AF120" s="992"/>
      <c r="AG120" s="992"/>
      <c r="AH120" s="992">
        <f>ROUND(SUM(AB120-AE120),1)</f>
        <v>232.2</v>
      </c>
      <c r="AI120" s="430"/>
      <c r="AJ120" s="1864">
        <f>ROUND(IF(AE120=0,0,AH120/ABS(AE120)),3)</f>
        <v>2.3E-2</v>
      </c>
    </row>
    <row r="121" spans="1:44" ht="16.5" customHeight="1">
      <c r="A121" s="430" t="s">
        <v>144</v>
      </c>
      <c r="B121" s="430"/>
      <c r="C121" s="992">
        <f>+'Exhibit F'!D110+'Exhibit G'!D103+'Exhibit H'!B51+' Exhbit I '!E82</f>
        <v>349.19999999999993</v>
      </c>
      <c r="D121" s="992"/>
      <c r="E121" s="992">
        <f>+'Exhibit F'!F110+'Exhibit G'!F103+'Exhibit H'!D51+' Exhbit I '!G82</f>
        <v>452.29999999999995</v>
      </c>
      <c r="F121" s="992"/>
      <c r="G121" s="992">
        <f>+'Exhibit F'!H110+'Exhibit G'!H103+'Exhibit H'!F51+' Exhbit I '!I82</f>
        <v>610.20000000000005</v>
      </c>
      <c r="H121" s="992"/>
      <c r="I121" s="992">
        <f>+'Exhibit F'!J110+'Exhibit G'!J103+'Exhibit H'!H51+' Exhbit I '!K82</f>
        <v>483.9</v>
      </c>
      <c r="J121" s="992"/>
      <c r="K121" s="992">
        <f>+'Exhibit F'!L110+'Exhibit G'!L103+'Exhibit H'!J51+' Exhbit I '!M82</f>
        <v>614.1</v>
      </c>
      <c r="L121" s="992"/>
      <c r="M121" s="992">
        <f>+'Exhibit F'!N110+'Exhibit G'!N103+'Exhibit H'!L51+' Exhbit I '!O82</f>
        <v>773.6</v>
      </c>
      <c r="N121" s="992"/>
      <c r="O121" s="992">
        <f>+'Exhibit F'!P110+'Exhibit G'!P103+'Exhibit H'!N51+' Exhbit I '!Q82</f>
        <v>267.5</v>
      </c>
      <c r="P121" s="992"/>
      <c r="Q121" s="992">
        <f>+'Exhibit F'!R110+'Exhibit G'!R103+'Exhibit H'!P51+' Exhbit I '!S82</f>
        <v>564.9</v>
      </c>
      <c r="R121" s="992"/>
      <c r="S121" s="992">
        <f>+'Exhibit F'!T110+'Exhibit G'!T103+'Exhibit H'!R51+' Exhbit I '!U82</f>
        <v>620.59999999999991</v>
      </c>
      <c r="T121" s="992"/>
      <c r="U121" s="1004"/>
      <c r="V121" s="992"/>
      <c r="W121" s="2905"/>
      <c r="X121" s="992"/>
      <c r="Y121" s="2905"/>
      <c r="Z121" s="992"/>
      <c r="AA121" s="993"/>
      <c r="AB121" s="992">
        <f>ROUND(SUM(C121:Y121),1)</f>
        <v>4736.3</v>
      </c>
      <c r="AC121" s="992"/>
      <c r="AD121" s="994"/>
      <c r="AE121" s="249">
        <f>+'Exhibit F'!AF110+'Exhibit G'!AF103+'Exhibit H'!AD51+' Exhbit I '!AG82</f>
        <v>4794.3999999999996</v>
      </c>
      <c r="AF121" s="992"/>
      <c r="AG121" s="992"/>
      <c r="AH121" s="992">
        <f>ROUND(SUM(AB121-AE121),1)</f>
        <v>-58.1</v>
      </c>
      <c r="AI121" s="430"/>
      <c r="AJ121" s="1864">
        <f>ROUND(IF(AE121=0,0,AH121/ABS(AE121)),3)</f>
        <v>-1.2E-2</v>
      </c>
    </row>
    <row r="122" spans="1:44" ht="16.5" customHeight="1">
      <c r="A122" s="430" t="s">
        <v>40</v>
      </c>
      <c r="B122" s="430"/>
      <c r="C122" s="992">
        <f>+'Exhibit F'!D111+'Exhibit G'!D104+' Exhbit I '!E83</f>
        <v>663.69999999999993</v>
      </c>
      <c r="D122" s="992"/>
      <c r="E122" s="992">
        <f>+'Exhibit F'!F111+'Exhibit G'!F104+' Exhbit I '!G83</f>
        <v>743.3</v>
      </c>
      <c r="F122" s="992"/>
      <c r="G122" s="992">
        <f>+'Exhibit F'!H111+'Exhibit G'!H104+' Exhbit I '!I83</f>
        <v>559.79999999999995</v>
      </c>
      <c r="H122" s="992"/>
      <c r="I122" s="992">
        <f>+'Exhibit F'!J111+'Exhibit G'!J104+' Exhbit I '!K83</f>
        <v>1861.8</v>
      </c>
      <c r="J122" s="992"/>
      <c r="K122" s="992">
        <f>+'Exhibit F'!L111+'Exhibit G'!L104+' Exhbit I '!M83</f>
        <v>409.90000000000003</v>
      </c>
      <c r="L122" s="992"/>
      <c r="M122" s="992">
        <f>+'Exhibit F'!N111+'Exhibit G'!N104+' Exhbit I '!O83</f>
        <v>573.4</v>
      </c>
      <c r="N122" s="992"/>
      <c r="O122" s="992">
        <f>+'Exhibit F'!P111+'Exhibit G'!P104+' Exhbit I '!Q83</f>
        <v>484.8</v>
      </c>
      <c r="P122" s="992"/>
      <c r="Q122" s="992">
        <f>+'Exhibit F'!R111+'Exhibit G'!R104+' Exhbit I '!S83</f>
        <v>475.1</v>
      </c>
      <c r="R122" s="992"/>
      <c r="S122" s="992">
        <f>+'Exhibit F'!T111+'Exhibit G'!T104+' Exhbit I '!U83</f>
        <v>502.9</v>
      </c>
      <c r="T122" s="992"/>
      <c r="U122" s="1004"/>
      <c r="V122" s="992"/>
      <c r="W122" s="2905"/>
      <c r="X122" s="992"/>
      <c r="Y122" s="2905"/>
      <c r="Z122" s="992"/>
      <c r="AA122" s="993"/>
      <c r="AB122" s="992">
        <f>ROUND(SUM(C122:Y122),1)</f>
        <v>6274.7</v>
      </c>
      <c r="AC122" s="992"/>
      <c r="AD122" s="994"/>
      <c r="AE122" s="249">
        <f>+'Exhibit F'!AF111+'Exhibit G'!AF104+'Exhibit H'!AD52+' Exhbit I '!AG83</f>
        <v>6023.4000000000005</v>
      </c>
      <c r="AF122" s="992"/>
      <c r="AG122" s="992"/>
      <c r="AH122" s="992">
        <f>ROUND(SUM(AB122-AE122),1)</f>
        <v>251.3</v>
      </c>
      <c r="AI122" s="430"/>
      <c r="AJ122" s="1864">
        <f>ROUND(IF(AE122=0,0,AH122/ABS(AE122)),3)</f>
        <v>4.2000000000000003E-2</v>
      </c>
    </row>
    <row r="123" spans="1:44" ht="16.5" customHeight="1">
      <c r="A123" s="430" t="s">
        <v>41</v>
      </c>
      <c r="B123" s="430"/>
      <c r="C123" s="1004"/>
      <c r="D123" s="992"/>
      <c r="E123" s="1004"/>
      <c r="F123" s="992"/>
      <c r="G123" s="1004"/>
      <c r="H123" s="992"/>
      <c r="I123" s="1004"/>
      <c r="J123" s="992"/>
      <c r="K123" s="1004"/>
      <c r="L123" s="992"/>
      <c r="M123" s="1004"/>
      <c r="N123" s="992"/>
      <c r="O123" s="1004"/>
      <c r="P123" s="992"/>
      <c r="Q123" s="1004"/>
      <c r="R123" s="992"/>
      <c r="S123" s="1004"/>
      <c r="T123" s="992"/>
      <c r="U123" s="1004"/>
      <c r="V123" s="992"/>
      <c r="W123" s="2905"/>
      <c r="X123" s="992"/>
      <c r="Y123" s="2905"/>
      <c r="Z123" s="992"/>
      <c r="AA123" s="993"/>
      <c r="AB123" s="992"/>
      <c r="AC123" s="992"/>
      <c r="AD123" s="994"/>
      <c r="AE123" s="1004"/>
      <c r="AF123" s="992"/>
      <c r="AG123" s="992"/>
      <c r="AH123" s="992"/>
      <c r="AI123" s="430"/>
      <c r="AJ123" s="1932"/>
    </row>
    <row r="124" spans="1:44" ht="16.5" customHeight="1">
      <c r="A124" s="430" t="s">
        <v>42</v>
      </c>
      <c r="B124" s="430"/>
      <c r="C124" s="992">
        <f>+'Exhibit H'!B53</f>
        <v>165.9</v>
      </c>
      <c r="D124" s="992"/>
      <c r="E124" s="992">
        <f>+'Exhibit H'!D53</f>
        <v>254.6</v>
      </c>
      <c r="F124" s="992"/>
      <c r="G124" s="992">
        <f>+'Exhibit H'!F53</f>
        <v>164</v>
      </c>
      <c r="H124" s="992"/>
      <c r="I124" s="992">
        <f>+'Exhibit H'!H53</f>
        <v>84.3</v>
      </c>
      <c r="J124" s="992"/>
      <c r="K124" s="992">
        <f>+'Exhibit H'!J53</f>
        <v>273.89999999999998</v>
      </c>
      <c r="L124" s="992"/>
      <c r="M124" s="992">
        <f>+'Exhibit H'!L53</f>
        <v>732.5</v>
      </c>
      <c r="N124" s="992"/>
      <c r="O124" s="992">
        <f>+'Exhibit H'!N53</f>
        <v>18.5</v>
      </c>
      <c r="P124" s="992"/>
      <c r="Q124" s="992">
        <f>+'Exhibit H'!P53</f>
        <v>102</v>
      </c>
      <c r="R124" s="992"/>
      <c r="S124" s="992">
        <f>+'Exhibit H'!R53</f>
        <v>315.60000000000002</v>
      </c>
      <c r="T124" s="992"/>
      <c r="U124" s="1004"/>
      <c r="V124" s="992"/>
      <c r="W124" s="2905"/>
      <c r="X124" s="992"/>
      <c r="Y124" s="2905"/>
      <c r="Z124" s="992"/>
      <c r="AA124" s="993"/>
      <c r="AB124" s="992">
        <f>ROUND(SUM(C124:Y124),1)</f>
        <v>2111.3000000000002</v>
      </c>
      <c r="AC124" s="992"/>
      <c r="AD124" s="994"/>
      <c r="AE124" s="249">
        <f>+'Exhibit H'!AD53</f>
        <v>2767.7</v>
      </c>
      <c r="AF124" s="992"/>
      <c r="AG124" s="992"/>
      <c r="AH124" s="992">
        <f>ROUND(SUM(AB124-AE124),1)</f>
        <v>-656.4</v>
      </c>
      <c r="AI124" s="430"/>
      <c r="AJ124" s="1864">
        <f>ROUND(IF(AE124=0,0,AH124/ABS(AE124)),3)</f>
        <v>-0.23699999999999999</v>
      </c>
    </row>
    <row r="125" spans="1:44" ht="16.5" customHeight="1">
      <c r="A125" s="1008" t="s">
        <v>145</v>
      </c>
      <c r="B125" s="430"/>
      <c r="C125" s="997">
        <f>+'Exhibit G'!D105+' Exhbit I '!E84</f>
        <v>288.89999999999998</v>
      </c>
      <c r="D125" s="992"/>
      <c r="E125" s="997">
        <f>+'Exhibit G'!F105+' Exhbit I '!G84</f>
        <v>426.3</v>
      </c>
      <c r="F125" s="992"/>
      <c r="G125" s="997">
        <f>+'Exhibit G'!H105+' Exhbit I '!I84</f>
        <v>451.3</v>
      </c>
      <c r="H125" s="992"/>
      <c r="I125" s="997">
        <f>+'Exhibit G'!J105+' Exhbit I '!K84</f>
        <v>568.5</v>
      </c>
      <c r="J125" s="992"/>
      <c r="K125" s="997">
        <f>+'Exhibit G'!L105+' Exhbit I '!M84</f>
        <v>536.6</v>
      </c>
      <c r="L125" s="992"/>
      <c r="M125" s="997">
        <f>+'Exhibit G'!N105+' Exhbit I '!O84</f>
        <v>857.4</v>
      </c>
      <c r="N125" s="992"/>
      <c r="O125" s="997">
        <f>+'Exhibit G'!P105+' Exhbit I '!Q84</f>
        <v>292.8</v>
      </c>
      <c r="P125" s="992"/>
      <c r="Q125" s="997">
        <f>+'Exhibit G'!R105+' Exhbit I '!S84</f>
        <v>644.6</v>
      </c>
      <c r="R125" s="992"/>
      <c r="S125" s="997">
        <f>+'Exhibit G'!T105+' Exhbit I '!U84</f>
        <v>693.8</v>
      </c>
      <c r="T125" s="992"/>
      <c r="U125" s="996"/>
      <c r="V125" s="992"/>
      <c r="W125" s="2906"/>
      <c r="X125" s="992"/>
      <c r="Y125" s="2906"/>
      <c r="Z125" s="992"/>
      <c r="AA125" s="993"/>
      <c r="AB125" s="996">
        <f>ROUND(SUM(C125:Y125),1)</f>
        <v>4760.2</v>
      </c>
      <c r="AC125" s="992"/>
      <c r="AD125" s="994"/>
      <c r="AE125" s="1007">
        <f>+'Exhibit G'!AF105+' Exhbit I '!AG84</f>
        <v>4148.6000000000004</v>
      </c>
      <c r="AF125" s="992"/>
      <c r="AG125" s="992"/>
      <c r="AH125" s="996">
        <f>ROUND(SUM(AB125-AE125),1)</f>
        <v>611.6</v>
      </c>
      <c r="AI125" s="430"/>
      <c r="AJ125" s="2624">
        <f>ROUND(IF(AE125=0,0,AH125/ABS(AE125)),3)</f>
        <v>0.14699999999999999</v>
      </c>
    </row>
    <row r="126" spans="1:44" ht="16.5" customHeight="1">
      <c r="A126" s="430"/>
      <c r="B126" s="430"/>
      <c r="C126" s="1004"/>
      <c r="D126" s="992"/>
      <c r="E126" s="1004"/>
      <c r="F126" s="992"/>
      <c r="G126" s="1004"/>
      <c r="H126" s="992"/>
      <c r="I126" s="1004"/>
      <c r="J126" s="992"/>
      <c r="K126" s="1004"/>
      <c r="L126" s="992"/>
      <c r="M126" s="1004"/>
      <c r="N126" s="992"/>
      <c r="O126" s="1004"/>
      <c r="P126" s="992"/>
      <c r="Q126" s="1004"/>
      <c r="R126" s="992"/>
      <c r="S126" s="1004"/>
      <c r="T126" s="992"/>
      <c r="U126" s="1004"/>
      <c r="V126" s="992"/>
      <c r="W126" s="1004"/>
      <c r="X126" s="992"/>
      <c r="Y126" s="1004"/>
      <c r="Z126" s="992"/>
      <c r="AA126" s="993"/>
      <c r="AB126" s="1004"/>
      <c r="AC126" s="992"/>
      <c r="AD126" s="994"/>
      <c r="AE126" s="1004"/>
      <c r="AF126" s="992"/>
      <c r="AG126" s="992"/>
      <c r="AH126" s="1004"/>
      <c r="AI126" s="430"/>
      <c r="AJ126" s="1268"/>
    </row>
    <row r="127" spans="1:44" ht="16.5" customHeight="1">
      <c r="A127" s="410" t="s">
        <v>60</v>
      </c>
      <c r="B127" s="430"/>
      <c r="C127" s="999">
        <f>ROUND(SUM(C118:C125),1)</f>
        <v>7765.3</v>
      </c>
      <c r="D127" s="1000"/>
      <c r="E127" s="999">
        <f>ROUND(SUM(E118:E125),1)</f>
        <v>12276.7</v>
      </c>
      <c r="F127" s="1000"/>
      <c r="G127" s="999">
        <f>ROUND(SUM(G118:G125),1)</f>
        <v>13748</v>
      </c>
      <c r="H127" s="1000"/>
      <c r="I127" s="999">
        <f>ROUND(SUM(I118:I125),1)</f>
        <v>11175.1</v>
      </c>
      <c r="J127" s="1000"/>
      <c r="K127" s="999">
        <f>ROUND(SUM(K118:K125),1)</f>
        <v>9920.7000000000007</v>
      </c>
      <c r="L127" s="1000"/>
      <c r="M127" s="999">
        <f>ROUND(SUM(M118:M125),1)</f>
        <v>17291.7</v>
      </c>
      <c r="N127" s="1000"/>
      <c r="O127" s="999">
        <f>ROUND(SUM(O118:O125),1)</f>
        <v>7438.2</v>
      </c>
      <c r="P127" s="1000"/>
      <c r="Q127" s="999">
        <f>ROUND(SUM(Q118:Q125),1)</f>
        <v>11299.2</v>
      </c>
      <c r="R127" s="1000"/>
      <c r="S127" s="999">
        <f>ROUND(SUM(S118:S125),1)</f>
        <v>14028.4</v>
      </c>
      <c r="T127" s="1000"/>
      <c r="U127" s="999">
        <f>ROUND(SUM(U118:U125),1)</f>
        <v>0</v>
      </c>
      <c r="V127" s="1000"/>
      <c r="W127" s="999">
        <f>ROUND(SUM(W118:W125),1)</f>
        <v>0</v>
      </c>
      <c r="X127" s="1000"/>
      <c r="Y127" s="999">
        <f>ROUND(SUM(Y118:Y125),1)</f>
        <v>0</v>
      </c>
      <c r="Z127" s="1000"/>
      <c r="AA127" s="1001"/>
      <c r="AB127" s="999">
        <f>ROUND(SUM(AB118:AB125),1)</f>
        <v>104943.3</v>
      </c>
      <c r="AC127" s="1000"/>
      <c r="AD127" s="1002"/>
      <c r="AE127" s="999">
        <f>ROUND(SUM(AE118:AE125),1)</f>
        <v>101311.4</v>
      </c>
      <c r="AF127" s="1000"/>
      <c r="AG127" s="1000"/>
      <c r="AH127" s="999">
        <f>ROUND(SUM(AB127-AE127),1)</f>
        <v>3631.9</v>
      </c>
      <c r="AI127" s="982"/>
      <c r="AJ127" s="1961">
        <f>ROUND(IF(AE127=0,0,AH127/ABS(AE127)),3)</f>
        <v>3.5999999999999997E-2</v>
      </c>
      <c r="AK127" s="795"/>
      <c r="AL127" s="795"/>
      <c r="AM127" s="795"/>
      <c r="AN127" s="795"/>
      <c r="AO127" s="795"/>
      <c r="AP127" s="795"/>
      <c r="AQ127" s="795"/>
      <c r="AR127" s="795"/>
    </row>
    <row r="128" spans="1:44" ht="16.5" customHeight="1">
      <c r="A128" s="410"/>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992"/>
      <c r="AG128" s="992"/>
      <c r="AH128" s="1171"/>
      <c r="AI128" s="430"/>
      <c r="AJ128" s="1714"/>
    </row>
    <row r="129" spans="1:59" ht="16.5" customHeight="1">
      <c r="A129" s="410" t="s">
        <v>45</v>
      </c>
      <c r="B129" s="430"/>
      <c r="C129" s="992"/>
      <c r="D129" s="992"/>
      <c r="E129" s="992"/>
      <c r="F129" s="992"/>
      <c r="G129" s="992"/>
      <c r="H129" s="992"/>
      <c r="I129" s="992"/>
      <c r="J129" s="992"/>
      <c r="K129" s="992"/>
      <c r="L129" s="992"/>
      <c r="M129" s="992"/>
      <c r="N129" s="992"/>
      <c r="O129" s="992"/>
      <c r="P129" s="992"/>
      <c r="Q129" s="992"/>
      <c r="R129" s="992"/>
      <c r="S129" s="992"/>
      <c r="T129" s="992"/>
      <c r="U129" s="992"/>
      <c r="V129" s="992"/>
      <c r="W129" s="992"/>
      <c r="X129" s="992"/>
      <c r="Y129" s="992"/>
      <c r="Z129" s="992"/>
      <c r="AA129" s="993"/>
      <c r="AB129" s="992"/>
      <c r="AC129" s="992"/>
      <c r="AD129" s="994"/>
      <c r="AE129" s="992"/>
      <c r="AF129" s="992"/>
      <c r="AG129" s="992"/>
      <c r="AH129" s="1171"/>
      <c r="AI129" s="430"/>
      <c r="AJ129" s="1714"/>
    </row>
    <row r="130" spans="1:59" ht="16.5" customHeight="1">
      <c r="A130" s="410" t="s">
        <v>46</v>
      </c>
      <c r="B130" s="430"/>
      <c r="C130" s="999">
        <f>ROUND(SUM(C104-C127),1)</f>
        <v>3311</v>
      </c>
      <c r="D130" s="1000"/>
      <c r="E130" s="999">
        <f>ROUND(SUM(E104-E127),1)</f>
        <v>532.1</v>
      </c>
      <c r="F130" s="1000"/>
      <c r="G130" s="999">
        <f>ROUND(SUM(G104-G127),1)</f>
        <v>1571.5</v>
      </c>
      <c r="H130" s="1000"/>
      <c r="I130" s="999">
        <f>ROUND(SUM(I104-I127),1)</f>
        <v>-917.7</v>
      </c>
      <c r="J130" s="1000"/>
      <c r="K130" s="999">
        <f>ROUND(SUM(K104-K127),1)</f>
        <v>561.29999999999995</v>
      </c>
      <c r="L130" s="1000"/>
      <c r="M130" s="999">
        <f>ROUND(SUM(M104-M127),1)</f>
        <v>-2032.6</v>
      </c>
      <c r="N130" s="1000"/>
      <c r="O130" s="999">
        <f>ROUND(SUM(O104-O127),1)</f>
        <v>2328.9</v>
      </c>
      <c r="P130" s="1000"/>
      <c r="Q130" s="999">
        <f>ROUND(SUM(Q104-Q127),1)</f>
        <v>-558.79999999999995</v>
      </c>
      <c r="R130" s="1000"/>
      <c r="S130" s="999">
        <f>ROUND(SUM(S104-S127),1)</f>
        <v>2134.6</v>
      </c>
      <c r="T130" s="1000"/>
      <c r="U130" s="999">
        <f>ROUND(SUM(U104-U127),1)</f>
        <v>0</v>
      </c>
      <c r="V130" s="1000"/>
      <c r="W130" s="999">
        <f>ROUND(SUM(W104-W127),1)</f>
        <v>0</v>
      </c>
      <c r="X130" s="1000"/>
      <c r="Y130" s="999">
        <f>ROUND(SUM(Y104-Y127),1)</f>
        <v>0</v>
      </c>
      <c r="Z130" s="1000"/>
      <c r="AA130" s="1001"/>
      <c r="AB130" s="999">
        <f>ROUND(SUM(AB104-AB127),1)</f>
        <v>6930.3</v>
      </c>
      <c r="AC130" s="1000"/>
      <c r="AD130" s="1002"/>
      <c r="AE130" s="999">
        <f>ROUND(SUM(AE104-AE127),1)</f>
        <v>4717.1000000000004</v>
      </c>
      <c r="AF130" s="1000"/>
      <c r="AG130" s="1000"/>
      <c r="AH130" s="1011">
        <f>ROUND(SUM(AB130-AE130),1)</f>
        <v>2213.1999999999998</v>
      </c>
      <c r="AI130" s="982"/>
      <c r="AJ130" s="2761">
        <f>ROUND(IF(AE130=0,0,AH130/ABS(AE130)),3)</f>
        <v>0.46899999999999997</v>
      </c>
      <c r="AK130" s="795"/>
      <c r="AL130" s="795"/>
    </row>
    <row r="131" spans="1:59" ht="16.5" customHeight="1">
      <c r="A131" s="368"/>
      <c r="B131" s="430"/>
      <c r="C131" s="1003"/>
      <c r="D131" s="992"/>
      <c r="E131" s="1003"/>
      <c r="F131" s="992"/>
      <c r="G131" s="1003"/>
      <c r="H131" s="992"/>
      <c r="I131" s="1003"/>
      <c r="J131" s="992"/>
      <c r="K131" s="1003"/>
      <c r="L131" s="992"/>
      <c r="M131" s="1003"/>
      <c r="N131" s="992"/>
      <c r="O131" s="1003"/>
      <c r="P131" s="992"/>
      <c r="Q131" s="1003"/>
      <c r="R131" s="992"/>
      <c r="S131" s="1003"/>
      <c r="T131" s="992"/>
      <c r="U131" s="1003"/>
      <c r="V131" s="992"/>
      <c r="W131" s="1003"/>
      <c r="X131" s="992"/>
      <c r="Y131" s="1003"/>
      <c r="Z131" s="1006"/>
      <c r="AA131" s="993"/>
      <c r="AB131" s="1003"/>
      <c r="AC131" s="992"/>
      <c r="AD131" s="994"/>
      <c r="AE131" s="1003"/>
      <c r="AF131" s="992"/>
      <c r="AG131" s="992"/>
      <c r="AH131" s="1171"/>
      <c r="AI131" s="430"/>
      <c r="AJ131" s="1714"/>
    </row>
    <row r="132" spans="1:59" ht="16.5" customHeight="1">
      <c r="A132" s="410" t="s">
        <v>47</v>
      </c>
      <c r="B132" s="430"/>
      <c r="C132" s="1004"/>
      <c r="D132" s="992"/>
      <c r="E132" s="1012"/>
      <c r="F132" s="1013"/>
      <c r="G132" s="1012"/>
      <c r="H132" s="1013"/>
      <c r="I132" s="1012"/>
      <c r="J132" s="1013"/>
      <c r="K132" s="1012"/>
      <c r="L132" s="1013"/>
      <c r="M132" s="1012"/>
      <c r="N132" s="1013"/>
      <c r="O132" s="1012"/>
      <c r="P132" s="1013"/>
      <c r="Q132" s="1012"/>
      <c r="R132" s="1013"/>
      <c r="S132" s="1012"/>
      <c r="T132" s="1013"/>
      <c r="U132" s="1012"/>
      <c r="V132" s="992"/>
      <c r="W132" s="1012"/>
      <c r="X132" s="992"/>
      <c r="Y132" s="1004"/>
      <c r="Z132" s="995"/>
      <c r="AA132" s="993"/>
      <c r="AB132" s="1004"/>
      <c r="AC132" s="995"/>
      <c r="AD132" s="992"/>
      <c r="AE132" s="1004"/>
      <c r="AF132" s="992"/>
      <c r="AG132" s="992"/>
      <c r="AH132" s="1171"/>
      <c r="AI132" s="430"/>
      <c r="AJ132" s="1714"/>
    </row>
    <row r="133" spans="1:59" ht="16.5" customHeight="1">
      <c r="A133" s="430" t="s">
        <v>48</v>
      </c>
      <c r="B133" s="430"/>
      <c r="C133" s="1014">
        <v>0</v>
      </c>
      <c r="D133" s="992"/>
      <c r="E133" s="1014">
        <v>0</v>
      </c>
      <c r="F133" s="1013"/>
      <c r="G133" s="1014">
        <v>0</v>
      </c>
      <c r="H133" s="1013"/>
      <c r="I133" s="1014">
        <v>0</v>
      </c>
      <c r="J133" s="1013"/>
      <c r="K133" s="1014">
        <v>0</v>
      </c>
      <c r="L133" s="1013"/>
      <c r="M133" s="1014">
        <v>0</v>
      </c>
      <c r="N133" s="1013"/>
      <c r="O133" s="1014">
        <v>0</v>
      </c>
      <c r="P133" s="1013"/>
      <c r="Q133" s="1014">
        <v>0</v>
      </c>
      <c r="R133" s="1013"/>
      <c r="S133" s="1014">
        <v>0</v>
      </c>
      <c r="T133" s="1013"/>
      <c r="U133" s="1014"/>
      <c r="V133" s="992"/>
      <c r="W133" s="1014"/>
      <c r="X133" s="992"/>
      <c r="Y133" s="1014"/>
      <c r="Z133" s="992"/>
      <c r="AA133" s="993"/>
      <c r="AB133" s="992">
        <f>ROUND(SUM(C133:Y133),1)</f>
        <v>0</v>
      </c>
      <c r="AC133" s="992"/>
      <c r="AD133" s="994"/>
      <c r="AE133" s="1015">
        <v>0</v>
      </c>
      <c r="AF133" s="992"/>
      <c r="AG133" s="992"/>
      <c r="AH133" s="992">
        <f>ROUND(SUM(AB133-AE133),1)</f>
        <v>0</v>
      </c>
      <c r="AI133" s="984"/>
      <c r="AJ133" s="2817">
        <f>ROUND(IF(AE133=0,0,AH133/ABS(AE133)),3)</f>
        <v>0</v>
      </c>
    </row>
    <row r="134" spans="1:59" ht="16.5" customHeight="1">
      <c r="A134" s="430" t="s">
        <v>49</v>
      </c>
      <c r="B134" s="430"/>
      <c r="C134" s="1014">
        <f>+'Exhibit F'!D120+'Exhibit F'!D121+'Exhibit F'!D122+'Exhibit F'!D123+'Exhibit G'!D113+'Exhibit H'!B62+' Exhbit I '!E93</f>
        <v>4617.6000000000004</v>
      </c>
      <c r="D134" s="992"/>
      <c r="E134" s="1014">
        <f>+'Exhibit F'!F120+'Exhibit F'!F121+'Exhibit F'!F122+'Exhibit F'!F123+'Exhibit G'!F113+'Exhibit H'!D62+' Exhbit I '!G93</f>
        <v>2253.8000000000002</v>
      </c>
      <c r="F134" s="992"/>
      <c r="G134" s="1014">
        <f>+'Exhibit F'!H120+'Exhibit F'!H121+'Exhibit F'!H122+'Exhibit F'!H123+'Exhibit G'!H113+'Exhibit H'!F62+' Exhbit I '!I93</f>
        <v>2542</v>
      </c>
      <c r="H134" s="992"/>
      <c r="I134" s="1014">
        <f>+'Exhibit F'!J120+'Exhibit F'!J121+'Exhibit F'!J122+'Exhibit F'!J123+'Exhibit G'!J113+'Exhibit H'!H62+' Exhbit I '!K93</f>
        <v>2623.1</v>
      </c>
      <c r="J134" s="992"/>
      <c r="K134" s="1014">
        <f>+'Exhibit F'!L120+'Exhibit F'!L121+'Exhibit F'!L122+'Exhibit F'!L123+'Exhibit G'!L113+'Exhibit H'!J62+' Exhbit I '!M93</f>
        <v>1953.1</v>
      </c>
      <c r="L134" s="992"/>
      <c r="M134" s="1014">
        <f>+'Exhibit F'!N120+'Exhibit F'!N121+'Exhibit F'!N122+'Exhibit F'!N123+'Exhibit G'!N113+'Exhibit H'!L62+' Exhbit I '!O93</f>
        <v>3443.2000000000003</v>
      </c>
      <c r="N134" s="992"/>
      <c r="O134" s="1014">
        <f>+'Exhibit F'!P120+'Exhibit F'!P121+'Exhibit F'!P122+'Exhibit F'!P123+'Exhibit G'!P113+'Exhibit H'!N62+' Exhbit I '!Q93</f>
        <v>2124.7999999999997</v>
      </c>
      <c r="P134" s="992"/>
      <c r="Q134" s="1014">
        <f>+'Exhibit F'!R120+'Exhibit F'!R121+'Exhibit F'!R122+'Exhibit F'!R123+'Exhibit G'!R113+'Exhibit H'!P62+' Exhbit I '!S93</f>
        <v>2210.6</v>
      </c>
      <c r="R134" s="992"/>
      <c r="S134" s="1014">
        <f>+'Exhibit F'!T120+'Exhibit F'!T121+'Exhibit F'!T122+'Exhibit F'!T123+'Exhibit G'!T113+'Exhibit H'!R62+' Exhbit I '!U93</f>
        <v>2540.8000000000002</v>
      </c>
      <c r="T134" s="992"/>
      <c r="U134" s="1014"/>
      <c r="V134" s="992"/>
      <c r="W134" s="2907"/>
      <c r="X134" s="992"/>
      <c r="Y134" s="2907"/>
      <c r="Z134" s="992"/>
      <c r="AA134" s="993"/>
      <c r="AB134" s="992">
        <f>ROUND(SUM(C134:Y134),1)</f>
        <v>24309</v>
      </c>
      <c r="AC134" s="992"/>
      <c r="AD134" s="993"/>
      <c r="AE134" s="992">
        <f>+'Exhibit A'!AD49</f>
        <v>21588.9</v>
      </c>
      <c r="AF134" s="992"/>
      <c r="AG134" s="992"/>
      <c r="AH134" s="992">
        <f>ROUND(SUM(AB134-AE134),1)</f>
        <v>2720.1</v>
      </c>
      <c r="AI134" s="430"/>
      <c r="AJ134" s="2817">
        <f>ROUND(IF(AE134=0,0,AH134/ABS(AE134)),3)</f>
        <v>0.126</v>
      </c>
    </row>
    <row r="135" spans="1:59" ht="16.5" customHeight="1">
      <c r="A135" s="430" t="s">
        <v>50</v>
      </c>
      <c r="C135" s="1131">
        <f>+'Exhibit F'!D124+'Exhibit F'!D125+'Exhibit F'!D126+'Exhibit F'!D127+'Exhibit F'!D128+'Exhibit G'!D114+'Exhibit H'!B63+' Exhbit I '!E94</f>
        <v>-4620.5999999999995</v>
      </c>
      <c r="D135" s="248"/>
      <c r="E135" s="1131">
        <f>+'Exhibit F'!F124+'Exhibit F'!F125+'Exhibit F'!F126+'Exhibit F'!F127+'Exhibit F'!F128+'Exhibit G'!F114+'Exhibit H'!D63+' Exhbit I '!G94</f>
        <v>-2256.7999999999997</v>
      </c>
      <c r="F135" s="248"/>
      <c r="G135" s="1131">
        <f>+'Exhibit F'!H124+'Exhibit F'!H125+'Exhibit F'!H126+'Exhibit F'!H127+'Exhibit F'!H128+'Exhibit G'!H114+'Exhibit H'!F63+' Exhbit I '!I94</f>
        <v>-2542.6</v>
      </c>
      <c r="H135" s="248"/>
      <c r="I135" s="1131">
        <f>+'Exhibit F'!J124+'Exhibit F'!J125+'Exhibit F'!J127+'Exhibit F'!J128+'Exhibit G'!J114+'Exhibit H'!H63+' Exhbit I '!K94+'Exhibit F'!J126</f>
        <v>-2688.4</v>
      </c>
      <c r="J135" s="248"/>
      <c r="K135" s="1131">
        <f>+'Exhibit F'!L124+'Exhibit F'!L125+'Exhibit F'!L127+'Exhibit F'!L128+'Exhibit G'!L114+'Exhibit H'!J63+' Exhbit I '!M94+'Exhibit F'!L126</f>
        <v>-1929.9999999999998</v>
      </c>
      <c r="L135" s="248"/>
      <c r="M135" s="1131">
        <f>+'Exhibit F'!N124+'Exhibit F'!N125+'Exhibit F'!N127+'Exhibit F'!N128+'Exhibit G'!N114+'Exhibit H'!L63+' Exhbit I '!O94+'Exhibit F'!N126</f>
        <v>-3448.3999999999996</v>
      </c>
      <c r="N135" s="248"/>
      <c r="O135" s="1131">
        <f>+'Exhibit F'!P124+'Exhibit F'!P125+'Exhibit F'!P127+'Exhibit F'!P128+'Exhibit G'!P114+'Exhibit H'!N63+' Exhbit I '!Q94+'Exhibit F'!P126</f>
        <v>-2123.7000000000003</v>
      </c>
      <c r="P135" s="248"/>
      <c r="Q135" s="1131">
        <f>+'Exhibit F'!R124+'Exhibit F'!R125+'Exhibit F'!R127+'Exhibit F'!R128+'Exhibit G'!R114+'Exhibit H'!P63+' Exhbit I '!S94+'Exhibit F'!R126</f>
        <v>-2218.9</v>
      </c>
      <c r="R135" s="248"/>
      <c r="S135" s="1131">
        <f>+'Exhibit F'!T124+'Exhibit F'!T125+'Exhibit F'!T127+'Exhibit F'!T128+'Exhibit G'!T114+'Exhibit H'!R63+' Exhbit I '!U94+'Exhibit F'!T126</f>
        <v>-2545.5</v>
      </c>
      <c r="T135" s="248"/>
      <c r="U135" s="2885"/>
      <c r="V135" s="248"/>
      <c r="W135" s="2908"/>
      <c r="X135" s="248"/>
      <c r="Y135" s="2908"/>
      <c r="Z135" s="248"/>
      <c r="AA135" s="1016"/>
      <c r="AB135" s="996">
        <f>ROUND(SUM(C135:Y135),1)</f>
        <v>-24374.9</v>
      </c>
      <c r="AC135" s="248"/>
      <c r="AD135" s="1016"/>
      <c r="AE135" s="996">
        <f>+'Exhibit A'!AD50</f>
        <v>-21641.8</v>
      </c>
      <c r="AF135" s="248"/>
      <c r="AG135" s="248"/>
      <c r="AH135" s="996">
        <f>ROUND(SUM(-AB135+AE135),1)</f>
        <v>2733.1</v>
      </c>
      <c r="AI135" s="1714"/>
      <c r="AJ135" s="2820">
        <f>ROUND(IF(AE135=0,0,AH135/ABS(AE135)),3)</f>
        <v>0.126</v>
      </c>
      <c r="AK135" s="2909"/>
    </row>
    <row r="136" spans="1:59" ht="16.5" customHeight="1">
      <c r="A136" s="430"/>
      <c r="C136" s="1004"/>
      <c r="D136" s="248"/>
      <c r="E136" s="1004"/>
      <c r="F136" s="248"/>
      <c r="G136" s="1004"/>
      <c r="H136" s="248"/>
      <c r="I136" s="1004"/>
      <c r="J136" s="248"/>
      <c r="K136" s="1004"/>
      <c r="L136" s="248"/>
      <c r="M136" s="1004"/>
      <c r="N136" s="248"/>
      <c r="O136" s="1004"/>
      <c r="P136" s="248"/>
      <c r="Q136" s="1004"/>
      <c r="R136" s="248"/>
      <c r="S136" s="1004"/>
      <c r="T136" s="248"/>
      <c r="U136" s="1004"/>
      <c r="V136" s="248"/>
      <c r="W136" s="1004"/>
      <c r="X136" s="248"/>
      <c r="Y136" s="1004"/>
      <c r="Z136" s="248"/>
      <c r="AA136" s="1016"/>
      <c r="AB136" s="1004"/>
      <c r="AC136" s="248"/>
      <c r="AD136" s="1016"/>
      <c r="AE136" s="1004"/>
      <c r="AF136" s="248"/>
      <c r="AG136" s="248"/>
      <c r="AH136" s="1004"/>
      <c r="AI136" s="1714"/>
      <c r="AJ136" s="1268"/>
    </row>
    <row r="137" spans="1:59" ht="16.5" customHeight="1">
      <c r="A137" s="410" t="s">
        <v>51</v>
      </c>
      <c r="C137" s="999">
        <f>ROUND(SUM(C133:C135),1)</f>
        <v>-3</v>
      </c>
      <c r="D137" s="1017"/>
      <c r="E137" s="999">
        <f>ROUND(SUM(E133:E135),1)</f>
        <v>-3</v>
      </c>
      <c r="F137" s="1017"/>
      <c r="G137" s="999">
        <f>ROUND(SUM(G133:G135),1)</f>
        <v>-0.6</v>
      </c>
      <c r="H137" s="1017"/>
      <c r="I137" s="999">
        <f>ROUND(SUM(I133:I135),1)</f>
        <v>-65.3</v>
      </c>
      <c r="J137" s="1017"/>
      <c r="K137" s="999">
        <f>ROUND(SUM(K133:K135),1)</f>
        <v>23.1</v>
      </c>
      <c r="L137" s="1017"/>
      <c r="M137" s="999">
        <f>ROUND(SUM(M133:M135),1)</f>
        <v>-5.2</v>
      </c>
      <c r="N137" s="1017"/>
      <c r="O137" s="999">
        <f>ROUND(SUM(O133:O135),1)</f>
        <v>1.1000000000000001</v>
      </c>
      <c r="P137" s="1017"/>
      <c r="Q137" s="999">
        <f>ROUND(SUM(Q133:Q135),1)</f>
        <v>-8.3000000000000007</v>
      </c>
      <c r="R137" s="1017"/>
      <c r="S137" s="999">
        <f>ROUND(SUM(S133:S135),1)</f>
        <v>-4.7</v>
      </c>
      <c r="T137" s="1017"/>
      <c r="U137" s="999">
        <f>ROUND(SUM(U133:U135),1)</f>
        <v>0</v>
      </c>
      <c r="V137" s="1017"/>
      <c r="W137" s="999">
        <f>ROUND(SUM(W133:W135),1)</f>
        <v>0</v>
      </c>
      <c r="X137" s="1017"/>
      <c r="Y137" s="999">
        <f>ROUND(SUM(Y133:Y135),1)</f>
        <v>0</v>
      </c>
      <c r="Z137" s="1017"/>
      <c r="AA137" s="1018"/>
      <c r="AB137" s="999">
        <f>ROUND(SUM(AB133:AB136),1)</f>
        <v>-65.900000000000006</v>
      </c>
      <c r="AC137" s="1017"/>
      <c r="AD137" s="1018"/>
      <c r="AE137" s="999">
        <f>SUM(AE133:AE136)</f>
        <v>-52.899999999997817</v>
      </c>
      <c r="AF137" s="1017"/>
      <c r="AG137" s="1017"/>
      <c r="AH137" s="999">
        <f>ROUND(SUM(+AH134-AH135+AH133),1)</f>
        <v>-13</v>
      </c>
      <c r="AI137" s="410"/>
      <c r="AJ137" s="1961">
        <f>ROUND(IF(AE137=0,0,AH137/ABS(AE137)),3)</f>
        <v>-0.246</v>
      </c>
      <c r="AK137" s="795"/>
      <c r="AL137" s="795"/>
    </row>
    <row r="138" spans="1:59" ht="16.5" customHeight="1">
      <c r="A138" s="36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1016"/>
      <c r="AB138" s="248"/>
      <c r="AC138" s="248"/>
      <c r="AD138" s="1016"/>
      <c r="AE138" s="248"/>
      <c r="AF138" s="248"/>
      <c r="AG138" s="248"/>
      <c r="AH138" s="1171"/>
      <c r="AI138" s="1714"/>
      <c r="AJ138" s="1714"/>
    </row>
    <row r="139" spans="1:59" ht="16.5" customHeight="1">
      <c r="A139" s="479" t="s">
        <v>45</v>
      </c>
      <c r="C139" s="1004"/>
      <c r="D139" s="248"/>
      <c r="E139" s="1004"/>
      <c r="F139" s="248"/>
      <c r="G139" s="1004"/>
      <c r="H139" s="248"/>
      <c r="I139" s="1004"/>
      <c r="J139" s="248"/>
      <c r="K139" s="1004"/>
      <c r="L139" s="248"/>
      <c r="M139" s="1004"/>
      <c r="N139" s="248"/>
      <c r="O139" s="1004"/>
      <c r="P139" s="248"/>
      <c r="Q139" s="1004"/>
      <c r="R139" s="248"/>
      <c r="S139" s="1004"/>
      <c r="T139" s="248"/>
      <c r="U139" s="1004"/>
      <c r="V139" s="248"/>
      <c r="W139" s="1004"/>
      <c r="X139" s="248"/>
      <c r="Y139" s="1004"/>
      <c r="Z139" s="248"/>
      <c r="AA139" s="1016"/>
      <c r="AB139" s="1004"/>
      <c r="AC139" s="248"/>
      <c r="AD139" s="1016"/>
      <c r="AE139" s="1004"/>
      <c r="AF139" s="248"/>
      <c r="AG139" s="248"/>
      <c r="AH139" s="1171"/>
      <c r="AI139" s="1714"/>
      <c r="AJ139" s="1714"/>
    </row>
    <row r="140" spans="1:59" ht="16.5" customHeight="1">
      <c r="A140" s="479" t="s">
        <v>52</v>
      </c>
      <c r="C140" s="1000"/>
      <c r="D140" s="1017"/>
      <c r="E140" s="1000"/>
      <c r="F140" s="1017"/>
      <c r="G140" s="1000"/>
      <c r="H140" s="1017"/>
      <c r="I140" s="1000"/>
      <c r="J140" s="1017"/>
      <c r="K140" s="1000"/>
      <c r="L140" s="1017"/>
      <c r="M140" s="1000"/>
      <c r="N140" s="1017"/>
      <c r="O140" s="1000"/>
      <c r="P140" s="1017"/>
      <c r="Q140" s="1000"/>
      <c r="R140" s="1017"/>
      <c r="S140" s="1000"/>
      <c r="T140" s="1017"/>
      <c r="U140" s="1000"/>
      <c r="V140" s="1017"/>
      <c r="W140" s="1000"/>
      <c r="X140" s="1017"/>
      <c r="Y140" s="1000"/>
      <c r="Z140" s="1017"/>
      <c r="AA140" s="1018"/>
      <c r="AB140" s="1000"/>
      <c r="AC140" s="1017"/>
      <c r="AD140" s="1018"/>
      <c r="AE140" s="1000"/>
      <c r="AF140" s="1017"/>
      <c r="AG140" s="1017"/>
      <c r="AH140" s="1886"/>
      <c r="AI140" s="410"/>
      <c r="AJ140" s="410"/>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6.5" customHeight="1">
      <c r="A141" s="479" t="s">
        <v>53</v>
      </c>
      <c r="C141" s="1019">
        <f>ROUND(SUM(C130+C137),1)</f>
        <v>3308</v>
      </c>
      <c r="D141" s="1017"/>
      <c r="E141" s="1019">
        <f>ROUND(SUM(E130+E137),1)</f>
        <v>529.1</v>
      </c>
      <c r="F141" s="1017"/>
      <c r="G141" s="1019">
        <f>ROUND(SUM(G130+G137),1)</f>
        <v>1570.9</v>
      </c>
      <c r="H141" s="1017"/>
      <c r="I141" s="1019">
        <f>ROUND(SUM(I130+I137),1)</f>
        <v>-983</v>
      </c>
      <c r="J141" s="1017"/>
      <c r="K141" s="1019">
        <f>ROUND(SUM(K130+K137),1)</f>
        <v>584.4</v>
      </c>
      <c r="L141" s="1017"/>
      <c r="M141" s="1019">
        <f>ROUND(SUM(M130+M137),1)</f>
        <v>-2037.8</v>
      </c>
      <c r="N141" s="1017"/>
      <c r="O141" s="1019">
        <f>ROUND(SUM(O130+O137),1)</f>
        <v>2330</v>
      </c>
      <c r="P141" s="1017"/>
      <c r="Q141" s="1019">
        <f>ROUND(SUM(Q130+Q137),1)</f>
        <v>-567.1</v>
      </c>
      <c r="R141" s="1017"/>
      <c r="S141" s="1019">
        <f>ROUND(SUM(S130+S137),1)</f>
        <v>2129.9</v>
      </c>
      <c r="T141" s="1017"/>
      <c r="U141" s="1019">
        <f>ROUND(SUM(U130+U137),1)</f>
        <v>0</v>
      </c>
      <c r="V141" s="1017"/>
      <c r="W141" s="1019">
        <f>ROUND(SUM(W130+W137),1)</f>
        <v>0</v>
      </c>
      <c r="X141" s="1017"/>
      <c r="Y141" s="1019">
        <f>ROUND(SUM(Y130+Y137),1)</f>
        <v>0</v>
      </c>
      <c r="Z141" s="1017"/>
      <c r="AA141" s="1018"/>
      <c r="AB141" s="1019">
        <f>ROUND(SUM(AB130+AB137),1)</f>
        <v>6864.4</v>
      </c>
      <c r="AC141" s="1017"/>
      <c r="AD141" s="1018"/>
      <c r="AE141" s="1019">
        <f>AE130+AE137</f>
        <v>4664.2000000000025</v>
      </c>
      <c r="AF141" s="1017"/>
      <c r="AG141" s="1017"/>
      <c r="AH141" s="1011">
        <f>ROUND(SUM(AB141-AE141),1)</f>
        <v>2200.1999999999998</v>
      </c>
      <c r="AI141" s="410"/>
      <c r="AJ141" s="2761">
        <f>ROUND(IF(AE141=0,0,AH141/ABS(AE141)),3)</f>
        <v>0.47199999999999998</v>
      </c>
      <c r="AK141" s="795"/>
      <c r="AL141" s="795"/>
      <c r="AM141" s="795"/>
      <c r="AN141" s="795"/>
      <c r="AO141" s="795"/>
      <c r="AP141" s="795"/>
      <c r="AQ141" s="795"/>
      <c r="AR141" s="795"/>
      <c r="AS141" s="795"/>
      <c r="AT141" s="795"/>
      <c r="AU141" s="795"/>
      <c r="AV141" s="795"/>
      <c r="AW141" s="795"/>
      <c r="AX141" s="795"/>
      <c r="AY141" s="795"/>
      <c r="AZ141" s="795"/>
      <c r="BA141" s="795"/>
      <c r="BB141" s="795"/>
      <c r="BC141" s="795"/>
      <c r="BD141" s="795"/>
      <c r="BE141" s="795"/>
      <c r="BF141" s="795"/>
      <c r="BG141" s="795"/>
    </row>
    <row r="142" spans="1:59" ht="16.5" customHeight="1">
      <c r="A142" s="410"/>
      <c r="C142" s="985"/>
      <c r="E142" s="985"/>
      <c r="G142" s="985"/>
      <c r="I142" s="985"/>
      <c r="K142" s="985"/>
      <c r="M142" s="985"/>
      <c r="O142" s="985"/>
      <c r="Q142" s="985"/>
      <c r="S142" s="985"/>
      <c r="U142" s="985"/>
      <c r="W142" s="985"/>
      <c r="Y142" s="985"/>
      <c r="AA142" s="1020"/>
      <c r="AB142" s="985"/>
      <c r="AD142" s="1020"/>
      <c r="AE142" s="985"/>
      <c r="AH142" s="1714"/>
      <c r="AI142" s="1714"/>
      <c r="AJ142" s="1714"/>
    </row>
    <row r="143" spans="1:59" ht="16.5" customHeight="1" thickBot="1">
      <c r="A143" s="1021" t="s">
        <v>146</v>
      </c>
      <c r="C143" s="1022">
        <f>ROUND(SUM(C16+C141),1)</f>
        <v>12663.6</v>
      </c>
      <c r="D143" s="472"/>
      <c r="E143" s="1022">
        <f>ROUND(SUM(E16+E141),1)</f>
        <v>13192.7</v>
      </c>
      <c r="F143" s="472"/>
      <c r="G143" s="1022">
        <f>ROUND(SUM(G16+G141),1)</f>
        <v>14763.6</v>
      </c>
      <c r="H143" s="472"/>
      <c r="I143" s="1022">
        <f>ROUND(SUM(I16+I141),1)</f>
        <v>13780.6</v>
      </c>
      <c r="J143" s="1023"/>
      <c r="K143" s="1022">
        <f>ROUND(SUM(K16+K141),1)</f>
        <v>14365</v>
      </c>
      <c r="L143" s="1023"/>
      <c r="M143" s="1022">
        <f>ROUND(SUM(M16+M141),1)</f>
        <v>12327.2</v>
      </c>
      <c r="N143" s="1023"/>
      <c r="O143" s="1022">
        <f>ROUND(SUM(O16+O141),1)</f>
        <v>14657.2</v>
      </c>
      <c r="P143" s="1023"/>
      <c r="Q143" s="1022">
        <f>ROUND(SUM(Q16+Q141),1)</f>
        <v>14090.1</v>
      </c>
      <c r="R143" s="1023"/>
      <c r="S143" s="1022">
        <f>ROUND(SUM(S16+S141),1)</f>
        <v>16220</v>
      </c>
      <c r="T143" s="1023"/>
      <c r="U143" s="1022">
        <f>ROUND(SUM(U16+U141),1)</f>
        <v>0</v>
      </c>
      <c r="V143" s="1023"/>
      <c r="W143" s="1022">
        <f>ROUND(SUM(W16+W141),1)</f>
        <v>0</v>
      </c>
      <c r="X143" s="1023"/>
      <c r="Y143" s="1022">
        <f>ROUND(SUM(Y16+Y141),1)</f>
        <v>0</v>
      </c>
      <c r="Z143" s="472"/>
      <c r="AA143" s="1024"/>
      <c r="AB143" s="1022">
        <f>ROUND(SUM(AB16+AB141),1)</f>
        <v>16220</v>
      </c>
      <c r="AC143" s="472"/>
      <c r="AD143" s="1024"/>
      <c r="AE143" s="1022">
        <f>AE16+AE141</f>
        <v>8698.7000000000025</v>
      </c>
      <c r="AF143" s="472"/>
      <c r="AG143" s="472"/>
      <c r="AH143" s="1022">
        <f>ROUND(SUM(AB143-AE143),1)</f>
        <v>7521.3</v>
      </c>
      <c r="AI143" s="410"/>
      <c r="AJ143" s="127">
        <f>ROUND(IF(AE143=0,0,AH143/ABS(AE143)),3)</f>
        <v>0.86499999999999999</v>
      </c>
      <c r="AK143" s="795"/>
    </row>
    <row r="144" spans="1:59" ht="16.5" customHeight="1" thickTop="1">
      <c r="A144" s="1025"/>
      <c r="C144" s="418"/>
      <c r="AH144" s="1714"/>
      <c r="AI144" s="1714"/>
      <c r="AJ144" s="1714"/>
    </row>
    <row r="145" spans="1:36" ht="16.5" customHeight="1">
      <c r="A145" s="682" t="s">
        <v>147</v>
      </c>
      <c r="AH145" s="1714"/>
      <c r="AI145" s="1714"/>
      <c r="AJ145" s="1714"/>
    </row>
    <row r="146" spans="1:36" ht="16.5" customHeight="1">
      <c r="A146" s="222"/>
      <c r="AH146" s="1714"/>
      <c r="AI146" s="1714"/>
      <c r="AJ146" s="1714"/>
    </row>
    <row r="147" spans="1:36" ht="16.5" customHeight="1">
      <c r="A147" s="222"/>
      <c r="AH147" s="1714"/>
      <c r="AI147" s="1714"/>
      <c r="AJ147" s="1714"/>
    </row>
    <row r="148" spans="1:36" ht="16.5" customHeight="1">
      <c r="A148" s="222"/>
      <c r="AH148" s="1714"/>
      <c r="AI148" s="1714"/>
      <c r="AJ148" s="1714"/>
    </row>
    <row r="149" spans="1:36" ht="16.5" customHeight="1">
      <c r="AH149" s="1714"/>
      <c r="AI149" s="1714"/>
      <c r="AJ149" s="1714"/>
    </row>
    <row r="150" spans="1:36" ht="16.5" customHeight="1">
      <c r="AH150" s="1714"/>
      <c r="AI150" s="1714"/>
      <c r="AJ150" s="1714"/>
    </row>
    <row r="151" spans="1:36" ht="16.5" customHeight="1">
      <c r="AH151" s="1714"/>
      <c r="AI151" s="1714"/>
      <c r="AJ151" s="1714"/>
    </row>
    <row r="152" spans="1:36" ht="16.5" customHeight="1">
      <c r="AH152" s="1714"/>
      <c r="AI152" s="1714"/>
      <c r="AJ152" s="1714"/>
    </row>
    <row r="153" spans="1:36" ht="16.5" customHeight="1">
      <c r="AH153" s="1714"/>
      <c r="AI153" s="1714"/>
      <c r="AJ153" s="1714"/>
    </row>
    <row r="154" spans="1:36" ht="16.5" customHeight="1">
      <c r="AH154" s="1714"/>
      <c r="AI154" s="1714"/>
      <c r="AJ154" s="1714"/>
    </row>
    <row r="155" spans="1:36" ht="16.5" customHeight="1">
      <c r="AH155" s="1714"/>
      <c r="AI155" s="1714"/>
      <c r="AJ155" s="1714"/>
    </row>
    <row r="156" spans="1:36" ht="16.5" customHeight="1">
      <c r="AH156" s="1714"/>
      <c r="AI156" s="1714"/>
      <c r="AJ156" s="1714"/>
    </row>
    <row r="157" spans="1:36" ht="16.5" customHeight="1">
      <c r="AH157" s="1714"/>
      <c r="AI157" s="1714"/>
      <c r="AJ157" s="1714"/>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7" fitToHeight="2" orientation="landscape" useFirstPageNumber="1" r:id="rId2"/>
  <headerFooter scaleWithDoc="0" alignWithMargins="0">
    <oddFooter>&amp;C&amp;8&amp;P</oddFooter>
  </headerFooter>
  <ignoredErrors>
    <ignoredError sqref="AJ21:AJ52 AJ71:AJ143 AJ53:AJ68" unlockedFormula="1"/>
    <ignoredError sqref="AH24:AH26"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0"/>
  <sheetViews>
    <sheetView showGridLines="0" zoomScale="60" zoomScaleNormal="100" workbookViewId="0"/>
  </sheetViews>
  <sheetFormatPr defaultColWidth="8.90625" defaultRowHeight="16.5" customHeight="1"/>
  <cols>
    <col min="1" max="1" width="43" style="419" customWidth="1"/>
    <col min="2" max="2" width="1.6328125" style="419" customWidth="1"/>
    <col min="3" max="3" width="13.1796875" style="419" bestFit="1" customWidth="1"/>
    <col min="4" max="4" width="1.6328125" style="419" customWidth="1"/>
    <col min="5" max="5" width="13.1796875" style="419" bestFit="1" customWidth="1"/>
    <col min="6" max="6" width="1.6328125" style="419" customWidth="1"/>
    <col min="7" max="7" width="13.54296875" style="419" customWidth="1"/>
    <col min="8" max="8" width="1.6328125" style="419" customWidth="1"/>
    <col min="9" max="9" width="13.6328125" style="419" customWidth="1"/>
    <col min="10" max="10" width="1.6328125" style="419" customWidth="1"/>
    <col min="11" max="11" width="14.54296875" style="419" customWidth="1"/>
    <col min="12" max="12" width="1.6328125" style="419" customWidth="1"/>
    <col min="13" max="13" width="13.36328125" style="419" customWidth="1"/>
    <col min="14" max="14" width="1.6328125" style="419" customWidth="1"/>
    <col min="15" max="15" width="14.1796875" style="419" customWidth="1"/>
    <col min="16" max="16" width="1.6328125" style="419" customWidth="1"/>
    <col min="17" max="17" width="13.1796875" style="419" customWidth="1"/>
    <col min="18" max="18" width="1.6328125" style="419" customWidth="1"/>
    <col min="19" max="19" width="13.90625" style="419" customWidth="1"/>
    <col min="20" max="20" width="1.6328125" style="419" customWidth="1"/>
    <col min="21" max="21" width="13" style="419" customWidth="1"/>
    <col min="22" max="22" width="1.6328125" style="419" customWidth="1"/>
    <col min="23" max="23" width="13.1796875" style="419" customWidth="1"/>
    <col min="24" max="24" width="1.6328125" style="419" customWidth="1"/>
    <col min="25" max="25" width="13.1796875" style="419" bestFit="1" customWidth="1"/>
    <col min="26" max="27" width="1.6328125" style="419" customWidth="1"/>
    <col min="28" max="28" width="15" style="419" customWidth="1"/>
    <col min="29" max="30" width="1.6328125" style="419" customWidth="1"/>
    <col min="31" max="31" width="12.36328125" style="419" customWidth="1"/>
    <col min="32" max="32" width="1.36328125" style="419" customWidth="1"/>
    <col min="33" max="33" width="1.6328125" style="419" customWidth="1"/>
    <col min="34" max="34" width="12.81640625" style="419" bestFit="1" customWidth="1"/>
    <col min="35" max="35" width="1" style="419" customWidth="1"/>
    <col min="36" max="36" width="12.36328125" style="419" bestFit="1" customWidth="1"/>
    <col min="37" max="16384" width="8.90625" style="419"/>
  </cols>
  <sheetData>
    <row r="1" spans="1:37" ht="15">
      <c r="A1" s="1902" t="s">
        <v>1217</v>
      </c>
    </row>
    <row r="2" spans="1:37" ht="15">
      <c r="A2" s="1731"/>
    </row>
    <row r="3" spans="1:37" ht="22.8">
      <c r="A3" s="427" t="s">
        <v>0</v>
      </c>
      <c r="B3" s="430"/>
      <c r="C3" s="430"/>
      <c r="D3" s="430"/>
      <c r="E3" s="430"/>
      <c r="F3" s="430"/>
      <c r="G3" s="430"/>
      <c r="H3" s="430"/>
      <c r="I3" s="430"/>
      <c r="J3" s="430"/>
      <c r="K3" s="430"/>
      <c r="L3" s="430"/>
      <c r="M3" s="430"/>
      <c r="N3" s="430"/>
      <c r="O3" s="430"/>
      <c r="P3" s="430"/>
      <c r="Q3" s="430"/>
      <c r="R3" s="430"/>
      <c r="S3" s="430"/>
      <c r="T3" s="430"/>
      <c r="U3" s="430"/>
      <c r="V3" s="430"/>
      <c r="W3" s="430"/>
      <c r="X3" s="430"/>
      <c r="Y3" s="430"/>
      <c r="Z3" s="430"/>
      <c r="AA3" s="430"/>
      <c r="AB3" s="430"/>
      <c r="AC3" s="430"/>
      <c r="AD3" s="430"/>
      <c r="AE3" s="430"/>
      <c r="AF3" s="430"/>
      <c r="AG3" s="430"/>
      <c r="AI3" s="430"/>
    </row>
    <row r="4" spans="1:37" ht="22.8">
      <c r="A4" s="427" t="s">
        <v>1456</v>
      </c>
      <c r="B4" s="430"/>
      <c r="C4" s="430"/>
      <c r="D4" s="430"/>
      <c r="E4" s="430"/>
      <c r="F4" s="430"/>
      <c r="G4" s="430"/>
      <c r="H4" s="430"/>
      <c r="I4" s="430" t="s">
        <v>16</v>
      </c>
      <c r="J4" s="430"/>
      <c r="K4" s="430"/>
      <c r="L4" s="430"/>
      <c r="M4" s="430"/>
      <c r="N4" s="430"/>
      <c r="O4" s="430"/>
      <c r="P4" s="430"/>
      <c r="Q4" s="430"/>
      <c r="R4" s="430"/>
      <c r="S4" s="430"/>
      <c r="T4" s="430"/>
      <c r="U4" s="430"/>
      <c r="V4" s="430"/>
      <c r="W4" s="430"/>
      <c r="X4" s="430"/>
      <c r="Y4" s="430" t="s">
        <v>16</v>
      </c>
      <c r="Z4" s="430"/>
      <c r="AA4" s="430"/>
      <c r="AB4" s="430"/>
      <c r="AC4" s="430"/>
      <c r="AD4" s="430"/>
      <c r="AE4" s="430"/>
      <c r="AF4" s="430"/>
      <c r="AG4" s="430"/>
      <c r="AI4" s="430"/>
    </row>
    <row r="5" spans="1:37" ht="22.8">
      <c r="A5" s="429" t="s">
        <v>1457</v>
      </c>
      <c r="B5" s="430"/>
      <c r="C5" s="430"/>
      <c r="D5" s="430"/>
      <c r="E5" s="430"/>
      <c r="F5" s="430"/>
      <c r="G5" s="430"/>
      <c r="H5" s="430"/>
      <c r="I5" s="430"/>
      <c r="J5" s="430"/>
      <c r="K5" s="430"/>
      <c r="L5" s="430"/>
      <c r="M5" s="430"/>
      <c r="N5" s="430"/>
      <c r="O5" s="430"/>
      <c r="P5" s="430"/>
      <c r="Q5" s="430"/>
      <c r="R5" s="430"/>
      <c r="S5" s="430"/>
      <c r="T5" s="430"/>
      <c r="U5" s="430"/>
      <c r="V5" s="430"/>
      <c r="W5" s="430"/>
      <c r="X5" s="430"/>
      <c r="Y5" s="430"/>
      <c r="Z5" s="430"/>
      <c r="AA5" s="430"/>
      <c r="AC5" s="3568"/>
      <c r="AD5" s="3571"/>
      <c r="AE5" s="3571"/>
      <c r="AF5" s="3571"/>
      <c r="AG5" s="3571"/>
      <c r="AH5" s="3571"/>
      <c r="AI5" s="3571"/>
      <c r="AJ5" s="3571"/>
    </row>
    <row r="6" spans="1:37" ht="22.8">
      <c r="A6" s="429" t="s">
        <v>1522</v>
      </c>
      <c r="B6" s="430"/>
      <c r="C6" s="430"/>
      <c r="D6" s="430"/>
      <c r="E6" s="430"/>
      <c r="F6" s="430"/>
      <c r="G6" s="430"/>
      <c r="H6" s="430"/>
      <c r="I6" s="430"/>
      <c r="J6" s="430"/>
      <c r="K6" s="430"/>
      <c r="L6" s="430"/>
      <c r="M6" s="430"/>
      <c r="N6" s="430"/>
      <c r="O6" s="430"/>
      <c r="P6" s="430"/>
      <c r="Q6" s="430"/>
      <c r="R6" s="430"/>
      <c r="S6" s="430"/>
      <c r="T6" s="430"/>
      <c r="U6" s="430"/>
      <c r="V6" s="430"/>
      <c r="W6" s="430"/>
      <c r="X6" s="430"/>
      <c r="Y6" s="430"/>
      <c r="Z6" s="430"/>
      <c r="AA6" s="430"/>
      <c r="AB6" s="430"/>
      <c r="AC6" s="430"/>
      <c r="AD6" s="430"/>
      <c r="AE6" s="430"/>
      <c r="AF6" s="430"/>
      <c r="AG6" s="430"/>
      <c r="AI6" s="430"/>
    </row>
    <row r="7" spans="1:37" ht="22.8">
      <c r="A7" s="427" t="s">
        <v>1103</v>
      </c>
      <c r="B7" s="430"/>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I7" s="430"/>
    </row>
    <row r="8" spans="1:37" ht="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I8" s="430"/>
    </row>
    <row r="9" spans="1:37" ht="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I9" s="430"/>
    </row>
    <row r="10" spans="1:37" ht="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I10" s="430"/>
    </row>
    <row r="11" spans="1:37" ht="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430"/>
      <c r="AG11" s="430"/>
      <c r="AI11" s="430"/>
    </row>
    <row r="12" spans="1:37" ht="15.6">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Z12" s="430"/>
      <c r="AA12" s="984"/>
      <c r="AB12" s="3572" t="str">
        <f>+'Cashflow Governmental'!AB12:AJ12</f>
        <v xml:space="preserve">                                   9 Months Ended December 31</v>
      </c>
      <c r="AC12" s="3572"/>
      <c r="AD12" s="3572"/>
      <c r="AE12" s="3572"/>
      <c r="AF12" s="3572"/>
      <c r="AG12" s="3572"/>
      <c r="AH12" s="3572"/>
      <c r="AI12" s="3572"/>
      <c r="AJ12" s="3572"/>
    </row>
    <row r="13" spans="1:37" ht="15.6">
      <c r="A13" s="430"/>
      <c r="B13" s="430"/>
      <c r="C13" s="3304">
        <v>2015</v>
      </c>
      <c r="D13" s="982"/>
      <c r="E13" s="982"/>
      <c r="F13" s="982"/>
      <c r="G13" s="982"/>
      <c r="H13" s="982"/>
      <c r="I13" s="982"/>
      <c r="J13" s="982"/>
      <c r="K13" s="982"/>
      <c r="L13" s="982"/>
      <c r="M13" s="982"/>
      <c r="N13" s="982"/>
      <c r="O13" s="982"/>
      <c r="P13" s="982"/>
      <c r="Q13" s="982"/>
      <c r="R13" s="982"/>
      <c r="S13" s="982"/>
      <c r="T13" s="982"/>
      <c r="U13" s="3304">
        <v>2016</v>
      </c>
      <c r="V13" s="982"/>
      <c r="W13" s="982"/>
      <c r="X13" s="982"/>
      <c r="Y13" s="982"/>
      <c r="Z13" s="982"/>
      <c r="AA13" s="982"/>
      <c r="AB13" s="982"/>
      <c r="AC13" s="1508"/>
      <c r="AD13" s="1508"/>
      <c r="AE13" s="1508"/>
      <c r="AF13" s="982"/>
      <c r="AG13" s="982"/>
      <c r="AH13" s="1509" t="s">
        <v>8</v>
      </c>
      <c r="AI13" s="1507"/>
      <c r="AJ13" s="1509" t="s">
        <v>9</v>
      </c>
    </row>
    <row r="14" spans="1:37" ht="15.6">
      <c r="A14" s="430"/>
      <c r="B14" s="430"/>
      <c r="C14" s="1509" t="s">
        <v>129</v>
      </c>
      <c r="D14" s="982"/>
      <c r="E14" s="1509" t="s">
        <v>130</v>
      </c>
      <c r="F14" s="982"/>
      <c r="G14" s="1509" t="s">
        <v>131</v>
      </c>
      <c r="H14" s="982"/>
      <c r="I14" s="1509" t="s">
        <v>132</v>
      </c>
      <c r="J14" s="982"/>
      <c r="K14" s="1509" t="s">
        <v>133</v>
      </c>
      <c r="L14" s="982"/>
      <c r="M14" s="1509" t="s">
        <v>134</v>
      </c>
      <c r="N14" s="982"/>
      <c r="O14" s="1509" t="s">
        <v>135</v>
      </c>
      <c r="P14" s="982"/>
      <c r="Q14" s="1509" t="s">
        <v>136</v>
      </c>
      <c r="R14" s="982"/>
      <c r="S14" s="1509" t="s">
        <v>137</v>
      </c>
      <c r="T14" s="982"/>
      <c r="U14" s="1509" t="s">
        <v>138</v>
      </c>
      <c r="V14" s="982"/>
      <c r="W14" s="1509" t="s">
        <v>139</v>
      </c>
      <c r="X14" s="982"/>
      <c r="Y14" s="1509" t="s">
        <v>140</v>
      </c>
      <c r="Z14" s="982"/>
      <c r="AA14" s="982"/>
      <c r="AB14" s="1510">
        <v>2015</v>
      </c>
      <c r="AC14" s="982"/>
      <c r="AD14" s="982"/>
      <c r="AE14" s="1510">
        <v>2014</v>
      </c>
      <c r="AF14" s="1508"/>
      <c r="AG14" s="1508"/>
      <c r="AH14" s="1928" t="s">
        <v>13</v>
      </c>
      <c r="AI14" s="1507"/>
      <c r="AJ14" s="1928" t="s">
        <v>14</v>
      </c>
    </row>
    <row r="15" spans="1:37" ht="5.25" customHeight="1">
      <c r="A15" s="430"/>
      <c r="B15" s="430"/>
      <c r="C15" s="985"/>
      <c r="D15" s="430"/>
      <c r="E15" s="985"/>
      <c r="F15" s="430"/>
      <c r="G15" s="985"/>
      <c r="H15" s="430"/>
      <c r="I15" s="985"/>
      <c r="J15" s="430"/>
      <c r="K15" s="985"/>
      <c r="L15" s="430"/>
      <c r="M15" s="985"/>
      <c r="N15" s="430"/>
      <c r="O15" s="985" t="s">
        <v>16</v>
      </c>
      <c r="P15" s="430"/>
      <c r="Q15" s="985"/>
      <c r="R15" s="430"/>
      <c r="S15" s="985"/>
      <c r="T15" s="430"/>
      <c r="U15" s="985" t="s">
        <v>16</v>
      </c>
      <c r="V15" s="430"/>
      <c r="W15" s="985"/>
      <c r="X15" s="430"/>
      <c r="Y15" s="985"/>
      <c r="Z15" s="430"/>
      <c r="AA15" s="430"/>
      <c r="AB15" s="985"/>
      <c r="AC15" s="430"/>
      <c r="AD15" s="430"/>
      <c r="AE15" s="985"/>
      <c r="AF15" s="2111"/>
      <c r="AG15" s="2111"/>
      <c r="AI15" s="430"/>
    </row>
    <row r="16" spans="1:37" ht="15.6">
      <c r="A16" s="983" t="s">
        <v>141</v>
      </c>
      <c r="B16" s="430"/>
      <c r="C16" s="1328">
        <v>9890.7999999999993</v>
      </c>
      <c r="D16" s="986"/>
      <c r="E16" s="986">
        <f>C142</f>
        <v>14306.4</v>
      </c>
      <c r="F16" s="986"/>
      <c r="G16" s="986">
        <f>E142</f>
        <v>14119.1</v>
      </c>
      <c r="H16" s="986"/>
      <c r="I16" s="986">
        <f>G142</f>
        <v>15151.4</v>
      </c>
      <c r="J16" s="986"/>
      <c r="K16" s="986">
        <f>I142</f>
        <v>14614.9</v>
      </c>
      <c r="L16" s="986"/>
      <c r="M16" s="986">
        <f>K142</f>
        <v>15044.9</v>
      </c>
      <c r="N16" s="986"/>
      <c r="O16" s="986">
        <f>M142</f>
        <v>13855.2</v>
      </c>
      <c r="P16" s="986"/>
      <c r="Q16" s="986">
        <f>O142</f>
        <v>15563</v>
      </c>
      <c r="R16" s="986"/>
      <c r="S16" s="986">
        <f>Q142</f>
        <v>14816.5</v>
      </c>
      <c r="T16" s="986"/>
      <c r="U16" s="986"/>
      <c r="V16" s="986"/>
      <c r="W16" s="986"/>
      <c r="X16" s="986"/>
      <c r="Y16" s="986"/>
      <c r="Z16" s="986"/>
      <c r="AA16" s="1929"/>
      <c r="AB16" s="986">
        <f>C16</f>
        <v>9890.7999999999993</v>
      </c>
      <c r="AC16" s="986"/>
      <c r="AD16" s="988"/>
      <c r="AE16" s="986">
        <v>4789.1000000000004</v>
      </c>
      <c r="AF16" s="2112"/>
      <c r="AG16" s="2112"/>
      <c r="AH16" s="986">
        <f>ROUND(SUM(AB16-AE16),1)</f>
        <v>5101.7</v>
      </c>
      <c r="AI16" s="982"/>
      <c r="AJ16" s="513">
        <f>ROUND(SUM(AH16/AE16),3)</f>
        <v>1.0649999999999999</v>
      </c>
      <c r="AK16" s="795"/>
    </row>
    <row r="17" spans="1:36" ht="15">
      <c r="A17" s="430"/>
      <c r="B17" s="430"/>
      <c r="C17" s="430" t="s">
        <v>16</v>
      </c>
      <c r="D17" s="430"/>
      <c r="E17" s="989"/>
      <c r="F17" s="430"/>
      <c r="G17" s="989"/>
      <c r="H17" s="430"/>
      <c r="I17" s="989"/>
      <c r="J17" s="430"/>
      <c r="K17" s="989"/>
      <c r="L17" s="430"/>
      <c r="M17" s="989"/>
      <c r="N17" s="430"/>
      <c r="O17" s="989"/>
      <c r="P17" s="430"/>
      <c r="Q17" s="989"/>
      <c r="R17" s="430"/>
      <c r="S17" s="989"/>
      <c r="T17" s="430"/>
      <c r="U17" s="989"/>
      <c r="V17" s="430"/>
      <c r="W17" s="989"/>
      <c r="X17" s="430"/>
      <c r="Y17" s="989"/>
      <c r="Z17" s="430"/>
      <c r="AA17" s="1930"/>
      <c r="AB17" s="430" t="s">
        <v>16</v>
      </c>
      <c r="AC17" s="430"/>
      <c r="AD17" s="991"/>
      <c r="AE17" s="430" t="s">
        <v>16</v>
      </c>
      <c r="AF17" s="2111"/>
      <c r="AG17" s="2111"/>
      <c r="AH17" s="1714"/>
      <c r="AI17" s="430"/>
      <c r="AJ17" s="1714"/>
    </row>
    <row r="18" spans="1:36" ht="15.6">
      <c r="A18" s="410" t="s">
        <v>15</v>
      </c>
      <c r="B18" s="430"/>
      <c r="C18" s="430"/>
      <c r="D18" s="430"/>
      <c r="E18" s="989"/>
      <c r="F18" s="430"/>
      <c r="G18" s="989"/>
      <c r="H18" s="430"/>
      <c r="I18" s="989"/>
      <c r="J18" s="430"/>
      <c r="K18" s="989"/>
      <c r="L18" s="430"/>
      <c r="M18" s="989"/>
      <c r="N18" s="430"/>
      <c r="O18" s="989"/>
      <c r="P18" s="430"/>
      <c r="Q18" s="989"/>
      <c r="R18" s="430"/>
      <c r="S18" s="989"/>
      <c r="T18" s="430"/>
      <c r="U18" s="989"/>
      <c r="V18" s="430"/>
      <c r="W18" s="989"/>
      <c r="X18" s="430"/>
      <c r="Y18" s="989"/>
      <c r="Z18" s="430"/>
      <c r="AA18" s="1930"/>
      <c r="AB18" s="430"/>
      <c r="AC18" s="430"/>
      <c r="AD18" s="991"/>
      <c r="AE18" s="430"/>
      <c r="AF18" s="2111"/>
      <c r="AG18" s="2111"/>
      <c r="AH18" s="1714"/>
      <c r="AI18" s="430"/>
      <c r="AJ18" s="1714"/>
    </row>
    <row r="19" spans="1:36" ht="15.6">
      <c r="A19" s="490" t="s">
        <v>1359</v>
      </c>
      <c r="B19" s="430"/>
      <c r="C19" s="430"/>
      <c r="D19" s="430"/>
      <c r="E19" s="989"/>
      <c r="F19" s="430"/>
      <c r="G19" s="989"/>
      <c r="H19" s="430"/>
      <c r="I19" s="989"/>
      <c r="J19" s="430"/>
      <c r="K19" s="989"/>
      <c r="L19" s="430"/>
      <c r="M19" s="989"/>
      <c r="N19" s="430"/>
      <c r="O19" s="989"/>
      <c r="P19" s="430"/>
      <c r="Q19" s="989"/>
      <c r="R19" s="430"/>
      <c r="S19" s="989"/>
      <c r="T19" s="430"/>
      <c r="U19" s="989"/>
      <c r="V19" s="430"/>
      <c r="W19" s="989"/>
      <c r="X19" s="430"/>
      <c r="Y19" s="989"/>
      <c r="Z19" s="430"/>
      <c r="AA19" s="990"/>
      <c r="AB19" s="430"/>
      <c r="AC19" s="430"/>
      <c r="AD19" s="991"/>
      <c r="AE19" s="430"/>
      <c r="AF19" s="2111"/>
      <c r="AG19" s="2111"/>
      <c r="AH19" s="1714"/>
      <c r="AI19" s="430"/>
      <c r="AJ19" s="1714"/>
    </row>
    <row r="20" spans="1:36" ht="15">
      <c r="A20" s="2076" t="s">
        <v>1433</v>
      </c>
      <c r="B20" s="430"/>
      <c r="C20" s="430"/>
      <c r="D20" s="430"/>
      <c r="E20" s="989"/>
      <c r="F20" s="430"/>
      <c r="G20" s="989"/>
      <c r="H20" s="430"/>
      <c r="I20" s="989"/>
      <c r="J20" s="430"/>
      <c r="K20" s="989"/>
      <c r="L20" s="430"/>
      <c r="M20" s="989"/>
      <c r="N20" s="430"/>
      <c r="O20" s="989"/>
      <c r="P20" s="430"/>
      <c r="Q20" s="989"/>
      <c r="R20" s="430"/>
      <c r="S20" s="989"/>
      <c r="T20" s="430"/>
      <c r="U20" s="989"/>
      <c r="V20" s="430"/>
      <c r="W20" s="989"/>
      <c r="X20" s="430"/>
      <c r="Y20" s="989"/>
      <c r="Z20" s="430"/>
      <c r="AA20" s="1930"/>
      <c r="AB20" s="430"/>
      <c r="AC20" s="430"/>
      <c r="AD20" s="991"/>
      <c r="AE20" s="430"/>
      <c r="AF20" s="2111"/>
      <c r="AG20" s="2111"/>
      <c r="AH20" s="1714"/>
      <c r="AI20" s="430"/>
      <c r="AJ20" s="1714"/>
    </row>
    <row r="21" spans="1:36" ht="15">
      <c r="A21" s="1270" t="s">
        <v>1367</v>
      </c>
      <c r="B21" s="430"/>
      <c r="C21" s="992">
        <f>+'Exhibit F'!D19</f>
        <v>2961.1</v>
      </c>
      <c r="D21" s="992"/>
      <c r="E21" s="992">
        <f>+'Exhibit F'!F19</f>
        <v>2449.1999999999998</v>
      </c>
      <c r="F21" s="992"/>
      <c r="G21" s="992">
        <f>+'Exhibit F'!H19</f>
        <v>2626.3</v>
      </c>
      <c r="H21" s="992"/>
      <c r="I21" s="992">
        <f>+'Exhibit F'!J19</f>
        <v>2676.2</v>
      </c>
      <c r="J21" s="992"/>
      <c r="K21" s="992">
        <f>+'Exhibit F'!L19</f>
        <v>2498.8000000000002</v>
      </c>
      <c r="L21" s="992"/>
      <c r="M21" s="992">
        <f>+'Exhibit F'!N19</f>
        <v>2679.4</v>
      </c>
      <c r="N21" s="992"/>
      <c r="O21" s="992">
        <f>+'Exhibit F'!P19</f>
        <v>2464.8000000000002</v>
      </c>
      <c r="P21" s="430"/>
      <c r="Q21" s="992">
        <f>+'Exhibit F'!R19</f>
        <v>2549.6999999999998</v>
      </c>
      <c r="R21" s="430"/>
      <c r="S21" s="992">
        <f>+'Exhibit F'!T19</f>
        <v>3695.6</v>
      </c>
      <c r="T21" s="430"/>
      <c r="U21" s="992"/>
      <c r="V21" s="430"/>
      <c r="W21" s="992"/>
      <c r="X21" s="430"/>
      <c r="Y21" s="992"/>
      <c r="Z21" s="430"/>
      <c r="AA21" s="1930"/>
      <c r="AB21" s="992">
        <f t="shared" ref="AB21:AB29" si="0">ROUND(SUM(C21:Y21),1)</f>
        <v>24601.1</v>
      </c>
      <c r="AC21" s="430"/>
      <c r="AD21" s="991"/>
      <c r="AE21" s="430">
        <f>+'Exhibit F'!AF19</f>
        <v>23385.9</v>
      </c>
      <c r="AF21" s="2111"/>
      <c r="AG21" s="2111"/>
      <c r="AH21" s="1171">
        <f>ROUND(SUM(+AB21-AE21),1)</f>
        <v>1215.2</v>
      </c>
      <c r="AI21" s="2091"/>
      <c r="AJ21" s="1932">
        <f t="shared" ref="AJ21:AJ26" si="1">ROUND(SUM(+AH21/ABS(AE21)),3)</f>
        <v>5.1999999999999998E-2</v>
      </c>
    </row>
    <row r="22" spans="1:36" ht="15">
      <c r="A22" s="1270" t="s">
        <v>1368</v>
      </c>
      <c r="B22" s="430"/>
      <c r="C22" s="992">
        <f>+'Exhibit F'!D20</f>
        <v>5313.5</v>
      </c>
      <c r="D22" s="992"/>
      <c r="E22" s="992">
        <f>+'Exhibit F'!F20</f>
        <v>124.7</v>
      </c>
      <c r="F22" s="992"/>
      <c r="G22" s="992">
        <f>+'Exhibit F'!H20</f>
        <v>2261</v>
      </c>
      <c r="H22" s="992"/>
      <c r="I22" s="992">
        <f>+'Exhibit F'!J20</f>
        <v>102.9</v>
      </c>
      <c r="J22" s="992"/>
      <c r="K22" s="992">
        <f>+'Exhibit F'!L20</f>
        <v>97.6</v>
      </c>
      <c r="L22" s="992"/>
      <c r="M22" s="992">
        <f>+'Exhibit F'!N20</f>
        <v>2485.3000000000002</v>
      </c>
      <c r="N22" s="992"/>
      <c r="O22" s="992">
        <f>+'Exhibit F'!P20</f>
        <v>162.1</v>
      </c>
      <c r="P22" s="430"/>
      <c r="Q22" s="992">
        <f>+'Exhibit F'!R20</f>
        <v>100.2</v>
      </c>
      <c r="R22" s="430"/>
      <c r="S22" s="992">
        <f>+'Exhibit F'!T20</f>
        <v>1471.8</v>
      </c>
      <c r="T22" s="430"/>
      <c r="U22" s="992"/>
      <c r="V22" s="430"/>
      <c r="W22" s="992"/>
      <c r="X22" s="430"/>
      <c r="Y22" s="992"/>
      <c r="Z22" s="430"/>
      <c r="AA22" s="1930"/>
      <c r="AB22" s="992">
        <f t="shared" si="0"/>
        <v>12119.1</v>
      </c>
      <c r="AC22" s="430"/>
      <c r="AD22" s="991"/>
      <c r="AE22" s="430">
        <f>+'Exhibit F'!AF20</f>
        <v>10006.700000000001</v>
      </c>
      <c r="AF22" s="2111"/>
      <c r="AG22" s="2111"/>
      <c r="AH22" s="1171">
        <f t="shared" ref="AH22:AH28" si="2">ROUND(SUM(+AB22-AE22),1)</f>
        <v>2112.4</v>
      </c>
      <c r="AI22" s="2091"/>
      <c r="AJ22" s="1932">
        <f t="shared" si="1"/>
        <v>0.21099999999999999</v>
      </c>
    </row>
    <row r="23" spans="1:36" ht="15">
      <c r="A23" s="1270" t="s">
        <v>1369</v>
      </c>
      <c r="B23" s="430"/>
      <c r="C23" s="992">
        <f>+'Exhibit F'!D21</f>
        <v>1687.1</v>
      </c>
      <c r="D23" s="992"/>
      <c r="E23" s="992">
        <f>+'Exhibit F'!F21</f>
        <v>78.2</v>
      </c>
      <c r="F23" s="992"/>
      <c r="G23" s="992">
        <f>+'Exhibit F'!H21</f>
        <v>47.5</v>
      </c>
      <c r="H23" s="992"/>
      <c r="I23" s="992">
        <f>+'Exhibit F'!J21</f>
        <v>40.1</v>
      </c>
      <c r="J23" s="992"/>
      <c r="K23" s="992">
        <f>+'Exhibit F'!L21</f>
        <v>31.5</v>
      </c>
      <c r="L23" s="992"/>
      <c r="M23" s="992">
        <f>+'Exhibit F'!N21</f>
        <v>61</v>
      </c>
      <c r="N23" s="992"/>
      <c r="O23" s="992">
        <f>+'Exhibit F'!P21</f>
        <v>416</v>
      </c>
      <c r="P23" s="430"/>
      <c r="Q23" s="992">
        <f>+'Exhibit F'!R21</f>
        <v>31.9</v>
      </c>
      <c r="R23" s="430"/>
      <c r="S23" s="992">
        <f>+'Exhibit F'!T21</f>
        <v>32.5</v>
      </c>
      <c r="T23" s="430"/>
      <c r="U23" s="992"/>
      <c r="V23" s="430"/>
      <c r="W23" s="992"/>
      <c r="X23" s="430"/>
      <c r="Y23" s="992"/>
      <c r="Z23" s="430"/>
      <c r="AA23" s="1930"/>
      <c r="AB23" s="992">
        <f t="shared" si="0"/>
        <v>2425.8000000000002</v>
      </c>
      <c r="AC23" s="430"/>
      <c r="AD23" s="991"/>
      <c r="AE23" s="430">
        <f>+'Exhibit F'!AF21</f>
        <v>2050.4</v>
      </c>
      <c r="AF23" s="2111"/>
      <c r="AG23" s="2111"/>
      <c r="AH23" s="1171">
        <f t="shared" si="2"/>
        <v>375.4</v>
      </c>
      <c r="AI23" s="2091"/>
      <c r="AJ23" s="1932">
        <f t="shared" si="1"/>
        <v>0.183</v>
      </c>
    </row>
    <row r="24" spans="1:36" ht="15">
      <c r="A24" s="2114" t="s">
        <v>1370</v>
      </c>
      <c r="B24" s="430"/>
      <c r="C24" s="992">
        <f>+'Exhibit F'!D22</f>
        <v>-144.80000000000001</v>
      </c>
      <c r="D24" s="992"/>
      <c r="E24" s="992">
        <f>+'Exhibit F'!F22</f>
        <v>-26.1</v>
      </c>
      <c r="F24" s="992"/>
      <c r="G24" s="992">
        <f>+'Exhibit F'!H22</f>
        <v>-21.1</v>
      </c>
      <c r="H24" s="992"/>
      <c r="I24" s="992">
        <f>+'Exhibit F'!J22</f>
        <v>-12.4</v>
      </c>
      <c r="J24" s="992"/>
      <c r="K24" s="992">
        <f>+'Exhibit F'!L22</f>
        <v>-11.9</v>
      </c>
      <c r="L24" s="992"/>
      <c r="M24" s="992">
        <f>+'Exhibit F'!N22</f>
        <v>-32.9</v>
      </c>
      <c r="N24" s="992"/>
      <c r="O24" s="992">
        <f>+'Exhibit F'!P22</f>
        <v>-266.7</v>
      </c>
      <c r="P24" s="430"/>
      <c r="Q24" s="992">
        <f>+'Exhibit F'!R22</f>
        <v>-74.7</v>
      </c>
      <c r="R24" s="430"/>
      <c r="S24" s="992">
        <f>+'Exhibit F'!T22</f>
        <v>-13</v>
      </c>
      <c r="T24" s="430"/>
      <c r="U24" s="992"/>
      <c r="V24" s="430"/>
      <c r="W24" s="992"/>
      <c r="X24" s="430"/>
      <c r="Y24" s="992"/>
      <c r="Z24" s="430"/>
      <c r="AA24" s="1930"/>
      <c r="AB24" s="992">
        <f t="shared" si="0"/>
        <v>-603.6</v>
      </c>
      <c r="AC24" s="430"/>
      <c r="AD24" s="991"/>
      <c r="AE24" s="430">
        <f>+'Exhibit F'!AF22</f>
        <v>-518</v>
      </c>
      <c r="AF24" s="2111"/>
      <c r="AG24" s="2111"/>
      <c r="AH24" s="1171">
        <f>-ROUND(SUM(+AB24-AE24),1)</f>
        <v>85.6</v>
      </c>
      <c r="AI24" s="2091"/>
      <c r="AJ24" s="1932">
        <f t="shared" si="1"/>
        <v>0.16500000000000001</v>
      </c>
    </row>
    <row r="25" spans="1:36" ht="15">
      <c r="A25" s="2114" t="s">
        <v>1371</v>
      </c>
      <c r="B25" s="430"/>
      <c r="C25" s="992">
        <f>+'Exhibit F'!D23</f>
        <v>143.69999999999999</v>
      </c>
      <c r="D25" s="992"/>
      <c r="E25" s="992">
        <f>+'Exhibit F'!F23</f>
        <v>95.5</v>
      </c>
      <c r="F25" s="992"/>
      <c r="G25" s="992">
        <f>+'Exhibit F'!H23</f>
        <v>110.2</v>
      </c>
      <c r="H25" s="992"/>
      <c r="I25" s="992">
        <f>+'Exhibit F'!J23</f>
        <v>82.7</v>
      </c>
      <c r="J25" s="992"/>
      <c r="K25" s="992">
        <f>+'Exhibit F'!L23</f>
        <v>73.5</v>
      </c>
      <c r="L25" s="992"/>
      <c r="M25" s="992">
        <f>+'Exhibit F'!N23</f>
        <v>73.5</v>
      </c>
      <c r="N25" s="992"/>
      <c r="O25" s="992">
        <f>+'Exhibit F'!P23</f>
        <v>89.3</v>
      </c>
      <c r="P25" s="430"/>
      <c r="Q25" s="992">
        <f>+'Exhibit F'!R23</f>
        <v>88.8</v>
      </c>
      <c r="R25" s="430"/>
      <c r="S25" s="992">
        <f>+'Exhibit F'!T23</f>
        <v>103.8</v>
      </c>
      <c r="T25" s="430"/>
      <c r="U25" s="992"/>
      <c r="V25" s="430"/>
      <c r="W25" s="992"/>
      <c r="X25" s="430"/>
      <c r="Y25" s="992"/>
      <c r="Z25" s="430"/>
      <c r="AA25" s="1930"/>
      <c r="AB25" s="992">
        <f t="shared" si="0"/>
        <v>861</v>
      </c>
      <c r="AC25" s="430"/>
      <c r="AD25" s="991"/>
      <c r="AE25" s="430">
        <f>+'Exhibit F'!AF23</f>
        <v>836.8</v>
      </c>
      <c r="AF25" s="2111"/>
      <c r="AG25" s="2111"/>
      <c r="AH25" s="1171">
        <f t="shared" si="2"/>
        <v>24.2</v>
      </c>
      <c r="AI25" s="2091"/>
      <c r="AJ25" s="1932">
        <f t="shared" si="1"/>
        <v>2.9000000000000001E-2</v>
      </c>
    </row>
    <row r="26" spans="1:36" ht="15.6">
      <c r="A26" s="1271" t="s">
        <v>1372</v>
      </c>
      <c r="B26" s="430"/>
      <c r="C26" s="484">
        <f>ROUND(SUM(C21:C25),1)</f>
        <v>9960.6</v>
      </c>
      <c r="D26" s="430"/>
      <c r="E26" s="484">
        <f>ROUND(SUM(E21:E25),1)</f>
        <v>2721.5</v>
      </c>
      <c r="F26" s="430"/>
      <c r="G26" s="484">
        <f>ROUND(SUM(G21:G25),1)</f>
        <v>5023.8999999999996</v>
      </c>
      <c r="H26" s="430"/>
      <c r="I26" s="484">
        <f>ROUND(SUM(I21:I25),1)</f>
        <v>2889.5</v>
      </c>
      <c r="J26" s="430"/>
      <c r="K26" s="484">
        <f>ROUND(SUM(K21:K25),1)</f>
        <v>2689.5</v>
      </c>
      <c r="L26" s="430"/>
      <c r="M26" s="484">
        <f>ROUND(SUM(M21:M25),1)</f>
        <v>5266.3</v>
      </c>
      <c r="N26" s="430"/>
      <c r="O26" s="484">
        <f>ROUND(SUM(O21:O25),1)</f>
        <v>2865.5</v>
      </c>
      <c r="P26" s="430"/>
      <c r="Q26" s="484">
        <f>ROUND(SUM(Q21:Q25),1)</f>
        <v>2695.9</v>
      </c>
      <c r="R26" s="430"/>
      <c r="S26" s="484">
        <f>ROUND(SUM(S21:S25),1)</f>
        <v>5290.7</v>
      </c>
      <c r="T26" s="430"/>
      <c r="U26" s="484">
        <f>ROUND(SUM(U21:U25),1)</f>
        <v>0</v>
      </c>
      <c r="V26" s="430"/>
      <c r="W26" s="484">
        <f>ROUND(SUM(W21:W25),1)</f>
        <v>0</v>
      </c>
      <c r="X26" s="430"/>
      <c r="Y26" s="484">
        <f>ROUND(SUM(Y21:Y25),1)</f>
        <v>0</v>
      </c>
      <c r="Z26" s="430"/>
      <c r="AA26" s="1930"/>
      <c r="AB26" s="484">
        <f>ROUND(SUM(AB21:AB25),1)</f>
        <v>39403.4</v>
      </c>
      <c r="AC26" s="430"/>
      <c r="AD26" s="991"/>
      <c r="AE26" s="484">
        <f>ROUND(SUM(AE21:AE25),1)</f>
        <v>35761.800000000003</v>
      </c>
      <c r="AF26" s="2111"/>
      <c r="AG26" s="2111"/>
      <c r="AH26" s="256">
        <f t="shared" si="2"/>
        <v>3641.6</v>
      </c>
      <c r="AI26" s="2091"/>
      <c r="AJ26" s="528">
        <f t="shared" si="1"/>
        <v>0.10199999999999999</v>
      </c>
    </row>
    <row r="27" spans="1:36" ht="15">
      <c r="A27" s="2114" t="s">
        <v>1374</v>
      </c>
      <c r="B27" s="430"/>
      <c r="C27" s="992">
        <f>+'Exhibit F'!D25+'Exhibit G state'!D16</f>
        <v>0</v>
      </c>
      <c r="D27" s="430"/>
      <c r="E27" s="992">
        <f>+'Exhibit F'!F25+'Exhibit G state'!F16</f>
        <v>0</v>
      </c>
      <c r="F27" s="430"/>
      <c r="G27" s="992">
        <f>+'Exhibit F'!H25+'Exhibit G state'!H16</f>
        <v>0</v>
      </c>
      <c r="H27" s="430"/>
      <c r="I27" s="992">
        <f>+'Exhibit F'!J25+'Exhibit G state'!J16</f>
        <v>0</v>
      </c>
      <c r="J27" s="430"/>
      <c r="K27" s="992">
        <f>+'Exhibit F'!L25+'Exhibit G state'!L16</f>
        <v>0</v>
      </c>
      <c r="L27" s="430"/>
      <c r="M27" s="992">
        <f>+'Exhibit F'!N25+'Exhibit G state'!N16</f>
        <v>0</v>
      </c>
      <c r="N27" s="430"/>
      <c r="O27" s="992">
        <f>+'Exhibit F'!P25+'Exhibit G state'!P16</f>
        <v>0</v>
      </c>
      <c r="P27" s="430"/>
      <c r="Q27" s="992">
        <f>+'Exhibit F'!R25+'Exhibit G state'!R16</f>
        <v>0</v>
      </c>
      <c r="R27" s="430"/>
      <c r="S27" s="992">
        <f>+'Exhibit F'!T25+'Exhibit G state'!T16</f>
        <v>0</v>
      </c>
      <c r="T27" s="430"/>
      <c r="U27" s="992"/>
      <c r="V27" s="430"/>
      <c r="W27" s="992"/>
      <c r="X27" s="430"/>
      <c r="Y27" s="992"/>
      <c r="Z27" s="430"/>
      <c r="AA27" s="1930"/>
      <c r="AB27" s="992">
        <f t="shared" si="0"/>
        <v>0</v>
      </c>
      <c r="AC27" s="430"/>
      <c r="AD27" s="991"/>
      <c r="AE27" s="992">
        <f>+'Exhibit F'!AF25+'Exhibit G state'!AH16</f>
        <v>0</v>
      </c>
      <c r="AF27" s="2111"/>
      <c r="AG27" s="2111"/>
      <c r="AH27" s="1171">
        <f t="shared" si="2"/>
        <v>0</v>
      </c>
      <c r="AI27" s="2091"/>
      <c r="AJ27" s="1864">
        <f>ROUND(IF(AE27=0,0,AH27/ABS(AE27)),3)</f>
        <v>0</v>
      </c>
    </row>
    <row r="28" spans="1:36" ht="15">
      <c r="A28" s="2114" t="s">
        <v>1375</v>
      </c>
      <c r="B28" s="430"/>
      <c r="C28" s="992">
        <f>+'Exhibit F'!D26+'Exhibit H'!B16</f>
        <v>0</v>
      </c>
      <c r="D28" s="430"/>
      <c r="E28" s="992">
        <f>+'Exhibit F'!F26+'Exhibit H'!D16</f>
        <v>0</v>
      </c>
      <c r="F28" s="430"/>
      <c r="G28" s="992">
        <f>+'Exhibit F'!H26+'Exhibit H'!F16</f>
        <v>0</v>
      </c>
      <c r="H28" s="430"/>
      <c r="I28" s="992">
        <f>+'Exhibit F'!J26+'Exhibit H'!H16</f>
        <v>0</v>
      </c>
      <c r="J28" s="430"/>
      <c r="K28" s="992">
        <f>+'Exhibit F'!L26+'Exhibit H'!J16</f>
        <v>0</v>
      </c>
      <c r="L28" s="430"/>
      <c r="M28" s="992">
        <f>+'Exhibit F'!N26+'Exhibit H'!L16</f>
        <v>0</v>
      </c>
      <c r="N28" s="430"/>
      <c r="O28" s="992">
        <f>+'Exhibit F'!P26+'Exhibit H'!N16</f>
        <v>0</v>
      </c>
      <c r="P28" s="430"/>
      <c r="Q28" s="992">
        <f>+'Exhibit F'!R26+'Exhibit H'!P16</f>
        <v>0</v>
      </c>
      <c r="R28" s="430"/>
      <c r="S28" s="992">
        <f>+'Exhibit F'!T26+'Exhibit H'!R16</f>
        <v>0</v>
      </c>
      <c r="T28" s="430"/>
      <c r="U28" s="992"/>
      <c r="V28" s="430"/>
      <c r="W28" s="992"/>
      <c r="X28" s="430"/>
      <c r="Y28" s="992"/>
      <c r="Z28" s="430"/>
      <c r="AA28" s="1930"/>
      <c r="AB28" s="992">
        <f t="shared" si="0"/>
        <v>0</v>
      </c>
      <c r="AC28" s="430"/>
      <c r="AD28" s="991"/>
      <c r="AE28" s="992">
        <f>+'Exhibit F'!AF26+'Exhibit H'!AD16</f>
        <v>0</v>
      </c>
      <c r="AF28" s="2111"/>
      <c r="AG28" s="2111"/>
      <c r="AH28" s="1171">
        <f t="shared" si="2"/>
        <v>0</v>
      </c>
      <c r="AI28" s="2091"/>
      <c r="AJ28" s="1864">
        <f>ROUND(IF(AE28=0,0,AH28/ABS(AE28)),3)</f>
        <v>0</v>
      </c>
    </row>
    <row r="29" spans="1:36" ht="15">
      <c r="A29" s="1270" t="s">
        <v>1376</v>
      </c>
      <c r="B29" s="992"/>
      <c r="C29" s="992">
        <f>+'Exhibit F'!D27</f>
        <v>-3242.2</v>
      </c>
      <c r="D29" s="992"/>
      <c r="E29" s="992">
        <f>+'Exhibit F'!F27</f>
        <v>-400.7</v>
      </c>
      <c r="F29" s="992"/>
      <c r="G29" s="992">
        <f>+'Exhibit F'!H27</f>
        <v>-219.1</v>
      </c>
      <c r="H29" s="992"/>
      <c r="I29" s="992">
        <f>+'Exhibit F'!J27</f>
        <v>-167.6</v>
      </c>
      <c r="J29" s="992"/>
      <c r="K29" s="992">
        <f>+'Exhibit F'!L27</f>
        <v>-144.69999999999999</v>
      </c>
      <c r="L29" s="430"/>
      <c r="M29" s="992">
        <f>+'Exhibit F'!N27</f>
        <v>-143.4</v>
      </c>
      <c r="N29" s="430"/>
      <c r="O29" s="992">
        <f>+'Exhibit F'!P27</f>
        <v>-414.8</v>
      </c>
      <c r="P29" s="430"/>
      <c r="Q29" s="992">
        <f>+'Exhibit F'!R27</f>
        <v>-355.3</v>
      </c>
      <c r="R29" s="430"/>
      <c r="S29" s="992">
        <f>+'Exhibit F'!T27</f>
        <v>-295.10000000000002</v>
      </c>
      <c r="T29" s="430"/>
      <c r="U29" s="992"/>
      <c r="V29" s="430"/>
      <c r="W29" s="992"/>
      <c r="X29" s="430"/>
      <c r="Y29" s="992"/>
      <c r="Z29" s="430"/>
      <c r="AA29" s="1930"/>
      <c r="AB29" s="992">
        <f t="shared" si="0"/>
        <v>-5382.9</v>
      </c>
      <c r="AC29" s="430"/>
      <c r="AD29" s="991"/>
      <c r="AE29" s="430">
        <f>+'Exhibit F'!AF27</f>
        <v>-5587.7</v>
      </c>
      <c r="AF29" s="2111"/>
      <c r="AG29" s="2111"/>
      <c r="AH29" s="1171">
        <f>-ROUND(SUM(+AB29-AE29),1)</f>
        <v>-204.8</v>
      </c>
      <c r="AI29" s="2091"/>
      <c r="AJ29" s="1932">
        <f>ROUND(SUM(+AH29/ABS(AE29)),3)</f>
        <v>-3.6999999999999998E-2</v>
      </c>
    </row>
    <row r="30" spans="1:36" ht="15.6">
      <c r="A30" s="589" t="s">
        <v>1373</v>
      </c>
      <c r="B30" s="430"/>
      <c r="C30" s="484">
        <f>ROUND(SUM(C26+C27+C28+C29),1)</f>
        <v>6718.4</v>
      </c>
      <c r="D30" s="430"/>
      <c r="E30" s="484">
        <f>ROUND(SUM(E26+E27+E28+E29),1)</f>
        <v>2320.8000000000002</v>
      </c>
      <c r="F30" s="430"/>
      <c r="G30" s="484">
        <f>ROUND(SUM(G26+G27+G28+G29),1)</f>
        <v>4804.8</v>
      </c>
      <c r="H30" s="430"/>
      <c r="I30" s="484">
        <f>ROUND(SUM(I26+I27+I28+I29),1)</f>
        <v>2721.9</v>
      </c>
      <c r="J30" s="430"/>
      <c r="K30" s="484">
        <f>ROUND(SUM(K26+K27+K28+K29),1)</f>
        <v>2544.8000000000002</v>
      </c>
      <c r="L30" s="430"/>
      <c r="M30" s="484">
        <f>ROUND(SUM(M26+M27+M28+M29),1)</f>
        <v>5122.8999999999996</v>
      </c>
      <c r="N30" s="430"/>
      <c r="O30" s="484">
        <f>ROUND(SUM(O26+O27+O28+O29),1)</f>
        <v>2450.6999999999998</v>
      </c>
      <c r="P30" s="430"/>
      <c r="Q30" s="484">
        <f>ROUND(SUM(Q26+Q27+Q28+Q29),1)</f>
        <v>2340.6</v>
      </c>
      <c r="R30" s="430"/>
      <c r="S30" s="484">
        <f>ROUND(SUM(S26+S27+S28+S29),1)</f>
        <v>4995.6000000000004</v>
      </c>
      <c r="T30" s="430"/>
      <c r="U30" s="484">
        <f>ROUND(SUM(U26+U27+U28+U29),1)</f>
        <v>0</v>
      </c>
      <c r="V30" s="430"/>
      <c r="W30" s="484">
        <f>ROUND(SUM(W26+W27+W28+W29),1)</f>
        <v>0</v>
      </c>
      <c r="X30" s="430"/>
      <c r="Y30" s="484">
        <f>ROUND(SUM(Y26+Y27+Y28+Y29),1)</f>
        <v>0</v>
      </c>
      <c r="Z30" s="430"/>
      <c r="AA30" s="1930"/>
      <c r="AB30" s="484">
        <f>ROUND(SUM(AB26+AB27+AB28+AB29),1)</f>
        <v>34020.5</v>
      </c>
      <c r="AC30" s="430"/>
      <c r="AD30" s="991"/>
      <c r="AE30" s="484">
        <f>ROUND(SUM(AE26+AE27+AE28+AE29),1)</f>
        <v>30174.1</v>
      </c>
      <c r="AF30" s="2111"/>
      <c r="AG30" s="2111"/>
      <c r="AH30" s="484">
        <f>ROUND(SUM(AH26+AH27+AH28-AH29),1)</f>
        <v>3846.4</v>
      </c>
      <c r="AI30" s="2090"/>
      <c r="AJ30" s="528">
        <f>ROUND(SUM(+AH30/ABS(AE30)),3)</f>
        <v>0.127</v>
      </c>
    </row>
    <row r="31" spans="1:36" ht="15">
      <c r="A31" s="2076" t="s">
        <v>1430</v>
      </c>
      <c r="B31" s="430"/>
      <c r="C31" s="430"/>
      <c r="D31" s="430"/>
      <c r="E31" s="430"/>
      <c r="F31" s="430"/>
      <c r="G31" s="430"/>
      <c r="H31" s="430"/>
      <c r="I31" s="430"/>
      <c r="J31" s="430"/>
      <c r="K31" s="430"/>
      <c r="L31" s="430"/>
      <c r="M31" s="430"/>
      <c r="N31" s="430"/>
      <c r="O31" s="989"/>
      <c r="P31" s="430"/>
      <c r="Q31" s="989"/>
      <c r="R31" s="430"/>
      <c r="S31" s="989"/>
      <c r="T31" s="430"/>
      <c r="U31" s="989"/>
      <c r="V31" s="430"/>
      <c r="W31" s="989"/>
      <c r="X31" s="430"/>
      <c r="Y31" s="989"/>
      <c r="Z31" s="430"/>
      <c r="AA31" s="1930"/>
      <c r="AB31" s="430"/>
      <c r="AC31" s="430"/>
      <c r="AD31" s="991"/>
      <c r="AE31" s="430"/>
      <c r="AF31" s="2111"/>
      <c r="AG31" s="2111"/>
      <c r="AH31" s="1714"/>
      <c r="AI31" s="430"/>
      <c r="AJ31" s="1714"/>
    </row>
    <row r="32" spans="1:36" ht="15">
      <c r="A32" s="1270" t="s">
        <v>1379</v>
      </c>
      <c r="B32" s="430"/>
      <c r="C32" s="992">
        <f>+'Exhibit F'!D30+'Exhibit H'!B19+'Exhibit G state'!D20</f>
        <v>1046.0999999999999</v>
      </c>
      <c r="D32" s="992"/>
      <c r="E32" s="992">
        <f>+'Exhibit F'!F30+'Exhibit H'!D19+'Exhibit G state'!F20</f>
        <v>996.40000000000009</v>
      </c>
      <c r="F32" s="992"/>
      <c r="G32" s="992">
        <f>+'Exhibit F'!H30+'Exhibit H'!F19+'Exhibit G state'!H20</f>
        <v>1366.3000000000002</v>
      </c>
      <c r="H32" s="992"/>
      <c r="I32" s="992">
        <f>+'Exhibit F'!J30+'Exhibit H'!H19+'Exhibit G state'!J20</f>
        <v>1065.3</v>
      </c>
      <c r="J32" s="992"/>
      <c r="K32" s="992">
        <f>+'Exhibit F'!L30+'Exhibit H'!J19+'Exhibit G state'!L20</f>
        <v>1033.7</v>
      </c>
      <c r="L32" s="430"/>
      <c r="M32" s="992">
        <f>+'Exhibit F'!N30+'Exhibit H'!L19+'Exhibit G state'!N20</f>
        <v>1379.4</v>
      </c>
      <c r="N32" s="430"/>
      <c r="O32" s="992">
        <f>+'Exhibit F'!P30+'Exhibit H'!N19+'Exhibit G state'!P20</f>
        <v>932.3</v>
      </c>
      <c r="P32" s="430"/>
      <c r="Q32" s="992">
        <f>+'Exhibit F'!R30+'Exhibit H'!P19+'Exhibit G state'!R20</f>
        <v>1032.5</v>
      </c>
      <c r="R32" s="430"/>
      <c r="S32" s="992">
        <f>+'Exhibit F'!T30+'Exhibit H'!R19+'Exhibit G state'!T20</f>
        <v>1267.3999999999999</v>
      </c>
      <c r="T32" s="430"/>
      <c r="U32" s="992"/>
      <c r="V32" s="430"/>
      <c r="W32" s="992"/>
      <c r="X32" s="430"/>
      <c r="Y32" s="992"/>
      <c r="Z32" s="430"/>
      <c r="AA32" s="1930"/>
      <c r="AB32" s="992">
        <f t="shared" ref="AB32:AB38" si="3">ROUND(SUM(C32:Y32),1)</f>
        <v>10119.4</v>
      </c>
      <c r="AC32" s="430"/>
      <c r="AD32" s="991"/>
      <c r="AE32" s="430">
        <f>+'Exhibit F'!AF30+'Exhibit H'!AD19+'Exhibit G state'!AH20</f>
        <v>9888.5</v>
      </c>
      <c r="AF32" s="2111"/>
      <c r="AG32" s="2111"/>
      <c r="AH32" s="1171">
        <f t="shared" ref="AH32:AH38" si="4">ROUND(SUM(+AB32-AE32),1)</f>
        <v>230.9</v>
      </c>
      <c r="AI32" s="2091"/>
      <c r="AJ32" s="1932">
        <f>ROUND(SUM(+AH32/ABS(AE32)),3)</f>
        <v>2.3E-2</v>
      </c>
    </row>
    <row r="33" spans="1:36" ht="15">
      <c r="A33" s="1270" t="s">
        <v>1380</v>
      </c>
      <c r="B33" s="430"/>
      <c r="C33" s="992">
        <f>+'Exhibit F'!D31+'Exhibit G state'!D21</f>
        <v>1.5</v>
      </c>
      <c r="D33" s="992"/>
      <c r="E33" s="992">
        <f>+'Exhibit F'!F31+'Exhibit G state'!F21</f>
        <v>0.2</v>
      </c>
      <c r="F33" s="992"/>
      <c r="G33" s="992">
        <f>+'Exhibit F'!H31+'Exhibit G state'!H21</f>
        <v>10.6</v>
      </c>
      <c r="H33" s="992"/>
      <c r="I33" s="992">
        <f>+'Exhibit F'!J31+'Exhibit G state'!J21</f>
        <v>0.1</v>
      </c>
      <c r="J33" s="992"/>
      <c r="K33" s="992">
        <f>+'Exhibit F'!L31+'Exhibit G state'!L21</f>
        <v>0</v>
      </c>
      <c r="L33" s="430"/>
      <c r="M33" s="992">
        <f>+'Exhibit F'!N31+'Exhibit G state'!N21</f>
        <v>14.7</v>
      </c>
      <c r="N33" s="430"/>
      <c r="O33" s="992">
        <f>+'Exhibit F'!P31+'Exhibit G state'!P21</f>
        <v>0.3</v>
      </c>
      <c r="P33" s="430"/>
      <c r="Q33" s="992">
        <f>+'Exhibit F'!R31+'Exhibit G state'!R21</f>
        <v>0</v>
      </c>
      <c r="R33" s="430"/>
      <c r="S33" s="992">
        <f>+'Exhibit F'!T31+'Exhibit G state'!T21</f>
        <v>11.8</v>
      </c>
      <c r="T33" s="430"/>
      <c r="U33" s="992"/>
      <c r="V33" s="430"/>
      <c r="W33" s="992"/>
      <c r="X33" s="430"/>
      <c r="Y33" s="992"/>
      <c r="Z33" s="430"/>
      <c r="AA33" s="1930"/>
      <c r="AB33" s="992">
        <f t="shared" si="3"/>
        <v>39.200000000000003</v>
      </c>
      <c r="AC33" s="430"/>
      <c r="AD33" s="991"/>
      <c r="AE33" s="430">
        <f>+'Exhibit F'!AF31+'Exhibit G state'!AH21</f>
        <v>37.5</v>
      </c>
      <c r="AF33" s="2111"/>
      <c r="AG33" s="2111"/>
      <c r="AH33" s="1171">
        <f t="shared" si="4"/>
        <v>1.7</v>
      </c>
      <c r="AI33" s="2091"/>
      <c r="AJ33" s="1932">
        <f>ROUND(SUM(+AH33/ABS(AE33)),3)</f>
        <v>4.4999999999999998E-2</v>
      </c>
    </row>
    <row r="34" spans="1:36" ht="15">
      <c r="A34" s="1270" t="s">
        <v>1381</v>
      </c>
      <c r="B34" s="430"/>
      <c r="C34" s="992">
        <f>+'Exhibit F'!D32+'Exhibit G state'!D22</f>
        <v>95.100000000000009</v>
      </c>
      <c r="D34" s="992"/>
      <c r="E34" s="992">
        <f>+'Exhibit F'!F32+'Exhibit G state'!F22</f>
        <v>98.800000000000011</v>
      </c>
      <c r="F34" s="992"/>
      <c r="G34" s="992">
        <f>+'Exhibit F'!H32+'Exhibit G state'!H22</f>
        <v>121.39999999999999</v>
      </c>
      <c r="H34" s="992"/>
      <c r="I34" s="992">
        <f>+'Exhibit F'!J32+'Exhibit G state'!J22</f>
        <v>119.2</v>
      </c>
      <c r="J34" s="992"/>
      <c r="K34" s="992">
        <f>+'Exhibit F'!L32+'Exhibit G state'!L22</f>
        <v>107.2</v>
      </c>
      <c r="L34" s="430"/>
      <c r="M34" s="992">
        <f>+'Exhibit F'!N32+'Exhibit G state'!N22</f>
        <v>121.39999999999999</v>
      </c>
      <c r="N34" s="430"/>
      <c r="O34" s="992">
        <f>+'Exhibit F'!P32+'Exhibit G state'!P22</f>
        <v>112</v>
      </c>
      <c r="P34" s="430"/>
      <c r="Q34" s="992">
        <f>+'Exhibit F'!R32+'Exhibit G state'!R22</f>
        <v>100.1</v>
      </c>
      <c r="R34" s="430"/>
      <c r="S34" s="992">
        <f>+'Exhibit F'!T32+'Exhibit G state'!T22</f>
        <v>112.9</v>
      </c>
      <c r="T34" s="430"/>
      <c r="U34" s="992"/>
      <c r="V34" s="430"/>
      <c r="W34" s="992"/>
      <c r="X34" s="430"/>
      <c r="Y34" s="992"/>
      <c r="Z34" s="430"/>
      <c r="AA34" s="1930"/>
      <c r="AB34" s="992">
        <f t="shared" si="3"/>
        <v>988.1</v>
      </c>
      <c r="AC34" s="430"/>
      <c r="AD34" s="991"/>
      <c r="AE34" s="430">
        <f>+'Exhibit F'!AF32+'Exhibit G state'!AH22</f>
        <v>1045.5</v>
      </c>
      <c r="AF34" s="2111"/>
      <c r="AG34" s="2111"/>
      <c r="AH34" s="1171">
        <f t="shared" si="4"/>
        <v>-57.4</v>
      </c>
      <c r="AI34" s="2091"/>
      <c r="AJ34" s="1932">
        <f>ROUND(SUM(+AH34/ABS(AE34)),3)</f>
        <v>-5.5E-2</v>
      </c>
    </row>
    <row r="35" spans="1:36" ht="15">
      <c r="A35" s="1270" t="s">
        <v>1382</v>
      </c>
      <c r="B35" s="430"/>
      <c r="C35" s="992">
        <f>+'Exhibit F'!D33+'Exhibit G state'!D23</f>
        <v>8.6999999999999993</v>
      </c>
      <c r="D35" s="992"/>
      <c r="E35" s="992">
        <f>+'Exhibit F'!F33+'Exhibit G state'!F23</f>
        <v>8.6</v>
      </c>
      <c r="F35" s="992"/>
      <c r="G35" s="992">
        <f>+'Exhibit F'!H33+'Exhibit G state'!H23</f>
        <v>8.4</v>
      </c>
      <c r="H35" s="992"/>
      <c r="I35" s="992">
        <f>+'Exhibit F'!J33+'Exhibit G state'!J23</f>
        <v>9.1</v>
      </c>
      <c r="J35" s="992"/>
      <c r="K35" s="992">
        <f>+'Exhibit F'!L33+'Exhibit G state'!L23</f>
        <v>10</v>
      </c>
      <c r="L35" s="430"/>
      <c r="M35" s="992">
        <f>+'Exhibit F'!N33+'Exhibit G state'!N23</f>
        <v>7.9</v>
      </c>
      <c r="N35" s="430"/>
      <c r="O35" s="992">
        <f>+'Exhibit F'!P33+'Exhibit G state'!P23</f>
        <v>9</v>
      </c>
      <c r="P35" s="430"/>
      <c r="Q35" s="992">
        <f>+'Exhibit F'!R33+'Exhibit G state'!R23</f>
        <v>8.5</v>
      </c>
      <c r="R35" s="430"/>
      <c r="S35" s="992">
        <f>+'Exhibit F'!T33+'Exhibit G state'!T23</f>
        <v>8.1999999999999993</v>
      </c>
      <c r="T35" s="430"/>
      <c r="U35" s="992"/>
      <c r="V35" s="430"/>
      <c r="W35" s="992"/>
      <c r="X35" s="430"/>
      <c r="Y35" s="992"/>
      <c r="Z35" s="430"/>
      <c r="AA35" s="1930"/>
      <c r="AB35" s="992">
        <f t="shared" si="3"/>
        <v>78.400000000000006</v>
      </c>
      <c r="AC35" s="430"/>
      <c r="AD35" s="991"/>
      <c r="AE35" s="430">
        <f>+'Exhibit F'!AF33+'Exhibit G state'!AH23</f>
        <v>78</v>
      </c>
      <c r="AF35" s="2111"/>
      <c r="AG35" s="2111"/>
      <c r="AH35" s="1171">
        <f t="shared" si="4"/>
        <v>0.4</v>
      </c>
      <c r="AI35" s="2091"/>
      <c r="AJ35" s="1932">
        <f>ROUND(SUM(+AH35/ABS(AE35)),3)</f>
        <v>5.0000000000000001E-3</v>
      </c>
    </row>
    <row r="36" spans="1:36" ht="15">
      <c r="A36" s="1270" t="s">
        <v>1383</v>
      </c>
      <c r="B36" s="430"/>
      <c r="C36" s="992">
        <f>+'Exhibit F'!D34+'Exhibit G state'!D24</f>
        <v>19.899999999999999</v>
      </c>
      <c r="D36" s="992"/>
      <c r="E36" s="992">
        <f>+'Exhibit F'!F34+'Exhibit G state'!F24</f>
        <v>20.3</v>
      </c>
      <c r="F36" s="992"/>
      <c r="G36" s="992">
        <f>+'Exhibit F'!H34+'Exhibit G state'!H24</f>
        <v>21.7</v>
      </c>
      <c r="H36" s="992"/>
      <c r="I36" s="992">
        <f>+'Exhibit F'!J34+'Exhibit G state'!J24</f>
        <v>29.4</v>
      </c>
      <c r="J36" s="992"/>
      <c r="K36" s="992">
        <f>+'Exhibit F'!L34+'Exhibit G state'!L24</f>
        <v>17.399999999999999</v>
      </c>
      <c r="L36" s="430"/>
      <c r="M36" s="992">
        <f>+'Exhibit F'!N34+'Exhibit G state'!N24</f>
        <v>21.4</v>
      </c>
      <c r="N36" s="430"/>
      <c r="O36" s="992">
        <f>+'Exhibit F'!P34+'Exhibit G state'!P24</f>
        <v>20.100000000000001</v>
      </c>
      <c r="P36" s="430"/>
      <c r="Q36" s="992">
        <f>+'Exhibit F'!R34+'Exhibit G state'!R24</f>
        <v>21.4</v>
      </c>
      <c r="R36" s="430"/>
      <c r="S36" s="992">
        <f>+'Exhibit F'!T34+'Exhibit G state'!T24</f>
        <v>20.100000000000001</v>
      </c>
      <c r="T36" s="430"/>
      <c r="U36" s="992"/>
      <c r="V36" s="430"/>
      <c r="W36" s="992"/>
      <c r="X36" s="430"/>
      <c r="Y36" s="992"/>
      <c r="Z36" s="430"/>
      <c r="AA36" s="1930"/>
      <c r="AB36" s="992">
        <f t="shared" si="3"/>
        <v>191.7</v>
      </c>
      <c r="AC36" s="430"/>
      <c r="AD36" s="991"/>
      <c r="AE36" s="430">
        <f>+'Exhibit F'!AF34+'Exhibit G state'!AH24</f>
        <v>188.8</v>
      </c>
      <c r="AF36" s="2111"/>
      <c r="AG36" s="2111"/>
      <c r="AH36" s="1171">
        <f t="shared" si="4"/>
        <v>2.9</v>
      </c>
      <c r="AI36" s="2091"/>
      <c r="AJ36" s="1932">
        <f>ROUND(SUM(+AH36/ABS(AE36)),3)</f>
        <v>1.4999999999999999E-2</v>
      </c>
    </row>
    <row r="37" spans="1:36" ht="15">
      <c r="A37" s="1270" t="s">
        <v>1384</v>
      </c>
      <c r="B37" s="430"/>
      <c r="C37" s="992">
        <f>+'Exhibit F'!D35+'Exhibit G state'!D25</f>
        <v>0</v>
      </c>
      <c r="D37" s="992"/>
      <c r="E37" s="992">
        <f>+'Exhibit F'!F35+'Exhibit G state'!F25</f>
        <v>0</v>
      </c>
      <c r="F37" s="992"/>
      <c r="G37" s="992">
        <f>+'Exhibit F'!H35+'Exhibit G state'!H25</f>
        <v>0</v>
      </c>
      <c r="H37" s="992"/>
      <c r="I37" s="992">
        <f>+'Exhibit F'!J35+'Exhibit G state'!J25</f>
        <v>0</v>
      </c>
      <c r="J37" s="992"/>
      <c r="K37" s="992">
        <f>+'Exhibit F'!L35+'Exhibit G state'!L25</f>
        <v>0</v>
      </c>
      <c r="L37" s="430"/>
      <c r="M37" s="992">
        <f>+'Exhibit F'!N35+'Exhibit G state'!N25</f>
        <v>0</v>
      </c>
      <c r="N37" s="430"/>
      <c r="O37" s="992">
        <f>+'Exhibit F'!P35+'Exhibit G state'!P25</f>
        <v>0</v>
      </c>
      <c r="P37" s="430"/>
      <c r="Q37" s="992">
        <f>+'Exhibit F'!R35+'Exhibit G state'!R25</f>
        <v>0</v>
      </c>
      <c r="R37" s="430"/>
      <c r="S37" s="992">
        <f>+'Exhibit F'!T35+'Exhibit G state'!T25</f>
        <v>0</v>
      </c>
      <c r="T37" s="430"/>
      <c r="U37" s="992"/>
      <c r="V37" s="430"/>
      <c r="W37" s="992"/>
      <c r="X37" s="430"/>
      <c r="Y37" s="992"/>
      <c r="Z37" s="430"/>
      <c r="AA37" s="1930"/>
      <c r="AB37" s="992">
        <f t="shared" si="3"/>
        <v>0</v>
      </c>
      <c r="AC37" s="430"/>
      <c r="AD37" s="991"/>
      <c r="AE37" s="992">
        <f>+'Exhibit F'!AF35+'Exhibit G state'!AH25</f>
        <v>0</v>
      </c>
      <c r="AF37" s="2111"/>
      <c r="AG37" s="2111"/>
      <c r="AH37" s="1171">
        <f t="shared" si="4"/>
        <v>0</v>
      </c>
      <c r="AI37" s="2091"/>
      <c r="AJ37" s="1864">
        <f>ROUND(IF(AE37=0,0,AH37/ABS(AE37)),3)</f>
        <v>0</v>
      </c>
    </row>
    <row r="38" spans="1:36" ht="15">
      <c r="A38" s="2115" t="s">
        <v>1385</v>
      </c>
      <c r="B38" s="430"/>
      <c r="C38" s="992">
        <f>+'Exhibit F'!D36+'Exhibit G state'!D26</f>
        <v>19.2</v>
      </c>
      <c r="D38" s="992"/>
      <c r="E38" s="992">
        <f>+'Exhibit F'!F36+'Exhibit G state'!F26</f>
        <v>0.6</v>
      </c>
      <c r="F38" s="992"/>
      <c r="G38" s="992">
        <f>+'Exhibit F'!H36+'Exhibit G state'!H26</f>
        <v>0.4</v>
      </c>
      <c r="H38" s="992"/>
      <c r="I38" s="992">
        <f>+'Exhibit F'!J36+'Exhibit G state'!J26</f>
        <v>18.100000000000001</v>
      </c>
      <c r="J38" s="992"/>
      <c r="K38" s="992">
        <f>+'Exhibit F'!L36+'Exhibit G state'!L26</f>
        <v>0.3</v>
      </c>
      <c r="L38" s="430"/>
      <c r="M38" s="992">
        <f>+'Exhibit F'!N36+'Exhibit G state'!N26</f>
        <v>0.1</v>
      </c>
      <c r="N38" s="430"/>
      <c r="O38" s="992">
        <f>+'Exhibit F'!P36+'Exhibit G state'!P26</f>
        <v>16.2</v>
      </c>
      <c r="P38" s="430"/>
      <c r="Q38" s="992">
        <f>+'Exhibit F'!R36+'Exhibit G state'!R26</f>
        <v>0.5</v>
      </c>
      <c r="R38" s="430"/>
      <c r="S38" s="992">
        <f>+'Exhibit F'!T36+'Exhibit G state'!T26</f>
        <v>0.1</v>
      </c>
      <c r="T38" s="430"/>
      <c r="U38" s="992"/>
      <c r="V38" s="430"/>
      <c r="W38" s="992"/>
      <c r="X38" s="430"/>
      <c r="Y38" s="992"/>
      <c r="Z38" s="430"/>
      <c r="AA38" s="1930"/>
      <c r="AB38" s="992">
        <f t="shared" si="3"/>
        <v>55.5</v>
      </c>
      <c r="AC38" s="430"/>
      <c r="AD38" s="991"/>
      <c r="AE38" s="430">
        <f>+'Exhibit F'!AF36+'Exhibit G state'!AH26</f>
        <v>62.6</v>
      </c>
      <c r="AF38" s="2111"/>
      <c r="AG38" s="2111"/>
      <c r="AH38" s="1171">
        <f t="shared" si="4"/>
        <v>-7.1</v>
      </c>
      <c r="AI38" s="2091"/>
      <c r="AJ38" s="1932">
        <f>ROUND(SUM(+AH38/ABS(AE38)),3)</f>
        <v>-0.113</v>
      </c>
    </row>
    <row r="39" spans="1:36" ht="15.6">
      <c r="A39" s="589" t="s">
        <v>1378</v>
      </c>
      <c r="B39" s="430"/>
      <c r="C39" s="484">
        <f>ROUND(SUM(C32:C38),1)</f>
        <v>1190.5</v>
      </c>
      <c r="D39" s="430"/>
      <c r="E39" s="484">
        <f>ROUND(SUM(E32:E38),1)</f>
        <v>1124.9000000000001</v>
      </c>
      <c r="F39" s="430"/>
      <c r="G39" s="484">
        <f>ROUND(SUM(G32:G38),1)</f>
        <v>1528.8</v>
      </c>
      <c r="H39" s="430"/>
      <c r="I39" s="484">
        <f>ROUND(SUM(I32:I38),1)</f>
        <v>1241.2</v>
      </c>
      <c r="J39" s="430"/>
      <c r="K39" s="484">
        <f>ROUND(SUM(K32:K38),1)</f>
        <v>1168.5999999999999</v>
      </c>
      <c r="L39" s="430"/>
      <c r="M39" s="484">
        <f>ROUND(SUM(M32:M38),1)</f>
        <v>1544.9</v>
      </c>
      <c r="N39" s="430"/>
      <c r="O39" s="484">
        <f>ROUND(SUM(O32:O38),1)</f>
        <v>1089.9000000000001</v>
      </c>
      <c r="P39" s="430"/>
      <c r="Q39" s="484">
        <f>ROUND(SUM(Q32:Q38),1)</f>
        <v>1163</v>
      </c>
      <c r="R39" s="430"/>
      <c r="S39" s="484">
        <f>ROUND(SUM(S32:S38),1)</f>
        <v>1420.5</v>
      </c>
      <c r="T39" s="430"/>
      <c r="U39" s="484">
        <f>ROUND(SUM(U32:U38),1)</f>
        <v>0</v>
      </c>
      <c r="V39" s="430"/>
      <c r="W39" s="484">
        <f>ROUND(SUM(W32:W38),1)</f>
        <v>0</v>
      </c>
      <c r="X39" s="430"/>
      <c r="Y39" s="484">
        <f>ROUND(SUM(Y32:Y38),1)</f>
        <v>0</v>
      </c>
      <c r="Z39" s="430"/>
      <c r="AA39" s="1930"/>
      <c r="AB39" s="484">
        <f>ROUND(SUM(AB32:AB38),1)</f>
        <v>11472.3</v>
      </c>
      <c r="AC39" s="430"/>
      <c r="AD39" s="991"/>
      <c r="AE39" s="484">
        <f>ROUND(SUM(AE32:AE38),1)</f>
        <v>11300.9</v>
      </c>
      <c r="AF39" s="2111"/>
      <c r="AG39" s="2111"/>
      <c r="AH39" s="484">
        <f>ROUND(SUM(AH32:AH38),1)</f>
        <v>171.4</v>
      </c>
      <c r="AI39" s="2090"/>
      <c r="AJ39" s="528">
        <f>ROUND(SUM(+AH39/ABS(AE39)),3)</f>
        <v>1.4999999999999999E-2</v>
      </c>
    </row>
    <row r="40" spans="1:36" ht="15">
      <c r="A40" s="2076" t="s">
        <v>1431</v>
      </c>
      <c r="B40" s="430"/>
      <c r="C40" s="430"/>
      <c r="D40" s="430"/>
      <c r="E40" s="430"/>
      <c r="F40" s="430"/>
      <c r="G40" s="430"/>
      <c r="H40" s="430"/>
      <c r="I40" s="430"/>
      <c r="J40" s="430"/>
      <c r="K40" s="430"/>
      <c r="L40" s="430"/>
      <c r="M40" s="430"/>
      <c r="N40" s="430"/>
      <c r="O40" s="989"/>
      <c r="P40" s="430"/>
      <c r="Q40" s="989"/>
      <c r="R40" s="430"/>
      <c r="S40" s="989"/>
      <c r="T40" s="430"/>
      <c r="U40" s="989"/>
      <c r="V40" s="430"/>
      <c r="W40" s="989"/>
      <c r="X40" s="430"/>
      <c r="Y40" s="989"/>
      <c r="Z40" s="430"/>
      <c r="AA40" s="1930"/>
      <c r="AB40" s="430"/>
      <c r="AC40" s="430"/>
      <c r="AD40" s="991"/>
      <c r="AE40" s="430"/>
      <c r="AF40" s="2111"/>
      <c r="AG40" s="2111"/>
      <c r="AH40" s="1714"/>
      <c r="AI40" s="430"/>
      <c r="AJ40" s="1714"/>
    </row>
    <row r="41" spans="1:36" ht="15">
      <c r="A41" s="1270" t="s">
        <v>1387</v>
      </c>
      <c r="B41" s="430"/>
      <c r="C41" s="992">
        <f>+'Exhibit F'!D39+'Exhibit G state'!D29</f>
        <v>181.7</v>
      </c>
      <c r="D41" s="992"/>
      <c r="E41" s="992">
        <f>+'Exhibit F'!F39+'Exhibit G state'!F29</f>
        <v>-28.700000000000003</v>
      </c>
      <c r="F41" s="992"/>
      <c r="G41" s="992">
        <f>+'Exhibit F'!H39+'Exhibit G state'!H29</f>
        <v>895.6</v>
      </c>
      <c r="H41" s="992"/>
      <c r="I41" s="992">
        <f>+'Exhibit F'!J39+'Exhibit G state'!J29</f>
        <v>115.60000000000001</v>
      </c>
      <c r="J41" s="992"/>
      <c r="K41" s="992">
        <f>+'Exhibit F'!L39+'Exhibit G state'!L29</f>
        <v>119.2</v>
      </c>
      <c r="L41" s="992"/>
      <c r="M41" s="992">
        <f>+'Exhibit F'!N39+'Exhibit G state'!N29</f>
        <v>837.7</v>
      </c>
      <c r="N41" s="430"/>
      <c r="O41" s="992">
        <f>+'Exhibit F'!P39+'Exhibit G state'!P29</f>
        <v>77</v>
      </c>
      <c r="P41" s="430"/>
      <c r="Q41" s="992">
        <f>+'Exhibit F'!R39+'Exhibit G state'!R29</f>
        <v>69.099999999999994</v>
      </c>
      <c r="R41" s="430"/>
      <c r="S41" s="992">
        <f>+'Exhibit F'!T39+'Exhibit G state'!T29</f>
        <v>995</v>
      </c>
      <c r="T41" s="430"/>
      <c r="U41" s="992"/>
      <c r="V41" s="430"/>
      <c r="W41" s="992"/>
      <c r="X41" s="430"/>
      <c r="Y41" s="992"/>
      <c r="Z41" s="430"/>
      <c r="AA41" s="1930"/>
      <c r="AB41" s="992">
        <f>ROUND(SUM(C41:Y41),1)</f>
        <v>3262.2</v>
      </c>
      <c r="AC41" s="430"/>
      <c r="AD41" s="991"/>
      <c r="AE41" s="430">
        <f>+'Exhibit F'!AF39+'Exhibit G state'!AH29</f>
        <v>1768.6000000000001</v>
      </c>
      <c r="AF41" s="2111"/>
      <c r="AG41" s="2111"/>
      <c r="AH41" s="1171">
        <f t="shared" ref="AH41:AH53" si="5">ROUND(SUM(+AB41-AE41),1)</f>
        <v>1493.6</v>
      </c>
      <c r="AI41" s="2091"/>
      <c r="AJ41" s="1932">
        <f t="shared" ref="AJ41:AJ46" si="6">ROUND(SUM(+AH41/ABS(AE41)),3)</f>
        <v>0.84499999999999997</v>
      </c>
    </row>
    <row r="42" spans="1:36" ht="15">
      <c r="A42" s="1270" t="s">
        <v>1388</v>
      </c>
      <c r="B42" s="430"/>
      <c r="C42" s="992">
        <f>+'Exhibit G state'!D30+'Exhibit F'!D40</f>
        <v>4.9000000000000004</v>
      </c>
      <c r="D42" s="992"/>
      <c r="E42" s="992">
        <f>+'Exhibit G state'!F30+'Exhibit F'!F40</f>
        <v>4</v>
      </c>
      <c r="F42" s="992"/>
      <c r="G42" s="992">
        <f>+'Exhibit G state'!H30+'Exhibit F'!H40</f>
        <v>128.69999999999999</v>
      </c>
      <c r="H42" s="992"/>
      <c r="I42" s="992">
        <f>+'Exhibit G state'!J30+'Exhibit F'!J40</f>
        <v>1.4</v>
      </c>
      <c r="J42" s="992"/>
      <c r="K42" s="992">
        <f>+'Exhibit G state'!L30+'Exhibit F'!L40</f>
        <v>6.3999999999999995</v>
      </c>
      <c r="L42" s="992"/>
      <c r="M42" s="992">
        <f>+'Exhibit G state'!N30+'Exhibit F'!N40</f>
        <v>146.9</v>
      </c>
      <c r="N42" s="430"/>
      <c r="O42" s="992">
        <f>+'Exhibit G state'!P30+'Exhibit F'!P40</f>
        <v>7.9</v>
      </c>
      <c r="P42" s="430"/>
      <c r="Q42" s="992">
        <f>+'Exhibit G state'!R30+'Exhibit F'!R40</f>
        <v>18.5</v>
      </c>
      <c r="R42" s="430"/>
      <c r="S42" s="992">
        <f>+'Exhibit G state'!T30+'Exhibit F'!T40</f>
        <v>156.6</v>
      </c>
      <c r="T42" s="430"/>
      <c r="U42" s="992"/>
      <c r="V42" s="430"/>
      <c r="W42" s="992"/>
      <c r="X42" s="430"/>
      <c r="Y42" s="992"/>
      <c r="Z42" s="430"/>
      <c r="AA42" s="1930"/>
      <c r="AB42" s="992">
        <f>ROUND(SUM(C42:Y42),1)</f>
        <v>475.3</v>
      </c>
      <c r="AC42" s="430"/>
      <c r="AD42" s="991"/>
      <c r="AE42" s="430">
        <f>+'Exhibit G state'!AH30+'Exhibit F'!AF40</f>
        <v>469.4</v>
      </c>
      <c r="AF42" s="2111"/>
      <c r="AG42" s="2111"/>
      <c r="AH42" s="1171">
        <f t="shared" si="5"/>
        <v>5.9</v>
      </c>
      <c r="AI42" s="2091"/>
      <c r="AJ42" s="1932">
        <f t="shared" si="6"/>
        <v>1.2999999999999999E-2</v>
      </c>
    </row>
    <row r="43" spans="1:36" ht="15">
      <c r="A43" s="1270" t="s">
        <v>1389</v>
      </c>
      <c r="B43" s="430"/>
      <c r="C43" s="992">
        <f>+'Exhibit F'!D41+'Exhibit G state'!D31</f>
        <v>6.2</v>
      </c>
      <c r="D43" s="992"/>
      <c r="E43" s="992">
        <f>+'Exhibit F'!F41+'Exhibit G state'!F31</f>
        <v>9.2000000000000011</v>
      </c>
      <c r="F43" s="992"/>
      <c r="G43" s="992">
        <f>+'Exhibit F'!H41+'Exhibit G state'!H31</f>
        <v>275.7</v>
      </c>
      <c r="H43" s="992"/>
      <c r="I43" s="992">
        <f>+'Exhibit F'!J41+'Exhibit G state'!J31</f>
        <v>33.5</v>
      </c>
      <c r="J43" s="992"/>
      <c r="K43" s="992">
        <f>+'Exhibit F'!L41+'Exhibit G state'!L31</f>
        <v>50.5</v>
      </c>
      <c r="L43" s="992"/>
      <c r="M43" s="992">
        <f>+'Exhibit F'!N41+'Exhibit G state'!N31</f>
        <v>272.2</v>
      </c>
      <c r="N43" s="430"/>
      <c r="O43" s="992">
        <f>+'Exhibit F'!P41+'Exhibit G state'!P31</f>
        <v>3.3</v>
      </c>
      <c r="P43" s="430"/>
      <c r="Q43" s="992">
        <f>+'Exhibit F'!R41+'Exhibit G state'!R31</f>
        <v>10.1</v>
      </c>
      <c r="R43" s="430"/>
      <c r="S43" s="992">
        <f>+'Exhibit F'!T41+'Exhibit G state'!T31</f>
        <v>268.7</v>
      </c>
      <c r="T43" s="430"/>
      <c r="U43" s="992"/>
      <c r="V43" s="430"/>
      <c r="W43" s="992"/>
      <c r="X43" s="430"/>
      <c r="Y43" s="992"/>
      <c r="Z43" s="430"/>
      <c r="AA43" s="1930"/>
      <c r="AB43" s="992">
        <f>ROUND(SUM(C43:Y43),1)</f>
        <v>929.4</v>
      </c>
      <c r="AC43" s="430"/>
      <c r="AD43" s="991"/>
      <c r="AE43" s="430">
        <f>+'Exhibit F'!AF41+'Exhibit G state'!AH31</f>
        <v>898.59999999999991</v>
      </c>
      <c r="AF43" s="2111"/>
      <c r="AG43" s="2111"/>
      <c r="AH43" s="1171">
        <f t="shared" si="5"/>
        <v>30.8</v>
      </c>
      <c r="AI43" s="2091"/>
      <c r="AJ43" s="1932">
        <f t="shared" si="6"/>
        <v>3.4000000000000002E-2</v>
      </c>
    </row>
    <row r="44" spans="1:36" ht="15">
      <c r="A44" s="1270" t="s">
        <v>1390</v>
      </c>
      <c r="B44" s="430"/>
      <c r="C44" s="992">
        <f>+'Exhibit F'!D42+'Exhibit G state'!D32</f>
        <v>30.4</v>
      </c>
      <c r="D44" s="992"/>
      <c r="E44" s="992">
        <f>+'Exhibit F'!F42+'Exhibit G state'!F32</f>
        <v>-13.5</v>
      </c>
      <c r="F44" s="992"/>
      <c r="G44" s="992">
        <f>+'Exhibit F'!H42+'Exhibit G state'!H32</f>
        <v>6.5</v>
      </c>
      <c r="H44" s="992"/>
      <c r="I44" s="992">
        <f>+'Exhibit F'!J42+'Exhibit G state'!J32</f>
        <v>10.5</v>
      </c>
      <c r="J44" s="992"/>
      <c r="K44" s="992">
        <f>+'Exhibit F'!L42+'Exhibit G state'!L32</f>
        <v>63.7</v>
      </c>
      <c r="L44" s="992"/>
      <c r="M44" s="992">
        <f>+'Exhibit F'!N42+'Exhibit G state'!N32</f>
        <v>-3.4</v>
      </c>
      <c r="N44" s="430"/>
      <c r="O44" s="992">
        <f>+'Exhibit F'!P42+'Exhibit G state'!P32</f>
        <v>21.3</v>
      </c>
      <c r="P44" s="430"/>
      <c r="Q44" s="992">
        <f>+'Exhibit F'!R42+'Exhibit G state'!R32</f>
        <v>-51.599999999999994</v>
      </c>
      <c r="R44" s="430"/>
      <c r="S44" s="992">
        <f>+'Exhibit F'!T42+'Exhibit G state'!T32</f>
        <v>-145.4</v>
      </c>
      <c r="T44" s="430"/>
      <c r="U44" s="992"/>
      <c r="V44" s="430"/>
      <c r="W44" s="992"/>
      <c r="X44" s="430"/>
      <c r="Y44" s="992"/>
      <c r="Z44" s="430"/>
      <c r="AA44" s="1930"/>
      <c r="AB44" s="992">
        <f>ROUND(SUM(C44:Y44),1)</f>
        <v>-81.5</v>
      </c>
      <c r="AC44" s="430"/>
      <c r="AD44" s="991"/>
      <c r="AE44" s="430">
        <f>+'Exhibit F'!AF42+'Exhibit G state'!AH32</f>
        <v>1262.6000000000001</v>
      </c>
      <c r="AF44" s="2111"/>
      <c r="AG44" s="2111"/>
      <c r="AH44" s="1171">
        <f t="shared" si="5"/>
        <v>-1344.1</v>
      </c>
      <c r="AI44" s="2091"/>
      <c r="AJ44" s="1932">
        <f t="shared" si="6"/>
        <v>-1.0649999999999999</v>
      </c>
    </row>
    <row r="45" spans="1:36" ht="15">
      <c r="A45" s="1270" t="s">
        <v>1391</v>
      </c>
      <c r="B45" s="430"/>
      <c r="C45" s="992">
        <f>+'Exhibit F'!D43+'Exhibit G state'!D33</f>
        <v>40.6</v>
      </c>
      <c r="D45" s="992"/>
      <c r="E45" s="992">
        <f>+'Exhibit F'!F43+'Exhibit G state'!F33</f>
        <v>39.9</v>
      </c>
      <c r="F45" s="992"/>
      <c r="G45" s="992">
        <f>+'Exhibit F'!H43+'Exhibit G state'!H33</f>
        <v>40.799999999999997</v>
      </c>
      <c r="H45" s="992"/>
      <c r="I45" s="992">
        <f>+'Exhibit F'!J43+'Exhibit G state'!J33</f>
        <v>42.9</v>
      </c>
      <c r="J45" s="992"/>
      <c r="K45" s="992">
        <f>+'Exhibit F'!L43+'Exhibit G state'!L33</f>
        <v>46.3</v>
      </c>
      <c r="L45" s="992"/>
      <c r="M45" s="992">
        <f>+'Exhibit F'!N43+'Exhibit G state'!N33</f>
        <v>42.2</v>
      </c>
      <c r="N45" s="430"/>
      <c r="O45" s="992">
        <f>+'Exhibit F'!P43+'Exhibit G state'!P33</f>
        <v>43.1</v>
      </c>
      <c r="P45" s="430"/>
      <c r="Q45" s="992">
        <f>+'Exhibit F'!R43+'Exhibit G state'!R33</f>
        <v>40.700000000000003</v>
      </c>
      <c r="R45" s="430"/>
      <c r="S45" s="992">
        <f>+'Exhibit F'!T43+'Exhibit G state'!T33</f>
        <v>40.1</v>
      </c>
      <c r="T45" s="430"/>
      <c r="U45" s="992"/>
      <c r="V45" s="430"/>
      <c r="W45" s="992"/>
      <c r="X45" s="430"/>
      <c r="Y45" s="992"/>
      <c r="Z45" s="430"/>
      <c r="AA45" s="1930"/>
      <c r="AB45" s="992">
        <f>ROUND(SUM(C45:Y45),1)</f>
        <v>376.6</v>
      </c>
      <c r="AC45" s="430"/>
      <c r="AD45" s="991"/>
      <c r="AE45" s="430">
        <f>+'Exhibit F'!AF43+'Exhibit G state'!AH33</f>
        <v>392.3</v>
      </c>
      <c r="AF45" s="2111"/>
      <c r="AG45" s="2111"/>
      <c r="AH45" s="1171">
        <f t="shared" si="5"/>
        <v>-15.7</v>
      </c>
      <c r="AI45" s="2091"/>
      <c r="AJ45" s="1932">
        <f t="shared" si="6"/>
        <v>-0.04</v>
      </c>
    </row>
    <row r="46" spans="1:36" ht="15.6">
      <c r="A46" s="589" t="s">
        <v>1386</v>
      </c>
      <c r="B46" s="430"/>
      <c r="C46" s="484">
        <f>ROUND(SUM(C41:C45),1)</f>
        <v>263.8</v>
      </c>
      <c r="D46" s="430"/>
      <c r="E46" s="484">
        <f>ROUND(SUM(E41:E45),1)</f>
        <v>10.9</v>
      </c>
      <c r="F46" s="430"/>
      <c r="G46" s="484">
        <f>ROUND(SUM(G41:G45),1)</f>
        <v>1347.3</v>
      </c>
      <c r="H46" s="430"/>
      <c r="I46" s="484">
        <f>ROUND(SUM(I41:I45),1)</f>
        <v>203.9</v>
      </c>
      <c r="J46" s="430"/>
      <c r="K46" s="484">
        <f>ROUND(SUM(K41:K45),1)</f>
        <v>286.10000000000002</v>
      </c>
      <c r="L46" s="430"/>
      <c r="M46" s="484">
        <f>ROUND(SUM(M41:M45),1)</f>
        <v>1295.5999999999999</v>
      </c>
      <c r="N46" s="430"/>
      <c r="O46" s="484">
        <f>ROUND(SUM(O41:O45),1)</f>
        <v>152.6</v>
      </c>
      <c r="P46" s="430"/>
      <c r="Q46" s="484">
        <f>ROUND(SUM(Q41:Q45),1)</f>
        <v>86.8</v>
      </c>
      <c r="R46" s="430"/>
      <c r="S46" s="484">
        <f>ROUND(SUM(S41:S45),1)</f>
        <v>1315</v>
      </c>
      <c r="T46" s="430"/>
      <c r="U46" s="484">
        <f>ROUND(SUM(U41:U45),1)</f>
        <v>0</v>
      </c>
      <c r="V46" s="430"/>
      <c r="W46" s="484">
        <f>ROUND(SUM(W41:W45),1)</f>
        <v>0</v>
      </c>
      <c r="X46" s="430"/>
      <c r="Y46" s="484">
        <f>ROUND(SUM(Y41:Y45),1)</f>
        <v>0</v>
      </c>
      <c r="Z46" s="430"/>
      <c r="AA46" s="1930"/>
      <c r="AB46" s="484">
        <f>ROUND(SUM(AB41:AB45),1)</f>
        <v>4962</v>
      </c>
      <c r="AC46" s="430"/>
      <c r="AD46" s="991"/>
      <c r="AE46" s="484">
        <f>ROUND(SUM(AE41:AE45),1)</f>
        <v>4791.5</v>
      </c>
      <c r="AF46" s="2111"/>
      <c r="AG46" s="2111"/>
      <c r="AH46" s="484">
        <f>ROUND(SUM(AH41:AH45),1)</f>
        <v>170.5</v>
      </c>
      <c r="AI46" s="2090"/>
      <c r="AJ46" s="528">
        <f t="shared" si="6"/>
        <v>3.5999999999999997E-2</v>
      </c>
    </row>
    <row r="47" spans="1:36" ht="15">
      <c r="A47" s="2076" t="s">
        <v>1432</v>
      </c>
      <c r="B47" s="430"/>
      <c r="C47" s="430"/>
      <c r="D47" s="430"/>
      <c r="E47" s="430"/>
      <c r="F47" s="430"/>
      <c r="G47" s="430"/>
      <c r="H47" s="430"/>
      <c r="I47" s="430"/>
      <c r="J47" s="430"/>
      <c r="K47" s="430"/>
      <c r="L47" s="430"/>
      <c r="M47" s="430"/>
      <c r="N47" s="430"/>
      <c r="O47" s="989"/>
      <c r="P47" s="430"/>
      <c r="Q47" s="989"/>
      <c r="R47" s="430"/>
      <c r="S47" s="989"/>
      <c r="T47" s="430"/>
      <c r="U47" s="989"/>
      <c r="V47" s="430"/>
      <c r="W47" s="989"/>
      <c r="X47" s="430"/>
      <c r="Y47" s="989"/>
      <c r="Z47" s="430"/>
      <c r="AA47" s="1930"/>
      <c r="AB47" s="430"/>
      <c r="AC47" s="430"/>
      <c r="AD47" s="991"/>
      <c r="AE47" s="430"/>
      <c r="AF47" s="2111"/>
      <c r="AG47" s="2111"/>
      <c r="AH47" s="1714"/>
      <c r="AI47" s="430"/>
      <c r="AJ47" s="1714"/>
    </row>
    <row r="48" spans="1:36" ht="15">
      <c r="A48" s="1270" t="s">
        <v>1394</v>
      </c>
      <c r="B48" s="430"/>
      <c r="C48" s="992">
        <f>+'Exhibit F'!D46</f>
        <v>0</v>
      </c>
      <c r="D48" s="992"/>
      <c r="E48" s="992">
        <f>+'Exhibit F'!F46</f>
        <v>0</v>
      </c>
      <c r="F48" s="992"/>
      <c r="G48" s="992">
        <f>+'Exhibit F'!H46</f>
        <v>0</v>
      </c>
      <c r="H48" s="992"/>
      <c r="I48" s="992">
        <f>+'Exhibit F'!J46</f>
        <v>0</v>
      </c>
      <c r="J48" s="992"/>
      <c r="K48" s="992">
        <f>+'Exhibit F'!L46</f>
        <v>0</v>
      </c>
      <c r="L48" s="430"/>
      <c r="M48" s="992">
        <f>+'Exhibit F'!N46</f>
        <v>0</v>
      </c>
      <c r="N48" s="430"/>
      <c r="O48" s="992">
        <f>+'Exhibit F'!P46</f>
        <v>0</v>
      </c>
      <c r="P48" s="430"/>
      <c r="Q48" s="992">
        <f>+'Exhibit F'!R46</f>
        <v>0</v>
      </c>
      <c r="R48" s="430"/>
      <c r="S48" s="992">
        <f>+'Exhibit F'!T46</f>
        <v>0</v>
      </c>
      <c r="T48" s="430"/>
      <c r="U48" s="992"/>
      <c r="V48" s="430"/>
      <c r="W48" s="992"/>
      <c r="X48" s="430"/>
      <c r="Y48" s="992"/>
      <c r="Z48" s="430"/>
      <c r="AA48" s="1930"/>
      <c r="AB48" s="992">
        <f t="shared" ref="AB48:AB53" si="7">ROUND(SUM(C48:Y48),1)</f>
        <v>0</v>
      </c>
      <c r="AC48" s="430"/>
      <c r="AD48" s="991"/>
      <c r="AE48" s="992">
        <f>+'Exhibit F'!AF46</f>
        <v>0</v>
      </c>
      <c r="AF48" s="2111"/>
      <c r="AG48" s="2111"/>
      <c r="AH48" s="1171">
        <f t="shared" si="5"/>
        <v>0</v>
      </c>
      <c r="AI48" s="430"/>
      <c r="AJ48" s="2817">
        <f>ROUND(IF(AE48=0,0,AH48/ABS(AE48)),3)</f>
        <v>0</v>
      </c>
    </row>
    <row r="49" spans="1:36" ht="15">
      <c r="A49" s="1270" t="s">
        <v>1395</v>
      </c>
      <c r="B49" s="430"/>
      <c r="C49" s="992">
        <f>+'Exhibit F'!D47</f>
        <v>148.9</v>
      </c>
      <c r="D49" s="992"/>
      <c r="E49" s="992">
        <f>+'Exhibit F'!F47</f>
        <v>149.19999999999999</v>
      </c>
      <c r="F49" s="992"/>
      <c r="G49" s="992">
        <f>+'Exhibit F'!H47</f>
        <v>116.7</v>
      </c>
      <c r="H49" s="992"/>
      <c r="I49" s="992">
        <f>+'Exhibit F'!J47</f>
        <v>208</v>
      </c>
      <c r="J49" s="992"/>
      <c r="K49" s="992">
        <f>+'Exhibit F'!L47</f>
        <v>162.1</v>
      </c>
      <c r="L49" s="430"/>
      <c r="M49" s="992">
        <f>+'Exhibit F'!N47</f>
        <v>135.30000000000001</v>
      </c>
      <c r="N49" s="430"/>
      <c r="O49" s="992">
        <f>+'Exhibit F'!P47</f>
        <v>142.6</v>
      </c>
      <c r="P49" s="430"/>
      <c r="Q49" s="992">
        <f>+'Exhibit F'!R47</f>
        <v>102.9</v>
      </c>
      <c r="R49" s="430"/>
      <c r="S49" s="992">
        <f>+'Exhibit F'!T47</f>
        <v>74.2</v>
      </c>
      <c r="T49" s="430"/>
      <c r="U49" s="992"/>
      <c r="V49" s="430"/>
      <c r="W49" s="992"/>
      <c r="X49" s="430"/>
      <c r="Y49" s="992"/>
      <c r="Z49" s="430"/>
      <c r="AA49" s="1930"/>
      <c r="AB49" s="992">
        <f t="shared" si="7"/>
        <v>1239.9000000000001</v>
      </c>
      <c r="AC49" s="430"/>
      <c r="AD49" s="991"/>
      <c r="AE49" s="430">
        <f>+'Exhibit F'!AF47</f>
        <v>852.5</v>
      </c>
      <c r="AF49" s="2111"/>
      <c r="AG49" s="2111"/>
      <c r="AH49" s="1171">
        <f t="shared" si="5"/>
        <v>387.4</v>
      </c>
      <c r="AI49" s="430"/>
      <c r="AJ49" s="1932">
        <f t="shared" ref="AJ49:AJ54" si="8">ROUND(SUM(+AH49/ABS(AE49)),3)</f>
        <v>0.45400000000000001</v>
      </c>
    </row>
    <row r="50" spans="1:36" ht="15">
      <c r="A50" s="1270" t="s">
        <v>1396</v>
      </c>
      <c r="B50" s="430"/>
      <c r="C50" s="992">
        <f>+'Exhibit F'!D48</f>
        <v>0.9</v>
      </c>
      <c r="D50" s="992"/>
      <c r="E50" s="992">
        <f>+'Exhibit F'!F48</f>
        <v>1.5</v>
      </c>
      <c r="F50" s="992"/>
      <c r="G50" s="992">
        <f>+'Exhibit F'!H48</f>
        <v>1.9</v>
      </c>
      <c r="H50" s="992"/>
      <c r="I50" s="992">
        <f>+'Exhibit F'!J48</f>
        <v>1.2</v>
      </c>
      <c r="J50" s="992"/>
      <c r="K50" s="992">
        <f>+'Exhibit F'!L48</f>
        <v>2.6</v>
      </c>
      <c r="L50" s="430"/>
      <c r="M50" s="992">
        <f>+'Exhibit F'!N48</f>
        <v>2.2000000000000002</v>
      </c>
      <c r="N50" s="430"/>
      <c r="O50" s="992">
        <f>+'Exhibit F'!P48</f>
        <v>1.2</v>
      </c>
      <c r="P50" s="430"/>
      <c r="Q50" s="992">
        <f>+'Exhibit F'!R48</f>
        <v>1.5</v>
      </c>
      <c r="R50" s="430"/>
      <c r="S50" s="992">
        <f>+'Exhibit F'!T48</f>
        <v>0.9</v>
      </c>
      <c r="T50" s="430"/>
      <c r="U50" s="992"/>
      <c r="V50" s="430"/>
      <c r="W50" s="992"/>
      <c r="X50" s="430"/>
      <c r="Y50" s="992"/>
      <c r="Z50" s="430"/>
      <c r="AA50" s="1930"/>
      <c r="AB50" s="992">
        <f t="shared" si="7"/>
        <v>13.9</v>
      </c>
      <c r="AC50" s="430"/>
      <c r="AD50" s="991"/>
      <c r="AE50" s="430">
        <f>+'Exhibit F'!AF48</f>
        <v>15</v>
      </c>
      <c r="AF50" s="2111"/>
      <c r="AG50" s="2111"/>
      <c r="AH50" s="1171">
        <f t="shared" si="5"/>
        <v>-1.1000000000000001</v>
      </c>
      <c r="AI50" s="430"/>
      <c r="AJ50" s="1932">
        <f t="shared" si="8"/>
        <v>-7.2999999999999995E-2</v>
      </c>
    </row>
    <row r="51" spans="1:36" ht="15">
      <c r="A51" s="1270" t="s">
        <v>1397</v>
      </c>
      <c r="B51" s="430"/>
      <c r="C51" s="992">
        <f>+'Exhibit F'!D49+'Exhibit H'!B22</f>
        <v>86.3</v>
      </c>
      <c r="D51" s="992"/>
      <c r="E51" s="992">
        <f>+'Exhibit F'!F49+'Exhibit H'!D22</f>
        <v>97</v>
      </c>
      <c r="F51" s="992"/>
      <c r="G51" s="992">
        <f>+'Exhibit F'!H49+'Exhibit H'!F22</f>
        <v>81.900000000000006</v>
      </c>
      <c r="H51" s="992"/>
      <c r="I51" s="992">
        <f>+'Exhibit F'!J49+'Exhibit H'!H22</f>
        <v>81.7</v>
      </c>
      <c r="J51" s="992"/>
      <c r="K51" s="992">
        <f>+'Exhibit F'!L49+'Exhibit H'!J22</f>
        <v>87.1</v>
      </c>
      <c r="L51" s="430"/>
      <c r="M51" s="992">
        <f>+'Exhibit F'!N49+'Exhibit H'!L22</f>
        <v>101</v>
      </c>
      <c r="N51" s="430"/>
      <c r="O51" s="992">
        <f>+'Exhibit F'!P49+'Exhibit H'!N22</f>
        <v>95.2</v>
      </c>
      <c r="P51" s="430"/>
      <c r="Q51" s="992">
        <f>+'Exhibit F'!R49+'Exhibit H'!P22</f>
        <v>68.5</v>
      </c>
      <c r="R51" s="430"/>
      <c r="S51" s="992">
        <f>+'Exhibit F'!T49+'Exhibit H'!R22</f>
        <v>84.3</v>
      </c>
      <c r="T51" s="430"/>
      <c r="U51" s="992"/>
      <c r="V51" s="430"/>
      <c r="W51" s="992"/>
      <c r="X51" s="430"/>
      <c r="Y51" s="992"/>
      <c r="Z51" s="430"/>
      <c r="AA51" s="1930"/>
      <c r="AB51" s="992">
        <f t="shared" si="7"/>
        <v>783</v>
      </c>
      <c r="AC51" s="430"/>
      <c r="AD51" s="991"/>
      <c r="AE51" s="430">
        <f>+'Exhibit F'!AF49+' Exhibit I State'!AI28+'Exhibit H'!AD22</f>
        <v>692.6</v>
      </c>
      <c r="AF51" s="2111"/>
      <c r="AG51" s="2111"/>
      <c r="AH51" s="1171">
        <f t="shared" si="5"/>
        <v>90.4</v>
      </c>
      <c r="AI51" s="430"/>
      <c r="AJ51" s="1932">
        <f t="shared" si="8"/>
        <v>0.13100000000000001</v>
      </c>
    </row>
    <row r="52" spans="1:36" ht="15">
      <c r="A52" s="1270" t="s">
        <v>1398</v>
      </c>
      <c r="B52" s="430"/>
      <c r="C52" s="992">
        <f>+'Exhibit F'!D50</f>
        <v>0</v>
      </c>
      <c r="D52" s="992"/>
      <c r="E52" s="992">
        <f>+'Exhibit F'!F50</f>
        <v>0.1</v>
      </c>
      <c r="F52" s="992"/>
      <c r="G52" s="992">
        <f>+'Exhibit F'!H50</f>
        <v>0.2</v>
      </c>
      <c r="H52" s="992"/>
      <c r="I52" s="992">
        <f>+'Exhibit F'!J50</f>
        <v>0</v>
      </c>
      <c r="J52" s="992"/>
      <c r="K52" s="992">
        <f>+'Exhibit F'!L50</f>
        <v>0.3</v>
      </c>
      <c r="L52" s="430"/>
      <c r="M52" s="992">
        <f>+'Exhibit F'!N50</f>
        <v>0.4</v>
      </c>
      <c r="N52" s="430"/>
      <c r="O52" s="992">
        <f>+'Exhibit F'!P50</f>
        <v>0.1</v>
      </c>
      <c r="P52" s="430"/>
      <c r="Q52" s="992">
        <f>+'Exhibit F'!R50</f>
        <v>0.1</v>
      </c>
      <c r="R52" s="430"/>
      <c r="S52" s="992">
        <f>+'Exhibit F'!T50</f>
        <v>0</v>
      </c>
      <c r="T52" s="430"/>
      <c r="U52" s="992"/>
      <c r="V52" s="430"/>
      <c r="W52" s="992"/>
      <c r="X52" s="430"/>
      <c r="Y52" s="992"/>
      <c r="Z52" s="430"/>
      <c r="AA52" s="1930"/>
      <c r="AB52" s="992">
        <f t="shared" si="7"/>
        <v>1.2</v>
      </c>
      <c r="AC52" s="430"/>
      <c r="AD52" s="991"/>
      <c r="AE52" s="430">
        <f>+'Exhibit F'!AF50</f>
        <v>0.7</v>
      </c>
      <c r="AF52" s="2111"/>
      <c r="AG52" s="2111"/>
      <c r="AH52" s="1171">
        <f t="shared" si="5"/>
        <v>0.5</v>
      </c>
      <c r="AI52" s="430"/>
      <c r="AJ52" s="1932">
        <f t="shared" si="8"/>
        <v>0.71399999999999997</v>
      </c>
    </row>
    <row r="53" spans="1:36" ht="15">
      <c r="A53" s="2115" t="s">
        <v>1399</v>
      </c>
      <c r="B53" s="430"/>
      <c r="C53" s="992">
        <f>+'Exhibit F'!D51+'Exhibit G state'!D36</f>
        <v>132.6</v>
      </c>
      <c r="D53" s="992"/>
      <c r="E53" s="992">
        <f>+'Exhibit F'!F51+'Exhibit G state'!F36</f>
        <v>87.3</v>
      </c>
      <c r="F53" s="992"/>
      <c r="G53" s="992">
        <f>+'Exhibit F'!H51+'Exhibit G state'!H36</f>
        <v>95.8</v>
      </c>
      <c r="H53" s="992"/>
      <c r="I53" s="992">
        <f>+'Exhibit F'!J51+'Exhibit G state'!J36</f>
        <v>95.7</v>
      </c>
      <c r="J53" s="992"/>
      <c r="K53" s="992">
        <f>+'Exhibit F'!L51+'Exhibit G state'!L36</f>
        <v>85.1</v>
      </c>
      <c r="L53" s="430"/>
      <c r="M53" s="992">
        <f>+'Exhibit F'!N51+'Exhibit G state'!N36</f>
        <v>99.6</v>
      </c>
      <c r="N53" s="430"/>
      <c r="O53" s="992">
        <f>+'Exhibit F'!P51+'Exhibit G state'!P36</f>
        <v>87.2</v>
      </c>
      <c r="P53" s="430"/>
      <c r="Q53" s="992">
        <f>+'Exhibit F'!R51+'Exhibit G state'!R36</f>
        <v>94.8</v>
      </c>
      <c r="R53" s="430"/>
      <c r="S53" s="992">
        <f>+'Exhibit F'!T51+'Exhibit G state'!T36</f>
        <v>111.4</v>
      </c>
      <c r="T53" s="430"/>
      <c r="U53" s="992"/>
      <c r="V53" s="430"/>
      <c r="W53" s="992"/>
      <c r="X53" s="430"/>
      <c r="Y53" s="992"/>
      <c r="Z53" s="430"/>
      <c r="AA53" s="1930"/>
      <c r="AB53" s="992">
        <f t="shared" si="7"/>
        <v>889.5</v>
      </c>
      <c r="AC53" s="430"/>
      <c r="AD53" s="991"/>
      <c r="AE53" s="2111">
        <f>+'Exhibit F'!AF51+'Exhibit G state'!AH36</f>
        <v>867.7</v>
      </c>
      <c r="AF53" s="2111"/>
      <c r="AG53" s="2111"/>
      <c r="AH53" s="1171">
        <f t="shared" si="5"/>
        <v>21.8</v>
      </c>
      <c r="AI53" s="430"/>
      <c r="AJ53" s="1932">
        <f t="shared" si="8"/>
        <v>2.5000000000000001E-2</v>
      </c>
    </row>
    <row r="54" spans="1:36" ht="15.6">
      <c r="A54" s="589" t="s">
        <v>1392</v>
      </c>
      <c r="B54" s="430"/>
      <c r="C54" s="1283">
        <f>ROUND(SUM(C48:C53),1)</f>
        <v>368.7</v>
      </c>
      <c r="D54" s="430"/>
      <c r="E54" s="1283">
        <f>ROUND(SUM(E48:E53),1)</f>
        <v>335.1</v>
      </c>
      <c r="F54" s="430"/>
      <c r="G54" s="1283">
        <f>ROUND(SUM(G48:G53),1)</f>
        <v>296.5</v>
      </c>
      <c r="H54" s="430"/>
      <c r="I54" s="1283">
        <f>ROUND(SUM(I48:I53),1)</f>
        <v>386.6</v>
      </c>
      <c r="J54" s="430"/>
      <c r="K54" s="1283">
        <f>ROUND(SUM(K48:K53),1)</f>
        <v>337.2</v>
      </c>
      <c r="L54" s="430"/>
      <c r="M54" s="1283">
        <f>ROUND(SUM(M48:M53),1)</f>
        <v>338.5</v>
      </c>
      <c r="N54" s="430"/>
      <c r="O54" s="1283">
        <f>ROUND(SUM(O48:O53),1)</f>
        <v>326.3</v>
      </c>
      <c r="P54" s="430"/>
      <c r="Q54" s="1283">
        <f>ROUND(SUM(Q48:Q53),1)</f>
        <v>267.8</v>
      </c>
      <c r="R54" s="430"/>
      <c r="S54" s="1283">
        <f>ROUND(SUM(S48:S53),1)</f>
        <v>270.8</v>
      </c>
      <c r="T54" s="430"/>
      <c r="U54" s="1283">
        <f>ROUND(SUM(U48:U53),1)</f>
        <v>0</v>
      </c>
      <c r="V54" s="430"/>
      <c r="W54" s="1283">
        <f>ROUND(SUM(W48:W53),1)</f>
        <v>0</v>
      </c>
      <c r="X54" s="430"/>
      <c r="Y54" s="1283">
        <f>ROUND(SUM(Y48:Y53),1)</f>
        <v>0</v>
      </c>
      <c r="Z54" s="430"/>
      <c r="AA54" s="1930"/>
      <c r="AB54" s="1283">
        <f>ROUND(SUM(AB48:AB53),1)</f>
        <v>2927.5</v>
      </c>
      <c r="AC54" s="430"/>
      <c r="AD54" s="991"/>
      <c r="AE54" s="484">
        <f>ROUND(SUM(AE48:AE53),1)</f>
        <v>2428.5</v>
      </c>
      <c r="AF54" s="2111"/>
      <c r="AG54" s="2111"/>
      <c r="AH54" s="484">
        <f>ROUND(SUM(AH48:AH53),1)</f>
        <v>499</v>
      </c>
      <c r="AI54" s="2090"/>
      <c r="AJ54" s="2102">
        <f t="shared" si="8"/>
        <v>0.20499999999999999</v>
      </c>
    </row>
    <row r="55" spans="1:36" ht="15.6">
      <c r="A55" s="430"/>
      <c r="B55" s="430"/>
      <c r="C55" s="1004"/>
      <c r="D55" s="992"/>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992"/>
      <c r="AA55" s="1931"/>
      <c r="AB55" s="2109"/>
      <c r="AC55" s="992"/>
      <c r="AD55" s="994"/>
      <c r="AE55" s="1004"/>
      <c r="AF55" s="1004"/>
      <c r="AG55" s="1004"/>
      <c r="AH55" s="1004"/>
      <c r="AI55" s="430"/>
      <c r="AJ55" s="2074"/>
    </row>
    <row r="56" spans="1:36" ht="15.6">
      <c r="A56" s="589" t="s">
        <v>1360</v>
      </c>
      <c r="B56" s="222"/>
      <c r="C56" s="195">
        <f>ROUND(SUM(C54+C46+C39+C30),1)</f>
        <v>8541.4</v>
      </c>
      <c r="D56" s="261"/>
      <c r="E56" s="195">
        <f>ROUND(SUM(E54+E46+E39+E30),1)</f>
        <v>3791.7</v>
      </c>
      <c r="F56" s="261"/>
      <c r="G56" s="195">
        <f>ROUND(SUM(G54+G46+G39+G30),1)</f>
        <v>7977.4</v>
      </c>
      <c r="H56" s="261"/>
      <c r="I56" s="195">
        <f>ROUND(SUM(I54+I46+I39+I30),1)</f>
        <v>4553.6000000000004</v>
      </c>
      <c r="J56" s="261"/>
      <c r="K56" s="195">
        <f>ROUND(SUM(K54+K46+K39+K30),1)</f>
        <v>4336.7</v>
      </c>
      <c r="L56" s="261"/>
      <c r="M56" s="195">
        <f>ROUND(SUM(M54+M46+M39+M30),1)</f>
        <v>8301.9</v>
      </c>
      <c r="N56" s="261"/>
      <c r="O56" s="616">
        <f>ROUND(SUM(O54+O46+O39+O30),1)</f>
        <v>4019.5</v>
      </c>
      <c r="P56" s="261"/>
      <c r="Q56" s="616">
        <f>ROUND(SUM(Q54+Q46+Q39+Q30),1)</f>
        <v>3858.2</v>
      </c>
      <c r="R56" s="261"/>
      <c r="S56" s="616">
        <f>ROUND(SUM(S30+S39+S46+S54),1)</f>
        <v>8001.9</v>
      </c>
      <c r="T56" s="261"/>
      <c r="U56" s="616">
        <f>ROUND(SUM(U30+U39+U46+U54),1)</f>
        <v>0</v>
      </c>
      <c r="V56" s="261"/>
      <c r="W56" s="616">
        <f>ROUND(SUM(W30+W39+W46+W54),1)</f>
        <v>0</v>
      </c>
      <c r="X56" s="368"/>
      <c r="Y56" s="616">
        <f>ROUND(SUM(Y30+Y39+Y46+Y54),1)</f>
        <v>0</v>
      </c>
      <c r="Z56" s="368"/>
      <c r="AA56" s="237"/>
      <c r="AB56" s="1011">
        <f>ROUND(SUM(C56:Y56),1)</f>
        <v>53382.3</v>
      </c>
      <c r="AC56" s="261"/>
      <c r="AD56" s="250"/>
      <c r="AE56" s="616">
        <f>ROUND(SUM(+AE30+AE39+AE46+AE54),1)</f>
        <v>48695</v>
      </c>
      <c r="AF56" s="249"/>
      <c r="AG56" s="1286"/>
      <c r="AH56" s="616">
        <f>ROUND(+AB56-AE56,1)</f>
        <v>4687.3</v>
      </c>
      <c r="AI56" s="1908"/>
      <c r="AJ56" s="525">
        <f>ROUND(SUM(+AH56/ABS(AE56)),3)</f>
        <v>9.6000000000000002E-2</v>
      </c>
    </row>
    <row r="57" spans="1:36" ht="15">
      <c r="A57" s="430"/>
      <c r="B57" s="430"/>
      <c r="C57" s="992"/>
      <c r="D57" s="992"/>
      <c r="E57" s="992"/>
      <c r="F57" s="992"/>
      <c r="G57" s="992"/>
      <c r="H57" s="992"/>
      <c r="I57" s="992"/>
      <c r="J57" s="992"/>
      <c r="K57" s="992"/>
      <c r="L57" s="992"/>
      <c r="M57" s="992"/>
      <c r="N57" s="992"/>
      <c r="O57" s="992"/>
      <c r="P57" s="992"/>
      <c r="Q57" s="992"/>
      <c r="R57" s="992"/>
      <c r="S57" s="992"/>
      <c r="T57" s="992"/>
      <c r="U57" s="992"/>
      <c r="V57" s="992"/>
      <c r="X57" s="992"/>
      <c r="Y57" s="992"/>
      <c r="Z57" s="992"/>
      <c r="AA57" s="1931"/>
      <c r="AB57" s="992"/>
      <c r="AC57" s="992"/>
      <c r="AD57" s="994"/>
      <c r="AE57" s="992"/>
      <c r="AF57" s="1004"/>
      <c r="AG57" s="1004"/>
      <c r="AH57" s="992"/>
      <c r="AI57" s="430"/>
      <c r="AJ57" s="1932"/>
    </row>
    <row r="58" spans="1:36" ht="15.6">
      <c r="A58" s="490" t="s">
        <v>1294</v>
      </c>
      <c r="B58" s="430"/>
      <c r="C58" s="992"/>
      <c r="D58" s="992"/>
      <c r="E58" s="992"/>
      <c r="F58" s="992"/>
      <c r="G58" s="992"/>
      <c r="H58" s="992"/>
      <c r="I58" s="992"/>
      <c r="J58" s="992"/>
      <c r="K58" s="992"/>
      <c r="L58" s="992"/>
      <c r="M58" s="992"/>
      <c r="N58" s="992"/>
      <c r="O58" s="992"/>
      <c r="P58" s="992"/>
      <c r="Q58" s="992"/>
      <c r="R58" s="992"/>
      <c r="S58" s="992"/>
      <c r="T58" s="992"/>
      <c r="U58" s="992"/>
      <c r="V58" s="992"/>
      <c r="X58" s="992"/>
      <c r="Y58" s="992"/>
      <c r="Z58" s="992"/>
      <c r="AA58" s="993"/>
      <c r="AB58" s="992"/>
      <c r="AC58" s="992"/>
      <c r="AD58" s="994"/>
      <c r="AE58" s="992"/>
      <c r="AF58" s="1004"/>
      <c r="AG58" s="1004"/>
      <c r="AH58" s="992"/>
      <c r="AI58" s="430"/>
      <c r="AJ58" s="1864"/>
    </row>
    <row r="59" spans="1:36" ht="15">
      <c r="A59" s="1830" t="s">
        <v>1422</v>
      </c>
      <c r="B59" s="430"/>
      <c r="C59" s="992"/>
      <c r="D59" s="992"/>
      <c r="E59" s="992"/>
      <c r="F59" s="992"/>
      <c r="G59" s="992"/>
      <c r="H59" s="992"/>
      <c r="I59" s="992"/>
      <c r="J59" s="992"/>
      <c r="K59" s="992"/>
      <c r="L59" s="992"/>
      <c r="M59" s="992"/>
      <c r="N59" s="992"/>
      <c r="O59" s="992"/>
      <c r="P59" s="992"/>
      <c r="Q59" s="992"/>
      <c r="R59" s="992"/>
      <c r="S59" s="992"/>
      <c r="T59" s="992"/>
      <c r="U59" s="992"/>
      <c r="V59" s="992"/>
      <c r="X59" s="992"/>
      <c r="Y59" s="992"/>
      <c r="Z59" s="992"/>
      <c r="AA59" s="993"/>
      <c r="AB59" s="992"/>
      <c r="AC59" s="992"/>
      <c r="AD59" s="994"/>
      <c r="AE59" s="992"/>
      <c r="AF59" s="1004"/>
      <c r="AG59" s="1004"/>
      <c r="AH59" s="992"/>
      <c r="AI59" s="430"/>
      <c r="AJ59" s="1864"/>
    </row>
    <row r="60" spans="1:36" ht="15">
      <c r="A60" s="1830" t="s">
        <v>1292</v>
      </c>
      <c r="B60" s="430"/>
      <c r="C60" s="992">
        <f>+'Exhibit F'!D58+'Exhibit G state'!D43</f>
        <v>0.8</v>
      </c>
      <c r="D60" s="992"/>
      <c r="E60" s="992">
        <f>+'Exhibit F'!F58+'Exhibit G state'!F43</f>
        <v>0.6</v>
      </c>
      <c r="F60" s="992"/>
      <c r="G60" s="992">
        <f>+'Exhibit F'!H58+'Exhibit G state'!H43</f>
        <v>0.9</v>
      </c>
      <c r="H60" s="992"/>
      <c r="I60" s="992">
        <f>+'Exhibit F'!J58+'Exhibit G state'!J43</f>
        <v>1.1000000000000001</v>
      </c>
      <c r="J60" s="992"/>
      <c r="K60" s="992">
        <f>+'Exhibit F'!L58+'Exhibit G state'!L43</f>
        <v>0.9</v>
      </c>
      <c r="L60" s="992"/>
      <c r="M60" s="992">
        <f>+'Exhibit F'!N58+'Exhibit G state'!N43</f>
        <v>23</v>
      </c>
      <c r="N60" s="992"/>
      <c r="O60" s="992">
        <f>+'Exhibit F'!P58+'Exhibit G state'!P43</f>
        <v>25</v>
      </c>
      <c r="P60" s="992"/>
      <c r="Q60" s="992">
        <f>+'Exhibit F'!R58+'Exhibit G state'!R43</f>
        <v>121</v>
      </c>
      <c r="R60" s="992"/>
      <c r="S60" s="992">
        <f>+'Exhibit F'!T58+'Exhibit G state'!T43</f>
        <v>27</v>
      </c>
      <c r="T60" s="992"/>
      <c r="U60" s="992"/>
      <c r="V60" s="992"/>
      <c r="W60" s="2905"/>
      <c r="X60" s="992"/>
      <c r="Y60" s="2905"/>
      <c r="Z60" s="992"/>
      <c r="AA60" s="993"/>
      <c r="AB60" s="992">
        <f>ROUND(SUM(C60:Y60),1)</f>
        <v>200.3</v>
      </c>
      <c r="AC60" s="992"/>
      <c r="AD60" s="994"/>
      <c r="AE60" s="992">
        <f>+'Exhibit F'!AF58+'Exhibit G state'!AH43</f>
        <v>258.59999999999997</v>
      </c>
      <c r="AF60" s="1004"/>
      <c r="AG60" s="1004"/>
      <c r="AH60" s="992">
        <f t="shared" ref="AH60:AH99" si="9">ROUND(SUM(AB60-AE60),1)</f>
        <v>-58.3</v>
      </c>
      <c r="AI60" s="430"/>
      <c r="AJ60" s="1932">
        <f>ROUND(SUM(AH60/ABS(AE60)),3)</f>
        <v>-0.22500000000000001</v>
      </c>
    </row>
    <row r="61" spans="1:36" ht="15">
      <c r="A61" s="1830" t="s">
        <v>1293</v>
      </c>
      <c r="B61" s="430"/>
      <c r="C61" s="992">
        <f>+'Exhibit F'!D59</f>
        <v>0.5</v>
      </c>
      <c r="D61" s="992"/>
      <c r="E61" s="992">
        <f>+'Exhibit F'!F59</f>
        <v>0</v>
      </c>
      <c r="F61" s="992"/>
      <c r="G61" s="992">
        <f>+'Exhibit F'!H59</f>
        <v>7.5</v>
      </c>
      <c r="H61" s="992"/>
      <c r="I61" s="992">
        <f>+'Exhibit F'!J59</f>
        <v>-0.7</v>
      </c>
      <c r="J61" s="992"/>
      <c r="K61" s="992">
        <f>+'Exhibit F'!L59</f>
        <v>-0.1</v>
      </c>
      <c r="L61" s="992"/>
      <c r="M61" s="992">
        <f>+'Exhibit F'!N59</f>
        <v>29.3</v>
      </c>
      <c r="N61" s="992"/>
      <c r="O61" s="992">
        <f>+'Exhibit F'!P59</f>
        <v>2.6</v>
      </c>
      <c r="P61" s="992"/>
      <c r="Q61" s="992">
        <f>+'Exhibit F'!R59</f>
        <v>0.4</v>
      </c>
      <c r="R61" s="992"/>
      <c r="S61" s="992">
        <f>+'Exhibit F'!T59</f>
        <v>20.399999999999999</v>
      </c>
      <c r="T61" s="992"/>
      <c r="U61" s="992"/>
      <c r="V61" s="992"/>
      <c r="W61" s="2905"/>
      <c r="X61" s="992"/>
      <c r="Y61" s="2905"/>
      <c r="Z61" s="992"/>
      <c r="AA61" s="993"/>
      <c r="AB61" s="992">
        <f>ROUND(SUM(C61:Y61),1)</f>
        <v>59.9</v>
      </c>
      <c r="AC61" s="992"/>
      <c r="AD61" s="994"/>
      <c r="AE61" s="992">
        <f>+'Exhibit F'!AF59</f>
        <v>58.3</v>
      </c>
      <c r="AF61" s="1004"/>
      <c r="AG61" s="1004"/>
      <c r="AH61" s="992">
        <f t="shared" si="9"/>
        <v>1.6</v>
      </c>
      <c r="AI61" s="430"/>
      <c r="AJ61" s="1932">
        <f>ROUND(SUM(AH61/ABS(AE61)),3)</f>
        <v>2.7E-2</v>
      </c>
    </row>
    <row r="62" spans="1:36" ht="15">
      <c r="A62" s="1830" t="s">
        <v>1423</v>
      </c>
      <c r="B62" s="430"/>
      <c r="C62" s="992"/>
      <c r="D62" s="992"/>
      <c r="E62" s="992"/>
      <c r="F62" s="992"/>
      <c r="G62" s="992"/>
      <c r="H62" s="992"/>
      <c r="I62" s="992"/>
      <c r="J62" s="992"/>
      <c r="K62" s="992"/>
      <c r="L62" s="992"/>
      <c r="M62" s="992"/>
      <c r="N62" s="992"/>
      <c r="O62" s="992"/>
      <c r="P62" s="992"/>
      <c r="Q62" s="992"/>
      <c r="R62" s="992"/>
      <c r="S62" s="992"/>
      <c r="T62" s="992"/>
      <c r="U62" s="992"/>
      <c r="V62" s="992"/>
      <c r="W62" s="2905"/>
      <c r="X62" s="992"/>
      <c r="Y62" s="2905"/>
      <c r="Z62" s="992"/>
      <c r="AA62" s="993"/>
      <c r="AB62" s="992"/>
      <c r="AC62" s="992"/>
      <c r="AD62" s="994"/>
      <c r="AE62" s="992"/>
      <c r="AF62" s="1004"/>
      <c r="AG62" s="1004"/>
      <c r="AH62" s="992" t="s">
        <v>16</v>
      </c>
      <c r="AI62" s="430" t="s">
        <v>16</v>
      </c>
      <c r="AJ62" s="1864" t="s">
        <v>16</v>
      </c>
    </row>
    <row r="63" spans="1:36" ht="15">
      <c r="A63" s="1830" t="s">
        <v>1297</v>
      </c>
      <c r="B63" s="430"/>
      <c r="C63" s="992">
        <f>+'Exhibit F'!D61+'Exhibit G state'!D45</f>
        <v>75.7</v>
      </c>
      <c r="D63" s="992"/>
      <c r="E63" s="992">
        <f>+'Exhibit F'!F61+'Exhibit G state'!F45</f>
        <v>261</v>
      </c>
      <c r="F63" s="992"/>
      <c r="G63" s="992">
        <f>+'Exhibit F'!H61+'Exhibit G state'!H45</f>
        <v>101.3</v>
      </c>
      <c r="H63" s="992"/>
      <c r="I63" s="992">
        <f>+'Exhibit F'!J61+'Exhibit G state'!J45</f>
        <v>23.4</v>
      </c>
      <c r="J63" s="992"/>
      <c r="K63" s="992">
        <f>+'Exhibit F'!L61+'Exhibit G state'!L45</f>
        <v>23.9</v>
      </c>
      <c r="L63" s="992"/>
      <c r="M63" s="992">
        <f>+'Exhibit F'!N61+'Exhibit G state'!N45</f>
        <v>133.6</v>
      </c>
      <c r="N63" s="992"/>
      <c r="O63" s="992">
        <f>+'Exhibit F'!P61+'Exhibit G state'!P45</f>
        <v>13.7</v>
      </c>
      <c r="P63" s="992"/>
      <c r="Q63" s="992">
        <f>+'Exhibit F'!R61+'Exhibit G state'!R45</f>
        <v>29.6</v>
      </c>
      <c r="R63" s="992"/>
      <c r="S63" s="992">
        <f>+'Exhibit F'!T61+'Exhibit G state'!T45</f>
        <v>184.1</v>
      </c>
      <c r="T63" s="992"/>
      <c r="U63" s="992"/>
      <c r="V63" s="992"/>
      <c r="W63" s="2905"/>
      <c r="X63" s="992"/>
      <c r="Y63" s="2905"/>
      <c r="Z63" s="992"/>
      <c r="AA63" s="993"/>
      <c r="AB63" s="992">
        <f>ROUND(SUM(C63:Y63),1)</f>
        <v>846.3</v>
      </c>
      <c r="AC63" s="992"/>
      <c r="AD63" s="994"/>
      <c r="AE63" s="992">
        <f>+'Exhibit F'!AF61+'Exhibit G state'!AH45</f>
        <v>1609.6</v>
      </c>
      <c r="AF63" s="1004"/>
      <c r="AG63" s="1004"/>
      <c r="AH63" s="992">
        <f t="shared" si="9"/>
        <v>-763.3</v>
      </c>
      <c r="AI63" s="430"/>
      <c r="AJ63" s="1932">
        <f>ROUND(SUM(AH63/ABS(AE63)),3)</f>
        <v>-0.47399999999999998</v>
      </c>
    </row>
    <row r="64" spans="1:36" ht="15">
      <c r="A64" s="1830" t="s">
        <v>1298</v>
      </c>
      <c r="B64" s="430"/>
      <c r="C64" s="992">
        <f>+'Exhibit F'!D62+'Exhibit G state'!D46</f>
        <v>376.8</v>
      </c>
      <c r="D64" s="992"/>
      <c r="E64" s="992">
        <f>+'Exhibit F'!F62+'Exhibit G state'!F46</f>
        <v>425.79999999999995</v>
      </c>
      <c r="F64" s="992"/>
      <c r="G64" s="992">
        <f>+'Exhibit F'!H62+'Exhibit G state'!H46</f>
        <v>493.7</v>
      </c>
      <c r="H64" s="992"/>
      <c r="I64" s="992">
        <f>+'Exhibit F'!J62+'Exhibit G state'!J46</f>
        <v>475.59999999999997</v>
      </c>
      <c r="J64" s="992"/>
      <c r="K64" s="992">
        <f>+'Exhibit F'!L62+'Exhibit G state'!L46</f>
        <v>431.2</v>
      </c>
      <c r="L64" s="992"/>
      <c r="M64" s="992">
        <f>+'Exhibit F'!N62+'Exhibit G state'!N46</f>
        <v>428.2</v>
      </c>
      <c r="N64" s="992"/>
      <c r="O64" s="992">
        <f>+'Exhibit F'!P62+'Exhibit G state'!P46</f>
        <v>435.9</v>
      </c>
      <c r="P64" s="992"/>
      <c r="Q64" s="992">
        <f>+'Exhibit F'!R62+'Exhibit G state'!R46</f>
        <v>453.3</v>
      </c>
      <c r="R64" s="992"/>
      <c r="S64" s="992">
        <f>+'Exhibit F'!T62+'Exhibit G state'!T46</f>
        <v>408.1</v>
      </c>
      <c r="T64" s="992"/>
      <c r="U64" s="992"/>
      <c r="V64" s="992"/>
      <c r="W64" s="2905"/>
      <c r="X64" s="992"/>
      <c r="Y64" s="2905"/>
      <c r="Z64" s="992"/>
      <c r="AA64" s="993"/>
      <c r="AB64" s="992">
        <f>ROUND(SUM(C64:Y64),1)</f>
        <v>3928.6</v>
      </c>
      <c r="AC64" s="992"/>
      <c r="AD64" s="994"/>
      <c r="AE64" s="992">
        <f>+'Exhibit F'!AF62+'Exhibit G state'!AH46+'Exhibit H'!AD29</f>
        <v>3782.6</v>
      </c>
      <c r="AF64" s="1004"/>
      <c r="AG64" s="1004"/>
      <c r="AH64" s="992">
        <f t="shared" si="9"/>
        <v>146</v>
      </c>
      <c r="AI64" s="430"/>
      <c r="AJ64" s="1932">
        <f>ROUND(SUM(AH64/ABS(AE64)),3)</f>
        <v>3.9E-2</v>
      </c>
    </row>
    <row r="65" spans="1:36" ht="15">
      <c r="A65" s="1830" t="s">
        <v>1299</v>
      </c>
      <c r="B65" s="430"/>
      <c r="C65" s="992">
        <f>+'Exhibit F'!D63+'Exhibit G state'!D47</f>
        <v>0.7</v>
      </c>
      <c r="D65" s="992"/>
      <c r="E65" s="992">
        <f>+'Exhibit F'!F63+'Exhibit G state'!F47</f>
        <v>-0.1</v>
      </c>
      <c r="F65" s="992"/>
      <c r="G65" s="992">
        <f>+'Exhibit F'!H63+'Exhibit G state'!H47</f>
        <v>0.3</v>
      </c>
      <c r="H65" s="992"/>
      <c r="I65" s="992">
        <f>+'Exhibit F'!J63+'Exhibit G state'!J47</f>
        <v>0</v>
      </c>
      <c r="J65" s="992"/>
      <c r="K65" s="992">
        <f>+'Exhibit F'!L63+'Exhibit G state'!L47</f>
        <v>0.6</v>
      </c>
      <c r="L65" s="992"/>
      <c r="M65" s="992">
        <f>+'Exhibit F'!N63+'Exhibit G state'!N47</f>
        <v>162.5</v>
      </c>
      <c r="N65" s="992"/>
      <c r="O65" s="992">
        <f>+'Exhibit F'!P63+'Exhibit G state'!P47</f>
        <v>-1</v>
      </c>
      <c r="P65" s="992"/>
      <c r="Q65" s="992">
        <f>+'Exhibit F'!R63+'Exhibit G state'!R47</f>
        <v>-3.5</v>
      </c>
      <c r="R65" s="992"/>
      <c r="S65" s="992">
        <f>+'Exhibit F'!T63+'Exhibit G state'!T47</f>
        <v>-0.7</v>
      </c>
      <c r="T65" s="992"/>
      <c r="U65" s="992"/>
      <c r="V65" s="992"/>
      <c r="W65" s="2905"/>
      <c r="X65" s="992"/>
      <c r="Y65" s="2905"/>
      <c r="Z65" s="992"/>
      <c r="AA65" s="993"/>
      <c r="AB65" s="992">
        <f>ROUND(SUM(C65:Y65),1)</f>
        <v>158.80000000000001</v>
      </c>
      <c r="AC65" s="992"/>
      <c r="AD65" s="994"/>
      <c r="AE65" s="992">
        <f>+'Exhibit F'!AF63+'Exhibit G state'!AH47</f>
        <v>216.3</v>
      </c>
      <c r="AF65" s="1004"/>
      <c r="AG65" s="1004"/>
      <c r="AH65" s="992">
        <f t="shared" si="9"/>
        <v>-57.5</v>
      </c>
      <c r="AI65" s="430"/>
      <c r="AJ65" s="1864">
        <f>ROUND(IF(AE65=0,0,AH65/ABS(AE65)),3)</f>
        <v>-0.26600000000000001</v>
      </c>
    </row>
    <row r="66" spans="1:36" ht="15">
      <c r="A66" s="1830" t="s">
        <v>1300</v>
      </c>
      <c r="B66" s="430"/>
      <c r="C66" s="992">
        <f>+'Exhibit F'!D64+'Exhibit G state'!D48</f>
        <v>18.2</v>
      </c>
      <c r="D66" s="992"/>
      <c r="E66" s="992">
        <f>+'Exhibit F'!F64+'Exhibit G state'!F48</f>
        <v>19.400000000000002</v>
      </c>
      <c r="F66" s="992"/>
      <c r="G66" s="992">
        <f>+'Exhibit F'!H64+'Exhibit G state'!H48</f>
        <v>18</v>
      </c>
      <c r="H66" s="992"/>
      <c r="I66" s="992">
        <f>+'Exhibit F'!J64+'Exhibit G state'!J48</f>
        <v>19</v>
      </c>
      <c r="J66" s="992"/>
      <c r="K66" s="992">
        <f>+'Exhibit F'!L64+'Exhibit G state'!L48</f>
        <v>18.900000000000002</v>
      </c>
      <c r="L66" s="992"/>
      <c r="M66" s="992">
        <f>+'Exhibit F'!N64+'Exhibit G state'!N48</f>
        <v>18</v>
      </c>
      <c r="N66" s="992"/>
      <c r="O66" s="992">
        <f>+'Exhibit F'!P64+'Exhibit G state'!P48</f>
        <v>18.8</v>
      </c>
      <c r="P66" s="992"/>
      <c r="Q66" s="992">
        <f>+'Exhibit F'!R64+'Exhibit G state'!R48</f>
        <v>18.100000000000001</v>
      </c>
      <c r="R66" s="992"/>
      <c r="S66" s="992">
        <f>+'Exhibit F'!T64+'Exhibit G state'!T48</f>
        <v>18.2</v>
      </c>
      <c r="T66" s="992"/>
      <c r="U66" s="992"/>
      <c r="V66" s="992"/>
      <c r="W66" s="2905"/>
      <c r="X66" s="992"/>
      <c r="Y66" s="2905"/>
      <c r="Z66" s="992"/>
      <c r="AA66" s="993"/>
      <c r="AB66" s="992">
        <f>ROUND(SUM(C66:Y66),1)</f>
        <v>166.6</v>
      </c>
      <c r="AC66" s="992"/>
      <c r="AD66" s="994"/>
      <c r="AE66" s="992">
        <f>+'Exhibit F'!AF64+'Exhibit G state'!AH48</f>
        <v>155</v>
      </c>
      <c r="AF66" s="1004"/>
      <c r="AG66" s="1004"/>
      <c r="AH66" s="992">
        <f t="shared" si="9"/>
        <v>11.6</v>
      </c>
      <c r="AI66" s="430"/>
      <c r="AJ66" s="1932">
        <f>ROUND(SUM(AH66/ABS(AE66)),3)</f>
        <v>7.4999999999999997E-2</v>
      </c>
    </row>
    <row r="67" spans="1:36" ht="15">
      <c r="A67" s="1830" t="s">
        <v>1428</v>
      </c>
      <c r="B67" s="430"/>
      <c r="C67" s="992"/>
      <c r="D67" s="992"/>
      <c r="E67" s="992"/>
      <c r="F67" s="992"/>
      <c r="G67" s="992"/>
      <c r="H67" s="992"/>
      <c r="I67" s="992"/>
      <c r="J67" s="992"/>
      <c r="K67" s="992"/>
      <c r="L67" s="992"/>
      <c r="M67" s="992"/>
      <c r="N67" s="992"/>
      <c r="O67" s="992"/>
      <c r="P67" s="992"/>
      <c r="Q67" s="992"/>
      <c r="R67" s="992"/>
      <c r="S67" s="992"/>
      <c r="T67" s="992"/>
      <c r="U67" s="992"/>
      <c r="V67" s="992"/>
      <c r="W67" s="2905"/>
      <c r="X67" s="992"/>
      <c r="Y67" s="2905"/>
      <c r="Z67" s="992"/>
      <c r="AA67" s="993"/>
      <c r="AB67" s="992"/>
      <c r="AC67" s="992"/>
      <c r="AD67" s="994"/>
      <c r="AE67" s="992"/>
      <c r="AF67" s="1004"/>
      <c r="AG67" s="1004"/>
      <c r="AH67" s="992"/>
      <c r="AI67" s="430"/>
      <c r="AJ67" s="1864"/>
    </row>
    <row r="68" spans="1:36" ht="15">
      <c r="A68" s="1830" t="s">
        <v>1301</v>
      </c>
      <c r="B68" s="430"/>
      <c r="C68" s="992">
        <f>+'Exhibit F'!D66+'Exhibit H'!B31</f>
        <v>6.9</v>
      </c>
      <c r="D68" s="992"/>
      <c r="E68" s="992">
        <f>+'Exhibit F'!F66+'Exhibit H'!D31</f>
        <v>5.5</v>
      </c>
      <c r="F68" s="992"/>
      <c r="G68" s="992">
        <f>+'Exhibit F'!H66+'Exhibit H'!F31</f>
        <v>6.9</v>
      </c>
      <c r="H68" s="992"/>
      <c r="I68" s="992">
        <f>+'Exhibit F'!J66+'Exhibit H'!H31</f>
        <v>5.7</v>
      </c>
      <c r="J68" s="992"/>
      <c r="K68" s="992">
        <f>+'Exhibit F'!L66+'Exhibit H'!J31</f>
        <v>5.7</v>
      </c>
      <c r="L68" s="992"/>
      <c r="M68" s="992">
        <f>+'Exhibit F'!N66+'Exhibit H'!L31</f>
        <v>6.5</v>
      </c>
      <c r="N68" s="992"/>
      <c r="O68" s="992">
        <f>+'Exhibit F'!P66+'Exhibit H'!N31</f>
        <v>5.9</v>
      </c>
      <c r="P68" s="992"/>
      <c r="Q68" s="992">
        <f>+'Exhibit F'!R66+'Exhibit H'!P31</f>
        <v>4.0999999999999996</v>
      </c>
      <c r="R68" s="992"/>
      <c r="S68" s="992">
        <f>+'Exhibit F'!T66+'Exhibit H'!R31</f>
        <v>4.9000000000000004</v>
      </c>
      <c r="T68" s="992"/>
      <c r="U68" s="992"/>
      <c r="V68" s="992"/>
      <c r="W68" s="2905"/>
      <c r="X68" s="992"/>
      <c r="Y68" s="2905"/>
      <c r="Z68" s="992"/>
      <c r="AA68" s="993"/>
      <c r="AB68" s="992">
        <f t="shared" ref="AB68:AB75" si="10">ROUND(SUM(C68:Y68),1)</f>
        <v>52.1</v>
      </c>
      <c r="AC68" s="992"/>
      <c r="AD68" s="994"/>
      <c r="AE68" s="992">
        <f>+'Exhibit F'!AF66+'Exhibit H'!AD31</f>
        <v>45.9</v>
      </c>
      <c r="AF68" s="1004"/>
      <c r="AG68" s="1004"/>
      <c r="AH68" s="992">
        <f t="shared" si="9"/>
        <v>6.2</v>
      </c>
      <c r="AI68" s="430"/>
      <c r="AJ68" s="1932">
        <f>ROUND(SUM(AH68/ABS(AE68)),3)</f>
        <v>0.13500000000000001</v>
      </c>
    </row>
    <row r="69" spans="1:36" ht="15">
      <c r="A69" s="1830" t="s">
        <v>1690</v>
      </c>
      <c r="B69" s="3153"/>
      <c r="C69" s="992">
        <f>'Exhibit G state'!D50</f>
        <v>0</v>
      </c>
      <c r="D69" s="992" t="s">
        <v>16</v>
      </c>
      <c r="E69" s="992">
        <f>'Exhibit G state'!F50</f>
        <v>0</v>
      </c>
      <c r="F69" s="992" t="s">
        <v>16</v>
      </c>
      <c r="G69" s="992">
        <f>'Exhibit G state'!H50</f>
        <v>0</v>
      </c>
      <c r="H69" s="992" t="s">
        <v>16</v>
      </c>
      <c r="I69" s="992">
        <f>'Exhibit G state'!J50</f>
        <v>0</v>
      </c>
      <c r="J69" s="992" t="s">
        <v>16</v>
      </c>
      <c r="K69" s="992">
        <f>'Exhibit G state'!L50</f>
        <v>0</v>
      </c>
      <c r="L69" s="992" t="s">
        <v>16</v>
      </c>
      <c r="M69" s="992">
        <f>'Exhibit G state'!N50</f>
        <v>0</v>
      </c>
      <c r="N69" s="992" t="s">
        <v>16</v>
      </c>
      <c r="O69" s="992">
        <f>'Exhibit G state'!P50</f>
        <v>0</v>
      </c>
      <c r="P69" s="992" t="s">
        <v>16</v>
      </c>
      <c r="Q69" s="992">
        <f>'Exhibit G state'!R50</f>
        <v>0</v>
      </c>
      <c r="R69" s="992" t="s">
        <v>16</v>
      </c>
      <c r="S69" s="992">
        <f>'Exhibit G state'!T50</f>
        <v>2.1</v>
      </c>
      <c r="T69" s="992" t="s">
        <v>16</v>
      </c>
      <c r="U69" s="992"/>
      <c r="V69" s="992"/>
      <c r="W69" s="2905"/>
      <c r="X69" s="992"/>
      <c r="Y69" s="2905"/>
      <c r="Z69" s="992"/>
      <c r="AA69" s="1931"/>
      <c r="AB69" s="992">
        <f t="shared" si="10"/>
        <v>2.1</v>
      </c>
      <c r="AC69" s="992"/>
      <c r="AD69" s="994"/>
      <c r="AE69" s="992">
        <f>'Exhibit G state'!AH50</f>
        <v>0</v>
      </c>
      <c r="AF69" s="1004"/>
      <c r="AG69" s="1004"/>
      <c r="AH69" s="992">
        <f t="shared" si="9"/>
        <v>2.1</v>
      </c>
      <c r="AI69" s="3153"/>
      <c r="AJ69" s="1864">
        <f>ROUND(IF(AE69=0,1,AH69/ABS(AE69)),3)</f>
        <v>1</v>
      </c>
    </row>
    <row r="70" spans="1:36" ht="15">
      <c r="A70" s="1830" t="s">
        <v>1302</v>
      </c>
      <c r="B70" s="430"/>
      <c r="C70" s="992">
        <f>+'Exhibit F'!D67+'Exhibit G state'!D51+'Exhibit H'!B32</f>
        <v>77.099999999999994</v>
      </c>
      <c r="D70" s="992"/>
      <c r="E70" s="992">
        <f>+'Exhibit F'!F67+'Exhibit G state'!F51+'Exhibit H'!D32</f>
        <v>69.900000000000006</v>
      </c>
      <c r="F70" s="992"/>
      <c r="G70" s="992">
        <f>+'Exhibit F'!H67+'Exhibit G state'!H51+'Exhibit H'!F32</f>
        <v>125.30000000000001</v>
      </c>
      <c r="H70" s="992"/>
      <c r="I70" s="992">
        <f>+'Exhibit F'!J67+'Exhibit G state'!J51+'Exhibit H'!H32</f>
        <v>48.900000000000006</v>
      </c>
      <c r="J70" s="992"/>
      <c r="K70" s="992">
        <f>+'Exhibit F'!L67+'Exhibit G state'!L51+'Exhibit H'!J32</f>
        <v>87.3</v>
      </c>
      <c r="L70" s="992"/>
      <c r="M70" s="992">
        <f>+'Exhibit F'!N67+'Exhibit G state'!N51+'Exhibit H'!L32</f>
        <v>190.1</v>
      </c>
      <c r="N70" s="992"/>
      <c r="O70" s="992">
        <f>+'Exhibit F'!P67+'Exhibit G state'!P51+'Exhibit H'!N32</f>
        <v>92.300000000000011</v>
      </c>
      <c r="P70" s="992"/>
      <c r="Q70" s="992">
        <f>+'Exhibit F'!R67+'Exhibit G state'!R51+'Exhibit H'!P32</f>
        <v>80.399999999999991</v>
      </c>
      <c r="R70" s="992"/>
      <c r="S70" s="992">
        <f>+'Exhibit F'!T67+'Exhibit G state'!T51+'Exhibit H'!R32</f>
        <v>133.19999999999999</v>
      </c>
      <c r="T70" s="992"/>
      <c r="U70" s="992"/>
      <c r="V70" s="992"/>
      <c r="W70" s="2905"/>
      <c r="X70" s="992"/>
      <c r="Y70" s="2905"/>
      <c r="Z70" s="992"/>
      <c r="AA70" s="993"/>
      <c r="AB70" s="992">
        <f t="shared" si="10"/>
        <v>904.5</v>
      </c>
      <c r="AC70" s="992"/>
      <c r="AD70" s="994"/>
      <c r="AE70" s="992">
        <f>+'Exhibit F'!AF67+'Exhibit G state'!AH51+'Exhibit H'!AD32</f>
        <v>953.6</v>
      </c>
      <c r="AF70" s="1004"/>
      <c r="AG70" s="1004"/>
      <c r="AH70" s="992">
        <f t="shared" si="9"/>
        <v>-49.1</v>
      </c>
      <c r="AI70" s="430"/>
      <c r="AJ70" s="1932">
        <f>ROUND(SUM(AH70/AE70),3)</f>
        <v>-5.0999999999999997E-2</v>
      </c>
    </row>
    <row r="71" spans="1:36" ht="15">
      <c r="A71" s="1830" t="s">
        <v>1303</v>
      </c>
      <c r="B71" s="430"/>
      <c r="C71" s="992">
        <f>+'Exhibit F'!D68+'Exhibit G state'!D52+'Exhibit H'!B33</f>
        <v>27.6</v>
      </c>
      <c r="D71" s="992"/>
      <c r="E71" s="992">
        <f>+'Exhibit F'!F68+'Exhibit G state'!F52+'Exhibit H'!D33</f>
        <v>25.5</v>
      </c>
      <c r="F71" s="992"/>
      <c r="G71" s="992">
        <f>+'Exhibit F'!H68+'Exhibit G state'!H52+'Exhibit H'!F33</f>
        <v>22.2</v>
      </c>
      <c r="H71" s="992"/>
      <c r="I71" s="992">
        <f>+'Exhibit F'!J68+'Exhibit G state'!J52+'Exhibit H'!H33</f>
        <v>24.099999999999998</v>
      </c>
      <c r="J71" s="992"/>
      <c r="K71" s="992">
        <f>+'Exhibit F'!L68+'Exhibit G state'!L52+'Exhibit H'!J33</f>
        <v>24.200000000000003</v>
      </c>
      <c r="L71" s="992"/>
      <c r="M71" s="992">
        <f>+'Exhibit F'!N68+'Exhibit G state'!N52+'Exhibit H'!L33</f>
        <v>22.1</v>
      </c>
      <c r="N71" s="992"/>
      <c r="O71" s="992">
        <f>+'Exhibit F'!P68+'Exhibit G state'!P52+'Exhibit H'!N33</f>
        <v>29.8</v>
      </c>
      <c r="P71" s="992"/>
      <c r="Q71" s="992">
        <f>+'Exhibit F'!R68+'Exhibit G state'!R52+'Exhibit H'!P33</f>
        <v>16.7</v>
      </c>
      <c r="R71" s="992"/>
      <c r="S71" s="992">
        <f>+'Exhibit F'!T68+'Exhibit G state'!T52+'Exhibit H'!R33</f>
        <v>23.9</v>
      </c>
      <c r="T71" s="992"/>
      <c r="U71" s="992"/>
      <c r="V71" s="992"/>
      <c r="W71" s="2905"/>
      <c r="X71" s="992"/>
      <c r="Y71" s="2905"/>
      <c r="Z71" s="992"/>
      <c r="AA71" s="993"/>
      <c r="AB71" s="992">
        <f t="shared" si="10"/>
        <v>216.1</v>
      </c>
      <c r="AC71" s="992"/>
      <c r="AD71" s="994"/>
      <c r="AE71" s="992">
        <f>+'Exhibit F'!AF68+'Exhibit G state'!AH52+'Exhibit H'!AD33</f>
        <v>182</v>
      </c>
      <c r="AF71" s="1004"/>
      <c r="AG71" s="1004"/>
      <c r="AH71" s="992">
        <f t="shared" si="9"/>
        <v>34.1</v>
      </c>
      <c r="AI71" s="430"/>
      <c r="AJ71" s="1932">
        <f>ROUND(SUM(AH71/ABS(AE71)),3)</f>
        <v>0.187</v>
      </c>
    </row>
    <row r="72" spans="1:36" ht="15">
      <c r="A72" s="1830" t="s">
        <v>1304</v>
      </c>
      <c r="B72" s="430"/>
      <c r="C72" s="992">
        <f>+'Exhibit F'!D69+'Exhibit G state'!D53+'Exhibit H'!B34</f>
        <v>0.1</v>
      </c>
      <c r="D72" s="992"/>
      <c r="E72" s="992">
        <f>+'Exhibit F'!F69+'Exhibit G state'!F53+'Exhibit H'!D34</f>
        <v>0.3</v>
      </c>
      <c r="F72" s="992"/>
      <c r="G72" s="992">
        <f>+'Exhibit F'!H69+'Exhibit G state'!H53+'Exhibit H'!F34</f>
        <v>1.9000000000000001</v>
      </c>
      <c r="H72" s="992"/>
      <c r="I72" s="992">
        <f>+'Exhibit F'!J69+'Exhibit G state'!J53+'Exhibit H'!H34</f>
        <v>1</v>
      </c>
      <c r="J72" s="992"/>
      <c r="K72" s="992">
        <f>+'Exhibit F'!L69+'Exhibit G state'!L53+'Exhibit H'!J34</f>
        <v>1.7000000000000002</v>
      </c>
      <c r="L72" s="992"/>
      <c r="M72" s="992">
        <f>+'Exhibit F'!N69+'Exhibit G state'!N53+'Exhibit H'!L34</f>
        <v>0</v>
      </c>
      <c r="N72" s="992"/>
      <c r="O72" s="992">
        <f>+'Exhibit F'!P69+'Exhibit G state'!P53+'Exhibit H'!N34</f>
        <v>0</v>
      </c>
      <c r="P72" s="992"/>
      <c r="Q72" s="992">
        <f>+'Exhibit F'!R69+'Exhibit G state'!R53+'Exhibit H'!P34</f>
        <v>0.4</v>
      </c>
      <c r="R72" s="992"/>
      <c r="S72" s="992">
        <f>+'Exhibit F'!T69+'Exhibit G state'!T53+'Exhibit H'!R34</f>
        <v>2.2000000000000002</v>
      </c>
      <c r="T72" s="992"/>
      <c r="U72" s="992"/>
      <c r="V72" s="992"/>
      <c r="W72" s="2905"/>
      <c r="X72" s="992"/>
      <c r="Y72" s="2905"/>
      <c r="Z72" s="992"/>
      <c r="AA72" s="993"/>
      <c r="AB72" s="992">
        <f t="shared" si="10"/>
        <v>7.6</v>
      </c>
      <c r="AC72" s="992"/>
      <c r="AD72" s="994"/>
      <c r="AE72" s="992">
        <f>+'Exhibit F'!AF69+'Exhibit G state'!AH53+'Exhibit H'!AD34</f>
        <v>7.3</v>
      </c>
      <c r="AF72" s="1004"/>
      <c r="AG72" s="1004"/>
      <c r="AH72" s="992">
        <f t="shared" si="9"/>
        <v>0.3</v>
      </c>
      <c r="AI72" s="430"/>
      <c r="AJ72" s="1932">
        <f>ROUND(SUM(AH72/ABS(AE72)),3)</f>
        <v>4.1000000000000002E-2</v>
      </c>
    </row>
    <row r="73" spans="1:36" ht="15">
      <c r="A73" s="1830" t="s">
        <v>1305</v>
      </c>
      <c r="B73" s="430"/>
      <c r="C73" s="992">
        <f>+'Exhibit F'!D70+'Exhibit G state'!D54+'Exhibit H'!B35</f>
        <v>69.5</v>
      </c>
      <c r="D73" s="992"/>
      <c r="E73" s="992">
        <f>+'Exhibit F'!F70+'Exhibit G state'!F54+'Exhibit H'!D35</f>
        <v>50</v>
      </c>
      <c r="F73" s="992"/>
      <c r="G73" s="992">
        <f>+'Exhibit F'!H70+'Exhibit G state'!H54+'Exhibit H'!F35</f>
        <v>72</v>
      </c>
      <c r="H73" s="992"/>
      <c r="I73" s="992">
        <f>+'Exhibit F'!J70+'Exhibit G state'!J54+'Exhibit H'!H35</f>
        <v>56.800000000000004</v>
      </c>
      <c r="J73" s="992"/>
      <c r="K73" s="992">
        <f>+'Exhibit F'!L70+'Exhibit G state'!L54+'Exhibit H'!J35</f>
        <v>38.300000000000004</v>
      </c>
      <c r="L73" s="992"/>
      <c r="M73" s="992">
        <f>+'Exhibit F'!N70+'Exhibit G state'!N54+'Exhibit H'!L35</f>
        <v>62.599999999999994</v>
      </c>
      <c r="N73" s="992"/>
      <c r="O73" s="992">
        <f>+'Exhibit F'!P70+'Exhibit G state'!P54+'Exhibit H'!N35</f>
        <v>57.5</v>
      </c>
      <c r="P73" s="992"/>
      <c r="Q73" s="992">
        <f>+'Exhibit F'!R70+'Exhibit G state'!R54+'Exhibit H'!P35</f>
        <v>47.300000000000004</v>
      </c>
      <c r="R73" s="992"/>
      <c r="S73" s="992">
        <f>+'Exhibit F'!T70+'Exhibit G state'!T54+'Exhibit H'!R35</f>
        <v>58.9</v>
      </c>
      <c r="T73" s="992"/>
      <c r="U73" s="992"/>
      <c r="V73" s="992"/>
      <c r="W73" s="2905"/>
      <c r="X73" s="992"/>
      <c r="Y73" s="2905"/>
      <c r="Z73" s="992"/>
      <c r="AA73" s="993"/>
      <c r="AB73" s="992">
        <f t="shared" si="10"/>
        <v>512.9</v>
      </c>
      <c r="AC73" s="992"/>
      <c r="AD73" s="994"/>
      <c r="AE73" s="992">
        <f>+'Exhibit F'!AF70+'Exhibit G state'!AH54+'Exhibit H'!AD35</f>
        <v>492.79999999999995</v>
      </c>
      <c r="AF73" s="1004"/>
      <c r="AG73" s="1004"/>
      <c r="AH73" s="992">
        <f t="shared" si="9"/>
        <v>20.100000000000001</v>
      </c>
      <c r="AI73" s="430"/>
      <c r="AJ73" s="1864">
        <f>ROUND(IF(AE73=0,0,AH73/ABS(AE73)),3)</f>
        <v>4.1000000000000002E-2</v>
      </c>
    </row>
    <row r="74" spans="1:36" ht="15">
      <c r="A74" s="1830" t="s">
        <v>1306</v>
      </c>
      <c r="B74" s="430"/>
      <c r="C74" s="992">
        <f>+'Exhibit F'!D71+'Exhibit G state'!D55+'Exhibit H'!B36</f>
        <v>16.600000000000001</v>
      </c>
      <c r="D74" s="992"/>
      <c r="E74" s="992">
        <f>+'Exhibit F'!F71+'Exhibit G state'!F55+'Exhibit H'!D36</f>
        <v>27.400000000000002</v>
      </c>
      <c r="F74" s="992"/>
      <c r="G74" s="992">
        <f>+'Exhibit F'!H71+'Exhibit G state'!H55+'Exhibit H'!F36</f>
        <v>26.599999999999998</v>
      </c>
      <c r="H74" s="992"/>
      <c r="I74" s="992">
        <f>+'Exhibit F'!J71+'Exhibit G state'!J55+'Exhibit H'!H36</f>
        <v>34.599999999999994</v>
      </c>
      <c r="J74" s="992"/>
      <c r="K74" s="992">
        <f>+'Exhibit F'!L71+'Exhibit G state'!L55+'Exhibit H'!J36</f>
        <v>26.5</v>
      </c>
      <c r="L74" s="992"/>
      <c r="M74" s="992">
        <f>+'Exhibit F'!N71+'Exhibit G state'!N55+'Exhibit H'!L36</f>
        <v>32.700000000000003</v>
      </c>
      <c r="N74" s="992"/>
      <c r="O74" s="992">
        <f>+'Exhibit F'!P71+'Exhibit G state'!P55+'Exhibit H'!N36</f>
        <v>24.900000000000002</v>
      </c>
      <c r="P74" s="992"/>
      <c r="Q74" s="992">
        <f>+'Exhibit F'!R71+'Exhibit G state'!R55+'Exhibit H'!P36</f>
        <v>12.5</v>
      </c>
      <c r="R74" s="992"/>
      <c r="S74" s="992">
        <f>+'Exhibit F'!T71+'Exhibit G state'!T55+'Exhibit H'!R36</f>
        <v>12.3</v>
      </c>
      <c r="T74" s="992"/>
      <c r="U74" s="992"/>
      <c r="V74" s="992"/>
      <c r="W74" s="2905"/>
      <c r="X74" s="992"/>
      <c r="Y74" s="2905"/>
      <c r="Z74" s="992"/>
      <c r="AA74" s="993"/>
      <c r="AB74" s="992">
        <f t="shared" si="10"/>
        <v>214.1</v>
      </c>
      <c r="AC74" s="992"/>
      <c r="AD74" s="994"/>
      <c r="AE74" s="992">
        <f>+'Exhibit F'!AF71+'Exhibit G state'!AH55+'Exhibit H'!AD36</f>
        <v>203.6</v>
      </c>
      <c r="AF74" s="1004"/>
      <c r="AG74" s="1004"/>
      <c r="AH74" s="992">
        <f t="shared" si="9"/>
        <v>10.5</v>
      </c>
      <c r="AI74" s="430"/>
      <c r="AJ74" s="1932">
        <f>ROUND(SUM(AH74/ABS(AE74)),3)</f>
        <v>5.1999999999999998E-2</v>
      </c>
    </row>
    <row r="75" spans="1:36" ht="15">
      <c r="A75" s="1830" t="s">
        <v>1295</v>
      </c>
      <c r="B75" s="430"/>
      <c r="C75" s="992">
        <f>+'Exhibit F'!D72+'Exhibit G state'!D56</f>
        <v>17.7</v>
      </c>
      <c r="D75" s="992"/>
      <c r="E75" s="992">
        <f>+'Exhibit F'!F72+'Exhibit G state'!F56</f>
        <v>1410.8</v>
      </c>
      <c r="F75" s="992"/>
      <c r="G75" s="992">
        <f>+'Exhibit F'!H72+'Exhibit G state'!H56</f>
        <v>69.599999999999994</v>
      </c>
      <c r="H75" s="992"/>
      <c r="I75" s="992">
        <f>+'Exhibit F'!J72+'Exhibit G state'!J56</f>
        <v>46.9</v>
      </c>
      <c r="J75" s="992"/>
      <c r="K75" s="992">
        <f>+'Exhibit F'!L72+'Exhibit G state'!L56</f>
        <v>54.3</v>
      </c>
      <c r="L75" s="992"/>
      <c r="M75" s="992">
        <f>+'Exhibit F'!N72+'Exhibit G state'!N56</f>
        <v>28.900000000000002</v>
      </c>
      <c r="N75" s="992"/>
      <c r="O75" s="992">
        <f>+'Exhibit F'!P72+'Exhibit G state'!P56</f>
        <v>394</v>
      </c>
      <c r="P75" s="992"/>
      <c r="Q75" s="992">
        <f>+'Exhibit F'!R72+'Exhibit G state'!R56</f>
        <v>418.5</v>
      </c>
      <c r="R75" s="992"/>
      <c r="S75" s="992">
        <f>+'Exhibit F'!T72+'Exhibit G state'!T56</f>
        <v>74.5</v>
      </c>
      <c r="T75" s="992"/>
      <c r="U75" s="992"/>
      <c r="V75" s="992"/>
      <c r="W75" s="2905"/>
      <c r="X75" s="992"/>
      <c r="Y75" s="2905"/>
      <c r="Z75" s="992"/>
      <c r="AA75" s="993"/>
      <c r="AB75" s="992">
        <f t="shared" si="10"/>
        <v>2515.1999999999998</v>
      </c>
      <c r="AC75" s="992"/>
      <c r="AD75" s="994"/>
      <c r="AE75" s="992">
        <f>+'Exhibit F'!AF72+'Exhibit G state'!AH56</f>
        <v>4253.8</v>
      </c>
      <c r="AF75" s="1004"/>
      <c r="AG75" s="1004"/>
      <c r="AH75" s="992">
        <f t="shared" si="9"/>
        <v>-1738.6</v>
      </c>
      <c r="AI75" s="430"/>
      <c r="AJ75" s="1932">
        <f>ROUND(SUM(AH75/ABS(AE75)),3)</f>
        <v>-0.40899999999999997</v>
      </c>
    </row>
    <row r="76" spans="1:36" ht="15">
      <c r="A76" s="1830" t="s">
        <v>1425</v>
      </c>
      <c r="B76" s="430"/>
      <c r="C76" s="992"/>
      <c r="D76" s="992"/>
      <c r="E76" s="992"/>
      <c r="F76" s="992"/>
      <c r="G76" s="992"/>
      <c r="H76" s="992"/>
      <c r="I76" s="992"/>
      <c r="J76" s="992"/>
      <c r="K76" s="992"/>
      <c r="L76" s="992"/>
      <c r="M76" s="992"/>
      <c r="N76" s="992"/>
      <c r="O76" s="992"/>
      <c r="P76" s="992"/>
      <c r="Q76" s="992"/>
      <c r="R76" s="992"/>
      <c r="S76" s="992"/>
      <c r="T76" s="992"/>
      <c r="U76" s="992"/>
      <c r="V76" s="992"/>
      <c r="W76" s="2905"/>
      <c r="X76" s="992"/>
      <c r="Y76" s="2905"/>
      <c r="Z76" s="992"/>
      <c r="AA76" s="993"/>
      <c r="AB76" s="992"/>
      <c r="AC76" s="992"/>
      <c r="AD76" s="994"/>
      <c r="AE76" s="992"/>
      <c r="AF76" s="1004"/>
      <c r="AG76" s="1004"/>
      <c r="AH76" s="992"/>
      <c r="AI76" s="430"/>
      <c r="AJ76" s="1932" t="s">
        <v>16</v>
      </c>
    </row>
    <row r="77" spans="1:36" ht="15">
      <c r="A77" s="1830" t="s">
        <v>1307</v>
      </c>
      <c r="B77" s="430"/>
      <c r="C77" s="992">
        <f>+'Exhibit G state'!D58</f>
        <v>43.5</v>
      </c>
      <c r="D77" s="992"/>
      <c r="E77" s="992">
        <f>+'Exhibit G state'!F58</f>
        <v>0.6</v>
      </c>
      <c r="F77" s="992"/>
      <c r="G77" s="992">
        <f>+'Exhibit G state'!H58</f>
        <v>34.4</v>
      </c>
      <c r="H77" s="992"/>
      <c r="I77" s="992">
        <f>+'Exhibit G state'!J58</f>
        <v>13.9</v>
      </c>
      <c r="J77" s="992"/>
      <c r="K77" s="992">
        <f>+'Exhibit G state'!L58</f>
        <v>1</v>
      </c>
      <c r="L77" s="992"/>
      <c r="M77" s="992">
        <f>+'Exhibit G state'!N58</f>
        <v>39.6</v>
      </c>
      <c r="N77" s="992"/>
      <c r="O77" s="992">
        <f>+'Exhibit G state'!P58</f>
        <v>15.9</v>
      </c>
      <c r="P77" s="992"/>
      <c r="Q77" s="992">
        <f>+'Exhibit G state'!R58</f>
        <v>0.7</v>
      </c>
      <c r="R77" s="992"/>
      <c r="S77" s="992">
        <f>+'Exhibit G state'!T58</f>
        <v>38.200000000000003</v>
      </c>
      <c r="T77" s="992"/>
      <c r="U77" s="992"/>
      <c r="V77" s="992"/>
      <c r="W77" s="2905"/>
      <c r="X77" s="992"/>
      <c r="Y77" s="2905"/>
      <c r="Z77" s="992"/>
      <c r="AA77" s="993"/>
      <c r="AB77" s="992">
        <f>ROUND(SUM(C77:Y77),1)</f>
        <v>187.8</v>
      </c>
      <c r="AC77" s="992"/>
      <c r="AD77" s="994"/>
      <c r="AE77" s="992">
        <f>+'Exhibit G state'!AH58</f>
        <v>148.4</v>
      </c>
      <c r="AF77" s="1004"/>
      <c r="AG77" s="1004"/>
      <c r="AH77" s="992">
        <f t="shared" si="9"/>
        <v>39.4</v>
      </c>
      <c r="AI77" s="430"/>
      <c r="AJ77" s="2756">
        <f>ROUND(SUM(AH77/ABS(AE77)),3)</f>
        <v>0.26500000000000001</v>
      </c>
    </row>
    <row r="78" spans="1:36" ht="15">
      <c r="A78" s="1830" t="s">
        <v>1308</v>
      </c>
      <c r="B78" s="430"/>
      <c r="C78" s="992">
        <f>+'Exhibit G state'!D59</f>
        <v>226.4</v>
      </c>
      <c r="D78" s="992"/>
      <c r="E78" s="992">
        <f>+'Exhibit G state'!F59</f>
        <v>191.2</v>
      </c>
      <c r="F78" s="992"/>
      <c r="G78" s="992">
        <f>+'Exhibit G state'!H59</f>
        <v>188.5</v>
      </c>
      <c r="H78" s="992"/>
      <c r="I78" s="992">
        <f>+'Exhibit G state'!J59</f>
        <v>220.2</v>
      </c>
      <c r="J78" s="992"/>
      <c r="K78" s="992">
        <f>+'Exhibit G state'!L59</f>
        <v>170.1</v>
      </c>
      <c r="L78" s="992"/>
      <c r="M78" s="992">
        <f>+'Exhibit G state'!N59</f>
        <v>227.1</v>
      </c>
      <c r="N78" s="992"/>
      <c r="O78" s="992">
        <f>+'Exhibit G state'!P59</f>
        <v>178.4</v>
      </c>
      <c r="P78" s="992"/>
      <c r="Q78" s="992">
        <f>+'Exhibit G state'!R59</f>
        <v>178.7</v>
      </c>
      <c r="R78" s="992"/>
      <c r="S78" s="992">
        <f>+'Exhibit G state'!T59</f>
        <v>228.1</v>
      </c>
      <c r="T78" s="992"/>
      <c r="U78" s="992"/>
      <c r="V78" s="992"/>
      <c r="W78" s="2905"/>
      <c r="X78" s="992"/>
      <c r="Y78" s="2905"/>
      <c r="Z78" s="992"/>
      <c r="AA78" s="993"/>
      <c r="AB78" s="992">
        <f>ROUND(SUM(C78:Y78),1)</f>
        <v>1808.7</v>
      </c>
      <c r="AC78" s="992"/>
      <c r="AD78" s="994"/>
      <c r="AE78" s="992">
        <f>+'Exhibit G state'!AH59</f>
        <v>1746.3</v>
      </c>
      <c r="AF78" s="1004"/>
      <c r="AG78" s="1004"/>
      <c r="AH78" s="992">
        <f t="shared" si="9"/>
        <v>62.4</v>
      </c>
      <c r="AI78" s="430"/>
      <c r="AJ78" s="2756">
        <f>ROUND(SUM(AH78/ABS(AE78)),3)</f>
        <v>3.5999999999999997E-2</v>
      </c>
    </row>
    <row r="79" spans="1:36" ht="15">
      <c r="A79" s="1830" t="s">
        <v>1309</v>
      </c>
      <c r="B79" s="430"/>
      <c r="C79" s="992">
        <f>+'Exhibit G state'!D60</f>
        <v>94.5</v>
      </c>
      <c r="D79" s="992"/>
      <c r="E79" s="992">
        <f>+'Exhibit G state'!F60</f>
        <v>73.400000000000006</v>
      </c>
      <c r="F79" s="992"/>
      <c r="G79" s="992">
        <f>+'Exhibit G state'!H60</f>
        <v>72.900000000000006</v>
      </c>
      <c r="H79" s="992"/>
      <c r="I79" s="992">
        <f>+'Exhibit G state'!J60</f>
        <v>90.1</v>
      </c>
      <c r="J79" s="992"/>
      <c r="K79" s="992">
        <f>+'Exhibit G state'!L60</f>
        <v>72.3</v>
      </c>
      <c r="L79" s="992"/>
      <c r="M79" s="992">
        <f>+'Exhibit G state'!N60</f>
        <v>91</v>
      </c>
      <c r="N79" s="992"/>
      <c r="O79" s="992">
        <f>+'Exhibit G state'!P60</f>
        <v>68.900000000000006</v>
      </c>
      <c r="P79" s="992"/>
      <c r="Q79" s="992">
        <f>+'Exhibit G state'!R60</f>
        <v>70</v>
      </c>
      <c r="R79" s="992"/>
      <c r="S79" s="992">
        <f>+'Exhibit G state'!T60</f>
        <v>87.8</v>
      </c>
      <c r="T79" s="992"/>
      <c r="U79" s="992"/>
      <c r="V79" s="992"/>
      <c r="W79" s="2905"/>
      <c r="X79" s="992"/>
      <c r="Y79" s="2905"/>
      <c r="Z79" s="992"/>
      <c r="AA79" s="993"/>
      <c r="AB79" s="992">
        <f>ROUND(SUM(C79:Y79),1)</f>
        <v>720.9</v>
      </c>
      <c r="AC79" s="992"/>
      <c r="AD79" s="994"/>
      <c r="AE79" s="992">
        <f>+'Exhibit G state'!AH60</f>
        <v>699.5</v>
      </c>
      <c r="AF79" s="1004"/>
      <c r="AG79" s="1004"/>
      <c r="AH79" s="992">
        <f t="shared" si="9"/>
        <v>21.4</v>
      </c>
      <c r="AI79" s="430"/>
      <c r="AJ79" s="2756">
        <f>ROUND(SUM(AH79/ABS(AE79)),3)</f>
        <v>3.1E-2</v>
      </c>
    </row>
    <row r="80" spans="1:36" ht="15">
      <c r="A80" s="1830" t="s">
        <v>1296</v>
      </c>
      <c r="B80" s="430"/>
      <c r="C80" s="992">
        <f>+'Exhibit F'!D73+'Exhibit H'!B37+'Exhibit G state'!D61</f>
        <v>2.8</v>
      </c>
      <c r="D80" s="992"/>
      <c r="E80" s="992">
        <f>+'Exhibit F'!F73+'Exhibit H'!D37+'Exhibit G state'!F61</f>
        <v>4.0999999999999996</v>
      </c>
      <c r="F80" s="992"/>
      <c r="G80" s="992">
        <f>+'Exhibit F'!H73+'Exhibit H'!F37+'Exhibit G state'!H61</f>
        <v>2.4</v>
      </c>
      <c r="H80" s="992"/>
      <c r="I80" s="992">
        <f>+'Exhibit F'!J73+'Exhibit H'!H37+'Exhibit G state'!J61</f>
        <v>3.3000000000000003</v>
      </c>
      <c r="J80" s="992"/>
      <c r="K80" s="992">
        <f>+'Exhibit F'!L73+'Exhibit H'!J37+'Exhibit G state'!L61</f>
        <v>6.4</v>
      </c>
      <c r="L80" s="992"/>
      <c r="M80" s="992">
        <f>+'Exhibit F'!N73+'Exhibit H'!L37+'Exhibit G state'!N61</f>
        <v>3.0999999999999996</v>
      </c>
      <c r="N80" s="992"/>
      <c r="O80" s="992">
        <f>+'Exhibit F'!P73+'Exhibit H'!N37+'Exhibit G state'!P61</f>
        <v>2.4</v>
      </c>
      <c r="P80" s="992"/>
      <c r="Q80" s="992">
        <f>+'Exhibit F'!R73+'Exhibit H'!P37+'Exhibit G state'!R61</f>
        <v>3.9</v>
      </c>
      <c r="R80" s="992"/>
      <c r="S80" s="992">
        <f>+'Exhibit F'!T73+'Exhibit H'!R37+'Exhibit G state'!T61</f>
        <v>3.7</v>
      </c>
      <c r="T80" s="992"/>
      <c r="U80" s="992"/>
      <c r="V80" s="992"/>
      <c r="W80" s="2905"/>
      <c r="X80" s="992"/>
      <c r="Y80" s="2905"/>
      <c r="Z80" s="992"/>
      <c r="AA80" s="993"/>
      <c r="AB80" s="992">
        <f>ROUND(SUM(C80:Y80),1)</f>
        <v>32.1</v>
      </c>
      <c r="AC80" s="992"/>
      <c r="AD80" s="994"/>
      <c r="AE80" s="992">
        <f>+'Exhibit F'!AF73+'Exhibit H'!AD37+'Exhibit G state'!AH61</f>
        <v>22.200000000000003</v>
      </c>
      <c r="AF80" s="1004"/>
      <c r="AG80" s="1004"/>
      <c r="AH80" s="992">
        <f t="shared" si="9"/>
        <v>9.9</v>
      </c>
      <c r="AI80" s="430"/>
      <c r="AJ80" s="2756">
        <f>ROUND(SUM(AH80/ABS(AE80)),3)</f>
        <v>0.44600000000000001</v>
      </c>
    </row>
    <row r="81" spans="1:36" ht="15">
      <c r="A81" s="1830" t="s">
        <v>1426</v>
      </c>
      <c r="B81" s="430"/>
      <c r="C81" s="992"/>
      <c r="D81" s="992"/>
      <c r="E81" s="992"/>
      <c r="F81" s="992"/>
      <c r="G81" s="992"/>
      <c r="H81" s="992"/>
      <c r="I81" s="992"/>
      <c r="J81" s="992"/>
      <c r="K81" s="992"/>
      <c r="L81" s="992"/>
      <c r="M81" s="992"/>
      <c r="N81" s="992"/>
      <c r="O81" s="992"/>
      <c r="P81" s="992"/>
      <c r="Q81" s="992"/>
      <c r="R81" s="992"/>
      <c r="S81" s="992"/>
      <c r="T81" s="992"/>
      <c r="U81" s="992"/>
      <c r="V81" s="992"/>
      <c r="W81" s="2905"/>
      <c r="X81" s="992"/>
      <c r="Y81" s="2905"/>
      <c r="Z81" s="992"/>
      <c r="AA81" s="993"/>
      <c r="AB81" s="992"/>
      <c r="AC81" s="992"/>
      <c r="AD81" s="994"/>
      <c r="AE81" s="992"/>
      <c r="AF81" s="1004"/>
      <c r="AG81" s="1004"/>
      <c r="AH81" s="992"/>
      <c r="AI81" s="430"/>
      <c r="AJ81" s="1864"/>
    </row>
    <row r="82" spans="1:36" ht="15">
      <c r="A82" s="1830" t="s">
        <v>1310</v>
      </c>
      <c r="B82" s="430"/>
      <c r="C82" s="992">
        <f>+'Exhibit G state'!D63</f>
        <v>0</v>
      </c>
      <c r="D82" s="992"/>
      <c r="E82" s="992">
        <f>+'Exhibit G state'!F63</f>
        <v>0</v>
      </c>
      <c r="F82" s="992"/>
      <c r="G82" s="992">
        <f>+'Exhibit G state'!H63</f>
        <v>0</v>
      </c>
      <c r="H82" s="992"/>
      <c r="I82" s="992">
        <f>+'Exhibit G state'!J63</f>
        <v>0</v>
      </c>
      <c r="J82" s="992"/>
      <c r="K82" s="992">
        <f>+'Exhibit G state'!L63</f>
        <v>0</v>
      </c>
      <c r="L82" s="992"/>
      <c r="M82" s="992">
        <f>+'Exhibit G state'!N63</f>
        <v>0</v>
      </c>
      <c r="N82" s="992"/>
      <c r="O82" s="992">
        <f>+'Exhibit G state'!P63</f>
        <v>0</v>
      </c>
      <c r="P82" s="992"/>
      <c r="Q82" s="992">
        <f>+'Exhibit G state'!R63</f>
        <v>0</v>
      </c>
      <c r="R82" s="992"/>
      <c r="S82" s="992">
        <f>+'Exhibit G state'!T63</f>
        <v>0</v>
      </c>
      <c r="T82" s="992"/>
      <c r="U82" s="992"/>
      <c r="V82" s="992"/>
      <c r="W82" s="2905"/>
      <c r="X82" s="992"/>
      <c r="Y82" s="2905"/>
      <c r="Z82" s="992"/>
      <c r="AA82" s="993"/>
      <c r="AB82" s="992">
        <f t="shared" ref="AB82:AB87" si="11">ROUND(SUM(C82:Y82),1)</f>
        <v>0</v>
      </c>
      <c r="AC82" s="992"/>
      <c r="AD82" s="994"/>
      <c r="AE82" s="992">
        <f>+'Exhibit G state'!AH63</f>
        <v>0</v>
      </c>
      <c r="AF82" s="1004"/>
      <c r="AG82" s="1004"/>
      <c r="AH82" s="992">
        <f t="shared" si="9"/>
        <v>0</v>
      </c>
      <c r="AI82" s="430"/>
      <c r="AJ82" s="1864">
        <f>ROUND(IF(AE82=0,0,AH82/ABS(AE82)),3)</f>
        <v>0</v>
      </c>
    </row>
    <row r="83" spans="1:36" ht="15">
      <c r="A83" s="1830" t="s">
        <v>1311</v>
      </c>
      <c r="B83" s="430"/>
      <c r="C83" s="992">
        <f>+'Exhibit F'!D75+'Exhibit G state'!D64</f>
        <v>0</v>
      </c>
      <c r="D83" s="992"/>
      <c r="E83" s="992">
        <f>+'Exhibit F'!F75+'Exhibit G state'!F64</f>
        <v>0</v>
      </c>
      <c r="F83" s="992"/>
      <c r="G83" s="992">
        <f>+'Exhibit F'!H75+'Exhibit G state'!H64</f>
        <v>0</v>
      </c>
      <c r="H83" s="992"/>
      <c r="I83" s="992">
        <f>+'Exhibit F'!J75+'Exhibit G state'!J64</f>
        <v>11</v>
      </c>
      <c r="J83" s="992"/>
      <c r="K83" s="992">
        <f>+'Exhibit F'!L75+'Exhibit G state'!L64</f>
        <v>14.2</v>
      </c>
      <c r="L83" s="992"/>
      <c r="M83" s="992">
        <f>+'Exhibit F'!N75+'Exhibit G state'!N64</f>
        <v>0</v>
      </c>
      <c r="N83" s="992"/>
      <c r="O83" s="992">
        <f>+'Exhibit F'!P75+'Exhibit G state'!P64</f>
        <v>0</v>
      </c>
      <c r="P83" s="992"/>
      <c r="Q83" s="992">
        <f>+'Exhibit F'!R75+'Exhibit G state'!R64</f>
        <v>7.3</v>
      </c>
      <c r="R83" s="992"/>
      <c r="S83" s="992">
        <f>+'Exhibit F'!T75+'Exhibit G state'!T64</f>
        <v>5</v>
      </c>
      <c r="T83" s="992"/>
      <c r="U83" s="992"/>
      <c r="V83" s="992"/>
      <c r="W83" s="2905"/>
      <c r="X83" s="992"/>
      <c r="Y83" s="2905"/>
      <c r="Z83" s="992"/>
      <c r="AA83" s="993"/>
      <c r="AB83" s="992">
        <f t="shared" si="11"/>
        <v>37.5</v>
      </c>
      <c r="AC83" s="992"/>
      <c r="AD83" s="994"/>
      <c r="AE83" s="992">
        <f>+'Exhibit F'!AF75+'Exhibit G state'!AH64</f>
        <v>33.200000000000003</v>
      </c>
      <c r="AF83" s="1004"/>
      <c r="AG83" s="1004"/>
      <c r="AH83" s="992">
        <f t="shared" si="9"/>
        <v>4.3</v>
      </c>
      <c r="AI83" s="430"/>
      <c r="AJ83" s="2808">
        <f>ROUND(IF(AE83=0,0,AH83/ABS(AE83)),3)</f>
        <v>0.13</v>
      </c>
    </row>
    <row r="84" spans="1:36" ht="15">
      <c r="A84" s="1830" t="s">
        <v>1312</v>
      </c>
      <c r="B84" s="430"/>
      <c r="C84" s="992">
        <f>+'Exhibit F'!D76+'Exhibit G state'!D65</f>
        <v>0.2</v>
      </c>
      <c r="D84" s="992"/>
      <c r="E84" s="992">
        <f>+'Exhibit F'!F76+'Exhibit G state'!F65</f>
        <v>5.7</v>
      </c>
      <c r="F84" s="992"/>
      <c r="G84" s="992">
        <f>+'Exhibit F'!H76+'Exhibit G state'!H65</f>
        <v>10.8</v>
      </c>
      <c r="H84" s="992"/>
      <c r="I84" s="992">
        <f>+'Exhibit F'!J76+'Exhibit G state'!J65</f>
        <v>17.5</v>
      </c>
      <c r="J84" s="992"/>
      <c r="K84" s="992">
        <f>+'Exhibit F'!L76+'Exhibit G state'!L65</f>
        <v>3.7</v>
      </c>
      <c r="L84" s="992"/>
      <c r="M84" s="992">
        <f>+'Exhibit F'!N76+'Exhibit G state'!N65</f>
        <v>18.8</v>
      </c>
      <c r="N84" s="992"/>
      <c r="O84" s="992">
        <f>+'Exhibit F'!P76+'Exhibit G state'!P65</f>
        <v>8.5</v>
      </c>
      <c r="P84" s="992"/>
      <c r="Q84" s="992">
        <f>+'Exhibit F'!R76+'Exhibit G state'!R65</f>
        <v>2.7</v>
      </c>
      <c r="R84" s="992"/>
      <c r="S84" s="992">
        <f>+'Exhibit F'!T76+'Exhibit G state'!T65</f>
        <v>13.8</v>
      </c>
      <c r="T84" s="992"/>
      <c r="U84" s="992"/>
      <c r="V84" s="992"/>
      <c r="W84" s="2905"/>
      <c r="X84" s="992"/>
      <c r="Y84" s="2905"/>
      <c r="Z84" s="992"/>
      <c r="AA84" s="993"/>
      <c r="AB84" s="992">
        <f t="shared" si="11"/>
        <v>81.7</v>
      </c>
      <c r="AC84" s="992"/>
      <c r="AD84" s="994"/>
      <c r="AE84" s="992">
        <f>+'Exhibit F'!AF76+'Exhibit G state'!AH65</f>
        <v>72.7</v>
      </c>
      <c r="AF84" s="1004"/>
      <c r="AG84" s="1004"/>
      <c r="AH84" s="992">
        <f t="shared" si="9"/>
        <v>9</v>
      </c>
      <c r="AI84" s="430"/>
      <c r="AJ84" s="1932">
        <f>ROUND(SUM(AH84/ABS(AE84)),3)</f>
        <v>0.124</v>
      </c>
    </row>
    <row r="85" spans="1:36" ht="15">
      <c r="A85" s="1830" t="s">
        <v>1313</v>
      </c>
      <c r="B85" s="430"/>
      <c r="C85" s="992">
        <f>+'Exhibit F'!D77+'Exhibit G state'!D66</f>
        <v>0.2</v>
      </c>
      <c r="D85" s="992"/>
      <c r="E85" s="992">
        <f>+'Exhibit F'!F77+'Exhibit G state'!F66</f>
        <v>0.7</v>
      </c>
      <c r="F85" s="992"/>
      <c r="G85" s="992">
        <f>+'Exhibit F'!H77+'Exhibit G state'!H66</f>
        <v>0</v>
      </c>
      <c r="H85" s="992"/>
      <c r="I85" s="992">
        <f>+'Exhibit F'!J77+'Exhibit G state'!J66</f>
        <v>0.6</v>
      </c>
      <c r="J85" s="992"/>
      <c r="K85" s="992">
        <f>+'Exhibit F'!L77+'Exhibit G state'!L66</f>
        <v>0.8</v>
      </c>
      <c r="L85" s="992"/>
      <c r="M85" s="992">
        <f>+'Exhibit F'!N77+'Exhibit G state'!N66</f>
        <v>41.1</v>
      </c>
      <c r="N85" s="992"/>
      <c r="O85" s="992">
        <f>+'Exhibit F'!P77+'Exhibit G state'!P66</f>
        <v>0.3</v>
      </c>
      <c r="P85" s="992"/>
      <c r="Q85" s="992">
        <f>+'Exhibit F'!R77+'Exhibit G state'!R66</f>
        <v>3.6</v>
      </c>
      <c r="R85" s="992"/>
      <c r="S85" s="992">
        <f>+'Exhibit F'!T77+'Exhibit G state'!T66</f>
        <v>1</v>
      </c>
      <c r="T85" s="992"/>
      <c r="U85" s="992"/>
      <c r="V85" s="992"/>
      <c r="W85" s="2905"/>
      <c r="X85" s="992"/>
      <c r="Y85" s="2905"/>
      <c r="Z85" s="992"/>
      <c r="AA85" s="993"/>
      <c r="AB85" s="992">
        <f t="shared" si="11"/>
        <v>48.3</v>
      </c>
      <c r="AC85" s="992"/>
      <c r="AD85" s="994"/>
      <c r="AE85" s="992">
        <f>+'Exhibit F'!AF77+'Exhibit G state'!AH66</f>
        <v>7</v>
      </c>
      <c r="AF85" s="1004"/>
      <c r="AG85" s="1004"/>
      <c r="AH85" s="992">
        <f t="shared" si="9"/>
        <v>41.3</v>
      </c>
      <c r="AI85" s="430"/>
      <c r="AJ85" s="2756">
        <f>ROUND(SUM(AH85/ABS(AE85)),3)</f>
        <v>5.9</v>
      </c>
    </row>
    <row r="86" spans="1:36" ht="15">
      <c r="A86" s="1830" t="s">
        <v>1314</v>
      </c>
      <c r="B86" s="430"/>
      <c r="C86" s="992">
        <f>+'Exhibit F'!D78+'Exhibit H'!B38+'Exhibit G state'!D67</f>
        <v>39.700000000000003</v>
      </c>
      <c r="D86" s="992"/>
      <c r="E86" s="992">
        <f>+'Exhibit F'!F78+'Exhibit H'!D38+'Exhibit G state'!F67</f>
        <v>8.4</v>
      </c>
      <c r="F86" s="992"/>
      <c r="G86" s="992">
        <f>+'Exhibit F'!H78+'Exhibit H'!F38+'Exhibit G state'!H67</f>
        <v>7.9</v>
      </c>
      <c r="H86" s="992"/>
      <c r="I86" s="992">
        <f>+'Exhibit F'!J78+'Exhibit H'!H38+'Exhibit G state'!J67</f>
        <v>6.3000000000000007</v>
      </c>
      <c r="J86" s="992"/>
      <c r="K86" s="992">
        <f>+'Exhibit F'!L78+'Exhibit H'!J38+'Exhibit G state'!L67</f>
        <v>3.6999999999999997</v>
      </c>
      <c r="L86" s="992"/>
      <c r="M86" s="992">
        <f>+'Exhibit F'!N78+'Exhibit H'!L38+'Exhibit G state'!N67</f>
        <v>11.6</v>
      </c>
      <c r="N86" s="992"/>
      <c r="O86" s="992">
        <f>+'Exhibit F'!P78+'Exhibit H'!N38+'Exhibit G state'!P67</f>
        <v>7.5</v>
      </c>
      <c r="P86" s="992"/>
      <c r="Q86" s="992">
        <f>+'Exhibit F'!R78+'Exhibit H'!P38+'Exhibit G state'!R67</f>
        <v>3.3000000000000003</v>
      </c>
      <c r="R86" s="992"/>
      <c r="S86" s="992">
        <f>+'Exhibit F'!T78+'Exhibit H'!R38+'Exhibit G state'!T67</f>
        <v>8.1</v>
      </c>
      <c r="T86" s="992"/>
      <c r="U86" s="992"/>
      <c r="V86" s="992"/>
      <c r="W86" s="2905"/>
      <c r="X86" s="992"/>
      <c r="Y86" s="2905"/>
      <c r="Z86" s="992"/>
      <c r="AA86" s="993"/>
      <c r="AB86" s="992">
        <f t="shared" si="11"/>
        <v>96.5</v>
      </c>
      <c r="AC86" s="992"/>
      <c r="AD86" s="994"/>
      <c r="AE86" s="992">
        <f>+'Exhibit F'!AF78+'Exhibit H'!AD38+'Exhibit G state'!AH67</f>
        <v>89.1</v>
      </c>
      <c r="AF86" s="1004"/>
      <c r="AG86" s="1004"/>
      <c r="AH86" s="992">
        <f t="shared" si="9"/>
        <v>7.4</v>
      </c>
      <c r="AI86" s="430"/>
      <c r="AJ86" s="2756">
        <f>ROUND(SUM(AH86/ABS(AE86)),3)</f>
        <v>8.3000000000000004E-2</v>
      </c>
    </row>
    <row r="87" spans="1:36" ht="15">
      <c r="A87" s="1830" t="s">
        <v>1315</v>
      </c>
      <c r="B87" s="430"/>
      <c r="C87" s="992">
        <f>+'Exhibit F'!D79+'Exhibit H'!B39+'Exhibit G state'!D68</f>
        <v>34</v>
      </c>
      <c r="D87" s="992"/>
      <c r="E87" s="992">
        <f>+'Exhibit F'!F79+'Exhibit H'!D39+'Exhibit G state'!F68</f>
        <v>21.2</v>
      </c>
      <c r="F87" s="992"/>
      <c r="G87" s="992">
        <f>+'Exhibit F'!H79+'Exhibit H'!F39+'Exhibit G state'!H68</f>
        <v>22.400000000000002</v>
      </c>
      <c r="H87" s="992"/>
      <c r="I87" s="992">
        <f>+'Exhibit F'!J79+'Exhibit H'!H39+'Exhibit G state'!J68</f>
        <v>9.8999999999999986</v>
      </c>
      <c r="J87" s="992"/>
      <c r="K87" s="992">
        <f>+'Exhibit F'!L79+'Exhibit H'!J39+'Exhibit G state'!L68</f>
        <v>28.3</v>
      </c>
      <c r="L87" s="992"/>
      <c r="M87" s="992">
        <f>+'Exhibit F'!N79+'Exhibit H'!L39+'Exhibit G state'!N68</f>
        <v>3.7</v>
      </c>
      <c r="N87" s="992"/>
      <c r="O87" s="992">
        <f>+'Exhibit F'!P79+'Exhibit H'!N39+'Exhibit G state'!P68</f>
        <v>0.89999999999999991</v>
      </c>
      <c r="P87" s="992"/>
      <c r="Q87" s="992">
        <f>+'Exhibit F'!R79+'Exhibit H'!P39+'Exhibit G state'!R68</f>
        <v>-15.3</v>
      </c>
      <c r="R87" s="992"/>
      <c r="S87" s="992">
        <f>+'Exhibit F'!T79+'Exhibit H'!R39+'Exhibit G state'!T68</f>
        <v>112.7</v>
      </c>
      <c r="T87" s="992"/>
      <c r="U87" s="992"/>
      <c r="V87" s="992"/>
      <c r="W87" s="2905"/>
      <c r="X87" s="992"/>
      <c r="Y87" s="2905"/>
      <c r="Z87" s="992"/>
      <c r="AA87" s="993"/>
      <c r="AB87" s="992">
        <f t="shared" si="11"/>
        <v>217.8</v>
      </c>
      <c r="AC87" s="992"/>
      <c r="AD87" s="994"/>
      <c r="AE87" s="992">
        <f>+'Exhibit F'!AF79+'Exhibit H'!AD39+'Exhibit G state'!AH68</f>
        <v>222.8</v>
      </c>
      <c r="AF87" s="1004"/>
      <c r="AG87" s="1004"/>
      <c r="AH87" s="992">
        <f t="shared" si="9"/>
        <v>-5</v>
      </c>
      <c r="AI87" s="430"/>
      <c r="AJ87" s="2756">
        <f>ROUND(SUM(AH87/ABS(AE87)),3)</f>
        <v>-2.1999999999999999E-2</v>
      </c>
    </row>
    <row r="88" spans="1:36" ht="15">
      <c r="A88" s="1830" t="s">
        <v>1427</v>
      </c>
      <c r="B88" s="430"/>
      <c r="C88" s="992"/>
      <c r="D88" s="992"/>
      <c r="E88" s="992"/>
      <c r="F88" s="992"/>
      <c r="G88" s="992"/>
      <c r="H88" s="992"/>
      <c r="I88" s="992"/>
      <c r="J88" s="992"/>
      <c r="K88" s="992"/>
      <c r="L88" s="992"/>
      <c r="M88" s="992"/>
      <c r="N88" s="992"/>
      <c r="O88" s="992"/>
      <c r="P88" s="992"/>
      <c r="Q88" s="992"/>
      <c r="R88" s="992"/>
      <c r="S88" s="992"/>
      <c r="T88" s="992"/>
      <c r="U88" s="992"/>
      <c r="V88" s="992"/>
      <c r="W88" s="2905"/>
      <c r="X88" s="992"/>
      <c r="Y88" s="2905"/>
      <c r="Z88" s="992"/>
      <c r="AA88" s="993"/>
      <c r="AB88" s="992"/>
      <c r="AC88" s="992"/>
      <c r="AD88" s="994"/>
      <c r="AE88" s="992"/>
      <c r="AF88" s="1004"/>
      <c r="AG88" s="1004"/>
      <c r="AH88" s="992"/>
      <c r="AI88" s="430"/>
      <c r="AJ88" s="1864"/>
    </row>
    <row r="89" spans="1:36" ht="15">
      <c r="A89" s="1830" t="s">
        <v>1316</v>
      </c>
      <c r="B89" s="430"/>
      <c r="C89" s="992">
        <f>+'Exhibit F'!D81+'Exhibit G state'!D70</f>
        <v>0.6</v>
      </c>
      <c r="D89" s="992"/>
      <c r="E89" s="992">
        <f>+'Exhibit F'!F81+'Exhibit G state'!F70</f>
        <v>16.100000000000001</v>
      </c>
      <c r="F89" s="992"/>
      <c r="G89" s="992">
        <f>+'Exhibit F'!H81+'Exhibit G state'!H70</f>
        <v>29.5</v>
      </c>
      <c r="H89" s="992"/>
      <c r="I89" s="992">
        <f>+'Exhibit F'!J81+'Exhibit G state'!J70</f>
        <v>9.4</v>
      </c>
      <c r="J89" s="992"/>
      <c r="K89" s="992">
        <f>+'Exhibit F'!L81+'Exhibit G state'!L70</f>
        <v>9.4</v>
      </c>
      <c r="L89" s="992"/>
      <c r="M89" s="992">
        <f>+'Exhibit F'!N81+'Exhibit G state'!N70</f>
        <v>27.2</v>
      </c>
      <c r="N89" s="992"/>
      <c r="O89" s="992">
        <f>+'Exhibit F'!P81+'Exhibit G state'!P70</f>
        <v>8.6999999999999993</v>
      </c>
      <c r="P89" s="992"/>
      <c r="Q89" s="992">
        <f>+'Exhibit F'!R81+'Exhibit G state'!R70</f>
        <v>8.6999999999999993</v>
      </c>
      <c r="R89" s="992"/>
      <c r="S89" s="992">
        <f>+'Exhibit F'!T81+'Exhibit G state'!T70</f>
        <v>30.3</v>
      </c>
      <c r="T89" s="992"/>
      <c r="U89" s="992"/>
      <c r="V89" s="992"/>
      <c r="W89" s="2905"/>
      <c r="X89" s="992"/>
      <c r="Y89" s="2905"/>
      <c r="Z89" s="992"/>
      <c r="AA89" s="993"/>
      <c r="AB89" s="992">
        <f t="shared" ref="AB89:AB99" si="12">ROUND(SUM(C89:Y89),1)</f>
        <v>139.9</v>
      </c>
      <c r="AC89" s="992"/>
      <c r="AD89" s="994"/>
      <c r="AE89" s="992">
        <f>+'Exhibit F'!AF81+'Exhibit G state'!AH70</f>
        <v>141.9</v>
      </c>
      <c r="AF89" s="1004"/>
      <c r="AG89" s="1004"/>
      <c r="AH89" s="992">
        <f t="shared" si="9"/>
        <v>-2</v>
      </c>
      <c r="AI89" s="430"/>
      <c r="AJ89" s="1932">
        <f>ROUND(SUM(AH89/ABS(AE89)),3)</f>
        <v>-1.4E-2</v>
      </c>
    </row>
    <row r="90" spans="1:36" ht="15">
      <c r="A90" s="1830" t="s">
        <v>1317</v>
      </c>
      <c r="B90" s="430"/>
      <c r="C90" s="992">
        <f>+'Exhibit G state'!D71</f>
        <v>0.1</v>
      </c>
      <c r="D90" s="992"/>
      <c r="E90" s="992">
        <f>+'Exhibit G state'!F71</f>
        <v>0.1</v>
      </c>
      <c r="F90" s="992"/>
      <c r="G90" s="992">
        <f>+'Exhibit G state'!H71</f>
        <v>0.4</v>
      </c>
      <c r="H90" s="992"/>
      <c r="I90" s="992">
        <f>+'Exhibit G state'!J71</f>
        <v>0.1</v>
      </c>
      <c r="J90" s="992"/>
      <c r="K90" s="992">
        <f>+'Exhibit G state'!L71</f>
        <v>0.1</v>
      </c>
      <c r="L90" s="992"/>
      <c r="M90" s="992">
        <f>+'Exhibit G state'!N71</f>
        <v>0.4</v>
      </c>
      <c r="N90" s="992"/>
      <c r="O90" s="992">
        <f>+'Exhibit G state'!P71</f>
        <v>1</v>
      </c>
      <c r="P90" s="992"/>
      <c r="Q90" s="992">
        <f>+'Exhibit G state'!R71</f>
        <v>1.5</v>
      </c>
      <c r="R90" s="992"/>
      <c r="S90" s="992">
        <f>+'Exhibit G state'!T71</f>
        <v>3.7</v>
      </c>
      <c r="T90" s="992"/>
      <c r="U90" s="992"/>
      <c r="V90" s="992"/>
      <c r="W90" s="2905"/>
      <c r="X90" s="992"/>
      <c r="Y90" s="2905"/>
      <c r="Z90" s="992"/>
      <c r="AA90" s="993"/>
      <c r="AB90" s="992">
        <f t="shared" si="12"/>
        <v>7.4</v>
      </c>
      <c r="AC90" s="992"/>
      <c r="AD90" s="994"/>
      <c r="AE90" s="992">
        <f>+'Exhibit G state'!AH71</f>
        <v>7</v>
      </c>
      <c r="AF90" s="1004"/>
      <c r="AG90" s="1004"/>
      <c r="AH90" s="992">
        <f t="shared" si="9"/>
        <v>0.4</v>
      </c>
      <c r="AI90" s="430"/>
      <c r="AJ90" s="1932">
        <f t="shared" ref="AJ90:AJ98" si="13">ROUND(SUM(AH90/ABS(AE90)),3)</f>
        <v>5.7000000000000002E-2</v>
      </c>
    </row>
    <row r="91" spans="1:36" ht="15">
      <c r="A91" s="1830" t="s">
        <v>1318</v>
      </c>
      <c r="B91" s="430"/>
      <c r="C91" s="992">
        <f>+'Exhibit F'!D82+'Exhibit G state'!D72</f>
        <v>1</v>
      </c>
      <c r="D91" s="992"/>
      <c r="E91" s="992">
        <f>+'Exhibit F'!F82+'Exhibit G state'!F72</f>
        <v>0.7</v>
      </c>
      <c r="F91" s="992"/>
      <c r="G91" s="992">
        <f>+'Exhibit F'!H82+'Exhibit G state'!H72</f>
        <v>0.2</v>
      </c>
      <c r="H91" s="992"/>
      <c r="I91" s="992">
        <f>+'Exhibit F'!J82+'Exhibit G state'!J72</f>
        <v>0.3</v>
      </c>
      <c r="J91" s="992"/>
      <c r="K91" s="992">
        <f>+'Exhibit F'!L82+'Exhibit G state'!L72</f>
        <v>0.2</v>
      </c>
      <c r="L91" s="992"/>
      <c r="M91" s="992">
        <f>+'Exhibit F'!N82+'Exhibit G state'!N72</f>
        <v>0.4</v>
      </c>
      <c r="N91" s="992"/>
      <c r="O91" s="992">
        <f>+'Exhibit F'!P82+'Exhibit G state'!P72</f>
        <v>0.1</v>
      </c>
      <c r="P91" s="992"/>
      <c r="Q91" s="992">
        <f>+'Exhibit F'!R82+'Exhibit G state'!R72</f>
        <v>0.2</v>
      </c>
      <c r="R91" s="992"/>
      <c r="S91" s="992">
        <f>+'Exhibit F'!T82+'Exhibit G state'!T72</f>
        <v>0.4</v>
      </c>
      <c r="T91" s="992"/>
      <c r="U91" s="992"/>
      <c r="V91" s="992"/>
      <c r="W91" s="2905"/>
      <c r="X91" s="992"/>
      <c r="Y91" s="2905"/>
      <c r="Z91" s="992"/>
      <c r="AA91" s="993"/>
      <c r="AB91" s="992">
        <f t="shared" si="12"/>
        <v>3.5</v>
      </c>
      <c r="AC91" s="992"/>
      <c r="AD91" s="994"/>
      <c r="AE91" s="992">
        <f>+'Exhibit F'!AF82+'Exhibit G state'!AH72</f>
        <v>2.8</v>
      </c>
      <c r="AF91" s="1004"/>
      <c r="AG91" s="1004"/>
      <c r="AH91" s="992">
        <f t="shared" si="9"/>
        <v>0.7</v>
      </c>
      <c r="AI91" s="430"/>
      <c r="AJ91" s="1932">
        <f t="shared" si="13"/>
        <v>0.25</v>
      </c>
    </row>
    <row r="92" spans="1:36" ht="15">
      <c r="A92" s="1830" t="s">
        <v>1319</v>
      </c>
      <c r="B92" s="430"/>
      <c r="C92" s="992">
        <f>+'Exhibit F'!D83+'Exhibit G state'!D73</f>
        <v>1.4</v>
      </c>
      <c r="D92" s="992"/>
      <c r="E92" s="992">
        <f>+'Exhibit F'!F83+'Exhibit G state'!F73</f>
        <v>12</v>
      </c>
      <c r="F92" s="992"/>
      <c r="G92" s="992">
        <f>+'Exhibit F'!H83+'Exhibit G state'!H73</f>
        <v>14.6</v>
      </c>
      <c r="H92" s="992"/>
      <c r="I92" s="992">
        <f>+'Exhibit F'!J83+'Exhibit G state'!J73</f>
        <v>2.4</v>
      </c>
      <c r="J92" s="992"/>
      <c r="K92" s="992">
        <f>+'Exhibit F'!L83+'Exhibit G state'!L73</f>
        <v>23.9</v>
      </c>
      <c r="L92" s="992"/>
      <c r="M92" s="992">
        <f>+'Exhibit F'!N83+'Exhibit G state'!N73</f>
        <v>7.7</v>
      </c>
      <c r="N92" s="992"/>
      <c r="O92" s="992">
        <f>+'Exhibit F'!P83+'Exhibit G state'!P73</f>
        <v>0.1</v>
      </c>
      <c r="P92" s="992"/>
      <c r="Q92" s="992">
        <f>+'Exhibit F'!R83+'Exhibit G state'!R73</f>
        <v>1.4</v>
      </c>
      <c r="R92" s="992"/>
      <c r="S92" s="992">
        <f>+'Exhibit F'!T83+'Exhibit G state'!T73</f>
        <v>23.2</v>
      </c>
      <c r="T92" s="992"/>
      <c r="U92" s="992"/>
      <c r="V92" s="992"/>
      <c r="W92" s="2905"/>
      <c r="X92" s="992"/>
      <c r="Y92" s="2905"/>
      <c r="Z92" s="992"/>
      <c r="AA92" s="993"/>
      <c r="AB92" s="992">
        <f t="shared" si="12"/>
        <v>86.7</v>
      </c>
      <c r="AC92" s="992"/>
      <c r="AD92" s="994"/>
      <c r="AE92" s="992">
        <f>+'Exhibit F'!AF83+'Exhibit G state'!AH73</f>
        <v>91.2</v>
      </c>
      <c r="AF92" s="1004"/>
      <c r="AG92" s="1004"/>
      <c r="AH92" s="992">
        <f t="shared" si="9"/>
        <v>-4.5</v>
      </c>
      <c r="AI92" s="430"/>
      <c r="AJ92" s="1932">
        <f t="shared" si="13"/>
        <v>-4.9000000000000002E-2</v>
      </c>
    </row>
    <row r="93" spans="1:36" ht="15">
      <c r="A93" s="1830" t="s">
        <v>1320</v>
      </c>
      <c r="B93" s="430"/>
      <c r="C93" s="992">
        <f>+'Exhibit H'!B41+'Exhibit G state'!D74</f>
        <v>-756.09999999999991</v>
      </c>
      <c r="D93" s="992"/>
      <c r="E93" s="992">
        <f>+'Exhibit H'!D41+'Exhibit G state'!F74</f>
        <v>322.89999999999998</v>
      </c>
      <c r="F93" s="992"/>
      <c r="G93" s="992">
        <f>+'Exhibit H'!F41+'Exhibit G state'!H74</f>
        <v>197.29999999999998</v>
      </c>
      <c r="H93" s="992"/>
      <c r="I93" s="992">
        <f>+'Exhibit H'!H41+'Exhibit G state'!J74</f>
        <v>296.2</v>
      </c>
      <c r="J93" s="992"/>
      <c r="K93" s="992">
        <f>+'Exhibit H'!J41+'Exhibit G state'!L74</f>
        <v>137.69999999999999</v>
      </c>
      <c r="L93" s="992"/>
      <c r="M93" s="992">
        <f>+'Exhibit H'!L41+'Exhibit G state'!N74</f>
        <v>100.6</v>
      </c>
      <c r="N93" s="992"/>
      <c r="O93" s="992">
        <f>+'Exhibit H'!N41+'Exhibit G state'!P74</f>
        <v>268.5</v>
      </c>
      <c r="P93" s="992"/>
      <c r="Q93" s="992">
        <f>+'Exhibit H'!P41+'Exhibit G state'!R74</f>
        <v>172.39999999999998</v>
      </c>
      <c r="R93" s="992"/>
      <c r="S93" s="992">
        <f>+'Exhibit H'!R41+'Exhibit G state'!T74</f>
        <v>218.7</v>
      </c>
      <c r="T93" s="992"/>
      <c r="U93" s="992"/>
      <c r="V93" s="992"/>
      <c r="W93" s="2905"/>
      <c r="X93" s="992"/>
      <c r="Y93" s="2905"/>
      <c r="Z93" s="992"/>
      <c r="AA93" s="993"/>
      <c r="AB93" s="992">
        <f t="shared" si="12"/>
        <v>958.2</v>
      </c>
      <c r="AC93" s="992"/>
      <c r="AD93" s="994"/>
      <c r="AE93" s="992">
        <f>+'Exhibit H'!AD41+'Exhibit G state'!AH74</f>
        <v>1814.6</v>
      </c>
      <c r="AF93" s="1004"/>
      <c r="AG93" s="1004"/>
      <c r="AH93" s="992">
        <f t="shared" si="9"/>
        <v>-856.4</v>
      </c>
      <c r="AI93" s="430"/>
      <c r="AJ93" s="1932">
        <f t="shared" si="13"/>
        <v>-0.47199999999999998</v>
      </c>
    </row>
    <row r="94" spans="1:36" ht="15">
      <c r="A94" s="1830" t="s">
        <v>1321</v>
      </c>
      <c r="B94" s="430"/>
      <c r="C94" s="992">
        <f>+'Exhibit G state'!D75</f>
        <v>3.4</v>
      </c>
      <c r="D94" s="992"/>
      <c r="E94" s="992">
        <f>+'Exhibit G state'!F75</f>
        <v>0</v>
      </c>
      <c r="F94" s="992"/>
      <c r="G94" s="992">
        <f>+'Exhibit F'!H84+'Exhibit G state'!H75</f>
        <v>1.0999999999999999</v>
      </c>
      <c r="H94" s="992"/>
      <c r="I94" s="992">
        <f>+'Exhibit F'!J84+'Exhibit G state'!J75</f>
        <v>18.7</v>
      </c>
      <c r="J94" s="992"/>
      <c r="K94" s="992">
        <f>+'Exhibit F'!L84+'Exhibit G state'!L75</f>
        <v>0.2</v>
      </c>
      <c r="L94" s="992"/>
      <c r="M94" s="992">
        <f>+'Exhibit F'!N84+'Exhibit G state'!N75</f>
        <v>2.9</v>
      </c>
      <c r="N94" s="992"/>
      <c r="O94" s="992">
        <f>+'Exhibit F'!P84+'Exhibit G state'!P75</f>
        <v>2.8</v>
      </c>
      <c r="P94" s="992"/>
      <c r="Q94" s="992">
        <f>+'Exhibit F'!R84+'Exhibit G state'!R75</f>
        <v>2.9</v>
      </c>
      <c r="R94" s="992"/>
      <c r="S94" s="992">
        <f>+'Exhibit F'!T84+'Exhibit G state'!T75</f>
        <v>9.5</v>
      </c>
      <c r="T94" s="992"/>
      <c r="U94" s="992"/>
      <c r="V94" s="992"/>
      <c r="W94" s="2905"/>
      <c r="X94" s="992"/>
      <c r="Y94" s="2905"/>
      <c r="Z94" s="992"/>
      <c r="AA94" s="993"/>
      <c r="AB94" s="992">
        <f t="shared" si="12"/>
        <v>41.5</v>
      </c>
      <c r="AC94" s="992"/>
      <c r="AD94" s="994"/>
      <c r="AE94" s="992">
        <f>+'Exhibit G state'!AH75+'Exhibit F'!AF84</f>
        <v>34.299999999999997</v>
      </c>
      <c r="AF94" s="1004"/>
      <c r="AG94" s="1004"/>
      <c r="AH94" s="992">
        <f t="shared" si="9"/>
        <v>7.2</v>
      </c>
      <c r="AI94" s="430"/>
      <c r="AJ94" s="1932">
        <f t="shared" si="13"/>
        <v>0.21</v>
      </c>
    </row>
    <row r="95" spans="1:36" ht="15">
      <c r="A95" s="1830" t="s">
        <v>1322</v>
      </c>
      <c r="B95" s="430"/>
      <c r="C95" s="992">
        <f>+'Exhibit F'!D85+'Exhibit G state'!D76</f>
        <v>82.2</v>
      </c>
      <c r="D95" s="992"/>
      <c r="E95" s="992">
        <f>+'Exhibit F'!F85+'Exhibit G state'!F76</f>
        <v>1053.5</v>
      </c>
      <c r="F95" s="992"/>
      <c r="G95" s="992">
        <f>+'Exhibit F'!H85+'Exhibit G state'!H76</f>
        <v>1.2</v>
      </c>
      <c r="H95" s="992"/>
      <c r="I95" s="992">
        <f>+'Exhibit F'!J85+'Exhibit G state'!J76</f>
        <v>5.4</v>
      </c>
      <c r="J95" s="992"/>
      <c r="K95" s="992">
        <f>+'Exhibit F'!L85+'Exhibit G state'!L76</f>
        <v>34</v>
      </c>
      <c r="L95" s="992"/>
      <c r="M95" s="992">
        <f>+'Exhibit F'!N85+'Exhibit G state'!N76</f>
        <v>0.7</v>
      </c>
      <c r="N95" s="992"/>
      <c r="O95" s="992">
        <f>+'Exhibit F'!P85+'Exhibit G state'!P76</f>
        <v>3.9</v>
      </c>
      <c r="P95" s="992"/>
      <c r="Q95" s="992">
        <f>+'Exhibit F'!R85+'Exhibit G state'!R76</f>
        <v>98.3</v>
      </c>
      <c r="R95" s="992"/>
      <c r="S95" s="992">
        <f>+'Exhibit F'!T85+'Exhibit G state'!T76</f>
        <v>-17.900000000000002</v>
      </c>
      <c r="T95" s="992"/>
      <c r="U95" s="992"/>
      <c r="V95" s="992"/>
      <c r="W95" s="2905"/>
      <c r="X95" s="992"/>
      <c r="Y95" s="2905"/>
      <c r="Z95" s="992"/>
      <c r="AA95" s="993"/>
      <c r="AB95" s="992">
        <f t="shared" si="12"/>
        <v>1261.3</v>
      </c>
      <c r="AC95" s="992"/>
      <c r="AD95" s="994"/>
      <c r="AE95" s="992">
        <f>+'Exhibit F'!AF85+'Exhibit G state'!AH76</f>
        <v>257.10000000000002</v>
      </c>
      <c r="AF95" s="1004"/>
      <c r="AG95" s="1004"/>
      <c r="AH95" s="992">
        <f t="shared" si="9"/>
        <v>1004.2</v>
      </c>
      <c r="AI95" s="430"/>
      <c r="AJ95" s="1932">
        <f t="shared" si="13"/>
        <v>3.9060000000000001</v>
      </c>
    </row>
    <row r="96" spans="1:36" ht="15">
      <c r="A96" s="1830" t="s">
        <v>1323</v>
      </c>
      <c r="B96" s="430"/>
      <c r="C96" s="992">
        <f>+'Exhibit F'!D86+'Exhibit G state'!D77</f>
        <v>8.4</v>
      </c>
      <c r="D96" s="992"/>
      <c r="E96" s="992">
        <f>+'Exhibit F'!F86+'Exhibit G state'!F77</f>
        <v>7.9</v>
      </c>
      <c r="F96" s="992"/>
      <c r="G96" s="992">
        <f>+'Exhibit F'!H86+'Exhibit G state'!H77</f>
        <v>5.3</v>
      </c>
      <c r="H96" s="992"/>
      <c r="I96" s="992">
        <f>+'Exhibit F'!J86+'Exhibit G state'!J77</f>
        <v>2.7</v>
      </c>
      <c r="J96" s="992"/>
      <c r="K96" s="992">
        <f>+'Exhibit F'!L86+'Exhibit G state'!L77</f>
        <v>7</v>
      </c>
      <c r="L96" s="992"/>
      <c r="M96" s="992">
        <f>+'Exhibit F'!N86+'Exhibit G state'!N77</f>
        <v>6.7</v>
      </c>
      <c r="N96" s="992"/>
      <c r="O96" s="992">
        <f>+'Exhibit F'!P86+'Exhibit G state'!P77</f>
        <v>6.8</v>
      </c>
      <c r="P96" s="992"/>
      <c r="Q96" s="992">
        <f>+'Exhibit F'!R86+'Exhibit G state'!R77</f>
        <v>2.2999999999999998</v>
      </c>
      <c r="R96" s="992"/>
      <c r="S96" s="992">
        <f>+'Exhibit F'!T86+'Exhibit G state'!T77</f>
        <v>5.9</v>
      </c>
      <c r="T96" s="992"/>
      <c r="U96" s="992"/>
      <c r="V96" s="992"/>
      <c r="W96" s="2905"/>
      <c r="X96" s="992"/>
      <c r="Y96" s="2905"/>
      <c r="Z96" s="992"/>
      <c r="AA96" s="993"/>
      <c r="AB96" s="992">
        <f t="shared" si="12"/>
        <v>53</v>
      </c>
      <c r="AC96" s="992"/>
      <c r="AD96" s="994"/>
      <c r="AE96" s="992">
        <f>+'Exhibit F'!AF86+'Exhibit G state'!AH77</f>
        <v>62.7</v>
      </c>
      <c r="AF96" s="1004"/>
      <c r="AG96" s="1004"/>
      <c r="AH96" s="992">
        <f t="shared" si="9"/>
        <v>-9.6999999999999993</v>
      </c>
      <c r="AI96" s="430"/>
      <c r="AJ96" s="1932">
        <f t="shared" si="13"/>
        <v>-0.155</v>
      </c>
    </row>
    <row r="97" spans="1:45" ht="15">
      <c r="A97" s="1830" t="s">
        <v>1324</v>
      </c>
      <c r="B97" s="430"/>
      <c r="C97" s="992">
        <f>+'Exhibit F'!D87+'Exhibit G state'!D78</f>
        <v>11</v>
      </c>
      <c r="D97" s="992"/>
      <c r="E97" s="992">
        <f>+'Exhibit F'!F87+'Exhibit G state'!F78</f>
        <v>-3</v>
      </c>
      <c r="F97" s="992"/>
      <c r="G97" s="992">
        <f>+'Exhibit F'!H87+'Exhibit G state'!H78</f>
        <v>1.5</v>
      </c>
      <c r="H97" s="992"/>
      <c r="I97" s="992">
        <f>+'Exhibit F'!J87+'Exhibit G state'!J78</f>
        <v>24.1</v>
      </c>
      <c r="J97" s="992"/>
      <c r="K97" s="992">
        <f>+'Exhibit F'!L87+'Exhibit G state'!L78</f>
        <v>3.2</v>
      </c>
      <c r="L97" s="992"/>
      <c r="M97" s="992">
        <f>+'Exhibit F'!N87+'Exhibit G state'!N78</f>
        <v>2.9000000000000004</v>
      </c>
      <c r="N97" s="992"/>
      <c r="O97" s="992">
        <f>+'Exhibit F'!P87+'Exhibit G state'!P78</f>
        <v>4.9000000000000004</v>
      </c>
      <c r="P97" s="992"/>
      <c r="Q97" s="992">
        <f>+'Exhibit F'!R87+'Exhibit G state'!R78</f>
        <v>6.6</v>
      </c>
      <c r="R97" s="992"/>
      <c r="S97" s="992">
        <f>+'Exhibit F'!T87+'Exhibit G state'!T78</f>
        <v>4.2</v>
      </c>
      <c r="T97" s="992"/>
      <c r="U97" s="992"/>
      <c r="V97" s="992"/>
      <c r="W97" s="2905"/>
      <c r="X97" s="992"/>
      <c r="Y97" s="2905"/>
      <c r="Z97" s="992"/>
      <c r="AA97" s="993"/>
      <c r="AB97" s="992">
        <f t="shared" si="12"/>
        <v>55.4</v>
      </c>
      <c r="AC97" s="992"/>
      <c r="AD97" s="994"/>
      <c r="AE97" s="992">
        <f>+'Exhibit F'!AF87+'Exhibit G state'!AH78</f>
        <v>26.2</v>
      </c>
      <c r="AF97" s="1004"/>
      <c r="AG97" s="1004"/>
      <c r="AH97" s="992">
        <f t="shared" si="9"/>
        <v>29.2</v>
      </c>
      <c r="AI97" s="430"/>
      <c r="AJ97" s="1932">
        <f t="shared" si="13"/>
        <v>1.115</v>
      </c>
    </row>
    <row r="98" spans="1:45" ht="15">
      <c r="A98" s="1830" t="s">
        <v>1325</v>
      </c>
      <c r="B98" s="430"/>
      <c r="C98" s="992">
        <f>+'Exhibit F'!D88+'Exhibit G state'!D79</f>
        <v>1.9</v>
      </c>
      <c r="D98" s="992"/>
      <c r="E98" s="992">
        <f>+'Exhibit F'!F88+'Exhibit G state'!F79</f>
        <v>4.2</v>
      </c>
      <c r="F98" s="992"/>
      <c r="G98" s="992">
        <f>+'Exhibit F'!H88+'Exhibit G state'!H79</f>
        <v>1.7</v>
      </c>
      <c r="H98" s="992"/>
      <c r="I98" s="992">
        <f>+'Exhibit F'!J88+'Exhibit G state'!J79</f>
        <v>0.7</v>
      </c>
      <c r="J98" s="992"/>
      <c r="K98" s="992">
        <f>+'Exhibit F'!L88+'Exhibit G state'!L79+'Exhibit H'!J42</f>
        <v>5.3999999999999995</v>
      </c>
      <c r="L98" s="992"/>
      <c r="M98" s="992">
        <f>+'Exhibit F'!N88+'Exhibit G state'!N79+'Exhibit H'!L42</f>
        <v>1.5</v>
      </c>
      <c r="N98" s="992"/>
      <c r="O98" s="992">
        <f>+'Exhibit F'!P88+'Exhibit G state'!P79+'Exhibit H'!N42</f>
        <v>1</v>
      </c>
      <c r="P98" s="992"/>
      <c r="Q98" s="992">
        <f>+'Exhibit F'!R88+'Exhibit G state'!R79+'Exhibit H'!P42</f>
        <v>2.1</v>
      </c>
      <c r="R98" s="992"/>
      <c r="S98" s="992">
        <f>+'Exhibit F'!T88+'Exhibit G state'!T79+'Exhibit H'!R42</f>
        <v>0.30000000000000004</v>
      </c>
      <c r="T98" s="992"/>
      <c r="U98" s="992"/>
      <c r="V98" s="992"/>
      <c r="W98" s="2905"/>
      <c r="X98" s="992"/>
      <c r="Y98" s="2905"/>
      <c r="Z98" s="992"/>
      <c r="AA98" s="993"/>
      <c r="AB98" s="992">
        <f t="shared" si="12"/>
        <v>18.8</v>
      </c>
      <c r="AC98" s="992"/>
      <c r="AD98" s="994"/>
      <c r="AE98" s="992">
        <f>+'Exhibit F'!AF88+'Exhibit G state'!AH79+'Exhibit H'!AD42</f>
        <v>16.5</v>
      </c>
      <c r="AF98" s="1004"/>
      <c r="AG98" s="1004"/>
      <c r="AH98" s="992">
        <f t="shared" si="9"/>
        <v>2.2999999999999998</v>
      </c>
      <c r="AI98" s="430"/>
      <c r="AJ98" s="1932">
        <f t="shared" si="13"/>
        <v>0.13900000000000001</v>
      </c>
    </row>
    <row r="99" spans="1:45" ht="15">
      <c r="A99" s="1830" t="s">
        <v>1326</v>
      </c>
      <c r="B99" s="430"/>
      <c r="C99" s="992">
        <f>+'Exhibit G state'!D80</f>
        <v>125.2</v>
      </c>
      <c r="D99" s="992"/>
      <c r="E99" s="992">
        <f>+'Exhibit G state'!F80</f>
        <v>76.099999999999994</v>
      </c>
      <c r="F99" s="992"/>
      <c r="G99" s="992">
        <f>+'Exhibit G state'!H80</f>
        <v>92.5</v>
      </c>
      <c r="H99" s="992"/>
      <c r="I99" s="992">
        <f>+'Exhibit G state'!J80</f>
        <v>92.9</v>
      </c>
      <c r="J99" s="992"/>
      <c r="K99" s="992">
        <f>+'Exhibit G state'!L80</f>
        <v>203</v>
      </c>
      <c r="L99" s="992"/>
      <c r="M99" s="992">
        <f>+'Exhibit G state'!N80</f>
        <v>420.3</v>
      </c>
      <c r="N99" s="992"/>
      <c r="O99" s="992">
        <f>+'Exhibit G state'!P80</f>
        <v>225.4</v>
      </c>
      <c r="P99" s="992"/>
      <c r="Q99" s="992">
        <f>+'Exhibit G state'!R80</f>
        <v>129.19999999999999</v>
      </c>
      <c r="R99" s="992"/>
      <c r="S99" s="992">
        <f>+'Exhibit G state'!T80</f>
        <v>92.5</v>
      </c>
      <c r="T99" s="992"/>
      <c r="U99" s="992"/>
      <c r="V99" s="992"/>
      <c r="W99" s="2905"/>
      <c r="X99" s="992"/>
      <c r="Y99" s="2905"/>
      <c r="Z99" s="992"/>
      <c r="AA99" s="993"/>
      <c r="AB99" s="992">
        <f t="shared" si="12"/>
        <v>1457.1</v>
      </c>
      <c r="AC99" s="992"/>
      <c r="AD99" s="994"/>
      <c r="AE99" s="992">
        <f>+'Exhibit G state'!AH80</f>
        <v>1373.6</v>
      </c>
      <c r="AF99" s="1004"/>
      <c r="AG99" s="1004"/>
      <c r="AH99" s="992">
        <f t="shared" si="9"/>
        <v>83.5</v>
      </c>
      <c r="AI99" s="430"/>
      <c r="AJ99" s="1932">
        <f>ROUND(SUM(AH99/ABS(AE99)),3)</f>
        <v>6.0999999999999999E-2</v>
      </c>
    </row>
    <row r="100" spans="1:45" ht="15.6">
      <c r="A100" s="589" t="s">
        <v>1361</v>
      </c>
      <c r="B100" s="413"/>
      <c r="C100" s="484">
        <f>ROUND(SUM(C60:C99),1)</f>
        <v>608.6</v>
      </c>
      <c r="D100" s="2101"/>
      <c r="E100" s="484">
        <f>ROUND(SUM(E60:E99),1)</f>
        <v>4091.9</v>
      </c>
      <c r="F100" s="2101"/>
      <c r="G100" s="484">
        <f>ROUND(SUM(G60:G99),1)</f>
        <v>1630.8</v>
      </c>
      <c r="H100" s="1886"/>
      <c r="I100" s="484">
        <f>ROUND(SUM(I60:I99),1)</f>
        <v>1562.1</v>
      </c>
      <c r="J100" s="1886"/>
      <c r="K100" s="484">
        <f>ROUND(SUM(K60:K99),1)</f>
        <v>1438</v>
      </c>
      <c r="L100" s="1886"/>
      <c r="M100" s="484">
        <f>ROUND(SUM(M60:M99),1)</f>
        <v>2144.8000000000002</v>
      </c>
      <c r="N100" s="1886"/>
      <c r="O100" s="484">
        <f>ROUND(SUM(O60:O99),1)</f>
        <v>1905.4</v>
      </c>
      <c r="P100" s="1886"/>
      <c r="Q100" s="484">
        <f>ROUND(SUM(Q60:Q99),1)</f>
        <v>1879.3</v>
      </c>
      <c r="R100" s="1886"/>
      <c r="S100" s="484">
        <f>ROUND(SUM(S60:S99),1)</f>
        <v>1838.3</v>
      </c>
      <c r="T100" s="1886"/>
      <c r="U100" s="484">
        <f>ROUND(SUM(U60:U99),1)</f>
        <v>0</v>
      </c>
      <c r="V100" s="1886"/>
      <c r="W100" s="484">
        <f>ROUND(SUM(W60:W99),1)</f>
        <v>0</v>
      </c>
      <c r="X100" s="410"/>
      <c r="Y100" s="484">
        <f>ROUND(SUM(Y60:Y99),1)</f>
        <v>0</v>
      </c>
      <c r="Z100" s="410"/>
      <c r="AA100" s="485"/>
      <c r="AB100" s="484">
        <f>ROUND(SUM(AB60:AB99),1)</f>
        <v>17099.2</v>
      </c>
      <c r="AC100" s="1886"/>
      <c r="AD100" s="259"/>
      <c r="AE100" s="484">
        <f>ROUND(SUM(AE60:AE99),1)</f>
        <v>19088.5</v>
      </c>
      <c r="AF100" s="273"/>
      <c r="AG100" s="2110"/>
      <c r="AH100" s="484">
        <f>ROUND(SUM(AH60:AH99),1)</f>
        <v>-1989.3</v>
      </c>
      <c r="AI100" s="273"/>
      <c r="AJ100" s="2102">
        <f>ROUND(SUM(+AH100/ABS(AE100)),3)</f>
        <v>-0.104</v>
      </c>
    </row>
    <row r="101" spans="1:45" ht="15">
      <c r="A101" s="430"/>
      <c r="B101" s="430"/>
      <c r="C101" s="992"/>
      <c r="D101" s="992"/>
      <c r="E101" s="992"/>
      <c r="F101" s="992"/>
      <c r="G101" s="992"/>
      <c r="H101" s="992"/>
      <c r="I101" s="992"/>
      <c r="J101" s="992"/>
      <c r="K101" s="992"/>
      <c r="L101" s="992"/>
      <c r="M101" s="992"/>
      <c r="N101" s="992"/>
      <c r="O101" s="992"/>
      <c r="P101" s="992"/>
      <c r="Q101" s="992"/>
      <c r="R101" s="992"/>
      <c r="S101" s="992"/>
      <c r="T101" s="992"/>
      <c r="U101" s="992"/>
      <c r="V101" s="992"/>
      <c r="X101" s="992"/>
      <c r="Y101" s="992"/>
      <c r="Z101" s="992"/>
      <c r="AA101" s="1931"/>
      <c r="AB101" s="992"/>
      <c r="AC101" s="1004"/>
      <c r="AD101" s="993"/>
      <c r="AE101" s="992"/>
      <c r="AF101" s="1004"/>
      <c r="AG101" s="1004"/>
      <c r="AH101" s="992"/>
      <c r="AI101" s="430"/>
      <c r="AJ101" s="1932"/>
    </row>
    <row r="102" spans="1:45" ht="15">
      <c r="A102" s="430" t="s">
        <v>22</v>
      </c>
      <c r="B102" s="430"/>
      <c r="C102" s="997">
        <f>+'Exhibit F'!D91+'Exhibit G state'!D83+'Exhibit H'!B45</f>
        <v>0</v>
      </c>
      <c r="D102" s="992"/>
      <c r="E102" s="997">
        <f>+'Exhibit F'!F91+'Exhibit G state'!F83+'Exhibit H'!D45</f>
        <v>0.1</v>
      </c>
      <c r="F102" s="992"/>
      <c r="G102" s="997">
        <f>+'Exhibit F'!H91+'Exhibit G state'!H83+'Exhibit H'!F45</f>
        <v>0</v>
      </c>
      <c r="H102" s="992"/>
      <c r="I102" s="997">
        <f>+'Exhibit F'!J91+'Exhibit G state'!J83+'Exhibit H'!H45</f>
        <v>1.6</v>
      </c>
      <c r="J102" s="992"/>
      <c r="K102" s="997">
        <f>+'Exhibit F'!L91+'Exhibit G state'!L83+'Exhibit H'!J45</f>
        <v>34.9</v>
      </c>
      <c r="L102" s="992"/>
      <c r="M102" s="997">
        <f>+'Exhibit F'!N91+'Exhibit G state'!N83+'Exhibit H'!L45</f>
        <v>0.1</v>
      </c>
      <c r="N102" s="992"/>
      <c r="O102" s="997">
        <f>+'Exhibit F'!P91+'Exhibit G state'!P83+'Exhibit H'!N45</f>
        <v>0</v>
      </c>
      <c r="P102" s="992"/>
      <c r="Q102" s="997">
        <f>+'Exhibit F'!R91+'Exhibit G state'!R83+'Exhibit H'!P45</f>
        <v>0.6</v>
      </c>
      <c r="R102" s="992"/>
      <c r="S102" s="997">
        <f>+'Exhibit F'!T91+'Exhibit G state'!T83+'Exhibit H'!R45</f>
        <v>0.2</v>
      </c>
      <c r="T102" s="992"/>
      <c r="U102" s="997"/>
      <c r="V102" s="992"/>
      <c r="W102" s="997"/>
      <c r="X102" s="992"/>
      <c r="Y102" s="997"/>
      <c r="Z102" s="992"/>
      <c r="AA102" s="993"/>
      <c r="AB102" s="997">
        <f>ROUND(SUM(C102:Y102),1)</f>
        <v>37.5</v>
      </c>
      <c r="AC102" s="992"/>
      <c r="AD102" s="994"/>
      <c r="AE102" s="997">
        <f>+'Exhibit F'!AF91+'Exhibit G state'!AH83+'Exhibit H'!AD45</f>
        <v>37.4</v>
      </c>
      <c r="AF102" s="1004"/>
      <c r="AG102" s="1004"/>
      <c r="AH102" s="997">
        <f>ROUND(SUM(AB102-AE102),1)</f>
        <v>0.1</v>
      </c>
      <c r="AI102" s="430"/>
      <c r="AJ102" s="1932">
        <f>ROUND(SUM(AH102/ABS(AE102)),3)</f>
        <v>3.0000000000000001E-3</v>
      </c>
    </row>
    <row r="103" spans="1:45" ht="15">
      <c r="A103" s="430"/>
      <c r="B103" s="430"/>
      <c r="C103" s="992"/>
      <c r="D103" s="992"/>
      <c r="E103" s="992"/>
      <c r="F103" s="992"/>
      <c r="G103" s="992"/>
      <c r="H103" s="992"/>
      <c r="I103" s="992"/>
      <c r="J103" s="992"/>
      <c r="K103" s="992"/>
      <c r="L103" s="992"/>
      <c r="M103" s="992"/>
      <c r="N103" s="992"/>
      <c r="O103" s="992"/>
      <c r="P103" s="992"/>
      <c r="Q103" s="992"/>
      <c r="R103" s="992"/>
      <c r="S103" s="992"/>
      <c r="T103" s="992"/>
      <c r="U103" s="992"/>
      <c r="V103" s="992"/>
      <c r="W103" s="992"/>
      <c r="X103" s="992"/>
      <c r="Y103" s="992"/>
      <c r="Z103" s="992"/>
      <c r="AA103" s="993"/>
      <c r="AB103" s="992"/>
      <c r="AC103" s="992"/>
      <c r="AD103" s="994"/>
      <c r="AE103" s="992"/>
      <c r="AF103" s="1004"/>
      <c r="AG103" s="1004"/>
      <c r="AH103" s="992"/>
      <c r="AI103" s="430"/>
      <c r="AJ103" s="998"/>
    </row>
    <row r="104" spans="1:45" ht="15.6">
      <c r="A104" s="221" t="s">
        <v>156</v>
      </c>
      <c r="B104" s="222"/>
      <c r="C104" s="1738">
        <f>ROUND(SUM(C102+C100+C56),1)</f>
        <v>9150</v>
      </c>
      <c r="D104" s="1886"/>
      <c r="E104" s="1738">
        <f>ROUND(SUM(E102+E100+E56),1)</f>
        <v>7883.7</v>
      </c>
      <c r="F104" s="1886"/>
      <c r="G104" s="1738">
        <f>ROUND(SUM(G102+G100+G56),1)</f>
        <v>9608.2000000000007</v>
      </c>
      <c r="H104" s="1886"/>
      <c r="I104" s="1738">
        <f>ROUND(SUM(I102+I100+I56),1)</f>
        <v>6117.3</v>
      </c>
      <c r="J104" s="1886"/>
      <c r="K104" s="1738">
        <f>ROUND(SUM(K102+K100+K56),1)</f>
        <v>5809.6</v>
      </c>
      <c r="L104" s="1886"/>
      <c r="M104" s="1738">
        <f>ROUND(SUM(M102+M100+M56),1)</f>
        <v>10446.799999999999</v>
      </c>
      <c r="N104" s="1886"/>
      <c r="O104" s="1738">
        <f>ROUND(SUM(O102+O100+O56),1)</f>
        <v>5924.9</v>
      </c>
      <c r="P104" s="1886"/>
      <c r="Q104" s="1738">
        <f>ROUND(SUM(Q102+Q100+Q56),1)</f>
        <v>5738.1</v>
      </c>
      <c r="R104" s="1886"/>
      <c r="S104" s="1738">
        <f>ROUND(SUM(S102+S100+S56),1)</f>
        <v>9840.4</v>
      </c>
      <c r="T104" s="1886"/>
      <c r="U104" s="1738">
        <f>ROUND(SUM(U102+U100+U56),1)</f>
        <v>0</v>
      </c>
      <c r="V104" s="1886"/>
      <c r="W104" s="1738">
        <f>ROUND(SUM(W102+W100+W56),1)</f>
        <v>0</v>
      </c>
      <c r="X104" s="410"/>
      <c r="Y104" s="1738">
        <f>ROUND(SUM(Y102+Y100+Y56),1)</f>
        <v>0</v>
      </c>
      <c r="Z104" s="477"/>
      <c r="AA104" s="478"/>
      <c r="AB104" s="1738">
        <f>ROUND(SUM(AB102+AB100+AB56),1)</f>
        <v>70519</v>
      </c>
      <c r="AC104" s="1886"/>
      <c r="AD104" s="259"/>
      <c r="AE104" s="1738">
        <f>ROUND(SUM(AE102+AE100+AE56),1)</f>
        <v>67820.899999999994</v>
      </c>
      <c r="AF104" s="273"/>
      <c r="AG104" s="2110"/>
      <c r="AH104" s="1738">
        <f>ROUND(SUM(AH102+AH100+AH56),1)</f>
        <v>2698.1</v>
      </c>
      <c r="AI104" s="273"/>
      <c r="AJ104" s="525">
        <f>ROUND(SUM(+AH104/ABS(AE104)),3)</f>
        <v>0.04</v>
      </c>
      <c r="AK104" s="795"/>
      <c r="AL104" s="795"/>
      <c r="AM104" s="795"/>
      <c r="AN104" s="795"/>
      <c r="AO104" s="795"/>
      <c r="AP104" s="795"/>
      <c r="AQ104" s="795"/>
      <c r="AR104" s="795"/>
      <c r="AS104" s="795"/>
    </row>
    <row r="105" spans="1:45" ht="15.6">
      <c r="A105" s="410"/>
      <c r="B105" s="430"/>
      <c r="C105" s="1003"/>
      <c r="D105" s="992"/>
      <c r="E105" s="1003"/>
      <c r="F105" s="992"/>
      <c r="G105" s="1003"/>
      <c r="H105" s="992"/>
      <c r="I105" s="1003"/>
      <c r="J105" s="992"/>
      <c r="K105" s="1003"/>
      <c r="L105" s="992"/>
      <c r="M105" s="1003"/>
      <c r="N105" s="992"/>
      <c r="O105" s="1003"/>
      <c r="P105" s="992"/>
      <c r="Q105" s="1003"/>
      <c r="R105" s="992"/>
      <c r="S105" s="1003"/>
      <c r="T105" s="992"/>
      <c r="U105" s="1003"/>
      <c r="V105" s="992"/>
      <c r="W105" s="1003"/>
      <c r="X105" s="992"/>
      <c r="Y105" s="1003"/>
      <c r="Z105" s="992"/>
      <c r="AA105" s="993"/>
      <c r="AB105" s="1003"/>
      <c r="AC105" s="992"/>
      <c r="AD105" s="994"/>
      <c r="AE105" s="1003"/>
      <c r="AF105" s="1004"/>
      <c r="AG105" s="1004"/>
      <c r="AH105" s="1171"/>
      <c r="AI105" s="430"/>
      <c r="AJ105" s="1714"/>
    </row>
    <row r="106" spans="1:45" ht="15.6">
      <c r="A106" s="410" t="s">
        <v>24</v>
      </c>
      <c r="B106" s="430"/>
      <c r="C106" s="1004"/>
      <c r="D106" s="992"/>
      <c r="E106" s="1004"/>
      <c r="F106" s="992"/>
      <c r="G106" s="1004"/>
      <c r="H106" s="992"/>
      <c r="I106" s="1004"/>
      <c r="J106" s="992"/>
      <c r="K106" s="1004"/>
      <c r="L106" s="992"/>
      <c r="M106" s="1004"/>
      <c r="N106" s="992"/>
      <c r="O106" s="1004"/>
      <c r="P106" s="992"/>
      <c r="Q106" s="1004"/>
      <c r="R106" s="992"/>
      <c r="S106" s="1004"/>
      <c r="T106" s="992"/>
      <c r="U106" s="1004"/>
      <c r="V106" s="992"/>
      <c r="W106" s="1004"/>
      <c r="X106" s="992"/>
      <c r="Y106" s="1004"/>
      <c r="Z106" s="992"/>
      <c r="AA106" s="993"/>
      <c r="AB106" s="1004"/>
      <c r="AC106" s="992"/>
      <c r="AD106" s="994"/>
      <c r="AE106" s="1004"/>
      <c r="AF106" s="1004"/>
      <c r="AG106" s="1004"/>
      <c r="AH106" s="1171"/>
      <c r="AI106" s="430"/>
      <c r="AJ106" s="1714"/>
    </row>
    <row r="107" spans="1:45" ht="15">
      <c r="A107" s="430" t="s">
        <v>142</v>
      </c>
      <c r="B107" s="430"/>
      <c r="C107" s="992"/>
      <c r="D107" s="992"/>
      <c r="E107" s="992"/>
      <c r="F107" s="992"/>
      <c r="G107" s="992"/>
      <c r="H107" s="992"/>
      <c r="I107" s="992"/>
      <c r="J107" s="992"/>
      <c r="K107" s="992"/>
      <c r="L107" s="992"/>
      <c r="M107" s="992"/>
      <c r="N107" s="992"/>
      <c r="O107" s="992"/>
      <c r="P107" s="992"/>
      <c r="Q107" s="992"/>
      <c r="R107" s="992"/>
      <c r="S107" s="992"/>
      <c r="T107" s="992"/>
      <c r="U107" s="992"/>
      <c r="V107" s="992"/>
      <c r="W107" s="992"/>
      <c r="X107" s="992"/>
      <c r="Y107" s="992"/>
      <c r="Z107" s="992"/>
      <c r="AA107" s="993"/>
      <c r="AB107" s="992"/>
      <c r="AC107" s="992"/>
      <c r="AD107" s="994"/>
      <c r="AE107" s="1171"/>
      <c r="AF107" s="1004"/>
      <c r="AG107" s="1004"/>
      <c r="AH107" s="992"/>
      <c r="AI107" s="430"/>
      <c r="AJ107" s="1932"/>
    </row>
    <row r="108" spans="1:45" ht="15">
      <c r="A108" s="1936" t="s">
        <v>26</v>
      </c>
      <c r="B108" s="430"/>
      <c r="C108" s="992">
        <f>+'Exhibit F'!D97+'Exhibit G state'!D89</f>
        <v>571.70000000000005</v>
      </c>
      <c r="D108" s="992"/>
      <c r="E108" s="992">
        <f>+'Exhibit F'!F97+'Exhibit G state'!F89</f>
        <v>2823.7999999999997</v>
      </c>
      <c r="F108" s="992"/>
      <c r="G108" s="992">
        <f>+'Exhibit F'!H97+'Exhibit G state'!H89</f>
        <v>3877.8999999999996</v>
      </c>
      <c r="H108" s="992"/>
      <c r="I108" s="992">
        <f>+'Exhibit F'!J97+'Exhibit G state'!J89</f>
        <v>376.6</v>
      </c>
      <c r="J108" s="992"/>
      <c r="K108" s="992">
        <f>+'Exhibit F'!L97+'Exhibit G state'!L89</f>
        <v>803.1</v>
      </c>
      <c r="L108" s="992"/>
      <c r="M108" s="992">
        <f>+'Exhibit F'!N97+'Exhibit G state'!N89</f>
        <v>5498.3</v>
      </c>
      <c r="N108" s="992"/>
      <c r="O108" s="992">
        <f>+'Exhibit F'!P97+'Exhibit G state'!P89</f>
        <v>490.4</v>
      </c>
      <c r="P108" s="992"/>
      <c r="Q108" s="2094">
        <f>+'Exhibit F'!R97+'Exhibit G state'!R89</f>
        <v>1915.9</v>
      </c>
      <c r="R108" s="992"/>
      <c r="S108" s="2094">
        <f>+'Exhibit F'!T97+'Exhibit G state'!T89</f>
        <v>2148</v>
      </c>
      <c r="T108" s="992"/>
      <c r="U108" s="2094"/>
      <c r="V108" s="992"/>
      <c r="W108" s="2905"/>
      <c r="X108" s="992"/>
      <c r="Y108" s="2905"/>
      <c r="Z108" s="992"/>
      <c r="AA108" s="993"/>
      <c r="AB108" s="1171">
        <f>ROUND(SUM(C108:Y108),1)</f>
        <v>18505.7</v>
      </c>
      <c r="AC108" s="992"/>
      <c r="AD108" s="994"/>
      <c r="AE108" s="1171">
        <f>+'Exhibit F'!AF97+'Exhibit G state'!AH89</f>
        <v>17987.599999999999</v>
      </c>
      <c r="AF108" s="1004"/>
      <c r="AG108" s="1004"/>
      <c r="AH108" s="992">
        <f>ROUND(SUM(AB108-AE108),1)</f>
        <v>518.1</v>
      </c>
      <c r="AI108" s="430"/>
      <c r="AJ108" s="1932">
        <f>ROUND(SUM(AH108/ABS(AE108)),3)</f>
        <v>2.9000000000000001E-2</v>
      </c>
    </row>
    <row r="109" spans="1:45" ht="15">
      <c r="A109" s="1936" t="s">
        <v>27</v>
      </c>
      <c r="B109" s="430"/>
      <c r="C109" s="992">
        <f>+'Exhibit F'!D98+'Exhibit G state'!D90</f>
        <v>0</v>
      </c>
      <c r="D109" s="992"/>
      <c r="E109" s="992">
        <f>+'Exhibit F'!F98+'Exhibit G state'!F90</f>
        <v>0.9</v>
      </c>
      <c r="F109" s="992"/>
      <c r="G109" s="992">
        <f>+'Exhibit F'!H98+'Exhibit G state'!H90</f>
        <v>0.1</v>
      </c>
      <c r="H109" s="992"/>
      <c r="I109" s="992">
        <f>+'Exhibit F'!J98+'Exhibit G state'!J90</f>
        <v>2.5</v>
      </c>
      <c r="J109" s="992"/>
      <c r="K109" s="992">
        <f>+'Exhibit F'!L98+'Exhibit G state'!L90</f>
        <v>0.89999999999999991</v>
      </c>
      <c r="L109" s="992"/>
      <c r="M109" s="992">
        <f>+'Exhibit F'!N98+'Exhibit G state'!N90</f>
        <v>0.2</v>
      </c>
      <c r="N109" s="992"/>
      <c r="O109" s="992">
        <f>+'Exhibit F'!P98+'Exhibit G state'!P90</f>
        <v>0</v>
      </c>
      <c r="P109" s="992"/>
      <c r="Q109" s="2094">
        <f>+'Exhibit F'!R98+'Exhibit G state'!R90</f>
        <v>0.4</v>
      </c>
      <c r="R109" s="992"/>
      <c r="S109" s="2094">
        <f>+'Exhibit F'!T98+'Exhibit G state'!T90</f>
        <v>2.2999999999999998</v>
      </c>
      <c r="T109" s="992"/>
      <c r="U109" s="2094"/>
      <c r="V109" s="992"/>
      <c r="W109" s="2905"/>
      <c r="X109" s="992"/>
      <c r="Y109" s="2905"/>
      <c r="Z109" s="992"/>
      <c r="AA109" s="993"/>
      <c r="AB109" s="1171">
        <f t="shared" ref="AB109:AB116" si="14">ROUND(SUM(C109:Y109),1)</f>
        <v>7.3</v>
      </c>
      <c r="AC109" s="992"/>
      <c r="AD109" s="994"/>
      <c r="AE109" s="1171">
        <f>+'Exhibit F'!AF98+'Exhibit G state'!AH90</f>
        <v>6.8000000000000007</v>
      </c>
      <c r="AF109" s="1004"/>
      <c r="AG109" s="1004"/>
      <c r="AH109" s="992">
        <f t="shared" ref="AH109:AH116" si="15">ROUND(SUM(AB109-AE109),1)</f>
        <v>0.5</v>
      </c>
      <c r="AI109" s="430"/>
      <c r="AJ109" s="1932">
        <f>ROUND(SUM(AH109/ABS(AE109)),3)</f>
        <v>7.3999999999999996E-2</v>
      </c>
    </row>
    <row r="110" spans="1:45" ht="15">
      <c r="A110" s="1936" t="s">
        <v>28</v>
      </c>
      <c r="B110" s="430"/>
      <c r="C110" s="992">
        <f>+'Exhibit F'!D99+'Exhibit G state'!D91</f>
        <v>14.3</v>
      </c>
      <c r="D110" s="992"/>
      <c r="E110" s="992">
        <f>+'Exhibit F'!F99+'Exhibit G state'!F91</f>
        <v>31.6</v>
      </c>
      <c r="F110" s="992"/>
      <c r="G110" s="992">
        <f>+'Exhibit F'!H99+'Exhibit G state'!H91</f>
        <v>566.20000000000005</v>
      </c>
      <c r="H110" s="992"/>
      <c r="I110" s="992">
        <f>+'Exhibit F'!J99+'Exhibit G state'!J91</f>
        <v>22.8</v>
      </c>
      <c r="J110" s="992"/>
      <c r="K110" s="992">
        <f>+'Exhibit F'!L99+'Exhibit G state'!L91</f>
        <v>16.3</v>
      </c>
      <c r="L110" s="992"/>
      <c r="M110" s="992">
        <f>+'Exhibit F'!N99+'Exhibit G state'!N91</f>
        <v>116.60000000000001</v>
      </c>
      <c r="N110" s="992"/>
      <c r="O110" s="992">
        <f>+'Exhibit F'!P99+'Exhibit G state'!P91</f>
        <v>35.6</v>
      </c>
      <c r="P110" s="992"/>
      <c r="Q110" s="2094">
        <f>+'Exhibit F'!R99+'Exhibit G state'!R91</f>
        <v>37.699999999999996</v>
      </c>
      <c r="R110" s="992"/>
      <c r="S110" s="2094">
        <f>+'Exhibit F'!T99+'Exhibit G state'!T91</f>
        <v>198.79999999999998</v>
      </c>
      <c r="T110" s="992"/>
      <c r="U110" s="2094"/>
      <c r="V110" s="992"/>
      <c r="W110" s="2905"/>
      <c r="X110" s="992"/>
      <c r="Y110" s="2905"/>
      <c r="Z110" s="992"/>
      <c r="AA110" s="993"/>
      <c r="AB110" s="1171">
        <f t="shared" si="14"/>
        <v>1039.9000000000001</v>
      </c>
      <c r="AC110" s="992"/>
      <c r="AD110" s="994"/>
      <c r="AE110" s="1171">
        <f>+'Exhibit F'!AF99+'Exhibit G state'!AH91</f>
        <v>1078.2</v>
      </c>
      <c r="AF110" s="1004"/>
      <c r="AG110" s="1004"/>
      <c r="AH110" s="992">
        <f t="shared" si="15"/>
        <v>-38.299999999999997</v>
      </c>
      <c r="AI110" s="430"/>
      <c r="AJ110" s="1932">
        <f>ROUND(SUM(AH110/ABS(AE110)),3)</f>
        <v>-3.5999999999999997E-2</v>
      </c>
    </row>
    <row r="111" spans="1:45" ht="15">
      <c r="A111" s="1936" t="s">
        <v>29</v>
      </c>
      <c r="B111" s="430"/>
      <c r="C111" s="992"/>
      <c r="D111" s="992"/>
      <c r="E111" s="992"/>
      <c r="F111" s="992"/>
      <c r="G111" s="992"/>
      <c r="H111" s="992"/>
      <c r="I111" s="992"/>
      <c r="J111" s="992"/>
      <c r="K111" s="992"/>
      <c r="L111" s="992"/>
      <c r="M111" s="992"/>
      <c r="N111" s="992"/>
      <c r="O111" s="992"/>
      <c r="P111" s="992"/>
      <c r="Q111" s="2094"/>
      <c r="R111" s="992"/>
      <c r="S111" s="2094"/>
      <c r="T111" s="992"/>
      <c r="U111" s="2094"/>
      <c r="V111" s="992"/>
      <c r="W111" s="2905"/>
      <c r="X111" s="992"/>
      <c r="Y111" s="2905"/>
      <c r="Z111" s="992"/>
      <c r="AA111" s="993"/>
      <c r="AB111" s="1171"/>
      <c r="AC111" s="992"/>
      <c r="AD111" s="994"/>
      <c r="AE111" s="1253"/>
      <c r="AF111" s="1004"/>
      <c r="AG111" s="1004"/>
      <c r="AH111" s="992" t="s">
        <v>16</v>
      </c>
      <c r="AI111" s="430"/>
      <c r="AJ111" s="1932"/>
    </row>
    <row r="112" spans="1:45" ht="15">
      <c r="A112" s="1937" t="s">
        <v>30</v>
      </c>
      <c r="B112" s="430"/>
      <c r="C112" s="992">
        <f>+'Exhibit F'!D101+'Exhibit G state'!D93</f>
        <v>1633.1999999999998</v>
      </c>
      <c r="D112" s="992"/>
      <c r="E112" s="992">
        <f>+'Exhibit F'!F101+'Exhibit G state'!F93</f>
        <v>1908.8999999999999</v>
      </c>
      <c r="F112" s="992"/>
      <c r="G112" s="992">
        <f>+'Exhibit F'!H101+'Exhibit G state'!H93</f>
        <v>1195.7</v>
      </c>
      <c r="H112" s="992"/>
      <c r="I112" s="992">
        <f>+'Exhibit F'!J101+'Exhibit G state'!J93</f>
        <v>1473</v>
      </c>
      <c r="J112" s="992"/>
      <c r="K112" s="992">
        <f>+'Exhibit F'!L101+'Exhibit G state'!L93</f>
        <v>1492.6</v>
      </c>
      <c r="L112" s="992"/>
      <c r="M112" s="992">
        <f>+'Exhibit F'!N101+'Exhibit G state'!N93</f>
        <v>1957.6</v>
      </c>
      <c r="N112" s="992"/>
      <c r="O112" s="992">
        <f>+'Exhibit F'!P101+'Exhibit G state'!P93</f>
        <v>1329.9</v>
      </c>
      <c r="P112" s="992"/>
      <c r="Q112" s="2094">
        <f>+'Exhibit F'!R101+'Exhibit G state'!R93</f>
        <v>1396.2</v>
      </c>
      <c r="R112" s="992"/>
      <c r="S112" s="2094">
        <f>+'Exhibit F'!T101+'Exhibit G state'!T93</f>
        <v>1942.5</v>
      </c>
      <c r="T112" s="992"/>
      <c r="U112" s="2094"/>
      <c r="V112" s="992"/>
      <c r="W112" s="2905"/>
      <c r="X112" s="992"/>
      <c r="Y112" s="2905"/>
      <c r="Z112" s="992"/>
      <c r="AA112" s="993"/>
      <c r="AB112" s="1171">
        <f t="shared" si="14"/>
        <v>14329.6</v>
      </c>
      <c r="AC112" s="992"/>
      <c r="AD112" s="994"/>
      <c r="AE112" s="1171">
        <f>+'Exhibit F'!AF101+'Exhibit G state'!AH93</f>
        <v>13470.5</v>
      </c>
      <c r="AF112" s="1004"/>
      <c r="AG112" s="1004"/>
      <c r="AH112" s="992">
        <f t="shared" si="15"/>
        <v>859.1</v>
      </c>
      <c r="AI112" s="430"/>
      <c r="AJ112" s="1932">
        <f t="shared" ref="AJ112:AJ118" si="16">ROUND(SUM(AH112/ABS(AE112)),3)</f>
        <v>6.4000000000000001E-2</v>
      </c>
      <c r="AK112" s="418"/>
    </row>
    <row r="113" spans="1:44" ht="15">
      <c r="A113" s="1936" t="s">
        <v>31</v>
      </c>
      <c r="B113" s="430"/>
      <c r="C113" s="992">
        <f>+'Exhibit F'!D102+'Exhibit G state'!D94</f>
        <v>98.8</v>
      </c>
      <c r="D113" s="992"/>
      <c r="E113" s="992">
        <f>+'Exhibit F'!F102+'Exhibit G state'!F94</f>
        <v>260.60000000000002</v>
      </c>
      <c r="F113" s="992"/>
      <c r="G113" s="992">
        <f>+'Exhibit F'!H102+'Exhibit G state'!H94</f>
        <v>337</v>
      </c>
      <c r="H113" s="992"/>
      <c r="I113" s="992">
        <f>+'Exhibit F'!J102+'Exhibit G state'!J94</f>
        <v>366.6</v>
      </c>
      <c r="J113" s="992"/>
      <c r="K113" s="992">
        <f>+'Exhibit F'!L102+'Exhibit G state'!L94</f>
        <v>282.60000000000002</v>
      </c>
      <c r="L113" s="992"/>
      <c r="M113" s="992">
        <f>+'Exhibit F'!N102+'Exhibit G state'!N94</f>
        <v>426.4</v>
      </c>
      <c r="N113" s="992"/>
      <c r="O113" s="992">
        <f>+'Exhibit F'!P102+'Exhibit G state'!P94</f>
        <v>92.3</v>
      </c>
      <c r="P113" s="992"/>
      <c r="Q113" s="2094">
        <f>+'Exhibit F'!R102+'Exhibit G state'!R94</f>
        <v>113.5</v>
      </c>
      <c r="R113" s="992"/>
      <c r="S113" s="2094">
        <f>+'Exhibit F'!T102+'Exhibit G state'!T94</f>
        <v>434.6</v>
      </c>
      <c r="T113" s="992"/>
      <c r="U113" s="2094"/>
      <c r="V113" s="992"/>
      <c r="W113" s="2905"/>
      <c r="X113" s="992"/>
      <c r="Y113" s="2905"/>
      <c r="Z113" s="992"/>
      <c r="AA113" s="993"/>
      <c r="AB113" s="1171">
        <f t="shared" si="14"/>
        <v>2412.4</v>
      </c>
      <c r="AC113" s="1933"/>
      <c r="AD113" s="992"/>
      <c r="AE113" s="1171">
        <f>+'Exhibit F'!AF102+'Exhibit G state'!AH94</f>
        <v>2387.6</v>
      </c>
      <c r="AF113" s="1004"/>
      <c r="AG113" s="1004"/>
      <c r="AH113" s="992">
        <f t="shared" si="15"/>
        <v>24.8</v>
      </c>
      <c r="AI113" s="430"/>
      <c r="AJ113" s="1932">
        <f t="shared" si="16"/>
        <v>0.01</v>
      </c>
    </row>
    <row r="114" spans="1:44" ht="15">
      <c r="A114" s="1936" t="s">
        <v>32</v>
      </c>
      <c r="B114" s="430"/>
      <c r="C114" s="992">
        <f>+'Exhibit F'!D103+'Exhibit G state'!D95</f>
        <v>14.6</v>
      </c>
      <c r="D114" s="992"/>
      <c r="E114" s="992">
        <f>+'Exhibit F'!F103+'Exhibit G state'!F95</f>
        <v>44.5</v>
      </c>
      <c r="F114" s="992"/>
      <c r="G114" s="992">
        <f>+'Exhibit F'!H103+'Exhibit G state'!H95</f>
        <v>22.8</v>
      </c>
      <c r="H114" s="992"/>
      <c r="I114" s="992">
        <f>+'Exhibit F'!J103+'Exhibit G state'!J95</f>
        <v>27.1</v>
      </c>
      <c r="J114" s="992"/>
      <c r="K114" s="992">
        <f>+'Exhibit F'!L103+'Exhibit G state'!L95</f>
        <v>20.3</v>
      </c>
      <c r="L114" s="992"/>
      <c r="M114" s="992">
        <f>+'Exhibit F'!N103+'Exhibit G state'!N95</f>
        <v>39.9</v>
      </c>
      <c r="N114" s="992"/>
      <c r="O114" s="992">
        <f>+'Exhibit F'!P103+'Exhibit G state'!P95</f>
        <v>1.6</v>
      </c>
      <c r="P114" s="992"/>
      <c r="Q114" s="2094">
        <f>+'Exhibit F'!R103+'Exhibit G state'!R95</f>
        <v>14.1</v>
      </c>
      <c r="R114" s="992"/>
      <c r="S114" s="2094">
        <f>+'Exhibit F'!T103+'Exhibit G state'!T95</f>
        <v>52.099999999999994</v>
      </c>
      <c r="T114" s="992"/>
      <c r="U114" s="2094"/>
      <c r="V114" s="992"/>
      <c r="W114" s="2905"/>
      <c r="X114" s="992"/>
      <c r="Y114" s="2905"/>
      <c r="Z114" s="992"/>
      <c r="AA114" s="993"/>
      <c r="AB114" s="1171">
        <f t="shared" si="14"/>
        <v>237</v>
      </c>
      <c r="AC114" s="1938"/>
      <c r="AD114" s="994"/>
      <c r="AE114" s="1171">
        <f>+'Exhibit F'!AF103+'Exhibit G state'!AH95</f>
        <v>227.89999999999998</v>
      </c>
      <c r="AF114" s="1004"/>
      <c r="AG114" s="1004"/>
      <c r="AH114" s="992">
        <f t="shared" si="15"/>
        <v>9.1</v>
      </c>
      <c r="AI114" s="430"/>
      <c r="AJ114" s="1932">
        <f t="shared" si="16"/>
        <v>0.04</v>
      </c>
    </row>
    <row r="115" spans="1:44" ht="15">
      <c r="A115" s="1936" t="s">
        <v>33</v>
      </c>
      <c r="B115" s="430"/>
      <c r="C115" s="992">
        <f>+'Exhibit F'!D104+'Exhibit G state'!D96</f>
        <v>132.69999999999999</v>
      </c>
      <c r="D115" s="992"/>
      <c r="E115" s="992">
        <f>+'Exhibit F'!F104+'Exhibit G state'!F96</f>
        <v>139</v>
      </c>
      <c r="F115" s="992"/>
      <c r="G115" s="992">
        <f>+'Exhibit F'!H104+'Exhibit G state'!H96</f>
        <v>248.8</v>
      </c>
      <c r="H115" s="992"/>
      <c r="I115" s="992">
        <f>+'Exhibit F'!J104+'Exhibit G state'!J96</f>
        <v>402.09999999999997</v>
      </c>
      <c r="J115" s="992"/>
      <c r="K115" s="992">
        <f>+'Exhibit F'!L104+'Exhibit G state'!L96</f>
        <v>127</v>
      </c>
      <c r="L115" s="992"/>
      <c r="M115" s="992">
        <f>+'Exhibit F'!N104+'Exhibit G state'!N96</f>
        <v>424.3</v>
      </c>
      <c r="N115" s="992"/>
      <c r="O115" s="992">
        <f>+'Exhibit F'!P104+'Exhibit G state'!P96</f>
        <v>175.5</v>
      </c>
      <c r="P115" s="992"/>
      <c r="Q115" s="2094">
        <f>+'Exhibit F'!R104+'Exhibit G state'!R96</f>
        <v>162.19999999999999</v>
      </c>
      <c r="R115" s="992"/>
      <c r="S115" s="2094">
        <f>+'Exhibit F'!T104+'Exhibit G state'!T96</f>
        <v>362</v>
      </c>
      <c r="T115" s="992"/>
      <c r="U115" s="2094"/>
      <c r="V115" s="992"/>
      <c r="W115" s="2905"/>
      <c r="X115" s="992"/>
      <c r="Y115" s="2905"/>
      <c r="Z115" s="992"/>
      <c r="AA115" s="993"/>
      <c r="AB115" s="1171">
        <f t="shared" si="14"/>
        <v>2173.6</v>
      </c>
      <c r="AC115" s="1938"/>
      <c r="AD115" s="994"/>
      <c r="AE115" s="1171">
        <f>+'Exhibit F'!AF104+'Exhibit G state'!AH96</f>
        <v>1993.4</v>
      </c>
      <c r="AF115" s="1004"/>
      <c r="AG115" s="1004"/>
      <c r="AH115" s="992">
        <f t="shared" si="15"/>
        <v>180.2</v>
      </c>
      <c r="AI115" s="430"/>
      <c r="AJ115" s="1932">
        <f t="shared" si="16"/>
        <v>0.09</v>
      </c>
    </row>
    <row r="116" spans="1:44" ht="15">
      <c r="A116" s="1936" t="s">
        <v>34</v>
      </c>
      <c r="B116" s="430"/>
      <c r="C116" s="992">
        <f>+'Exhibit F'!D105+'Exhibit G state'!D97</f>
        <v>4.5999999999999996</v>
      </c>
      <c r="D116" s="992"/>
      <c r="E116" s="992">
        <f>+'Exhibit F'!F105+'Exhibit G state'!F97</f>
        <v>8.6999999999999993</v>
      </c>
      <c r="F116" s="992"/>
      <c r="G116" s="992">
        <f>+'Exhibit F'!H105+'Exhibit G state'!H97</f>
        <v>5.8000000000000007</v>
      </c>
      <c r="H116" s="992"/>
      <c r="I116" s="992">
        <f>+'Exhibit F'!J105+'Exhibit G state'!J97</f>
        <v>5.6000000000000005</v>
      </c>
      <c r="J116" s="992"/>
      <c r="K116" s="992">
        <f>+'Exhibit F'!L105+'Exhibit G state'!L97</f>
        <v>8.6</v>
      </c>
      <c r="L116" s="992"/>
      <c r="M116" s="992">
        <f>+'Exhibit F'!N105+'Exhibit G state'!N97</f>
        <v>78.3</v>
      </c>
      <c r="N116" s="992"/>
      <c r="O116" s="992">
        <f>+'Exhibit F'!P105+'Exhibit G state'!P97</f>
        <v>2.8000000000000003</v>
      </c>
      <c r="P116" s="992"/>
      <c r="Q116" s="2094">
        <f>+'Exhibit F'!R105+'Exhibit G state'!R97</f>
        <v>6.3</v>
      </c>
      <c r="R116" s="992"/>
      <c r="S116" s="2094">
        <f>+'Exhibit F'!T105+'Exhibit G state'!T97</f>
        <v>11</v>
      </c>
      <c r="T116" s="992"/>
      <c r="U116" s="2094"/>
      <c r="V116" s="992"/>
      <c r="W116" s="2905"/>
      <c r="X116" s="992"/>
      <c r="Y116" s="2905"/>
      <c r="Z116" s="992"/>
      <c r="AA116" s="993"/>
      <c r="AB116" s="1171">
        <f t="shared" si="14"/>
        <v>131.69999999999999</v>
      </c>
      <c r="AC116" s="1938"/>
      <c r="AD116" s="994"/>
      <c r="AE116" s="1171">
        <f>+'Exhibit F'!AF105+'Exhibit G state'!AH97</f>
        <v>273.89999999999998</v>
      </c>
      <c r="AF116" s="1004"/>
      <c r="AG116" s="1004"/>
      <c r="AH116" s="992">
        <f t="shared" si="15"/>
        <v>-142.19999999999999</v>
      </c>
      <c r="AI116" s="430"/>
      <c r="AJ116" s="1932">
        <f t="shared" si="16"/>
        <v>-0.51900000000000002</v>
      </c>
    </row>
    <row r="117" spans="1:44" ht="15">
      <c r="A117" s="1936" t="s">
        <v>35</v>
      </c>
      <c r="B117" s="430"/>
      <c r="C117" s="992">
        <f>+'Exhibit F'!D106+'Exhibit G state'!D98</f>
        <v>125.3</v>
      </c>
      <c r="D117" s="992"/>
      <c r="E117" s="992">
        <f>+'Exhibit F'!F106+'Exhibit G state'!F98</f>
        <v>494.5</v>
      </c>
      <c r="F117" s="992"/>
      <c r="G117" s="992">
        <f>+'Exhibit F'!H106+'Exhibit G state'!H98</f>
        <v>452.1</v>
      </c>
      <c r="H117" s="992"/>
      <c r="I117" s="992">
        <f>+'Exhibit F'!J106+'Exhibit G state'!J98</f>
        <v>313.10000000000002</v>
      </c>
      <c r="J117" s="992"/>
      <c r="K117" s="992">
        <f>+'Exhibit F'!L106+'Exhibit G state'!L98</f>
        <v>468.7</v>
      </c>
      <c r="L117" s="992"/>
      <c r="M117" s="992">
        <f>+'Exhibit F'!N106+'Exhibit G state'!N98</f>
        <v>400.8</v>
      </c>
      <c r="N117" s="992"/>
      <c r="O117" s="992">
        <f>+'Exhibit F'!P106+'Exhibit G state'!P98</f>
        <v>352</v>
      </c>
      <c r="P117" s="992"/>
      <c r="Q117" s="2094">
        <f>+'Exhibit F'!R106+'Exhibit G state'!R98</f>
        <v>583.9</v>
      </c>
      <c r="R117" s="992"/>
      <c r="S117" s="2094">
        <f>+'Exhibit F'!T106+'Exhibit G state'!T98</f>
        <v>867.2</v>
      </c>
      <c r="T117" s="992"/>
      <c r="U117" s="2094"/>
      <c r="V117" s="992"/>
      <c r="W117" s="2905"/>
      <c r="X117" s="992"/>
      <c r="Y117" s="2905"/>
      <c r="Z117" s="992"/>
      <c r="AA117" s="993"/>
      <c r="AB117" s="992">
        <f>ROUND(SUM(C117:Y117),1)</f>
        <v>4057.6</v>
      </c>
      <c r="AC117" s="1938"/>
      <c r="AD117" s="994"/>
      <c r="AE117" s="1171">
        <f>+'Exhibit F'!AF106+'Exhibit G state'!AH98</f>
        <v>4070</v>
      </c>
      <c r="AF117" s="1004"/>
      <c r="AG117" s="1004"/>
      <c r="AH117" s="992">
        <f>ROUND(SUM(AB117-AE117),1)</f>
        <v>-12.4</v>
      </c>
      <c r="AI117" s="430"/>
      <c r="AJ117" s="1268">
        <f t="shared" si="16"/>
        <v>-3.0000000000000001E-3</v>
      </c>
    </row>
    <row r="118" spans="1:44" ht="15.6">
      <c r="A118" s="430" t="s">
        <v>36</v>
      </c>
      <c r="B118" s="430"/>
      <c r="C118" s="1009">
        <f>ROUND(SUM(C108:C117),1)</f>
        <v>2595.1999999999998</v>
      </c>
      <c r="D118" s="1000"/>
      <c r="E118" s="1009">
        <f>ROUND(SUM(E108:E117),1)</f>
        <v>5712.5</v>
      </c>
      <c r="F118" s="1000"/>
      <c r="G118" s="1009">
        <f>ROUND(SUM(G108:G117),1)</f>
        <v>6706.4</v>
      </c>
      <c r="H118" s="1000"/>
      <c r="I118" s="1009">
        <f>ROUND(SUM(I108:I117),1)</f>
        <v>2989.4</v>
      </c>
      <c r="J118" s="1000"/>
      <c r="K118" s="1009">
        <f>ROUND(SUM(K108:K117),1)</f>
        <v>3220.1</v>
      </c>
      <c r="L118" s="1000"/>
      <c r="M118" s="1009">
        <f>ROUND(SUM(M108:M117),1)</f>
        <v>8942.4</v>
      </c>
      <c r="N118" s="1000"/>
      <c r="O118" s="1009">
        <f>ROUND(SUM(O108:O117),1)</f>
        <v>2480.1</v>
      </c>
      <c r="P118" s="1000"/>
      <c r="Q118" s="1009">
        <f>ROUND(SUM(Q108:Q117),1)</f>
        <v>4230.2</v>
      </c>
      <c r="R118" s="1000"/>
      <c r="S118" s="1009">
        <f>ROUND(SUM(S108:S117),1)</f>
        <v>6018.5</v>
      </c>
      <c r="T118" s="1000"/>
      <c r="U118" s="1009">
        <f>ROUND(SUM(U108:U117),1)</f>
        <v>0</v>
      </c>
      <c r="V118" s="1000"/>
      <c r="W118" s="1009">
        <f>ROUND(SUM(W108:W117),1)</f>
        <v>0</v>
      </c>
      <c r="X118" s="1000"/>
      <c r="Y118" s="1009">
        <f>ROUND(SUM(Y108:Y117),1)</f>
        <v>0</v>
      </c>
      <c r="Z118" s="1000"/>
      <c r="AA118" s="1001"/>
      <c r="AB118" s="1009">
        <f>ROUND(SUM(AB108:AB117),1)</f>
        <v>42894.8</v>
      </c>
      <c r="AC118" s="1940"/>
      <c r="AD118" s="1002"/>
      <c r="AE118" s="484">
        <f>ROUND(SUM(AE108:AE117),1)</f>
        <v>41495.9</v>
      </c>
      <c r="AF118" s="2109"/>
      <c r="AG118" s="2109"/>
      <c r="AH118" s="484">
        <f>ROUND(SUM(AH108:AH117),1)</f>
        <v>1398.9</v>
      </c>
      <c r="AI118" s="982"/>
      <c r="AJ118" s="528">
        <f t="shared" si="16"/>
        <v>3.4000000000000002E-2</v>
      </c>
      <c r="AK118" s="795"/>
      <c r="AL118" s="795"/>
    </row>
    <row r="119" spans="1:44" ht="15">
      <c r="A119" s="430" t="s">
        <v>37</v>
      </c>
      <c r="B119" s="430"/>
      <c r="C119" s="1004"/>
      <c r="D119" s="992"/>
      <c r="E119" s="1004"/>
      <c r="F119" s="992"/>
      <c r="G119" s="1004"/>
      <c r="H119" s="992"/>
      <c r="I119" s="1004"/>
      <c r="J119" s="992"/>
      <c r="K119" s="1004"/>
      <c r="L119" s="992"/>
      <c r="M119" s="1004"/>
      <c r="N119" s="992"/>
      <c r="O119" s="1004"/>
      <c r="P119" s="992"/>
      <c r="Q119" s="1004"/>
      <c r="R119" s="992"/>
      <c r="S119" s="1004"/>
      <c r="T119" s="992"/>
      <c r="U119" s="1004"/>
      <c r="V119" s="992"/>
      <c r="W119" s="1004"/>
      <c r="X119" s="992"/>
      <c r="Y119" s="1004"/>
      <c r="Z119" s="992"/>
      <c r="AA119" s="993"/>
      <c r="AB119" s="1004"/>
      <c r="AC119" s="992"/>
      <c r="AD119" s="994"/>
      <c r="AE119" s="1908"/>
      <c r="AF119" s="1004"/>
      <c r="AG119" s="1004"/>
      <c r="AH119" s="1171"/>
      <c r="AI119" s="430"/>
      <c r="AJ119" s="1714"/>
    </row>
    <row r="120" spans="1:44" ht="15">
      <c r="A120" s="430" t="s">
        <v>143</v>
      </c>
      <c r="B120" s="430"/>
      <c r="C120" s="992">
        <f>+'Exhibit F'!D109+'Exhibit G state'!D101</f>
        <v>1186.9000000000001</v>
      </c>
      <c r="D120" s="992"/>
      <c r="E120" s="992">
        <f>+'Exhibit F'!F109+'Exhibit G state'!F101</f>
        <v>977.6</v>
      </c>
      <c r="F120" s="992"/>
      <c r="G120" s="992">
        <f>+'Exhibit F'!H109+'Exhibit G state'!H101</f>
        <v>977.3</v>
      </c>
      <c r="H120" s="992"/>
      <c r="I120" s="992">
        <f>+'Exhibit F'!J109+'Exhibit G state'!J101</f>
        <v>1316.1</v>
      </c>
      <c r="J120" s="992"/>
      <c r="K120" s="992">
        <f>+'Exhibit F'!L109+'Exhibit G state'!L101</f>
        <v>987.2</v>
      </c>
      <c r="L120" s="992"/>
      <c r="M120" s="992">
        <f>+'Exhibit F'!N109+'Exhibit G state'!N101</f>
        <v>1017.2</v>
      </c>
      <c r="N120" s="992"/>
      <c r="O120" s="992">
        <f>+'Exhibit F'!P109+'Exhibit G state'!P101</f>
        <v>1161</v>
      </c>
      <c r="P120" s="992"/>
      <c r="Q120" s="1004">
        <f>+'Exhibit F'!R109+'Exhibit G state'!R101</f>
        <v>972</v>
      </c>
      <c r="R120" s="992"/>
      <c r="S120" s="1004">
        <f>+'Exhibit F'!T109+'Exhibit G state'!T101</f>
        <v>1343.1</v>
      </c>
      <c r="T120" s="992"/>
      <c r="U120" s="1004"/>
      <c r="V120" s="992"/>
      <c r="W120" s="2905"/>
      <c r="X120" s="992"/>
      <c r="Y120" s="2905"/>
      <c r="Z120" s="992"/>
      <c r="AA120" s="993"/>
      <c r="AB120" s="992">
        <f>ROUND(SUM(C120:Y120),1)</f>
        <v>9938.4</v>
      </c>
      <c r="AC120" s="992"/>
      <c r="AD120" s="994"/>
      <c r="AE120" s="1171">
        <f>+'Exhibit F'!AF109+'Exhibit G state'!AH101</f>
        <v>9689.9000000000015</v>
      </c>
      <c r="AF120" s="1004"/>
      <c r="AG120" s="1004"/>
      <c r="AH120" s="992">
        <f>ROUND(SUM(AB120-AE120),1)</f>
        <v>248.5</v>
      </c>
      <c r="AI120" s="430"/>
      <c r="AJ120" s="1932">
        <f>ROUND(SUM(AH120/ABS(AE120)),3)</f>
        <v>2.5999999999999999E-2</v>
      </c>
    </row>
    <row r="121" spans="1:44" ht="15">
      <c r="A121" s="430" t="s">
        <v>144</v>
      </c>
      <c r="B121" s="430"/>
      <c r="C121" s="992">
        <f>+'Exhibit F'!D110+'Exhibit G state'!D102+'Exhibit H'!B51</f>
        <v>291.89999999999998</v>
      </c>
      <c r="D121" s="992"/>
      <c r="E121" s="992">
        <f>+'Exhibit F'!F110+'Exhibit G state'!F102+'Exhibit H'!D51</f>
        <v>375</v>
      </c>
      <c r="F121" s="992"/>
      <c r="G121" s="992">
        <f>+'Exhibit F'!H110+'Exhibit G state'!H102+'Exhibit H'!F51</f>
        <v>499.5</v>
      </c>
      <c r="H121" s="992"/>
      <c r="I121" s="992">
        <f>+'Exhibit F'!J110+'Exhibit G state'!J102+'Exhibit H'!H51</f>
        <v>411.7</v>
      </c>
      <c r="J121" s="992"/>
      <c r="K121" s="992">
        <f>+'Exhibit F'!L110+'Exhibit G state'!L102+'Exhibit H'!J51</f>
        <v>516.9</v>
      </c>
      <c r="L121" s="992"/>
      <c r="M121" s="992">
        <f>+'Exhibit F'!N110+'Exhibit G state'!N102+'Exhibit H'!L51</f>
        <v>549.50000000000011</v>
      </c>
      <c r="N121" s="992"/>
      <c r="O121" s="992">
        <f>+'Exhibit F'!P110+'Exhibit G state'!P102+'Exhibit H'!N51</f>
        <v>227.10000000000002</v>
      </c>
      <c r="P121" s="992"/>
      <c r="Q121" s="1004">
        <f>+'Exhibit F'!R110+'Exhibit G state'!R102+'Exhibit H'!P51</f>
        <v>490.5</v>
      </c>
      <c r="R121" s="992"/>
      <c r="S121" s="1004">
        <f>+'Exhibit F'!T110+'Exhibit G state'!T102+'Exhibit H'!R51</f>
        <v>508.5</v>
      </c>
      <c r="T121" s="992"/>
      <c r="U121" s="1004"/>
      <c r="V121" s="992"/>
      <c r="W121" s="2905"/>
      <c r="X121" s="992"/>
      <c r="Y121" s="2905"/>
      <c r="Z121" s="992"/>
      <c r="AA121" s="993"/>
      <c r="AB121" s="992">
        <f>ROUND(SUM(C121:Y121),1)</f>
        <v>3870.6</v>
      </c>
      <c r="AC121" s="992"/>
      <c r="AD121" s="994"/>
      <c r="AE121" s="1171">
        <f>+'Exhibit F'!AF110+'Exhibit G state'!AH102+'Exhibit H'!AD51</f>
        <v>3872.3</v>
      </c>
      <c r="AF121" s="1004"/>
      <c r="AG121" s="1004"/>
      <c r="AH121" s="992">
        <f>ROUND(SUM(AB121-AE121),1)</f>
        <v>-1.7</v>
      </c>
      <c r="AI121" s="430"/>
      <c r="AJ121" s="1932">
        <f>ROUND(SUM(AH121/ABS(AE121)),3)</f>
        <v>0</v>
      </c>
    </row>
    <row r="122" spans="1:44" ht="15">
      <c r="A122" s="430" t="s">
        <v>40</v>
      </c>
      <c r="B122" s="430"/>
      <c r="C122" s="992">
        <f>+'Exhibit F'!D111+'Exhibit G state'!D103</f>
        <v>650.4</v>
      </c>
      <c r="D122" s="992"/>
      <c r="E122" s="992">
        <f>+'Exhibit F'!F111+'Exhibit G state'!F103</f>
        <v>699.1</v>
      </c>
      <c r="F122" s="992"/>
      <c r="G122" s="992">
        <f>+'Exhibit F'!H111+'Exhibit G state'!H103</f>
        <v>552.20000000000005</v>
      </c>
      <c r="H122" s="992"/>
      <c r="I122" s="992">
        <f>+'Exhibit F'!J111+'Exhibit G state'!J103</f>
        <v>1856.1000000000001</v>
      </c>
      <c r="J122" s="992"/>
      <c r="K122" s="992">
        <f>+'Exhibit F'!L111+'Exhibit G state'!L103</f>
        <v>362.8</v>
      </c>
      <c r="L122" s="992"/>
      <c r="M122" s="992">
        <f>+'Exhibit F'!N111+'Exhibit G state'!N103</f>
        <v>558.9</v>
      </c>
      <c r="N122" s="992"/>
      <c r="O122" s="992">
        <f>+'Exhibit F'!P111+'Exhibit G state'!P103</f>
        <v>483.70000000000005</v>
      </c>
      <c r="P122" s="992"/>
      <c r="Q122" s="1004">
        <f>+'Exhibit F'!R111+'Exhibit G state'!R103</f>
        <v>455.3</v>
      </c>
      <c r="R122" s="992"/>
      <c r="S122" s="1004">
        <f>+'Exhibit F'!T111+'Exhibit G state'!T103</f>
        <v>454.79999999999995</v>
      </c>
      <c r="T122" s="992"/>
      <c r="U122" s="1004"/>
      <c r="V122" s="992"/>
      <c r="W122" s="2905"/>
      <c r="X122" s="992"/>
      <c r="Y122" s="2905"/>
      <c r="Z122" s="992"/>
      <c r="AA122" s="993"/>
      <c r="AB122" s="992">
        <f>ROUND(SUM(C122:Y122),1)</f>
        <v>6073.3</v>
      </c>
      <c r="AC122" s="992"/>
      <c r="AD122" s="994"/>
      <c r="AE122" s="1171">
        <f>+'Exhibit F'!AF111+'Exhibit G state'!AH103</f>
        <v>5816.9000000000005</v>
      </c>
      <c r="AF122" s="1004"/>
      <c r="AG122" s="1004"/>
      <c r="AH122" s="992">
        <f>ROUND(SUM(AB122-AE122),1)</f>
        <v>256.39999999999998</v>
      </c>
      <c r="AI122" s="430"/>
      <c r="AJ122" s="1932">
        <f>ROUND(SUM(AH122/ABS(AE122)),3)</f>
        <v>4.3999999999999997E-2</v>
      </c>
    </row>
    <row r="123" spans="1:44" ht="15">
      <c r="A123" s="430" t="s">
        <v>41</v>
      </c>
      <c r="B123" s="430"/>
      <c r="C123" s="1004"/>
      <c r="D123" s="992"/>
      <c r="E123" s="1004"/>
      <c r="F123" s="992"/>
      <c r="G123" s="1004"/>
      <c r="H123" s="992"/>
      <c r="I123" s="1004"/>
      <c r="J123" s="992"/>
      <c r="K123" s="1004"/>
      <c r="L123" s="992"/>
      <c r="M123" s="1004"/>
      <c r="N123" s="992"/>
      <c r="O123" s="1004"/>
      <c r="P123" s="992"/>
      <c r="Q123" s="1004"/>
      <c r="R123" s="992"/>
      <c r="S123" s="1004"/>
      <c r="T123" s="992"/>
      <c r="U123" s="1004"/>
      <c r="V123" s="992"/>
      <c r="W123" s="2905"/>
      <c r="X123" s="992"/>
      <c r="Y123" s="2905"/>
      <c r="Z123" s="992"/>
      <c r="AA123" s="993"/>
      <c r="AB123" s="992"/>
      <c r="AC123" s="992"/>
      <c r="AD123" s="994"/>
      <c r="AE123" s="1004"/>
      <c r="AF123" s="1004"/>
      <c r="AG123" s="1004"/>
      <c r="AH123" s="992"/>
      <c r="AI123" s="430"/>
      <c r="AJ123" s="1932"/>
    </row>
    <row r="124" spans="1:44" ht="15">
      <c r="A124" s="430" t="s">
        <v>42</v>
      </c>
      <c r="B124" s="430"/>
      <c r="C124" s="992">
        <f>+'Exhibit H'!B53</f>
        <v>165.9</v>
      </c>
      <c r="D124" s="992"/>
      <c r="E124" s="992">
        <f>+'Exhibit H'!D53</f>
        <v>254.6</v>
      </c>
      <c r="F124" s="992"/>
      <c r="G124" s="992">
        <f>+'Exhibit H'!F53</f>
        <v>164</v>
      </c>
      <c r="H124" s="992"/>
      <c r="I124" s="992">
        <f>+'Exhibit H'!H53</f>
        <v>84.3</v>
      </c>
      <c r="J124" s="992"/>
      <c r="K124" s="992">
        <f>+'Exhibit H'!J53</f>
        <v>273.89999999999998</v>
      </c>
      <c r="L124" s="992"/>
      <c r="M124" s="992">
        <f>+'Exhibit H'!L53</f>
        <v>732.5</v>
      </c>
      <c r="N124" s="992"/>
      <c r="O124" s="992">
        <f>+'Exhibit H'!N53</f>
        <v>18.5</v>
      </c>
      <c r="P124" s="992"/>
      <c r="Q124" s="1004">
        <f>+'Exhibit H'!P53</f>
        <v>102</v>
      </c>
      <c r="R124" s="992"/>
      <c r="S124" s="1004">
        <f>+'Exhibit H'!R53</f>
        <v>315.60000000000002</v>
      </c>
      <c r="T124" s="992"/>
      <c r="U124" s="1004"/>
      <c r="V124" s="992"/>
      <c r="W124" s="2905"/>
      <c r="X124" s="992"/>
      <c r="Y124" s="2905"/>
      <c r="Z124" s="992"/>
      <c r="AA124" s="993"/>
      <c r="AB124" s="992">
        <f>ROUND(SUM(C124:Y124),1)</f>
        <v>2111.3000000000002</v>
      </c>
      <c r="AC124" s="992"/>
      <c r="AD124" s="994"/>
      <c r="AE124" s="1908">
        <f>+'Exhibit H'!AD53</f>
        <v>2767.7</v>
      </c>
      <c r="AF124" s="1004"/>
      <c r="AG124" s="1004"/>
      <c r="AH124" s="992">
        <f>ROUND(SUM(AB124-AE124),1)</f>
        <v>-656.4</v>
      </c>
      <c r="AI124" s="430"/>
      <c r="AJ124" s="1932">
        <f>ROUND(SUM(AH124/ABS(AE124)),3)</f>
        <v>-0.23699999999999999</v>
      </c>
    </row>
    <row r="125" spans="1:44" ht="15">
      <c r="A125" s="1008" t="s">
        <v>145</v>
      </c>
      <c r="B125" s="430"/>
      <c r="C125" s="997">
        <f>+'Exhibit G state'!D104</f>
        <v>0</v>
      </c>
      <c r="D125" s="992"/>
      <c r="E125" s="997">
        <f>+'Exhibit G state'!F104</f>
        <v>0.2</v>
      </c>
      <c r="F125" s="992"/>
      <c r="G125" s="997">
        <f>+'Exhibit G state'!H104</f>
        <v>0</v>
      </c>
      <c r="H125" s="992"/>
      <c r="I125" s="997">
        <f>+'Exhibit G state'!J104</f>
        <v>0.1</v>
      </c>
      <c r="J125" s="992"/>
      <c r="K125" s="997">
        <f>+'Exhibit G state'!L104</f>
        <v>0</v>
      </c>
      <c r="L125" s="992"/>
      <c r="M125" s="997">
        <f>+'Exhibit G state'!N104</f>
        <v>0.3</v>
      </c>
      <c r="N125" s="992"/>
      <c r="O125" s="997">
        <f>+'Exhibit G state'!P104</f>
        <v>0</v>
      </c>
      <c r="P125" s="992"/>
      <c r="Q125" s="997">
        <f>+'Exhibit G state'!R104</f>
        <v>0</v>
      </c>
      <c r="R125" s="992"/>
      <c r="S125" s="997">
        <f>+'Exhibit G state'!T104</f>
        <v>0.3</v>
      </c>
      <c r="T125" s="992"/>
      <c r="U125" s="997"/>
      <c r="V125" s="992"/>
      <c r="W125" s="2906"/>
      <c r="X125" s="992"/>
      <c r="Y125" s="2906"/>
      <c r="Z125" s="992"/>
      <c r="AA125" s="993"/>
      <c r="AB125" s="997">
        <f>ROUND(SUM(C125:Y125),1)</f>
        <v>0.9</v>
      </c>
      <c r="AC125" s="992"/>
      <c r="AD125" s="994"/>
      <c r="AE125" s="1894">
        <f>+'Exhibit G state'!AH104</f>
        <v>1.1000000000000001</v>
      </c>
      <c r="AF125" s="1004"/>
      <c r="AG125" s="1004"/>
      <c r="AH125" s="997">
        <f>ROUND(SUM(AB125-AE125),1)</f>
        <v>-0.2</v>
      </c>
      <c r="AI125" s="430"/>
      <c r="AJ125" s="1941">
        <f>ROUND(SUM(AH125/ABS(AE125)),3)</f>
        <v>-0.182</v>
      </c>
    </row>
    <row r="126" spans="1:44" ht="16.5" customHeight="1">
      <c r="A126" s="430"/>
      <c r="B126" s="430"/>
      <c r="C126" s="1004"/>
      <c r="D126" s="992"/>
      <c r="E126" s="1004"/>
      <c r="F126" s="992"/>
      <c r="G126" s="1004"/>
      <c r="H126" s="992"/>
      <c r="I126" s="1004"/>
      <c r="J126" s="992"/>
      <c r="K126" s="1004"/>
      <c r="L126" s="992"/>
      <c r="M126" s="1004"/>
      <c r="N126" s="992"/>
      <c r="O126" s="1004"/>
      <c r="P126" s="992"/>
      <c r="Q126" s="1004"/>
      <c r="R126" s="992"/>
      <c r="S126" s="1004"/>
      <c r="T126" s="992"/>
      <c r="U126" s="1004"/>
      <c r="V126" s="992"/>
      <c r="W126" s="1004"/>
      <c r="X126" s="992"/>
      <c r="Y126" s="1004"/>
      <c r="Z126" s="992"/>
      <c r="AA126" s="993"/>
      <c r="AB126" s="1004"/>
      <c r="AC126" s="992"/>
      <c r="AD126" s="994"/>
      <c r="AE126" s="1004"/>
      <c r="AF126" s="1004"/>
      <c r="AG126" s="1004"/>
      <c r="AH126" s="1004"/>
      <c r="AI126" s="430"/>
      <c r="AJ126" s="1268"/>
    </row>
    <row r="127" spans="1:44" ht="16.5" customHeight="1">
      <c r="A127" s="410" t="s">
        <v>60</v>
      </c>
      <c r="B127" s="430"/>
      <c r="C127" s="1934">
        <f>ROUND(SUM(C118:C125),1)</f>
        <v>4890.3</v>
      </c>
      <c r="D127" s="1000"/>
      <c r="E127" s="1934">
        <f>ROUND(SUM(E118:E125),1)</f>
        <v>8019</v>
      </c>
      <c r="F127" s="1000"/>
      <c r="G127" s="1934">
        <f>ROUND(SUM(G118:G125),1)</f>
        <v>8899.4</v>
      </c>
      <c r="H127" s="1000"/>
      <c r="I127" s="1934">
        <f>ROUND(SUM(I118:I125),1)</f>
        <v>6657.7</v>
      </c>
      <c r="J127" s="1000"/>
      <c r="K127" s="1934">
        <f>ROUND(SUM(K118:K125),1)</f>
        <v>5360.9</v>
      </c>
      <c r="L127" s="1000"/>
      <c r="M127" s="1934">
        <f>ROUND(SUM(M118:M125),1)</f>
        <v>11800.8</v>
      </c>
      <c r="N127" s="1000"/>
      <c r="O127" s="1934">
        <f>ROUND(SUM(O118:O125),1)</f>
        <v>4370.3999999999996</v>
      </c>
      <c r="P127" s="1000"/>
      <c r="Q127" s="1934">
        <f>ROUND(SUM(Q118:Q125),1)</f>
        <v>6250</v>
      </c>
      <c r="R127" s="1000"/>
      <c r="S127" s="1934">
        <f>ROUND(SUM(S118:S125),1)</f>
        <v>8640.7999999999993</v>
      </c>
      <c r="T127" s="1000"/>
      <c r="U127" s="1934">
        <f>ROUND(SUM(U118:U125),1)</f>
        <v>0</v>
      </c>
      <c r="V127" s="1000"/>
      <c r="W127" s="1934">
        <f>ROUND(SUM(W118:W125),1)</f>
        <v>0</v>
      </c>
      <c r="X127" s="1000"/>
      <c r="Y127" s="1934">
        <f>ROUND(SUM(Y118:Y125),1)</f>
        <v>0</v>
      </c>
      <c r="Z127" s="1000"/>
      <c r="AA127" s="1001"/>
      <c r="AB127" s="1934">
        <f>ROUND(SUM(AB118:AB125),1)</f>
        <v>64889.3</v>
      </c>
      <c r="AC127" s="1000"/>
      <c r="AD127" s="1002"/>
      <c r="AE127" s="1738">
        <f>ROUND(SUM(AE118:AE126),1)</f>
        <v>63643.8</v>
      </c>
      <c r="AF127" s="2109"/>
      <c r="AG127" s="2109"/>
      <c r="AH127" s="1738">
        <f>ROUND(SUM(AH118:AH126),1)</f>
        <v>1245.5</v>
      </c>
      <c r="AI127" s="982"/>
      <c r="AJ127" s="1935">
        <f>ROUND(SUM(AH127/ABS(AE127)),3)</f>
        <v>0.02</v>
      </c>
      <c r="AK127" s="795"/>
      <c r="AL127" s="795"/>
      <c r="AM127" s="795"/>
      <c r="AN127" s="795"/>
      <c r="AO127" s="795"/>
      <c r="AP127" s="795"/>
      <c r="AQ127" s="795"/>
      <c r="AR127" s="795"/>
    </row>
    <row r="128" spans="1:44" ht="16.5" customHeight="1">
      <c r="A128" s="410"/>
      <c r="B128" s="430"/>
      <c r="C128" s="992"/>
      <c r="D128" s="992"/>
      <c r="E128" s="992"/>
      <c r="F128" s="992"/>
      <c r="G128" s="992"/>
      <c r="H128" s="992"/>
      <c r="I128" s="992"/>
      <c r="J128" s="992"/>
      <c r="K128" s="992"/>
      <c r="L128" s="992"/>
      <c r="M128" s="992"/>
      <c r="N128" s="992"/>
      <c r="O128" s="992"/>
      <c r="P128" s="992"/>
      <c r="Q128" s="992"/>
      <c r="R128" s="992"/>
      <c r="S128" s="992"/>
      <c r="T128" s="992"/>
      <c r="U128" s="992"/>
      <c r="V128" s="992"/>
      <c r="W128" s="992"/>
      <c r="X128" s="992"/>
      <c r="Y128" s="992"/>
      <c r="Z128" s="992"/>
      <c r="AA128" s="993"/>
      <c r="AB128" s="992"/>
      <c r="AC128" s="992"/>
      <c r="AD128" s="994"/>
      <c r="AE128" s="992"/>
      <c r="AF128" s="1004"/>
      <c r="AG128" s="1004"/>
      <c r="AH128" s="1171"/>
      <c r="AI128" s="430"/>
      <c r="AJ128" s="1714"/>
    </row>
    <row r="129" spans="1:59" ht="16.5" customHeight="1">
      <c r="A129" s="410" t="s">
        <v>45</v>
      </c>
      <c r="B129" s="430"/>
      <c r="C129" s="992"/>
      <c r="D129" s="992"/>
      <c r="E129" s="992"/>
      <c r="F129" s="992"/>
      <c r="G129" s="992"/>
      <c r="H129" s="992"/>
      <c r="I129" s="992"/>
      <c r="J129" s="992"/>
      <c r="K129" s="992"/>
      <c r="L129" s="992"/>
      <c r="M129" s="992"/>
      <c r="N129" s="992"/>
      <c r="O129" s="992"/>
      <c r="P129" s="992"/>
      <c r="Q129" s="992"/>
      <c r="R129" s="992"/>
      <c r="S129" s="992"/>
      <c r="T129" s="992"/>
      <c r="U129" s="992"/>
      <c r="V129" s="992"/>
      <c r="W129" s="992"/>
      <c r="X129" s="992"/>
      <c r="Y129" s="992"/>
      <c r="Z129" s="992"/>
      <c r="AA129" s="993"/>
      <c r="AB129" s="992"/>
      <c r="AC129" s="992"/>
      <c r="AD129" s="994"/>
      <c r="AE129" s="992"/>
      <c r="AF129" s="1004"/>
      <c r="AG129" s="1004"/>
      <c r="AH129" s="1171"/>
      <c r="AI129" s="430"/>
      <c r="AJ129" s="1714"/>
    </row>
    <row r="130" spans="1:59" ht="16.5" customHeight="1">
      <c r="A130" s="410" t="s">
        <v>46</v>
      </c>
      <c r="B130" s="430"/>
      <c r="C130" s="1934">
        <f>ROUND(SUM(C104-C127),1)</f>
        <v>4259.7</v>
      </c>
      <c r="D130" s="1000"/>
      <c r="E130" s="1934">
        <f>ROUND(SUM(E104-E127),1)</f>
        <v>-135.30000000000001</v>
      </c>
      <c r="F130" s="1000"/>
      <c r="G130" s="1934">
        <f>ROUND(SUM(G104-G127),1)</f>
        <v>708.8</v>
      </c>
      <c r="H130" s="1000"/>
      <c r="I130" s="1934">
        <f>ROUND(SUM(I104-I127),1)</f>
        <v>-540.4</v>
      </c>
      <c r="J130" s="1000"/>
      <c r="K130" s="1934">
        <f>ROUND(SUM(K104-K127),1)</f>
        <v>448.7</v>
      </c>
      <c r="L130" s="1000"/>
      <c r="M130" s="1934">
        <f>ROUND(SUM(M104-M127),1)</f>
        <v>-1354</v>
      </c>
      <c r="N130" s="1000"/>
      <c r="O130" s="1934">
        <f>ROUND(SUM(O104-O127),1)</f>
        <v>1554.5</v>
      </c>
      <c r="P130" s="1000"/>
      <c r="Q130" s="1934">
        <f>ROUND(SUM(Q104-Q127),1)</f>
        <v>-511.9</v>
      </c>
      <c r="R130" s="1000"/>
      <c r="S130" s="1934">
        <f>ROUND(SUM(S104-S127),1)</f>
        <v>1199.5999999999999</v>
      </c>
      <c r="T130" s="1000"/>
      <c r="U130" s="1934">
        <f>ROUND(SUM(U104-U127),1)</f>
        <v>0</v>
      </c>
      <c r="V130" s="1000"/>
      <c r="W130" s="1934">
        <f>ROUND(SUM(W104-W127),1)</f>
        <v>0</v>
      </c>
      <c r="X130" s="1000"/>
      <c r="Y130" s="1934">
        <f>ROUND(SUM(Y104-Y127),1)</f>
        <v>0</v>
      </c>
      <c r="Z130" s="1000"/>
      <c r="AA130" s="1001"/>
      <c r="AB130" s="1934">
        <f>ROUND(SUM(AB104-AB127),1)</f>
        <v>5629.7</v>
      </c>
      <c r="AC130" s="1000"/>
      <c r="AD130" s="1002"/>
      <c r="AE130" s="1934">
        <f>ROUND(SUM(AE104-AE127),1)</f>
        <v>4177.1000000000004</v>
      </c>
      <c r="AF130" s="2109"/>
      <c r="AG130" s="2109"/>
      <c r="AH130" s="1942">
        <f>ROUND(SUM(AB130-AE130),1)</f>
        <v>1452.6</v>
      </c>
      <c r="AI130" s="982"/>
      <c r="AJ130" s="1935">
        <f>ROUND(SUM(AH130/ABS(AE130)),3)</f>
        <v>0.34799999999999998</v>
      </c>
      <c r="AK130" s="795"/>
      <c r="AL130" s="795"/>
    </row>
    <row r="131" spans="1:59" ht="16.5" customHeight="1">
      <c r="A131" s="1714"/>
      <c r="B131" s="430"/>
      <c r="C131" s="1003"/>
      <c r="D131" s="992"/>
      <c r="E131" s="1003"/>
      <c r="F131" s="992"/>
      <c r="G131" s="1003"/>
      <c r="H131" s="992"/>
      <c r="I131" s="1003"/>
      <c r="J131" s="992"/>
      <c r="K131" s="1003"/>
      <c r="L131" s="992"/>
      <c r="M131" s="1003"/>
      <c r="N131" s="992"/>
      <c r="O131" s="1003"/>
      <c r="P131" s="992"/>
      <c r="Q131" s="1003"/>
      <c r="R131" s="992"/>
      <c r="S131" s="1003"/>
      <c r="T131" s="992"/>
      <c r="U131" s="1003"/>
      <c r="V131" s="992"/>
      <c r="W131" s="1003"/>
      <c r="X131" s="992"/>
      <c r="Y131" s="1003"/>
      <c r="Z131" s="1006"/>
      <c r="AA131" s="993"/>
      <c r="AB131" s="1003"/>
      <c r="AC131" s="992"/>
      <c r="AD131" s="994"/>
      <c r="AE131" s="1003"/>
      <c r="AF131" s="1004"/>
      <c r="AG131" s="1004"/>
      <c r="AH131" s="1171"/>
      <c r="AI131" s="430"/>
      <c r="AJ131" s="1714"/>
    </row>
    <row r="132" spans="1:59" ht="16.5" customHeight="1">
      <c r="A132" s="410" t="s">
        <v>47</v>
      </c>
      <c r="B132" s="430"/>
      <c r="C132" s="1004"/>
      <c r="D132" s="992"/>
      <c r="E132" s="1012"/>
      <c r="F132" s="1013"/>
      <c r="G132" s="1012"/>
      <c r="H132" s="1013"/>
      <c r="I132" s="1012"/>
      <c r="J132" s="1013"/>
      <c r="K132" s="1012"/>
      <c r="L132" s="1013"/>
      <c r="M132" s="1012"/>
      <c r="N132" s="1013"/>
      <c r="O132" s="1012"/>
      <c r="P132" s="1013"/>
      <c r="Q132" s="1012"/>
      <c r="R132" s="1013"/>
      <c r="S132" s="1012"/>
      <c r="T132" s="1013"/>
      <c r="U132" s="1012"/>
      <c r="V132" s="992"/>
      <c r="W132" s="1012"/>
      <c r="X132" s="992"/>
      <c r="Y132" s="1004"/>
      <c r="Z132" s="1939"/>
      <c r="AA132" s="993"/>
      <c r="AB132" s="1004"/>
      <c r="AC132" s="1939"/>
      <c r="AD132" s="992"/>
      <c r="AE132" s="1004"/>
      <c r="AF132" s="1004"/>
      <c r="AG132" s="1004"/>
      <c r="AH132" s="1171"/>
      <c r="AI132" s="430"/>
      <c r="AJ132" s="1714"/>
    </row>
    <row r="133" spans="1:59" ht="16.5" customHeight="1">
      <c r="A133" s="430" t="s">
        <v>1473</v>
      </c>
      <c r="B133" s="430"/>
      <c r="C133" s="1014">
        <f>+'Exhibit F'!D120+'Exhibit F'!D121+'Exhibit F'!D122+'Exhibit F'!D123+'Exhibit G state'!D112+'Exhibit H'!B62</f>
        <v>4552</v>
      </c>
      <c r="D133" s="992"/>
      <c r="E133" s="1014">
        <f>+'Exhibit F'!F120+'Exhibit F'!F121+'Exhibit F'!F122+'Exhibit F'!F123+'Exhibit G state'!F112+'Exhibit H'!D62</f>
        <v>2118.8000000000002</v>
      </c>
      <c r="F133" s="992"/>
      <c r="G133" s="1014">
        <f>+'Exhibit F'!H120+'Exhibit F'!H121+'Exhibit F'!H122+'Exhibit F'!H123+'Exhibit G state'!H112+'Exhibit H'!F62</f>
        <v>2714.4</v>
      </c>
      <c r="H133" s="992"/>
      <c r="I133" s="1014">
        <f>+'Exhibit F'!J120+'Exhibit F'!J121+'Exhibit F'!J122+'Exhibit F'!J123+'Exhibit G state'!J112+'Exhibit H'!H62</f>
        <v>2425.1</v>
      </c>
      <c r="J133" s="992"/>
      <c r="K133" s="1014">
        <f>+'Exhibit F'!L120+'Exhibit F'!L121+'Exhibit F'!L122+'Exhibit F'!L123+'Exhibit G state'!L112+'Exhibit H'!J62</f>
        <v>1822.1999999999998</v>
      </c>
      <c r="L133" s="992"/>
      <c r="M133" s="1014">
        <f>+'Exhibit F'!N120+'Exhibit F'!N121+'Exhibit F'!N122+'Exhibit F'!N123+'Exhibit G state'!N112+'Exhibit H'!L62</f>
        <v>3107.1000000000004</v>
      </c>
      <c r="N133" s="992"/>
      <c r="O133" s="1014">
        <f>+'Exhibit F'!P120+'Exhibit F'!P121+'Exhibit F'!P122+'Exhibit F'!P123+'Exhibit G state'!P112+'Exhibit H'!N62</f>
        <v>2106.7000000000003</v>
      </c>
      <c r="P133" s="992"/>
      <c r="Q133" s="1014">
        <f>+'Exhibit F'!R120+'Exhibit F'!R121+'Exhibit F'!R122+'Exhibit F'!R123+'Exhibit G state'!R112+'Exhibit H'!P62</f>
        <v>1891.2</v>
      </c>
      <c r="R133" s="992"/>
      <c r="S133" s="1014">
        <f>+'Exhibit F'!T120+'Exhibit F'!T121+'Exhibit F'!T122+'Exhibit F'!T123+'Exhibit G state'!T112+'Exhibit H'!R62</f>
        <v>2626.5</v>
      </c>
      <c r="T133" s="992"/>
      <c r="U133" s="1014"/>
      <c r="V133" s="992"/>
      <c r="W133" s="2907"/>
      <c r="X133" s="992"/>
      <c r="Y133" s="2907"/>
      <c r="Z133" s="992"/>
      <c r="AA133" s="993"/>
      <c r="AB133" s="992">
        <f>ROUND(SUM(C133:Y133),1)</f>
        <v>23364</v>
      </c>
      <c r="AC133" s="992"/>
      <c r="AD133" s="993"/>
      <c r="AE133" s="992">
        <v>20766.2</v>
      </c>
      <c r="AF133" s="1004"/>
      <c r="AG133" s="1004"/>
      <c r="AH133" s="992">
        <f>ROUND(SUM(AB133-AE133),1)</f>
        <v>2597.8000000000002</v>
      </c>
      <c r="AI133" s="430"/>
      <c r="AJ133" s="1932">
        <f>ROUND(SUM(AH133/ABS(AE133)),3)</f>
        <v>0.125</v>
      </c>
    </row>
    <row r="134" spans="1:59" ht="16.5" customHeight="1">
      <c r="A134" s="430" t="s">
        <v>1474</v>
      </c>
      <c r="C134" s="1131">
        <f>+'Exhibit F'!D124+'Exhibit F'!D125+'Exhibit F'!D126+'Exhibit F'!D127+'Exhibit F'!D128+'Exhibit G state'!D113+'Exhibit H'!B63</f>
        <v>-4396.1000000000004</v>
      </c>
      <c r="D134" s="248"/>
      <c r="E134" s="1131">
        <f>+'Exhibit F'!F124+'Exhibit F'!F125+'Exhibit F'!F126+'Exhibit F'!F127+'Exhibit F'!F128+'Exhibit G state'!F113+'Exhibit H'!D63</f>
        <v>-2170.8000000000002</v>
      </c>
      <c r="F134" s="248"/>
      <c r="G134" s="1131">
        <f>+'Exhibit F'!H124+'Exhibit F'!H125+'Exhibit F'!H126+'Exhibit F'!H127+'Exhibit F'!H128+'Exhibit G state'!H113+'Exhibit H'!F63</f>
        <v>-2390.9</v>
      </c>
      <c r="H134" s="248"/>
      <c r="I134" s="1131">
        <f>+'Exhibit F'!J124+'Exhibit F'!J125+'Exhibit F'!J126+'Exhibit F'!J127+'Exhibit F'!J128+'Exhibit G state'!J113+'Exhibit H'!H63</f>
        <v>-2421.1999999999998</v>
      </c>
      <c r="J134" s="248"/>
      <c r="K134" s="1131">
        <f>+'Exhibit F'!L124+'Exhibit F'!L125+'Exhibit F'!L126+'Exhibit F'!L127+'Exhibit F'!L128+'Exhibit G state'!L113+'Exhibit H'!J63</f>
        <v>-1840.9</v>
      </c>
      <c r="L134" s="248"/>
      <c r="M134" s="1131">
        <f>+'Exhibit F'!N124+'Exhibit F'!N125+'Exhibit F'!N126+'Exhibit F'!N127+'Exhibit F'!N128+'Exhibit G state'!N113+'Exhibit H'!L63</f>
        <v>-2942.7999999999997</v>
      </c>
      <c r="N134" s="248"/>
      <c r="O134" s="1131">
        <f>+'Exhibit F'!P124+'Exhibit F'!P125+'Exhibit F'!P126+'Exhibit F'!P127+'Exhibit F'!P128+'Exhibit G state'!P113+'Exhibit H'!N63</f>
        <v>-1953.4</v>
      </c>
      <c r="P134" s="248"/>
      <c r="Q134" s="1131">
        <f>+'Exhibit F'!R124+'Exhibit F'!R125+'Exhibit F'!R126+'Exhibit F'!R127+'Exhibit F'!R128+'Exhibit G state'!R113+'Exhibit H'!P63</f>
        <v>-2125.7999999999997</v>
      </c>
      <c r="R134" s="248"/>
      <c r="S134" s="1131">
        <f>+'Exhibit F'!T124+'Exhibit F'!T125+'Exhibit F'!T126+'Exhibit F'!T127+'Exhibit F'!T128+'Exhibit G state'!T113+'Exhibit H'!R63</f>
        <v>-2299.1999999999998</v>
      </c>
      <c r="T134" s="248"/>
      <c r="U134" s="1131"/>
      <c r="V134" s="248"/>
      <c r="W134" s="2908"/>
      <c r="X134" s="248"/>
      <c r="Y134" s="2908"/>
      <c r="Z134" s="248"/>
      <c r="AA134" s="1016"/>
      <c r="AB134" s="997">
        <f>ROUND(SUM(C134:Y134),1)</f>
        <v>-22541.1</v>
      </c>
      <c r="AC134" s="248"/>
      <c r="AD134" s="1016"/>
      <c r="AE134" s="997">
        <v>-19470.7</v>
      </c>
      <c r="AF134" s="1003"/>
      <c r="AG134" s="1003"/>
      <c r="AH134" s="997">
        <f>ROUND(SUM(-AB134+AE134),1)</f>
        <v>3070.4</v>
      </c>
      <c r="AI134" s="1714"/>
      <c r="AJ134" s="1943">
        <f>ROUND(SUM(AH134/ABS(AE134)),3)</f>
        <v>0.158</v>
      </c>
    </row>
    <row r="135" spans="1:59" ht="16.5" customHeight="1">
      <c r="A135" s="430"/>
      <c r="C135" s="1004"/>
      <c r="D135" s="248"/>
      <c r="E135" s="1004"/>
      <c r="F135" s="248"/>
      <c r="G135" s="1004"/>
      <c r="H135" s="248"/>
      <c r="I135" s="1004"/>
      <c r="J135" s="248"/>
      <c r="K135" s="1004"/>
      <c r="L135" s="248"/>
      <c r="M135" s="1004"/>
      <c r="N135" s="248"/>
      <c r="O135" s="1004"/>
      <c r="P135" s="248"/>
      <c r="Q135" s="1004"/>
      <c r="R135" s="248"/>
      <c r="S135" s="1004"/>
      <c r="T135" s="248"/>
      <c r="U135" s="1004"/>
      <c r="V135" s="248"/>
      <c r="W135" s="1004"/>
      <c r="X135" s="248"/>
      <c r="Y135" s="1004"/>
      <c r="Z135" s="248"/>
      <c r="AA135" s="1016"/>
      <c r="AB135" s="1004"/>
      <c r="AC135" s="248"/>
      <c r="AD135" s="1016"/>
      <c r="AE135" s="1004"/>
      <c r="AF135" s="1003"/>
      <c r="AG135" s="1003"/>
      <c r="AH135" s="1004"/>
      <c r="AI135" s="1714"/>
      <c r="AJ135" s="1268"/>
    </row>
    <row r="136" spans="1:59" ht="16.5" customHeight="1">
      <c r="A136" s="410" t="s">
        <v>51</v>
      </c>
      <c r="C136" s="1934">
        <f>ROUND(SUM(C133:C134),1)</f>
        <v>155.9</v>
      </c>
      <c r="D136" s="1017"/>
      <c r="E136" s="1934">
        <f>ROUND(SUM(E133:E134),1)</f>
        <v>-52</v>
      </c>
      <c r="F136" s="1017"/>
      <c r="G136" s="1934">
        <f>ROUND(SUM(G133:G134),1)</f>
        <v>323.5</v>
      </c>
      <c r="H136" s="1017"/>
      <c r="I136" s="1934">
        <f>ROUND(SUM(I133:I134),1)</f>
        <v>3.9</v>
      </c>
      <c r="J136" s="1017"/>
      <c r="K136" s="1934">
        <f>ROUND(SUM(K133:K134),1)</f>
        <v>-18.7</v>
      </c>
      <c r="L136" s="1017"/>
      <c r="M136" s="1934">
        <f>ROUND(SUM(M133:M134),1)</f>
        <v>164.3</v>
      </c>
      <c r="N136" s="1017"/>
      <c r="O136" s="1934">
        <f>ROUND(SUM(O133:O134),1)</f>
        <v>153.30000000000001</v>
      </c>
      <c r="P136" s="1017"/>
      <c r="Q136" s="1934">
        <f>ROUND(SUM(Q133:Q134),1)</f>
        <v>-234.6</v>
      </c>
      <c r="R136" s="1017"/>
      <c r="S136" s="1934">
        <f>ROUND(SUM(S133:S134),1)</f>
        <v>327.3</v>
      </c>
      <c r="T136" s="1017"/>
      <c r="U136" s="1934">
        <f>ROUND(SUM(U133:U134),1)</f>
        <v>0</v>
      </c>
      <c r="V136" s="1017"/>
      <c r="W136" s="1934">
        <f>ROUND(SUM(W133:W134),1)</f>
        <v>0</v>
      </c>
      <c r="X136" s="1017"/>
      <c r="Y136" s="1934">
        <f>ROUND(SUM(Y133:Y134),1)</f>
        <v>0</v>
      </c>
      <c r="Z136" s="1017"/>
      <c r="AA136" s="1018"/>
      <c r="AB136" s="1934">
        <f>ROUND(SUM(AB133:AB134),1)</f>
        <v>822.9</v>
      </c>
      <c r="AC136" s="1017"/>
      <c r="AD136" s="1018"/>
      <c r="AE136" s="1934">
        <f>ROUND(SUM(AE133:AE134),1)</f>
        <v>1295.5</v>
      </c>
      <c r="AF136" s="1279"/>
      <c r="AG136" s="1003"/>
      <c r="AH136" s="1934">
        <f>ROUND(SUM(AH133-AH134),1)</f>
        <v>-472.6</v>
      </c>
      <c r="AI136" s="410"/>
      <c r="AJ136" s="1944">
        <f>-ROUND(SUM(-AH136/ABS(AE136)),3)</f>
        <v>-0.36499999999999999</v>
      </c>
      <c r="AK136" s="795"/>
      <c r="AL136" s="795"/>
    </row>
    <row r="137" spans="1:59" ht="16.5" customHeight="1">
      <c r="A137" s="1714"/>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1016"/>
      <c r="AB137" s="248"/>
      <c r="AC137" s="248"/>
      <c r="AD137" s="1016"/>
      <c r="AE137" s="248"/>
      <c r="AF137" s="1003"/>
      <c r="AG137" s="418"/>
      <c r="AH137" s="1171"/>
      <c r="AI137" s="1714"/>
      <c r="AJ137" s="1714"/>
    </row>
    <row r="138" spans="1:59" ht="16.5" customHeight="1">
      <c r="A138" s="479" t="s">
        <v>45</v>
      </c>
      <c r="C138" s="1004"/>
      <c r="D138" s="248"/>
      <c r="E138" s="1004"/>
      <c r="F138" s="248"/>
      <c r="G138" s="1004"/>
      <c r="H138" s="248"/>
      <c r="I138" s="1004"/>
      <c r="J138" s="248"/>
      <c r="K138" s="1004"/>
      <c r="L138" s="248"/>
      <c r="M138" s="1004"/>
      <c r="N138" s="248"/>
      <c r="O138" s="1004"/>
      <c r="P138" s="248"/>
      <c r="Q138" s="1004"/>
      <c r="R138" s="248"/>
      <c r="S138" s="1004"/>
      <c r="T138" s="248"/>
      <c r="U138" s="1004"/>
      <c r="V138" s="248"/>
      <c r="W138" s="1004"/>
      <c r="X138" s="248"/>
      <c r="Y138" s="1004"/>
      <c r="Z138" s="248"/>
      <c r="AA138" s="1016"/>
      <c r="AB138" s="1004"/>
      <c r="AC138" s="248"/>
      <c r="AD138" s="1016"/>
      <c r="AE138" s="1004"/>
      <c r="AF138" s="1003"/>
      <c r="AG138" s="2113"/>
      <c r="AH138" s="1171"/>
      <c r="AI138" s="1714"/>
      <c r="AJ138" s="1714"/>
    </row>
    <row r="139" spans="1:59" ht="16.5" customHeight="1">
      <c r="A139" s="479" t="s">
        <v>52</v>
      </c>
      <c r="C139" s="1000"/>
      <c r="D139" s="1017"/>
      <c r="E139" s="1000"/>
      <c r="F139" s="1017"/>
      <c r="G139" s="1000"/>
      <c r="H139" s="1017"/>
      <c r="I139" s="1000"/>
      <c r="J139" s="1017"/>
      <c r="K139" s="1000"/>
      <c r="L139" s="1017"/>
      <c r="M139" s="1000"/>
      <c r="N139" s="1017"/>
      <c r="O139" s="1000"/>
      <c r="P139" s="1017"/>
      <c r="Q139" s="1000"/>
      <c r="R139" s="1017"/>
      <c r="S139" s="1000"/>
      <c r="T139" s="1017"/>
      <c r="U139" s="1000"/>
      <c r="V139" s="1017"/>
      <c r="W139" s="1000"/>
      <c r="X139" s="1017"/>
      <c r="Y139" s="1000"/>
      <c r="Z139" s="1017"/>
      <c r="AA139" s="1018"/>
      <c r="AB139" s="1000"/>
      <c r="AC139" s="1017"/>
      <c r="AD139" s="1018"/>
      <c r="AE139" s="1000"/>
      <c r="AF139" s="1003"/>
      <c r="AG139" s="418"/>
      <c r="AH139" s="1886"/>
      <c r="AI139" s="410"/>
      <c r="AJ139" s="410"/>
      <c r="AK139" s="795"/>
      <c r="AL139" s="795"/>
      <c r="AM139" s="795"/>
      <c r="AN139" s="795"/>
      <c r="AO139" s="795"/>
      <c r="AP139" s="795"/>
      <c r="AQ139" s="795"/>
      <c r="AR139" s="795"/>
      <c r="AS139" s="795"/>
      <c r="AT139" s="795"/>
      <c r="AU139" s="795"/>
      <c r="AV139" s="795"/>
      <c r="AW139" s="795"/>
      <c r="AX139" s="795"/>
      <c r="AY139" s="795"/>
      <c r="AZ139" s="795"/>
      <c r="BA139" s="795"/>
      <c r="BB139" s="795"/>
      <c r="BC139" s="795"/>
      <c r="BD139" s="795"/>
      <c r="BE139" s="795"/>
      <c r="BF139" s="795"/>
      <c r="BG139" s="795"/>
    </row>
    <row r="140" spans="1:59" ht="16.5" customHeight="1">
      <c r="A140" s="479" t="s">
        <v>53</v>
      </c>
      <c r="C140" s="1019">
        <f>ROUND(SUM(C130+C136),1)</f>
        <v>4415.6000000000004</v>
      </c>
      <c r="D140" s="1017"/>
      <c r="E140" s="1019">
        <f>ROUND(SUM(E130+E136),1)</f>
        <v>-187.3</v>
      </c>
      <c r="F140" s="1017"/>
      <c r="G140" s="1019">
        <f>ROUND(SUM(G130+G136),1)</f>
        <v>1032.3</v>
      </c>
      <c r="H140" s="1017"/>
      <c r="I140" s="1019">
        <f>ROUND(SUM(I130+I136),1)</f>
        <v>-536.5</v>
      </c>
      <c r="J140" s="1017"/>
      <c r="K140" s="1019">
        <f>ROUND(SUM(K130+K136),1)</f>
        <v>430</v>
      </c>
      <c r="L140" s="1017"/>
      <c r="M140" s="1019">
        <f>ROUND(SUM(M130+M136),1)</f>
        <v>-1189.7</v>
      </c>
      <c r="N140" s="1017"/>
      <c r="O140" s="1019">
        <f>ROUND(SUM(O130+O136),1)</f>
        <v>1707.8</v>
      </c>
      <c r="P140" s="1017"/>
      <c r="Q140" s="1019">
        <f>ROUND(SUM(Q130+Q136),1)</f>
        <v>-746.5</v>
      </c>
      <c r="R140" s="1017"/>
      <c r="S140" s="1019">
        <f>ROUND(SUM(S130+S136),1)</f>
        <v>1526.9</v>
      </c>
      <c r="T140" s="1017"/>
      <c r="U140" s="1019">
        <f>ROUND(SUM(U130+U136),1)</f>
        <v>0</v>
      </c>
      <c r="V140" s="1017"/>
      <c r="W140" s="1019">
        <f>ROUND(SUM(W130+W136),1)</f>
        <v>0</v>
      </c>
      <c r="X140" s="1017"/>
      <c r="Y140" s="1019">
        <f>ROUND(SUM(Y130+Y136),1)</f>
        <v>0</v>
      </c>
      <c r="Z140" s="1017"/>
      <c r="AA140" s="1018"/>
      <c r="AB140" s="1019">
        <f>ROUND(SUM(AB130+AB136),1)</f>
        <v>6452.6</v>
      </c>
      <c r="AC140" s="1017"/>
      <c r="AD140" s="1018"/>
      <c r="AE140" s="1019">
        <f>ROUND(SUM(AE130+AE136),1)</f>
        <v>5472.6</v>
      </c>
      <c r="AF140" s="1003"/>
      <c r="AG140" s="1024"/>
      <c r="AH140" s="1942">
        <f>ROUND(SUM(AB140-AE140),1)</f>
        <v>980</v>
      </c>
      <c r="AI140" s="410"/>
      <c r="AJ140" s="1944">
        <f>ROUND(SUM(AH140/ABS(AE140)),3)</f>
        <v>0.17899999999999999</v>
      </c>
      <c r="AK140" s="795"/>
      <c r="AL140" s="795"/>
      <c r="AM140" s="795"/>
      <c r="AN140" s="795"/>
      <c r="AO140" s="795"/>
      <c r="AP140" s="795"/>
      <c r="AQ140" s="795"/>
      <c r="AR140" s="795"/>
      <c r="AS140" s="795"/>
      <c r="AT140" s="795"/>
      <c r="AU140" s="795"/>
      <c r="AV140" s="795"/>
      <c r="AW140" s="795"/>
      <c r="AX140" s="795"/>
      <c r="AY140" s="795"/>
      <c r="AZ140" s="795"/>
      <c r="BA140" s="795"/>
      <c r="BB140" s="795"/>
      <c r="BC140" s="795"/>
      <c r="BD140" s="795"/>
      <c r="BE140" s="795"/>
      <c r="BF140" s="795"/>
      <c r="BG140" s="795"/>
    </row>
    <row r="141" spans="1:59" ht="15.6">
      <c r="A141" s="410"/>
      <c r="C141" s="985"/>
      <c r="E141" s="985"/>
      <c r="G141" s="985"/>
      <c r="I141" s="985"/>
      <c r="K141" s="985"/>
      <c r="M141" s="985"/>
      <c r="O141" s="985"/>
      <c r="Q141" s="985"/>
      <c r="S141" s="985"/>
      <c r="U141" s="985"/>
      <c r="W141" s="985"/>
      <c r="Y141" s="985"/>
      <c r="AA141" s="1020"/>
      <c r="AB141" s="985"/>
      <c r="AD141" s="1020"/>
      <c r="AE141" s="985"/>
      <c r="AF141" s="1003"/>
      <c r="AG141" s="1024"/>
      <c r="AH141" s="1714"/>
      <c r="AI141" s="1714"/>
      <c r="AJ141" s="1714"/>
    </row>
    <row r="142" spans="1:59" ht="16.2" thickBot="1">
      <c r="A142" s="1021" t="s">
        <v>146</v>
      </c>
      <c r="C142" s="1022">
        <f>ROUND(SUM(C16+C140),1)</f>
        <v>14306.4</v>
      </c>
      <c r="D142" s="472"/>
      <c r="E142" s="1022">
        <f>ROUND(SUM(E16+E140),1)</f>
        <v>14119.1</v>
      </c>
      <c r="F142" s="472"/>
      <c r="G142" s="1022">
        <f>ROUND(SUM(G16+G140),1)</f>
        <v>15151.4</v>
      </c>
      <c r="H142" s="472"/>
      <c r="I142" s="1022">
        <f>ROUND(SUM(I16+I140),1)</f>
        <v>14614.9</v>
      </c>
      <c r="J142" s="1023"/>
      <c r="K142" s="1022">
        <f>ROUND(SUM(K16+K140),1)</f>
        <v>15044.9</v>
      </c>
      <c r="L142" s="1023"/>
      <c r="M142" s="1022">
        <f>ROUND(SUM(M16+M140),1)</f>
        <v>13855.2</v>
      </c>
      <c r="N142" s="1023"/>
      <c r="O142" s="1022">
        <f>ROUND(SUM(O16+O140),1)</f>
        <v>15563</v>
      </c>
      <c r="P142" s="1023"/>
      <c r="Q142" s="1022">
        <f>ROUND(SUM(Q16+Q140),1)</f>
        <v>14816.5</v>
      </c>
      <c r="R142" s="1023"/>
      <c r="S142" s="1022">
        <f>ROUND(SUM(S16+S140),1)</f>
        <v>16343.4</v>
      </c>
      <c r="T142" s="1023"/>
      <c r="U142" s="1022">
        <f>ROUND(SUM(U16+U140),1)</f>
        <v>0</v>
      </c>
      <c r="V142" s="1023"/>
      <c r="W142" s="1022">
        <f>ROUND(SUM(W16+W140),1)</f>
        <v>0</v>
      </c>
      <c r="X142" s="1023"/>
      <c r="Y142" s="1022">
        <f>ROUND(SUM(Y16+Y140),1)</f>
        <v>0</v>
      </c>
      <c r="Z142" s="472"/>
      <c r="AA142" s="1024"/>
      <c r="AB142" s="1022">
        <f>ROUND(SUM(AB16+AB140),1)</f>
        <v>16343.4</v>
      </c>
      <c r="AC142" s="472"/>
      <c r="AD142" s="1024"/>
      <c r="AE142" s="1022">
        <f>ROUND(SUM(AE16+AE140),1)</f>
        <v>10261.700000000001</v>
      </c>
      <c r="AF142" s="1003"/>
      <c r="AG142" s="1024"/>
      <c r="AH142" s="1022">
        <f>ROUND(SUM(AB142-AE142),1)</f>
        <v>6081.7</v>
      </c>
      <c r="AI142" s="410"/>
      <c r="AJ142" s="531">
        <f>ROUND(SUM(AH142/ABS(AE142)),3)</f>
        <v>0.59299999999999997</v>
      </c>
      <c r="AK142" s="795"/>
    </row>
    <row r="143" spans="1:59" ht="16.2" thickTop="1">
      <c r="A143" s="1025"/>
      <c r="C143" s="418"/>
      <c r="AH143" s="1714"/>
      <c r="AI143" s="1714"/>
      <c r="AJ143" s="1714"/>
    </row>
    <row r="144" spans="1:59" ht="15">
      <c r="A144" s="1125" t="s">
        <v>1458</v>
      </c>
      <c r="AH144" s="1714"/>
      <c r="AI144" s="1714"/>
      <c r="AJ144" s="1714"/>
    </row>
    <row r="145" spans="1:36" ht="15">
      <c r="A145" s="1125" t="s">
        <v>1412</v>
      </c>
      <c r="AH145" s="1714"/>
      <c r="AI145" s="1714"/>
      <c r="AJ145" s="1714"/>
    </row>
    <row r="146" spans="1:36" ht="15">
      <c r="A146" s="2382" t="s">
        <v>1505</v>
      </c>
      <c r="AH146" s="1714"/>
      <c r="AI146" s="1714"/>
      <c r="AJ146" s="1714"/>
    </row>
    <row r="147" spans="1:36" ht="16.5" customHeight="1">
      <c r="AH147" s="1714"/>
      <c r="AI147" s="1714"/>
      <c r="AJ147" s="1714"/>
    </row>
    <row r="148" spans="1:36" ht="16.5" customHeight="1">
      <c r="AH148" s="1714"/>
      <c r="AI148" s="1714"/>
      <c r="AJ148" s="1714"/>
    </row>
    <row r="149" spans="1:36" ht="16.5" customHeight="1">
      <c r="AH149" s="1714"/>
      <c r="AI149" s="1714"/>
      <c r="AJ149" s="1714"/>
    </row>
    <row r="150" spans="1:36" ht="16.5" customHeight="1">
      <c r="AH150" s="1714"/>
      <c r="AI150" s="1714"/>
      <c r="AJ150" s="1714"/>
    </row>
    <row r="151" spans="1:36" ht="16.5" customHeight="1">
      <c r="AH151" s="1714"/>
      <c r="AI151" s="1714"/>
      <c r="AJ151" s="1714"/>
    </row>
    <row r="152" spans="1:36" ht="16.5" customHeight="1">
      <c r="AH152" s="1714"/>
      <c r="AI152" s="1714"/>
      <c r="AJ152" s="1714"/>
    </row>
    <row r="153" spans="1:36" ht="16.5" customHeight="1">
      <c r="AH153" s="1714"/>
      <c r="AI153" s="1714"/>
      <c r="AJ153" s="1714"/>
    </row>
    <row r="154" spans="1:36" ht="16.5" customHeight="1">
      <c r="AH154" s="1714"/>
      <c r="AI154" s="1714"/>
      <c r="AJ154" s="1714"/>
    </row>
    <row r="155" spans="1:36" ht="16.5" customHeight="1">
      <c r="AH155" s="1714"/>
      <c r="AI155" s="1714"/>
      <c r="AJ155" s="1714"/>
    </row>
    <row r="156" spans="1:36" ht="16.5" customHeight="1">
      <c r="AH156" s="1714"/>
      <c r="AI156" s="1714"/>
      <c r="AJ156" s="1714"/>
    </row>
    <row r="157" spans="1:36" ht="16.5" customHeight="1">
      <c r="AH157" s="1714"/>
      <c r="AI157" s="1714"/>
      <c r="AJ157" s="1714"/>
    </row>
    <row r="158" spans="1:36" ht="16.5" customHeight="1">
      <c r="AH158" s="1714"/>
      <c r="AI158" s="1714"/>
      <c r="AJ158" s="1714"/>
    </row>
    <row r="159" spans="1:36" ht="16.5" customHeight="1">
      <c r="AH159" s="1714"/>
      <c r="AI159" s="1714"/>
      <c r="AJ159" s="1714"/>
    </row>
    <row r="160" spans="1:36" ht="16.5" customHeight="1">
      <c r="AH160" s="1714"/>
      <c r="AI160" s="1714"/>
      <c r="AJ160" s="1714"/>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9" orientation="landscape" useFirstPageNumber="1" r:id="rId2"/>
  <headerFooter scaleWithDoc="0" alignWithMargins="0">
    <oddFooter>&amp;C&amp;8&amp;P</oddFooter>
  </headerFooter>
  <rowBreaks count="1" manualBreakCount="1">
    <brk id="84" max="35" man="1"/>
  </rowBreaks>
  <ignoredErrors>
    <ignoredError sqref="AB12 AJ27:AJ36 AJ82 AJ69" unlockedFormula="1"/>
    <ignoredError sqref="AB26 AH24" formula="1"/>
    <ignoredError sqref="AJ81 AJ37 AJ71:AJ73 AJ68 AJ65:AJ66 AJ67 AJ70"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58" workbookViewId="0"/>
  </sheetViews>
  <sheetFormatPr defaultColWidth="8.90625" defaultRowHeight="13.2"/>
  <cols>
    <col min="1" max="1" width="5.08984375" style="411" customWidth="1"/>
    <col min="2" max="2" width="48.54296875" style="411" customWidth="1"/>
    <col min="3" max="3" width="1.08984375" style="411" customWidth="1"/>
    <col min="4" max="4" width="12.453125" style="411" bestFit="1" customWidth="1"/>
    <col min="5" max="5" width="1.6328125" style="411" customWidth="1"/>
    <col min="6" max="6" width="12" style="411" customWidth="1"/>
    <col min="7" max="7" width="1.6328125" style="411" customWidth="1"/>
    <col min="8" max="8" width="12.36328125" style="411" customWidth="1"/>
    <col min="9" max="9" width="1.6328125" style="411" customWidth="1"/>
    <col min="10" max="10" width="13.81640625" style="2143" customWidth="1"/>
    <col min="11" max="11" width="1.6328125" style="411" customWidth="1"/>
    <col min="12" max="12" width="12.36328125" style="411" bestFit="1" customWidth="1"/>
    <col min="13" max="13" width="1.6328125" style="411" customWidth="1"/>
    <col min="14" max="14" width="13.90625" style="411" customWidth="1"/>
    <col min="15" max="15" width="1.6328125" style="411" customWidth="1"/>
    <col min="16" max="16" width="12.36328125" style="411" customWidth="1"/>
    <col min="17" max="17" width="1.6328125" style="411" customWidth="1"/>
    <col min="18" max="18" width="12.1796875" style="411" customWidth="1"/>
    <col min="19" max="19" width="1.6328125" style="411" customWidth="1"/>
    <col min="20" max="20" width="10.6328125" style="411" customWidth="1"/>
    <col min="21" max="21" width="1.6328125" style="411" customWidth="1"/>
    <col min="22" max="22" width="11.36328125" style="411" customWidth="1"/>
    <col min="23" max="23" width="1.6328125" style="411" customWidth="1"/>
    <col min="24" max="24" width="10.6328125" style="411" customWidth="1"/>
    <col min="25" max="25" width="1.6328125" style="411" customWidth="1"/>
    <col min="26" max="26" width="10.6328125" style="411" customWidth="1"/>
    <col min="27" max="27" width="1.54296875" style="411" customWidth="1"/>
    <col min="28" max="28" width="1.6328125" style="411" customWidth="1"/>
    <col min="29" max="29" width="12.36328125" style="411" bestFit="1" customWidth="1"/>
    <col min="30" max="30" width="1.453125" style="411" customWidth="1"/>
    <col min="31" max="31" width="1.36328125" style="411" customWidth="1"/>
    <col min="32" max="32" width="12.36328125" style="2148" bestFit="1" customWidth="1"/>
    <col min="33" max="33" width="1" style="411" customWidth="1"/>
    <col min="34" max="34" width="1.08984375" style="411" customWidth="1"/>
    <col min="35" max="35" width="13.08984375" style="411" bestFit="1" customWidth="1"/>
    <col min="36" max="36" width="1" style="417" customWidth="1"/>
    <col min="37" max="37" width="13.6328125" style="459" bestFit="1" customWidth="1"/>
    <col min="38" max="38" width="10.36328125" style="411" customWidth="1"/>
    <col min="39" max="16384" width="8.90625" style="411"/>
  </cols>
  <sheetData>
    <row r="1" spans="1:37" ht="15">
      <c r="B1" s="1184" t="s">
        <v>1217</v>
      </c>
    </row>
    <row r="2" spans="1:37">
      <c r="A2" s="456"/>
      <c r="B2" s="457"/>
      <c r="C2" s="457"/>
      <c r="D2" s="457"/>
      <c r="E2" s="457"/>
      <c r="F2" s="457"/>
      <c r="G2" s="457"/>
      <c r="H2" s="457"/>
      <c r="I2" s="457"/>
      <c r="J2" s="2144"/>
      <c r="K2" s="457"/>
      <c r="L2" s="457"/>
      <c r="M2" s="457"/>
      <c r="N2" s="457"/>
      <c r="O2" s="457"/>
      <c r="P2" s="457"/>
      <c r="Q2" s="457"/>
      <c r="R2" s="457"/>
      <c r="S2" s="457"/>
      <c r="T2" s="457"/>
      <c r="U2" s="457"/>
      <c r="V2" s="457"/>
      <c r="W2" s="457"/>
      <c r="X2" s="457"/>
      <c r="Y2" s="457"/>
      <c r="Z2" s="457"/>
      <c r="AA2" s="457"/>
      <c r="AB2" s="457"/>
      <c r="AC2" s="457"/>
      <c r="AD2" s="457"/>
      <c r="AE2" s="457"/>
      <c r="AF2" s="1825"/>
      <c r="AG2" s="457"/>
      <c r="AH2" s="458"/>
    </row>
    <row r="3" spans="1:37">
      <c r="A3" s="456"/>
      <c r="B3" s="457"/>
      <c r="C3" s="457"/>
      <c r="D3" s="457"/>
      <c r="E3" s="457"/>
      <c r="F3" s="457"/>
      <c r="G3" s="457"/>
      <c r="H3" s="457"/>
      <c r="I3" s="457"/>
      <c r="J3" s="2144"/>
      <c r="K3" s="457"/>
      <c r="L3" s="457"/>
      <c r="M3" s="457"/>
      <c r="N3" s="457"/>
      <c r="O3" s="457"/>
      <c r="P3" s="457"/>
      <c r="Q3" s="457"/>
      <c r="R3" s="457"/>
      <c r="S3" s="457"/>
      <c r="T3" s="457"/>
      <c r="U3" s="457"/>
      <c r="V3" s="457"/>
      <c r="W3" s="457"/>
      <c r="X3" s="457"/>
      <c r="Y3" s="457"/>
      <c r="Z3" s="457"/>
      <c r="AA3" s="457"/>
      <c r="AB3" s="457"/>
      <c r="AC3" s="457"/>
      <c r="AD3" s="457"/>
      <c r="AE3" s="457"/>
      <c r="AF3" s="1825"/>
      <c r="AG3" s="457"/>
      <c r="AH3" s="458"/>
    </row>
    <row r="4" spans="1:37">
      <c r="A4" s="456"/>
      <c r="B4" s="457"/>
      <c r="C4" s="457"/>
      <c r="D4" s="457"/>
      <c r="E4" s="457"/>
      <c r="F4" s="457"/>
      <c r="G4" s="457"/>
      <c r="H4" s="457"/>
      <c r="I4" s="457"/>
      <c r="J4" s="2144"/>
      <c r="K4" s="457"/>
      <c r="L4" s="457"/>
      <c r="M4" s="457"/>
      <c r="N4" s="457"/>
      <c r="O4" s="457"/>
      <c r="P4" s="457"/>
      <c r="Q4" s="457"/>
      <c r="R4" s="457"/>
      <c r="S4" s="457"/>
      <c r="T4" s="457"/>
      <c r="U4" s="457"/>
      <c r="V4" s="457"/>
      <c r="W4" s="457"/>
      <c r="X4" s="457"/>
      <c r="Y4" s="457"/>
      <c r="Z4" s="457"/>
      <c r="AA4" s="457"/>
      <c r="AB4" s="457"/>
      <c r="AC4" s="457"/>
      <c r="AD4" s="457"/>
      <c r="AE4" s="457"/>
      <c r="AF4" s="1825"/>
      <c r="AG4" s="457"/>
      <c r="AH4" s="458"/>
    </row>
    <row r="5" spans="1:37" ht="17.399999999999999">
      <c r="A5" s="456"/>
      <c r="B5" s="460" t="s">
        <v>0</v>
      </c>
      <c r="C5" s="457"/>
      <c r="D5" s="457"/>
      <c r="E5" s="457"/>
      <c r="F5" s="358"/>
      <c r="G5" s="457"/>
      <c r="H5" s="457"/>
      <c r="I5" s="457"/>
      <c r="J5" s="2144"/>
      <c r="K5" s="457"/>
      <c r="L5" s="457"/>
      <c r="M5" s="221"/>
      <c r="N5" s="413"/>
      <c r="O5" s="457"/>
      <c r="P5" s="457"/>
      <c r="Q5" s="457"/>
      <c r="R5" s="457"/>
      <c r="S5" s="457"/>
      <c r="T5" s="457"/>
      <c r="U5" s="457"/>
      <c r="V5" s="457"/>
      <c r="W5" s="457"/>
      <c r="X5" s="457"/>
      <c r="Y5" s="457"/>
      <c r="Z5" s="457"/>
      <c r="AA5" s="457"/>
      <c r="AB5" s="457"/>
      <c r="AC5" s="457"/>
      <c r="AD5" s="457"/>
      <c r="AE5" s="457"/>
      <c r="AF5" s="1825"/>
      <c r="AG5" s="457"/>
      <c r="AH5" s="458"/>
      <c r="AK5" s="464" t="s">
        <v>152</v>
      </c>
    </row>
    <row r="6" spans="1:37" ht="17.399999999999999">
      <c r="A6" s="456"/>
      <c r="B6" s="461" t="s">
        <v>151</v>
      </c>
      <c r="C6" s="457"/>
      <c r="D6" s="457"/>
      <c r="E6" s="457"/>
      <c r="F6" s="358"/>
      <c r="G6" s="457"/>
      <c r="H6" s="457" t="s">
        <v>16</v>
      </c>
      <c r="I6" s="457"/>
      <c r="J6" s="2144"/>
      <c r="K6" s="457"/>
      <c r="L6" s="457"/>
      <c r="M6" s="221"/>
      <c r="N6" s="413"/>
      <c r="O6" s="457"/>
      <c r="P6" s="457"/>
      <c r="Q6" s="457"/>
      <c r="R6" s="457"/>
      <c r="S6" s="457"/>
      <c r="T6" s="457"/>
      <c r="U6" s="457"/>
      <c r="V6" s="457"/>
      <c r="W6" s="457"/>
      <c r="X6" s="457"/>
      <c r="Y6" s="457"/>
      <c r="Z6" s="457"/>
      <c r="AA6" s="457"/>
      <c r="AB6" s="457"/>
      <c r="AC6" s="462"/>
      <c r="AD6" s="462"/>
      <c r="AE6" s="462"/>
      <c r="AF6" s="2149"/>
      <c r="AG6" s="463"/>
      <c r="AH6" s="458"/>
    </row>
    <row r="7" spans="1:37" ht="17.399999999999999">
      <c r="A7" s="456"/>
      <c r="B7" s="461" t="s">
        <v>153</v>
      </c>
      <c r="C7" s="457"/>
      <c r="D7" s="457"/>
      <c r="E7" s="457"/>
      <c r="F7" s="358"/>
      <c r="G7" s="457"/>
      <c r="H7" s="457"/>
      <c r="I7" s="457"/>
      <c r="J7" s="2144"/>
      <c r="K7" s="457"/>
      <c r="L7" s="457"/>
      <c r="M7" s="221"/>
      <c r="N7" s="413"/>
      <c r="O7" s="457"/>
      <c r="P7" s="457"/>
      <c r="Q7" s="457"/>
      <c r="R7" s="457"/>
      <c r="S7" s="457"/>
      <c r="T7" s="457"/>
      <c r="U7" s="457"/>
      <c r="V7" s="457"/>
      <c r="W7" s="457"/>
      <c r="X7" s="457"/>
      <c r="Y7" s="457"/>
      <c r="Z7" s="457"/>
      <c r="AA7" s="457"/>
      <c r="AB7" s="457"/>
      <c r="AD7" s="465"/>
      <c r="AE7" s="465"/>
      <c r="AH7" s="458"/>
    </row>
    <row r="8" spans="1:37" ht="18" customHeight="1">
      <c r="A8" s="456"/>
      <c r="B8" s="3154" t="s">
        <v>1522</v>
      </c>
      <c r="C8" s="457"/>
      <c r="D8" s="457"/>
      <c r="E8" s="457"/>
      <c r="F8" s="358"/>
      <c r="G8" s="457"/>
      <c r="H8" s="457"/>
      <c r="I8" s="457"/>
      <c r="J8" s="2144"/>
      <c r="K8" s="457"/>
      <c r="L8" s="457"/>
      <c r="M8" s="221"/>
      <c r="N8" s="413"/>
      <c r="O8" s="457"/>
      <c r="P8" s="457"/>
      <c r="Q8" s="457"/>
      <c r="R8" s="457"/>
      <c r="S8" s="457"/>
      <c r="T8" s="457"/>
      <c r="U8" s="457"/>
      <c r="V8" s="457"/>
      <c r="W8" s="457"/>
      <c r="X8" s="457"/>
      <c r="Y8" s="457"/>
      <c r="Z8" s="457"/>
      <c r="AA8" s="457"/>
      <c r="AB8" s="457"/>
      <c r="AC8" s="457"/>
      <c r="AD8" s="457"/>
      <c r="AE8" s="457"/>
      <c r="AF8" s="1825"/>
      <c r="AG8" s="457"/>
      <c r="AH8" s="458"/>
    </row>
    <row r="9" spans="1:37" ht="15" customHeight="1">
      <c r="A9" s="456"/>
      <c r="B9" s="461" t="s">
        <v>1103</v>
      </c>
      <c r="C9" s="457"/>
      <c r="D9" s="457"/>
      <c r="E9" s="457"/>
      <c r="F9" s="358"/>
      <c r="G9" s="457"/>
      <c r="H9" s="457"/>
      <c r="I9" s="457"/>
      <c r="J9" s="2144"/>
      <c r="K9" s="457"/>
      <c r="L9" s="413"/>
      <c r="M9" s="221"/>
      <c r="N9" s="457"/>
      <c r="O9" s="457"/>
      <c r="P9" s="457"/>
      <c r="Q9" s="457"/>
      <c r="R9" s="457"/>
      <c r="S9" s="457"/>
      <c r="T9" s="457"/>
      <c r="U9" s="457"/>
      <c r="V9" s="457"/>
      <c r="W9" s="457"/>
      <c r="X9" s="457"/>
      <c r="Y9" s="457"/>
      <c r="Z9" s="457"/>
      <c r="AA9" s="457"/>
      <c r="AB9" s="457"/>
      <c r="AC9" s="457"/>
      <c r="AD9" s="457"/>
      <c r="AE9" s="457"/>
      <c r="AF9" s="1825"/>
      <c r="AG9" s="457"/>
      <c r="AH9" s="458"/>
    </row>
    <row r="10" spans="1:37" ht="15.6">
      <c r="A10" s="456"/>
      <c r="B10" s="457"/>
      <c r="C10" s="457"/>
      <c r="D10" s="457"/>
      <c r="E10" s="457"/>
      <c r="F10" s="358"/>
      <c r="G10" s="457"/>
      <c r="H10" s="457"/>
      <c r="I10" s="457"/>
      <c r="J10" s="2144"/>
      <c r="K10" s="457"/>
      <c r="L10" s="457"/>
      <c r="M10" s="457"/>
      <c r="N10" s="457"/>
      <c r="O10" s="457"/>
      <c r="P10" s="457"/>
      <c r="Q10" s="457"/>
      <c r="R10" s="457"/>
      <c r="S10" s="457"/>
      <c r="T10" s="457"/>
      <c r="U10" s="457"/>
      <c r="V10" s="457"/>
      <c r="W10" s="457"/>
      <c r="X10" s="457"/>
      <c r="Y10" s="457"/>
      <c r="Z10" s="457"/>
      <c r="AA10" s="457"/>
      <c r="AB10" s="3573" t="s">
        <v>1664</v>
      </c>
      <c r="AC10" s="3573"/>
      <c r="AD10" s="3573"/>
      <c r="AE10" s="3573"/>
      <c r="AF10" s="3573"/>
      <c r="AG10" s="3573"/>
      <c r="AH10" s="3573"/>
      <c r="AI10" s="3573"/>
      <c r="AJ10" s="3573"/>
      <c r="AK10" s="3573"/>
    </row>
    <row r="11" spans="1:37" ht="15" customHeight="1">
      <c r="A11" s="456"/>
      <c r="B11" s="222"/>
      <c r="C11" s="222"/>
      <c r="D11" s="1512">
        <v>2015</v>
      </c>
      <c r="E11" s="221"/>
      <c r="F11" s="1513"/>
      <c r="G11" s="221"/>
      <c r="H11" s="413"/>
      <c r="I11" s="221"/>
      <c r="J11" s="313"/>
      <c r="K11" s="221"/>
      <c r="L11" s="413"/>
      <c r="M11" s="221"/>
      <c r="N11" s="413"/>
      <c r="O11" s="221"/>
      <c r="P11" s="413"/>
      <c r="Q11" s="221"/>
      <c r="R11" s="413"/>
      <c r="S11" s="221"/>
      <c r="T11" s="413"/>
      <c r="U11" s="221"/>
      <c r="V11" s="1512">
        <v>2016</v>
      </c>
      <c r="W11" s="221"/>
      <c r="X11" s="413"/>
      <c r="Y11" s="221"/>
      <c r="Z11" s="413"/>
      <c r="AA11" s="413"/>
      <c r="AB11" s="221"/>
      <c r="AC11" s="414"/>
      <c r="AD11" s="478"/>
      <c r="AE11" s="478"/>
      <c r="AF11" s="2132"/>
      <c r="AG11" s="414"/>
      <c r="AH11" s="1515"/>
      <c r="AI11" s="1516" t="s">
        <v>8</v>
      </c>
      <c r="AJ11" s="414"/>
      <c r="AK11" s="1517" t="s">
        <v>9</v>
      </c>
    </row>
    <row r="12" spans="1:37" ht="15" customHeight="1">
      <c r="A12" s="456"/>
      <c r="B12" s="222"/>
      <c r="C12" s="222"/>
      <c r="D12" s="1498" t="s">
        <v>129</v>
      </c>
      <c r="E12" s="221"/>
      <c r="F12" s="1518" t="s">
        <v>130</v>
      </c>
      <c r="G12" s="221"/>
      <c r="H12" s="1518" t="s">
        <v>131</v>
      </c>
      <c r="I12" s="221"/>
      <c r="J12" s="2145" t="s">
        <v>132</v>
      </c>
      <c r="K12" s="221"/>
      <c r="L12" s="1519" t="s">
        <v>133</v>
      </c>
      <c r="M12" s="221"/>
      <c r="N12" s="1519" t="s">
        <v>134</v>
      </c>
      <c r="O12" s="221"/>
      <c r="P12" s="1519" t="s">
        <v>135</v>
      </c>
      <c r="Q12" s="221"/>
      <c r="R12" s="1519" t="s">
        <v>136</v>
      </c>
      <c r="S12" s="221"/>
      <c r="T12" s="1519" t="s">
        <v>137</v>
      </c>
      <c r="U12" s="221"/>
      <c r="V12" s="1519" t="s">
        <v>154</v>
      </c>
      <c r="W12" s="221"/>
      <c r="X12" s="1519" t="s">
        <v>139</v>
      </c>
      <c r="Y12" s="221"/>
      <c r="Z12" s="1519" t="s">
        <v>140</v>
      </c>
      <c r="AA12" s="1517"/>
      <c r="AB12" s="221"/>
      <c r="AC12" s="1520">
        <v>2015</v>
      </c>
      <c r="AD12" s="221" t="s">
        <v>16</v>
      </c>
      <c r="AE12" s="221"/>
      <c r="AF12" s="2150">
        <v>2014</v>
      </c>
      <c r="AG12" s="1521"/>
      <c r="AH12" s="1515"/>
      <c r="AI12" s="1522" t="s">
        <v>13</v>
      </c>
      <c r="AJ12" s="413"/>
      <c r="AK12" s="1523" t="s">
        <v>14</v>
      </c>
    </row>
    <row r="13" spans="1:37" ht="5.25" customHeight="1">
      <c r="A13" s="456"/>
      <c r="B13" s="222"/>
      <c r="C13" s="222"/>
      <c r="D13" s="235" t="s">
        <v>16</v>
      </c>
      <c r="E13" s="222"/>
      <c r="F13" s="467"/>
      <c r="G13" s="222"/>
      <c r="H13" s="235"/>
      <c r="I13" s="222"/>
      <c r="J13" s="328"/>
      <c r="K13" s="222"/>
      <c r="L13" s="235"/>
      <c r="M13" s="222"/>
      <c r="N13" s="235"/>
      <c r="O13" s="222"/>
      <c r="P13" s="235"/>
      <c r="Q13" s="222"/>
      <c r="R13" s="235"/>
      <c r="S13" s="222"/>
      <c r="T13" s="235"/>
      <c r="U13" s="222"/>
      <c r="V13" s="235"/>
      <c r="W13" s="222"/>
      <c r="X13" s="235"/>
      <c r="Y13" s="222"/>
      <c r="Z13" s="235"/>
      <c r="AA13" s="229"/>
      <c r="AB13" s="222"/>
      <c r="AC13" s="229"/>
      <c r="AD13" s="222"/>
      <c r="AE13" s="222"/>
      <c r="AF13" s="2151"/>
      <c r="AG13" s="229"/>
      <c r="AH13" s="468"/>
    </row>
    <row r="14" spans="1:37" ht="15" customHeight="1">
      <c r="A14" s="353"/>
      <c r="B14" s="227" t="s">
        <v>141</v>
      </c>
      <c r="C14" s="223"/>
      <c r="D14" s="295">
        <v>7299.5</v>
      </c>
      <c r="E14" s="469"/>
      <c r="F14" s="295">
        <f>D137</f>
        <v>10343.6</v>
      </c>
      <c r="G14" s="469"/>
      <c r="H14" s="295">
        <f>F137</f>
        <v>9591.4</v>
      </c>
      <c r="I14" s="469"/>
      <c r="J14" s="337">
        <f>H137</f>
        <v>11063.8</v>
      </c>
      <c r="K14" s="469"/>
      <c r="L14" s="295">
        <f>J137</f>
        <v>9625.2000000000007</v>
      </c>
      <c r="M14" s="469"/>
      <c r="N14" s="295">
        <f>L137</f>
        <v>9489</v>
      </c>
      <c r="O14" s="469"/>
      <c r="P14" s="295">
        <f>N137</f>
        <v>10716.5</v>
      </c>
      <c r="Q14" s="469"/>
      <c r="R14" s="295">
        <f>P137</f>
        <v>11388.3</v>
      </c>
      <c r="S14" s="469"/>
      <c r="T14" s="295">
        <f>R137</f>
        <v>10311.799999999999</v>
      </c>
      <c r="U14" s="469"/>
      <c r="V14" s="295"/>
      <c r="W14" s="295"/>
      <c r="X14" s="295"/>
      <c r="Y14" s="469"/>
      <c r="Z14" s="469"/>
      <c r="AA14" s="469"/>
      <c r="AB14" s="470"/>
      <c r="AC14" s="295">
        <f>D14</f>
        <v>7299.5</v>
      </c>
      <c r="AD14" s="469"/>
      <c r="AE14" s="470"/>
      <c r="AF14" s="337">
        <v>2235.1999999999998</v>
      </c>
      <c r="AG14" s="469"/>
      <c r="AH14" s="471"/>
      <c r="AI14" s="295">
        <f>ROUND(SUM(+AC14-AF14),1)</f>
        <v>5064.3</v>
      </c>
      <c r="AJ14" s="2748"/>
      <c r="AK14" s="2807">
        <f>ROUND(IF(AF14=0,0,AI14/ABS(AF14)),3)</f>
        <v>2.266</v>
      </c>
    </row>
    <row r="15" spans="1:37" ht="15" customHeight="1">
      <c r="A15" s="353"/>
      <c r="B15" s="223"/>
      <c r="C15" s="223"/>
      <c r="D15" s="223"/>
      <c r="E15" s="223"/>
      <c r="F15" s="382"/>
      <c r="G15" s="223"/>
      <c r="H15" s="382"/>
      <c r="I15" s="223"/>
      <c r="J15" s="319"/>
      <c r="K15" s="223"/>
      <c r="L15" s="382"/>
      <c r="M15" s="223"/>
      <c r="N15" s="222"/>
      <c r="O15" s="223"/>
      <c r="P15" s="222"/>
      <c r="Q15" s="223"/>
      <c r="R15" s="222"/>
      <c r="S15" s="223"/>
      <c r="T15" s="222"/>
      <c r="U15" s="223"/>
      <c r="V15" s="222"/>
      <c r="W15" s="223"/>
      <c r="X15" s="222"/>
      <c r="Y15" s="223"/>
      <c r="Z15" s="222"/>
      <c r="AA15" s="222"/>
      <c r="AB15" s="237"/>
      <c r="AC15" s="222"/>
      <c r="AD15" s="223"/>
      <c r="AE15" s="237"/>
      <c r="AF15" s="307"/>
      <c r="AG15" s="222"/>
      <c r="AH15" s="468"/>
      <c r="AI15" s="457"/>
      <c r="AJ15" s="2091"/>
      <c r="AK15" s="1600"/>
    </row>
    <row r="16" spans="1:37" ht="15" customHeight="1">
      <c r="A16" s="353"/>
      <c r="B16" s="221" t="s">
        <v>15</v>
      </c>
      <c r="C16" s="223"/>
      <c r="D16" s="223"/>
      <c r="E16" s="223"/>
      <c r="F16" s="222"/>
      <c r="G16" s="223"/>
      <c r="H16" s="222"/>
      <c r="I16" s="223"/>
      <c r="J16" s="319"/>
      <c r="K16" s="223"/>
      <c r="L16" s="222"/>
      <c r="M16" s="223"/>
      <c r="N16" s="222"/>
      <c r="O16" s="223"/>
      <c r="P16" s="222"/>
      <c r="Q16" s="223"/>
      <c r="R16" s="222"/>
      <c r="S16" s="223"/>
      <c r="T16" s="222"/>
      <c r="U16" s="223"/>
      <c r="V16" s="222"/>
      <c r="W16" s="223"/>
      <c r="X16" s="222"/>
      <c r="Y16" s="223"/>
      <c r="Z16" s="222"/>
      <c r="AA16" s="222"/>
      <c r="AB16" s="237"/>
      <c r="AC16" s="222"/>
      <c r="AD16" s="223"/>
      <c r="AE16" s="237"/>
      <c r="AF16" s="307"/>
      <c r="AG16" s="222"/>
      <c r="AH16" s="468"/>
      <c r="AI16" s="457"/>
      <c r="AJ16" s="2091"/>
      <c r="AK16" s="1600"/>
    </row>
    <row r="17" spans="1:37" ht="15" customHeight="1">
      <c r="A17" s="353"/>
      <c r="B17" s="490" t="s">
        <v>1359</v>
      </c>
      <c r="C17" s="223"/>
      <c r="D17" s="223"/>
      <c r="E17" s="223"/>
      <c r="F17" s="222"/>
      <c r="G17" s="223"/>
      <c r="H17" s="222"/>
      <c r="I17" s="223"/>
      <c r="J17" s="319"/>
      <c r="K17" s="223"/>
      <c r="L17" s="222"/>
      <c r="M17" s="223"/>
      <c r="N17" s="222"/>
      <c r="O17" s="223"/>
      <c r="P17" s="222"/>
      <c r="Q17" s="223"/>
      <c r="R17" s="222"/>
      <c r="S17" s="223"/>
      <c r="T17" s="222"/>
      <c r="U17" s="223"/>
      <c r="V17" s="222"/>
      <c r="W17" s="223"/>
      <c r="X17" s="222"/>
      <c r="Y17" s="223"/>
      <c r="Z17" s="222"/>
      <c r="AA17" s="222"/>
      <c r="AB17" s="237"/>
      <c r="AC17" s="222"/>
      <c r="AD17" s="223"/>
      <c r="AE17" s="237"/>
      <c r="AF17" s="307"/>
      <c r="AG17" s="222"/>
      <c r="AH17" s="468"/>
      <c r="AI17" s="457"/>
      <c r="AJ17" s="2091"/>
      <c r="AK17" s="1600"/>
    </row>
    <row r="18" spans="1:37" ht="15" customHeight="1">
      <c r="A18" s="353"/>
      <c r="B18" s="2076" t="s">
        <v>1433</v>
      </c>
      <c r="C18" s="223"/>
      <c r="D18" s="223"/>
      <c r="E18" s="223"/>
      <c r="F18" s="222"/>
      <c r="G18" s="223"/>
      <c r="H18" s="222"/>
      <c r="I18" s="223"/>
      <c r="J18" s="319"/>
      <c r="K18" s="223"/>
      <c r="L18" s="222"/>
      <c r="M18" s="223"/>
      <c r="N18" s="222"/>
      <c r="O18" s="223"/>
      <c r="P18" s="222"/>
      <c r="Q18" s="223"/>
      <c r="R18" s="222"/>
      <c r="S18" s="223"/>
      <c r="T18" s="222"/>
      <c r="U18" s="223"/>
      <c r="V18" s="222"/>
      <c r="W18" s="223"/>
      <c r="X18" s="222"/>
      <c r="Y18" s="223"/>
      <c r="Z18" s="222"/>
      <c r="AA18" s="222"/>
      <c r="AB18" s="237"/>
      <c r="AC18" s="222"/>
      <c r="AD18" s="223"/>
      <c r="AE18" s="237"/>
      <c r="AF18" s="307"/>
      <c r="AG18" s="222"/>
      <c r="AH18" s="468"/>
      <c r="AI18" s="457"/>
      <c r="AJ18" s="2091"/>
      <c r="AK18" s="1600"/>
    </row>
    <row r="19" spans="1:37" ht="15" customHeight="1">
      <c r="A19" s="353"/>
      <c r="B19" s="1270" t="s">
        <v>1367</v>
      </c>
      <c r="C19" s="223"/>
      <c r="D19" s="3150">
        <v>2961.1</v>
      </c>
      <c r="E19" s="1672"/>
      <c r="F19" s="3150">
        <v>2449.1999999999998</v>
      </c>
      <c r="G19" s="1672"/>
      <c r="H19" s="3150">
        <v>2626.3</v>
      </c>
      <c r="I19" s="2117"/>
      <c r="J19" s="319">
        <v>2676.2</v>
      </c>
      <c r="K19" s="261"/>
      <c r="L19" s="3150">
        <v>2498.8000000000002</v>
      </c>
      <c r="M19" s="261"/>
      <c r="N19" s="261">
        <v>2679.4</v>
      </c>
      <c r="O19" s="261"/>
      <c r="P19" s="261">
        <v>2464.8000000000002</v>
      </c>
      <c r="Q19" s="261"/>
      <c r="R19" s="261">
        <v>2549.6999999999998</v>
      </c>
      <c r="S19" s="261"/>
      <c r="T19" s="261">
        <v>3695.6</v>
      </c>
      <c r="U19" s="261"/>
      <c r="V19" s="261"/>
      <c r="W19" s="261"/>
      <c r="X19" s="261"/>
      <c r="Y19" s="261"/>
      <c r="Z19" s="261"/>
      <c r="AA19" s="222"/>
      <c r="AB19" s="237"/>
      <c r="AC19" s="261">
        <f>ROUND(SUM(D19:Z19),1)</f>
        <v>24601.1</v>
      </c>
      <c r="AD19" s="223"/>
      <c r="AE19" s="237"/>
      <c r="AF19" s="85">
        <v>23385.9</v>
      </c>
      <c r="AG19" s="222"/>
      <c r="AH19" s="468"/>
      <c r="AI19" s="1171">
        <f>ROUND(SUM(+AC19-AF19),1)</f>
        <v>1215.2</v>
      </c>
      <c r="AJ19" s="2091"/>
      <c r="AK19" s="1864">
        <f>ROUND(IF(AF19=0,0,AI19/ABS(AF19)),3)</f>
        <v>5.1999999999999998E-2</v>
      </c>
    </row>
    <row r="20" spans="1:37" ht="15" customHeight="1">
      <c r="A20" s="353"/>
      <c r="B20" s="1270" t="s">
        <v>1368</v>
      </c>
      <c r="C20" s="223"/>
      <c r="D20" s="3150">
        <v>5313.5</v>
      </c>
      <c r="E20" s="1136"/>
      <c r="F20" s="1136">
        <v>124.7</v>
      </c>
      <c r="G20" s="1136"/>
      <c r="H20" s="1136">
        <v>2261</v>
      </c>
      <c r="I20" s="223"/>
      <c r="J20" s="319">
        <v>102.9</v>
      </c>
      <c r="K20" s="223"/>
      <c r="L20" s="1136">
        <v>97.6</v>
      </c>
      <c r="M20" s="223"/>
      <c r="N20" s="261">
        <v>2485.3000000000002</v>
      </c>
      <c r="O20" s="261"/>
      <c r="P20" s="261">
        <v>162.1</v>
      </c>
      <c r="Q20" s="261"/>
      <c r="R20" s="261">
        <v>100.2</v>
      </c>
      <c r="S20" s="261"/>
      <c r="T20" s="261">
        <v>1471.8</v>
      </c>
      <c r="U20" s="261"/>
      <c r="V20" s="261"/>
      <c r="W20" s="261"/>
      <c r="X20" s="261"/>
      <c r="Y20" s="261"/>
      <c r="Z20" s="261"/>
      <c r="AA20" s="222"/>
      <c r="AB20" s="237"/>
      <c r="AC20" s="261">
        <f>ROUND(SUM(D20:Z20),1)</f>
        <v>12119.1</v>
      </c>
      <c r="AD20" s="223"/>
      <c r="AE20" s="237"/>
      <c r="AF20" s="85">
        <v>10006.700000000001</v>
      </c>
      <c r="AG20" s="222"/>
      <c r="AH20" s="468"/>
      <c r="AI20" s="1171">
        <f>ROUND(SUM(+AC20-AF20),1)</f>
        <v>2112.4</v>
      </c>
      <c r="AJ20" s="2091"/>
      <c r="AK20" s="1864">
        <f>ROUND(IF(AF20=0,0,AI20/ABS(AF20)),3)</f>
        <v>0.21099999999999999</v>
      </c>
    </row>
    <row r="21" spans="1:37" ht="15" customHeight="1">
      <c r="A21" s="353"/>
      <c r="B21" s="1270" t="s">
        <v>1369</v>
      </c>
      <c r="C21" s="223"/>
      <c r="D21" s="3150">
        <v>1687.1</v>
      </c>
      <c r="E21" s="1136"/>
      <c r="F21" s="1136">
        <v>78.2</v>
      </c>
      <c r="G21" s="1136"/>
      <c r="H21" s="1136">
        <v>47.5</v>
      </c>
      <c r="I21" s="223"/>
      <c r="J21" s="319">
        <v>40.1</v>
      </c>
      <c r="K21" s="223"/>
      <c r="L21" s="1136">
        <v>31.5</v>
      </c>
      <c r="M21" s="223"/>
      <c r="N21" s="261">
        <v>61</v>
      </c>
      <c r="O21" s="261"/>
      <c r="P21" s="261">
        <v>416</v>
      </c>
      <c r="Q21" s="261"/>
      <c r="R21" s="261">
        <v>31.9</v>
      </c>
      <c r="S21" s="261"/>
      <c r="T21" s="261">
        <v>32.5</v>
      </c>
      <c r="U21" s="261"/>
      <c r="V21" s="261"/>
      <c r="W21" s="261"/>
      <c r="X21" s="261"/>
      <c r="Y21" s="261"/>
      <c r="Z21" s="261"/>
      <c r="AA21" s="222"/>
      <c r="AB21" s="237"/>
      <c r="AC21" s="261">
        <f>ROUND(SUM(D21:Z21),1)</f>
        <v>2425.8000000000002</v>
      </c>
      <c r="AD21" s="223"/>
      <c r="AE21" s="237"/>
      <c r="AF21" s="85">
        <v>2050.4</v>
      </c>
      <c r="AG21" s="222"/>
      <c r="AH21" s="468"/>
      <c r="AI21" s="1171">
        <f>ROUND(SUM(+AC21-AF21),1)</f>
        <v>375.4</v>
      </c>
      <c r="AJ21" s="2091"/>
      <c r="AK21" s="1864">
        <f>ROUND(IF(AF21=0,0,AI21/ABS(AF21)),3)</f>
        <v>0.183</v>
      </c>
    </row>
    <row r="22" spans="1:37" ht="15" customHeight="1">
      <c r="A22" s="353"/>
      <c r="B22" s="2114" t="s">
        <v>1370</v>
      </c>
      <c r="C22" s="223"/>
      <c r="D22" s="3150">
        <v>-144.80000000000001</v>
      </c>
      <c r="E22" s="1136"/>
      <c r="F22" s="1136">
        <v>-26.1</v>
      </c>
      <c r="G22" s="1136"/>
      <c r="H22" s="1136">
        <v>-21.1</v>
      </c>
      <c r="I22" s="223"/>
      <c r="J22" s="319">
        <v>-12.4</v>
      </c>
      <c r="K22" s="223"/>
      <c r="L22" s="1136">
        <v>-11.9</v>
      </c>
      <c r="M22" s="223"/>
      <c r="N22" s="261">
        <v>-32.9</v>
      </c>
      <c r="O22" s="261"/>
      <c r="P22" s="261">
        <v>-266.7</v>
      </c>
      <c r="Q22" s="261"/>
      <c r="R22" s="261">
        <v>-74.7</v>
      </c>
      <c r="S22" s="261"/>
      <c r="T22" s="261">
        <v>-13</v>
      </c>
      <c r="U22" s="261"/>
      <c r="V22" s="261"/>
      <c r="W22" s="261"/>
      <c r="X22" s="261"/>
      <c r="Y22" s="261"/>
      <c r="Z22" s="261"/>
      <c r="AA22" s="222"/>
      <c r="AB22" s="237"/>
      <c r="AC22" s="261">
        <f>ROUND(SUM(D22:Z22),1)</f>
        <v>-603.6</v>
      </c>
      <c r="AD22" s="223"/>
      <c r="AE22" s="237"/>
      <c r="AF22" s="85">
        <v>-518</v>
      </c>
      <c r="AG22" s="222"/>
      <c r="AH22" s="468"/>
      <c r="AI22" s="1171">
        <f>-ROUND(SUM(+AC22-AF22),1)</f>
        <v>85.6</v>
      </c>
      <c r="AJ22" s="2091"/>
      <c r="AK22" s="2817">
        <f>ROUND(IF(AF22=0,0,AI22/ABS(AF22)),3)</f>
        <v>0.16500000000000001</v>
      </c>
    </row>
    <row r="23" spans="1:37" ht="15" customHeight="1">
      <c r="A23" s="353"/>
      <c r="B23" s="2114" t="s">
        <v>1371</v>
      </c>
      <c r="C23" s="223"/>
      <c r="D23" s="3150">
        <v>143.69999999999999</v>
      </c>
      <c r="E23" s="1136"/>
      <c r="F23" s="1136">
        <v>95.5</v>
      </c>
      <c r="G23" s="1136"/>
      <c r="H23" s="1136">
        <v>110.2</v>
      </c>
      <c r="I23" s="223"/>
      <c r="J23" s="319">
        <v>82.7</v>
      </c>
      <c r="K23" s="223"/>
      <c r="L23" s="1136">
        <v>73.5</v>
      </c>
      <c r="M23" s="223"/>
      <c r="N23" s="261">
        <v>73.5</v>
      </c>
      <c r="O23" s="261"/>
      <c r="P23" s="261">
        <v>89.3</v>
      </c>
      <c r="Q23" s="261"/>
      <c r="R23" s="261">
        <v>88.8</v>
      </c>
      <c r="S23" s="261"/>
      <c r="T23" s="261">
        <v>103.8</v>
      </c>
      <c r="U23" s="261"/>
      <c r="V23" s="261"/>
      <c r="W23" s="261"/>
      <c r="X23" s="261"/>
      <c r="Y23" s="261"/>
      <c r="Z23" s="261"/>
      <c r="AA23" s="222"/>
      <c r="AB23" s="237"/>
      <c r="AC23" s="261">
        <f>ROUND(SUM(D23:Z23),1)</f>
        <v>861</v>
      </c>
      <c r="AD23" s="223"/>
      <c r="AE23" s="237"/>
      <c r="AF23" s="85">
        <v>836.8</v>
      </c>
      <c r="AG23" s="222"/>
      <c r="AH23" s="468"/>
      <c r="AI23" s="1171">
        <f>ROUND(SUM(+AC23-AF23),1)</f>
        <v>24.2</v>
      </c>
      <c r="AJ23" s="2091"/>
      <c r="AK23" s="1864">
        <f>ROUND(IF(AF23=0,0,AI23/ABS(AF23)),3)</f>
        <v>2.9000000000000001E-2</v>
      </c>
    </row>
    <row r="24" spans="1:37" ht="15" customHeight="1">
      <c r="A24" s="353"/>
      <c r="B24" s="1271" t="s">
        <v>1372</v>
      </c>
      <c r="C24" s="223"/>
      <c r="D24" s="484">
        <f>ROUND(SUM(D19:D23),1)</f>
        <v>9960.6</v>
      </c>
      <c r="E24" s="223"/>
      <c r="F24" s="484">
        <f>ROUND(SUM(F19:F23),1)</f>
        <v>2721.5</v>
      </c>
      <c r="G24" s="223"/>
      <c r="H24" s="484">
        <f>ROUND(SUM(H19:H23),1)</f>
        <v>5023.8999999999996</v>
      </c>
      <c r="I24" s="223"/>
      <c r="J24" s="1283">
        <f>ROUND(SUM(J19:J23),1)</f>
        <v>2889.5</v>
      </c>
      <c r="K24" s="223"/>
      <c r="L24" s="484">
        <f>ROUND(SUM(L19:L23),1)</f>
        <v>2689.5</v>
      </c>
      <c r="M24" s="223"/>
      <c r="N24" s="484">
        <f>ROUND(SUM(N19:N23),1)</f>
        <v>5266.3</v>
      </c>
      <c r="O24" s="261"/>
      <c r="P24" s="484">
        <f>ROUND(SUM(P19:P23),1)</f>
        <v>2865.5</v>
      </c>
      <c r="Q24" s="261"/>
      <c r="R24" s="484">
        <f>ROUND(SUM(R19:R23),1)</f>
        <v>2695.9</v>
      </c>
      <c r="S24" s="261"/>
      <c r="T24" s="484">
        <f>ROUND(SUM(T19:T23),1)</f>
        <v>5290.7</v>
      </c>
      <c r="U24" s="261"/>
      <c r="V24" s="484">
        <f>ROUND(SUM(V19:V23),1)</f>
        <v>0</v>
      </c>
      <c r="W24" s="261"/>
      <c r="X24" s="484">
        <f>ROUND(SUM(X19:X23),1)</f>
        <v>0</v>
      </c>
      <c r="Y24" s="261"/>
      <c r="Z24" s="484">
        <f>ROUND(SUM(Z19:Z23),1)</f>
        <v>0</v>
      </c>
      <c r="AA24" s="222"/>
      <c r="AB24" s="237"/>
      <c r="AC24" s="484">
        <f>ROUND(SUM(AC19:AC23),1)</f>
        <v>39403.4</v>
      </c>
      <c r="AD24" s="223"/>
      <c r="AE24" s="237"/>
      <c r="AF24" s="1283">
        <f>ROUND(SUM(AF19:AF23),1)</f>
        <v>35761.800000000003</v>
      </c>
      <c r="AG24" s="222"/>
      <c r="AH24" s="468"/>
      <c r="AI24" s="484">
        <f>ROUND(SUM(AC24-AF24),1)</f>
        <v>3641.6</v>
      </c>
      <c r="AJ24" s="2091"/>
      <c r="AK24" s="2102">
        <f>ROUND(SUM(+AI24/AF24),3)</f>
        <v>0.10199999999999999</v>
      </c>
    </row>
    <row r="25" spans="1:37" ht="15" customHeight="1">
      <c r="A25" s="353"/>
      <c r="B25" s="2114" t="s">
        <v>1374</v>
      </c>
      <c r="C25" s="223"/>
      <c r="D25" s="1457">
        <v>-3.1</v>
      </c>
      <c r="E25" s="1136"/>
      <c r="F25" s="1457">
        <v>0</v>
      </c>
      <c r="G25" s="1136"/>
      <c r="H25" s="1457">
        <v>-431.2</v>
      </c>
      <c r="I25" s="223"/>
      <c r="J25" s="319">
        <v>0</v>
      </c>
      <c r="K25" s="223"/>
      <c r="L25" s="1457">
        <v>0</v>
      </c>
      <c r="M25" s="223"/>
      <c r="N25" s="261">
        <v>-189.6</v>
      </c>
      <c r="O25" s="261"/>
      <c r="P25" s="261">
        <v>0</v>
      </c>
      <c r="Q25" s="261"/>
      <c r="R25" s="261">
        <v>-25.6</v>
      </c>
      <c r="S25" s="261"/>
      <c r="T25" s="261">
        <v>-125</v>
      </c>
      <c r="U25" s="261"/>
      <c r="V25" s="261"/>
      <c r="W25" s="261"/>
      <c r="X25" s="261"/>
      <c r="Y25" s="261"/>
      <c r="Z25" s="261"/>
      <c r="AA25" s="222"/>
      <c r="AB25" s="237"/>
      <c r="AC25" s="261">
        <f>ROUND(SUM(D25:Z25),1)</f>
        <v>-774.5</v>
      </c>
      <c r="AD25" s="223"/>
      <c r="AE25" s="237"/>
      <c r="AF25" s="2634">
        <v>-781.3</v>
      </c>
      <c r="AG25" s="222"/>
      <c r="AH25" s="468"/>
      <c r="AI25" s="1171">
        <f>-ROUND(SUM(+AC25-AF25),1)</f>
        <v>-6.8</v>
      </c>
      <c r="AJ25" s="2091"/>
      <c r="AK25" s="2817">
        <f>ROUND(IF(AF25=0,1,AI25/ABS(AF25)),3)</f>
        <v>-8.9999999999999993E-3</v>
      </c>
    </row>
    <row r="26" spans="1:37" ht="15" customHeight="1">
      <c r="A26" s="353"/>
      <c r="B26" s="2114" t="s">
        <v>1375</v>
      </c>
      <c r="C26" s="223"/>
      <c r="D26" s="3166">
        <v>-1679.6</v>
      </c>
      <c r="E26" s="1136"/>
      <c r="F26" s="1202">
        <v>-580.20000000000005</v>
      </c>
      <c r="G26" s="1136"/>
      <c r="H26" s="1202">
        <v>-1201.2</v>
      </c>
      <c r="I26" s="223"/>
      <c r="J26" s="319">
        <v>-680.5</v>
      </c>
      <c r="K26" s="223"/>
      <c r="L26" s="1202">
        <v>-636.20000000000005</v>
      </c>
      <c r="M26" s="223"/>
      <c r="N26" s="261">
        <v>-1280.7</v>
      </c>
      <c r="O26" s="261"/>
      <c r="P26" s="261">
        <v>-612.70000000000005</v>
      </c>
      <c r="Q26" s="261"/>
      <c r="R26" s="261">
        <v>-585.1</v>
      </c>
      <c r="S26" s="261"/>
      <c r="T26" s="261">
        <v>-1248.9000000000001</v>
      </c>
      <c r="U26" s="261"/>
      <c r="V26" s="261"/>
      <c r="W26" s="261"/>
      <c r="X26" s="261"/>
      <c r="Y26" s="261"/>
      <c r="Z26" s="261"/>
      <c r="AA26" s="222"/>
      <c r="AB26" s="237"/>
      <c r="AC26" s="261">
        <f>ROUND(SUM(D26:Z26),1)</f>
        <v>-8505.1</v>
      </c>
      <c r="AD26" s="223"/>
      <c r="AE26" s="237"/>
      <c r="AF26" s="2635">
        <v>-7543.5</v>
      </c>
      <c r="AG26" s="222"/>
      <c r="AH26" s="468"/>
      <c r="AI26" s="1171">
        <f>-ROUND(SUM(+AC26-AF26),1)</f>
        <v>961.6</v>
      </c>
      <c r="AJ26" s="2091"/>
      <c r="AK26" s="2817">
        <f>ROUND(IF(AF26=0,0,AI26/ABS(AF26)),3)</f>
        <v>0.127</v>
      </c>
    </row>
    <row r="27" spans="1:37" ht="15" customHeight="1">
      <c r="A27" s="353"/>
      <c r="B27" s="1270" t="s">
        <v>1376</v>
      </c>
      <c r="C27" s="223"/>
      <c r="D27" s="3150">
        <v>-3242.2</v>
      </c>
      <c r="E27" s="1136"/>
      <c r="F27" s="1136">
        <v>-400.7</v>
      </c>
      <c r="G27" s="1136"/>
      <c r="H27" s="1136">
        <v>-219.1</v>
      </c>
      <c r="I27" s="223"/>
      <c r="J27" s="319">
        <v>-167.6</v>
      </c>
      <c r="K27" s="223"/>
      <c r="L27" s="1136">
        <v>-144.69999999999999</v>
      </c>
      <c r="M27" s="223"/>
      <c r="N27" s="261">
        <v>-143.4</v>
      </c>
      <c r="O27" s="261"/>
      <c r="P27" s="261">
        <v>-414.8</v>
      </c>
      <c r="Q27" s="261"/>
      <c r="R27" s="261">
        <v>-355.3</v>
      </c>
      <c r="S27" s="261"/>
      <c r="T27" s="261">
        <v>-295.10000000000002</v>
      </c>
      <c r="U27" s="261"/>
      <c r="V27" s="261"/>
      <c r="W27" s="261"/>
      <c r="X27" s="261"/>
      <c r="Y27" s="261"/>
      <c r="Z27" s="261"/>
      <c r="AA27" s="222"/>
      <c r="AB27" s="237"/>
      <c r="AC27" s="261">
        <f>ROUND(SUM(D27:Z27),1)</f>
        <v>-5382.9</v>
      </c>
      <c r="AD27" s="223"/>
      <c r="AE27" s="237"/>
      <c r="AF27" s="85">
        <v>-5587.7</v>
      </c>
      <c r="AG27" s="222"/>
      <c r="AH27" s="468"/>
      <c r="AI27" s="1171">
        <f>-ROUND(SUM(+AC27-AF27),1)</f>
        <v>-204.8</v>
      </c>
      <c r="AJ27" s="2091"/>
      <c r="AK27" s="2817">
        <f>ROUND(IF(AF27=0,0,AI27/ABS(AF27)),3)</f>
        <v>-3.6999999999999998E-2</v>
      </c>
    </row>
    <row r="28" spans="1:37" ht="15" customHeight="1">
      <c r="A28" s="353"/>
      <c r="B28" s="589" t="s">
        <v>1373</v>
      </c>
      <c r="C28" s="222"/>
      <c r="D28" s="484">
        <f>ROUND(SUM(D24:D27),1)</f>
        <v>5035.7</v>
      </c>
      <c r="E28" s="261"/>
      <c r="F28" s="484">
        <f>ROUND(SUM(F24+F25+F26+F27),1)</f>
        <v>1740.6</v>
      </c>
      <c r="G28" s="261"/>
      <c r="H28" s="484">
        <f>ROUND(SUM(H24+H25+H26+H27),1)</f>
        <v>3172.4</v>
      </c>
      <c r="I28" s="261"/>
      <c r="J28" s="1283">
        <f>ROUND(SUM(J24+J25+J26+J27),1)</f>
        <v>2041.4</v>
      </c>
      <c r="K28" s="261"/>
      <c r="L28" s="484">
        <f>ROUND(SUM(L24+L25+L26+L27),1)</f>
        <v>1908.6</v>
      </c>
      <c r="M28" s="261"/>
      <c r="N28" s="484">
        <f>ROUND(SUM(N24+N25+N26+N27),1)</f>
        <v>3652.6</v>
      </c>
      <c r="O28" s="261"/>
      <c r="P28" s="484">
        <f>ROUND(SUM(P24+P25+P26+P27),1)</f>
        <v>1838</v>
      </c>
      <c r="Q28" s="261"/>
      <c r="R28" s="484">
        <f>ROUND(SUM(R24+R25+R26+R27),1)</f>
        <v>1729.9</v>
      </c>
      <c r="S28" s="261"/>
      <c r="T28" s="484">
        <f>ROUND(SUM(T24+T25+T26+T27),1)</f>
        <v>3621.7</v>
      </c>
      <c r="U28" s="261"/>
      <c r="V28" s="484">
        <f>ROUND(SUM(V24+V25+V26+V27),1)</f>
        <v>0</v>
      </c>
      <c r="W28" s="261"/>
      <c r="X28" s="484">
        <f>ROUND(SUM(X24+X25+X26+X27),1)</f>
        <v>0</v>
      </c>
      <c r="Y28" s="261"/>
      <c r="Z28" s="484">
        <f>ROUND(SUM(Z24+Z25+Z26+Z27),1)</f>
        <v>0</v>
      </c>
      <c r="AA28" s="368"/>
      <c r="AB28" s="237"/>
      <c r="AC28" s="484">
        <f>ROUND(SUM(AC24+AC25+AC26+AC27),1)</f>
        <v>24740.9</v>
      </c>
      <c r="AD28" s="261"/>
      <c r="AE28" s="250"/>
      <c r="AF28" s="1283">
        <f>ROUND(SUM(AF24+AF25+AF26+AF27),1)</f>
        <v>21849.3</v>
      </c>
      <c r="AG28" s="261"/>
      <c r="AH28" s="1276"/>
      <c r="AI28" s="484">
        <f>ROUND(SUM(AI24-AI25-AI26-AI27),1)</f>
        <v>2891.6</v>
      </c>
      <c r="AJ28" s="1908"/>
      <c r="AK28" s="2102">
        <f>ROUND(SUM(+AI28/AF28),3)</f>
        <v>0.13200000000000001</v>
      </c>
    </row>
    <row r="29" spans="1:37" ht="15" customHeight="1">
      <c r="A29" s="353"/>
      <c r="B29" s="2076" t="s">
        <v>1430</v>
      </c>
      <c r="C29" s="222"/>
      <c r="D29" s="273"/>
      <c r="E29" s="261"/>
      <c r="F29" s="273"/>
      <c r="G29" s="261"/>
      <c r="H29" s="273"/>
      <c r="I29" s="261"/>
      <c r="J29" s="316"/>
      <c r="K29" s="261"/>
      <c r="L29" s="273"/>
      <c r="M29" s="261"/>
      <c r="N29" s="273"/>
      <c r="O29" s="261"/>
      <c r="P29" s="273"/>
      <c r="Q29" s="261"/>
      <c r="R29" s="273"/>
      <c r="S29" s="261"/>
      <c r="T29" s="273"/>
      <c r="U29" s="261"/>
      <c r="V29" s="273"/>
      <c r="W29" s="261"/>
      <c r="X29" s="273"/>
      <c r="Y29" s="261"/>
      <c r="Z29" s="273"/>
      <c r="AA29" s="368"/>
      <c r="AB29" s="237"/>
      <c r="AC29" s="273"/>
      <c r="AD29" s="261"/>
      <c r="AE29" s="250"/>
      <c r="AF29" s="316"/>
      <c r="AG29" s="261"/>
      <c r="AH29" s="1276"/>
      <c r="AI29" s="273"/>
      <c r="AJ29" s="1908"/>
      <c r="AK29" s="2074"/>
    </row>
    <row r="30" spans="1:37" ht="15" customHeight="1">
      <c r="A30" s="353"/>
      <c r="B30" s="1270" t="s">
        <v>1379</v>
      </c>
      <c r="C30" s="222"/>
      <c r="D30" s="1136">
        <v>475.2</v>
      </c>
      <c r="E30" s="1136"/>
      <c r="F30" s="1136">
        <v>465.8</v>
      </c>
      <c r="G30" s="1136"/>
      <c r="H30" s="1136">
        <v>640.20000000000005</v>
      </c>
      <c r="I30" s="261"/>
      <c r="J30" s="2045">
        <v>497.2</v>
      </c>
      <c r="K30" s="261"/>
      <c r="L30" s="1136">
        <v>483.8</v>
      </c>
      <c r="M30" s="261"/>
      <c r="N30" s="1908">
        <v>641.1</v>
      </c>
      <c r="O30" s="261"/>
      <c r="P30" s="1908">
        <v>436.9</v>
      </c>
      <c r="Q30" s="1171"/>
      <c r="R30" s="1908">
        <v>482.6</v>
      </c>
      <c r="S30" s="1171"/>
      <c r="T30" s="1908">
        <v>594.70000000000005</v>
      </c>
      <c r="U30" s="1171"/>
      <c r="V30" s="1908"/>
      <c r="W30" s="1171"/>
      <c r="X30" s="1908"/>
      <c r="Y30" s="1171"/>
      <c r="Z30" s="1908"/>
      <c r="AA30" s="368"/>
      <c r="AB30" s="237"/>
      <c r="AC30" s="261">
        <f t="shared" ref="AC30:AC36" si="0">ROUND(SUM(D30:Z30),1)</f>
        <v>4717.5</v>
      </c>
      <c r="AD30" s="261"/>
      <c r="AE30" s="250"/>
      <c r="AF30" s="85">
        <v>4619.8</v>
      </c>
      <c r="AG30" s="261"/>
      <c r="AH30" s="1276"/>
      <c r="AI30" s="1171">
        <f t="shared" ref="AI30:AI36" si="1">ROUND(SUM(+AC30-AF30),1)</f>
        <v>97.7</v>
      </c>
      <c r="AJ30" s="1908"/>
      <c r="AK30" s="1864">
        <f t="shared" ref="AK30:AK36" si="2">ROUND(IF(AF30=0,0,AI30/ABS(AF30)),3)</f>
        <v>2.1000000000000001E-2</v>
      </c>
    </row>
    <row r="31" spans="1:37" ht="15" customHeight="1">
      <c r="A31" s="353"/>
      <c r="B31" s="1270" t="s">
        <v>1380</v>
      </c>
      <c r="C31" s="222"/>
      <c r="D31" s="1202">
        <v>0</v>
      </c>
      <c r="E31" s="1136"/>
      <c r="F31" s="1202">
        <v>0</v>
      </c>
      <c r="G31" s="1136"/>
      <c r="H31" s="1202">
        <v>0</v>
      </c>
      <c r="I31" s="261"/>
      <c r="J31" s="2045">
        <v>0</v>
      </c>
      <c r="K31" s="261"/>
      <c r="L31" s="1202">
        <v>0</v>
      </c>
      <c r="M31" s="261"/>
      <c r="N31" s="1908">
        <v>0</v>
      </c>
      <c r="O31" s="261"/>
      <c r="P31" s="1908">
        <v>0</v>
      </c>
      <c r="Q31" s="1171"/>
      <c r="R31" s="1908">
        <v>0</v>
      </c>
      <c r="S31" s="1171"/>
      <c r="T31" s="1908">
        <v>0</v>
      </c>
      <c r="U31" s="1171"/>
      <c r="V31" s="1908"/>
      <c r="W31" s="1171"/>
      <c r="X31" s="1908"/>
      <c r="Y31" s="1171"/>
      <c r="Z31" s="1908"/>
      <c r="AA31" s="368"/>
      <c r="AB31" s="237"/>
      <c r="AC31" s="261">
        <f t="shared" si="0"/>
        <v>0</v>
      </c>
      <c r="AD31" s="261"/>
      <c r="AE31" s="250"/>
      <c r="AF31" s="2636">
        <v>0</v>
      </c>
      <c r="AG31" s="261"/>
      <c r="AH31" s="1276"/>
      <c r="AI31" s="1171">
        <f t="shared" si="1"/>
        <v>0</v>
      </c>
      <c r="AJ31" s="1908"/>
      <c r="AK31" s="1864">
        <f t="shared" si="2"/>
        <v>0</v>
      </c>
    </row>
    <row r="32" spans="1:37" ht="15" customHeight="1">
      <c r="A32" s="353"/>
      <c r="B32" s="1270" t="s">
        <v>1381</v>
      </c>
      <c r="C32" s="222"/>
      <c r="D32" s="1136">
        <v>11.9</v>
      </c>
      <c r="E32" s="1136"/>
      <c r="F32" s="1136">
        <v>26.6</v>
      </c>
      <c r="G32" s="1136"/>
      <c r="H32" s="1136">
        <v>31.8</v>
      </c>
      <c r="I32" s="261"/>
      <c r="J32" s="2045">
        <v>33.5</v>
      </c>
      <c r="K32" s="261"/>
      <c r="L32" s="1136">
        <v>30.8</v>
      </c>
      <c r="M32" s="261"/>
      <c r="N32" s="1908">
        <v>36.299999999999997</v>
      </c>
      <c r="O32" s="261"/>
      <c r="P32" s="1908">
        <v>30.9</v>
      </c>
      <c r="Q32" s="1171"/>
      <c r="R32" s="1908">
        <v>29.6</v>
      </c>
      <c r="S32" s="1171"/>
      <c r="T32" s="1908">
        <v>29.9</v>
      </c>
      <c r="U32" s="1171"/>
      <c r="V32" s="1908"/>
      <c r="W32" s="1171"/>
      <c r="X32" s="1908"/>
      <c r="Y32" s="1171"/>
      <c r="Z32" s="1908"/>
      <c r="AA32" s="368"/>
      <c r="AB32" s="237"/>
      <c r="AC32" s="261">
        <f t="shared" si="0"/>
        <v>261.3</v>
      </c>
      <c r="AD32" s="261"/>
      <c r="AE32" s="250"/>
      <c r="AF32" s="85">
        <v>283.89999999999998</v>
      </c>
      <c r="AG32" s="261"/>
      <c r="AH32" s="1276"/>
      <c r="AI32" s="1171">
        <f t="shared" si="1"/>
        <v>-22.6</v>
      </c>
      <c r="AJ32" s="1908"/>
      <c r="AK32" s="1864">
        <f t="shared" si="2"/>
        <v>-0.08</v>
      </c>
    </row>
    <row r="33" spans="1:37" ht="15" customHeight="1">
      <c r="A33" s="353"/>
      <c r="B33" s="1270" t="s">
        <v>1382</v>
      </c>
      <c r="C33" s="222"/>
      <c r="D33" s="1202">
        <v>0</v>
      </c>
      <c r="E33" s="1136"/>
      <c r="F33" s="1202">
        <v>0</v>
      </c>
      <c r="G33" s="1136"/>
      <c r="H33" s="1202">
        <v>0</v>
      </c>
      <c r="I33" s="261"/>
      <c r="J33" s="2045">
        <v>0</v>
      </c>
      <c r="K33" s="261"/>
      <c r="L33" s="1202">
        <v>0</v>
      </c>
      <c r="M33" s="261"/>
      <c r="N33" s="1908">
        <v>0</v>
      </c>
      <c r="O33" s="261"/>
      <c r="P33" s="1908">
        <v>0</v>
      </c>
      <c r="Q33" s="1171"/>
      <c r="R33" s="1908">
        <v>0</v>
      </c>
      <c r="S33" s="1171"/>
      <c r="T33" s="1908">
        <v>0</v>
      </c>
      <c r="U33" s="1171"/>
      <c r="V33" s="1908"/>
      <c r="W33" s="1171"/>
      <c r="X33" s="1908"/>
      <c r="Y33" s="1171"/>
      <c r="Z33" s="1908"/>
      <c r="AA33" s="368"/>
      <c r="AB33" s="237"/>
      <c r="AC33" s="261">
        <f t="shared" si="0"/>
        <v>0</v>
      </c>
      <c r="AD33" s="261"/>
      <c r="AE33" s="250"/>
      <c r="AF33" s="2636">
        <v>0</v>
      </c>
      <c r="AG33" s="261"/>
      <c r="AH33" s="1276"/>
      <c r="AI33" s="1171">
        <f t="shared" si="1"/>
        <v>0</v>
      </c>
      <c r="AJ33" s="1908"/>
      <c r="AK33" s="1864">
        <f t="shared" si="2"/>
        <v>0</v>
      </c>
    </row>
    <row r="34" spans="1:37" ht="15" customHeight="1">
      <c r="A34" s="353"/>
      <c r="B34" s="1270" t="s">
        <v>1383</v>
      </c>
      <c r="C34" s="222"/>
      <c r="D34" s="3150">
        <v>19.899999999999999</v>
      </c>
      <c r="E34" s="1136"/>
      <c r="F34" s="1136">
        <v>20.3</v>
      </c>
      <c r="G34" s="1136"/>
      <c r="H34" s="1136">
        <v>21.7</v>
      </c>
      <c r="I34" s="261"/>
      <c r="J34" s="2045">
        <v>29.4</v>
      </c>
      <c r="K34" s="261"/>
      <c r="L34" s="1136">
        <v>17.399999999999999</v>
      </c>
      <c r="M34" s="261"/>
      <c r="N34" s="1908">
        <v>21.4</v>
      </c>
      <c r="O34" s="261"/>
      <c r="P34" s="1908">
        <v>20.100000000000001</v>
      </c>
      <c r="Q34" s="1171"/>
      <c r="R34" s="1908">
        <v>21.4</v>
      </c>
      <c r="S34" s="1171"/>
      <c r="T34" s="1908">
        <v>20.100000000000001</v>
      </c>
      <c r="U34" s="1171"/>
      <c r="V34" s="1908"/>
      <c r="W34" s="1171"/>
      <c r="X34" s="1908"/>
      <c r="Y34" s="1171"/>
      <c r="Z34" s="1908"/>
      <c r="AA34" s="368"/>
      <c r="AB34" s="237"/>
      <c r="AC34" s="261">
        <f t="shared" si="0"/>
        <v>191.7</v>
      </c>
      <c r="AD34" s="261"/>
      <c r="AE34" s="250"/>
      <c r="AF34" s="85">
        <v>188.8</v>
      </c>
      <c r="AG34" s="261"/>
      <c r="AH34" s="1276"/>
      <c r="AI34" s="1171">
        <f t="shared" si="1"/>
        <v>2.9</v>
      </c>
      <c r="AJ34" s="1908"/>
      <c r="AK34" s="1864">
        <f t="shared" si="2"/>
        <v>1.4999999999999999E-2</v>
      </c>
    </row>
    <row r="35" spans="1:37" ht="15" customHeight="1">
      <c r="A35" s="353"/>
      <c r="B35" s="1270" t="s">
        <v>1384</v>
      </c>
      <c r="C35" s="222"/>
      <c r="D35" s="1202">
        <v>0</v>
      </c>
      <c r="E35" s="1136"/>
      <c r="F35" s="1202">
        <v>0</v>
      </c>
      <c r="G35" s="1136"/>
      <c r="H35" s="1202">
        <v>0</v>
      </c>
      <c r="I35" s="261"/>
      <c r="J35" s="2045">
        <v>0</v>
      </c>
      <c r="K35" s="261"/>
      <c r="L35" s="1202">
        <v>0</v>
      </c>
      <c r="M35" s="261"/>
      <c r="N35" s="1908">
        <v>0</v>
      </c>
      <c r="O35" s="261"/>
      <c r="P35" s="1908">
        <v>0</v>
      </c>
      <c r="Q35" s="1171"/>
      <c r="R35" s="1908">
        <v>0</v>
      </c>
      <c r="S35" s="1171"/>
      <c r="T35" s="1908">
        <v>0</v>
      </c>
      <c r="U35" s="1171"/>
      <c r="V35" s="1908"/>
      <c r="W35" s="1171"/>
      <c r="X35" s="1908"/>
      <c r="Y35" s="1171"/>
      <c r="Z35" s="1908"/>
      <c r="AA35" s="368"/>
      <c r="AB35" s="237"/>
      <c r="AC35" s="261">
        <f t="shared" si="0"/>
        <v>0</v>
      </c>
      <c r="AD35" s="261"/>
      <c r="AE35" s="250"/>
      <c r="AF35" s="2045">
        <v>0</v>
      </c>
      <c r="AG35" s="261"/>
      <c r="AH35" s="1276"/>
      <c r="AI35" s="1171">
        <f t="shared" si="1"/>
        <v>0</v>
      </c>
      <c r="AJ35" s="1908"/>
      <c r="AK35" s="1864">
        <f t="shared" si="2"/>
        <v>0</v>
      </c>
    </row>
    <row r="36" spans="1:37" ht="15" customHeight="1">
      <c r="A36" s="353"/>
      <c r="B36" s="2115" t="s">
        <v>1385</v>
      </c>
      <c r="C36" s="222"/>
      <c r="D36" s="1202">
        <v>0</v>
      </c>
      <c r="E36" s="1136"/>
      <c r="F36" s="1202">
        <v>0</v>
      </c>
      <c r="G36" s="1136"/>
      <c r="H36" s="1202">
        <v>0</v>
      </c>
      <c r="I36" s="261"/>
      <c r="J36" s="2045">
        <v>0</v>
      </c>
      <c r="K36" s="261"/>
      <c r="L36" s="1202">
        <v>0</v>
      </c>
      <c r="M36" s="261"/>
      <c r="N36" s="1908">
        <v>0</v>
      </c>
      <c r="O36" s="261"/>
      <c r="P36" s="1908">
        <v>0</v>
      </c>
      <c r="Q36" s="1171"/>
      <c r="R36" s="1908">
        <v>0</v>
      </c>
      <c r="S36" s="1171"/>
      <c r="T36" s="1908">
        <v>0</v>
      </c>
      <c r="U36" s="1171"/>
      <c r="V36" s="1908"/>
      <c r="W36" s="1171"/>
      <c r="X36" s="1908"/>
      <c r="Y36" s="1171"/>
      <c r="Z36" s="1908"/>
      <c r="AA36" s="368"/>
      <c r="AB36" s="237"/>
      <c r="AC36" s="261">
        <f t="shared" si="0"/>
        <v>0</v>
      </c>
      <c r="AD36" s="261"/>
      <c r="AE36" s="250"/>
      <c r="AF36" s="2045">
        <v>0</v>
      </c>
      <c r="AG36" s="261"/>
      <c r="AH36" s="1276"/>
      <c r="AI36" s="1171">
        <f t="shared" si="1"/>
        <v>0</v>
      </c>
      <c r="AJ36" s="1908"/>
      <c r="AK36" s="1864">
        <f t="shared" si="2"/>
        <v>0</v>
      </c>
    </row>
    <row r="37" spans="1:37" s="422" customFormat="1" ht="15" customHeight="1">
      <c r="A37" s="2100"/>
      <c r="B37" s="589" t="s">
        <v>1378</v>
      </c>
      <c r="C37" s="413"/>
      <c r="D37" s="484">
        <f>ROUND(SUM(D30:D36),1)</f>
        <v>507</v>
      </c>
      <c r="E37" s="1886"/>
      <c r="F37" s="484">
        <f>ROUND(SUM(F30:F36),1)</f>
        <v>512.70000000000005</v>
      </c>
      <c r="G37" s="1886"/>
      <c r="H37" s="484">
        <f>ROUND(SUM(H30:H36),1)</f>
        <v>693.7</v>
      </c>
      <c r="I37" s="1886"/>
      <c r="J37" s="1283">
        <f>ROUND(SUM(J30:J36),1)</f>
        <v>560.1</v>
      </c>
      <c r="K37" s="1886"/>
      <c r="L37" s="484">
        <f>ROUND(SUM(L30:L36),1)</f>
        <v>532</v>
      </c>
      <c r="M37" s="1886"/>
      <c r="N37" s="484">
        <f>ROUND(SUM(N30:N36),1)</f>
        <v>698.8</v>
      </c>
      <c r="O37" s="1886"/>
      <c r="P37" s="484">
        <f>ROUND(SUM(P30:P36),1)</f>
        <v>487.9</v>
      </c>
      <c r="Q37" s="1886"/>
      <c r="R37" s="484">
        <f>ROUND(SUM(R30:R36),1)</f>
        <v>533.6</v>
      </c>
      <c r="S37" s="1886"/>
      <c r="T37" s="484">
        <f>ROUND(SUM(T30:T36),1)</f>
        <v>644.70000000000005</v>
      </c>
      <c r="U37" s="1886"/>
      <c r="V37" s="484">
        <f>ROUND(SUM(V30:V36),1)</f>
        <v>0</v>
      </c>
      <c r="W37" s="1886"/>
      <c r="X37" s="484">
        <f>ROUND(SUM(X30:X36),1)</f>
        <v>0</v>
      </c>
      <c r="Y37" s="1886"/>
      <c r="Z37" s="484">
        <f>ROUND(SUM(Z30:Z36),1)</f>
        <v>0</v>
      </c>
      <c r="AA37" s="410"/>
      <c r="AB37" s="485"/>
      <c r="AC37" s="484">
        <f>ROUND(SUM(AC30:AC36),1)</f>
        <v>5170.5</v>
      </c>
      <c r="AD37" s="1886"/>
      <c r="AE37" s="259"/>
      <c r="AF37" s="1283">
        <f>ROUND(SUM(AF30:AF36),1)</f>
        <v>5092.5</v>
      </c>
      <c r="AG37" s="1886"/>
      <c r="AH37" s="1278"/>
      <c r="AI37" s="484">
        <f>ROUND(SUM(AI30:AI36),1)</f>
        <v>78</v>
      </c>
      <c r="AJ37" s="273"/>
      <c r="AK37" s="2102">
        <f>ROUND(SUM(+AI37/AF37),3)</f>
        <v>1.4999999999999999E-2</v>
      </c>
    </row>
    <row r="38" spans="1:37" s="422" customFormat="1" ht="15" customHeight="1">
      <c r="A38" s="2100"/>
      <c r="B38" s="2076" t="s">
        <v>1431</v>
      </c>
      <c r="C38" s="413"/>
      <c r="D38" s="273"/>
      <c r="E38" s="1886"/>
      <c r="F38" s="273"/>
      <c r="G38" s="1886"/>
      <c r="H38" s="273"/>
      <c r="I38" s="1886"/>
      <c r="J38" s="2045"/>
      <c r="K38" s="1886"/>
      <c r="L38" s="273"/>
      <c r="M38" s="1886"/>
      <c r="N38" s="273"/>
      <c r="O38" s="1886"/>
      <c r="P38" s="273"/>
      <c r="Q38" s="1886"/>
      <c r="R38" s="273"/>
      <c r="S38" s="1886"/>
      <c r="T38" s="273"/>
      <c r="U38" s="1886"/>
      <c r="V38" s="273"/>
      <c r="W38" s="1886"/>
      <c r="X38" s="273"/>
      <c r="Y38" s="1886"/>
      <c r="Z38" s="273"/>
      <c r="AA38" s="410"/>
      <c r="AB38" s="485"/>
      <c r="AC38" s="273"/>
      <c r="AD38" s="1886"/>
      <c r="AE38" s="259"/>
      <c r="AF38" s="316"/>
      <c r="AG38" s="1886"/>
      <c r="AH38" s="1278"/>
      <c r="AI38" s="273"/>
      <c r="AJ38" s="273"/>
      <c r="AK38" s="2074"/>
    </row>
    <row r="39" spans="1:37" s="422" customFormat="1" ht="15" customHeight="1">
      <c r="A39" s="2100"/>
      <c r="B39" s="1270" t="s">
        <v>1387</v>
      </c>
      <c r="C39" s="413"/>
      <c r="D39" s="1136">
        <v>170.2</v>
      </c>
      <c r="E39" s="1136"/>
      <c r="F39" s="1136">
        <v>-32.200000000000003</v>
      </c>
      <c r="G39" s="1136"/>
      <c r="H39" s="1136">
        <v>759.2</v>
      </c>
      <c r="I39" s="1886"/>
      <c r="J39" s="2045">
        <v>103.7</v>
      </c>
      <c r="K39" s="1886"/>
      <c r="L39" s="1136">
        <v>101.2</v>
      </c>
      <c r="M39" s="1886"/>
      <c r="N39" s="1908">
        <v>735.7</v>
      </c>
      <c r="O39" s="1886"/>
      <c r="P39" s="1908">
        <v>53.6</v>
      </c>
      <c r="Q39" s="1171"/>
      <c r="R39" s="1908">
        <v>32.5</v>
      </c>
      <c r="S39" s="1171"/>
      <c r="T39" s="1908">
        <v>846.6</v>
      </c>
      <c r="U39" s="1171"/>
      <c r="V39" s="1908"/>
      <c r="W39" s="1171"/>
      <c r="X39" s="1908"/>
      <c r="Y39" s="1171"/>
      <c r="Z39" s="1908"/>
      <c r="AA39" s="410"/>
      <c r="AB39" s="485"/>
      <c r="AC39" s="261">
        <f>ROUND(SUM(D39:Z39),1)</f>
        <v>2770.5</v>
      </c>
      <c r="AD39" s="1886"/>
      <c r="AE39" s="259"/>
      <c r="AF39" s="85">
        <v>1454.4</v>
      </c>
      <c r="AG39" s="1886"/>
      <c r="AH39" s="1278"/>
      <c r="AI39" s="1171">
        <f>ROUND(SUM(+AC39-AF39),1)</f>
        <v>1316.1</v>
      </c>
      <c r="AJ39" s="273"/>
      <c r="AK39" s="1864">
        <f>ROUND(IF(AF39=0,0,AI39/ABS(AF39)),3)</f>
        <v>0.90500000000000003</v>
      </c>
    </row>
    <row r="40" spans="1:37" s="422" customFormat="1" ht="15" customHeight="1">
      <c r="A40" s="2100"/>
      <c r="B40" s="1270" t="s">
        <v>1388</v>
      </c>
      <c r="C40" s="413"/>
      <c r="D40" s="1136">
        <v>3.2</v>
      </c>
      <c r="E40" s="1136"/>
      <c r="F40" s="1136">
        <v>3.5</v>
      </c>
      <c r="G40" s="1136"/>
      <c r="H40" s="1136">
        <v>100.5</v>
      </c>
      <c r="I40" s="1886"/>
      <c r="J40" s="2045">
        <v>0.9</v>
      </c>
      <c r="K40" s="1886"/>
      <c r="L40" s="1136">
        <v>4.0999999999999996</v>
      </c>
      <c r="M40" s="1886"/>
      <c r="N40" s="1908">
        <v>116.8</v>
      </c>
      <c r="O40" s="1886"/>
      <c r="P40" s="1908">
        <v>5.2</v>
      </c>
      <c r="Q40" s="1171"/>
      <c r="R40" s="1908">
        <v>13.8</v>
      </c>
      <c r="S40" s="1171"/>
      <c r="T40" s="1908">
        <v>127</v>
      </c>
      <c r="U40" s="1171"/>
      <c r="V40" s="1908"/>
      <c r="W40" s="1171"/>
      <c r="X40" s="1908"/>
      <c r="Y40" s="1171"/>
      <c r="Z40" s="1908"/>
      <c r="AA40" s="410"/>
      <c r="AB40" s="485"/>
      <c r="AC40" s="261">
        <f>ROUND(SUM(D40:Z40),1)</f>
        <v>375</v>
      </c>
      <c r="AD40" s="1886"/>
      <c r="AE40" s="259"/>
      <c r="AF40" s="85">
        <v>376.4</v>
      </c>
      <c r="AG40" s="1886"/>
      <c r="AH40" s="1278"/>
      <c r="AI40" s="1171">
        <f>ROUND(SUM(+AC40-AF40),1)</f>
        <v>-1.4</v>
      </c>
      <c r="AJ40" s="273"/>
      <c r="AK40" s="1864">
        <f>ROUND(IF(AF40=0,0,AI40/ABS(AF40)),3)</f>
        <v>-4.0000000000000001E-3</v>
      </c>
    </row>
    <row r="41" spans="1:37" s="422" customFormat="1" ht="15" customHeight="1">
      <c r="A41" s="2100"/>
      <c r="B41" s="1270" t="s">
        <v>1389</v>
      </c>
      <c r="C41" s="413"/>
      <c r="D41" s="1136">
        <v>6.3</v>
      </c>
      <c r="E41" s="1136"/>
      <c r="F41" s="1136">
        <v>9.3000000000000007</v>
      </c>
      <c r="G41" s="1136"/>
      <c r="H41" s="1136">
        <v>243.3</v>
      </c>
      <c r="I41" s="1886"/>
      <c r="J41" s="2045">
        <v>30.1</v>
      </c>
      <c r="K41" s="1886"/>
      <c r="L41" s="1136">
        <v>45.1</v>
      </c>
      <c r="M41" s="1886"/>
      <c r="N41" s="1908">
        <v>241.5</v>
      </c>
      <c r="O41" s="1886"/>
      <c r="P41" s="1908">
        <v>4</v>
      </c>
      <c r="Q41" s="1171"/>
      <c r="R41" s="1908">
        <v>10.1</v>
      </c>
      <c r="S41" s="1171"/>
      <c r="T41" s="1908">
        <v>240.1</v>
      </c>
      <c r="U41" s="1171"/>
      <c r="V41" s="1908"/>
      <c r="W41" s="1171"/>
      <c r="X41" s="1908"/>
      <c r="Y41" s="1171"/>
      <c r="Z41" s="1908"/>
      <c r="AA41" s="410"/>
      <c r="AB41" s="485"/>
      <c r="AC41" s="261">
        <f>ROUND(SUM(D41:Z41),1)</f>
        <v>829.8</v>
      </c>
      <c r="AD41" s="1886"/>
      <c r="AE41" s="259"/>
      <c r="AF41" s="85">
        <v>802.8</v>
      </c>
      <c r="AG41" s="1886"/>
      <c r="AH41" s="1278"/>
      <c r="AI41" s="1171">
        <f>ROUND(SUM(+AC41-AF41),1)</f>
        <v>27</v>
      </c>
      <c r="AJ41" s="273"/>
      <c r="AK41" s="1864">
        <f>ROUND(IF(AF41=0,0,AI41/ABS(AF41)),3)</f>
        <v>3.4000000000000002E-2</v>
      </c>
    </row>
    <row r="42" spans="1:37" s="422" customFormat="1" ht="15" customHeight="1">
      <c r="A42" s="2100"/>
      <c r="B42" s="1270" t="s">
        <v>1390</v>
      </c>
      <c r="C42" s="413"/>
      <c r="D42" s="1136">
        <v>23.8</v>
      </c>
      <c r="E42" s="1136"/>
      <c r="F42" s="1136">
        <v>-13.4</v>
      </c>
      <c r="G42" s="1136"/>
      <c r="H42" s="1136">
        <v>2.6</v>
      </c>
      <c r="I42" s="1886"/>
      <c r="J42" s="2045">
        <v>-1.8</v>
      </c>
      <c r="K42" s="1886"/>
      <c r="L42" s="1136">
        <v>55</v>
      </c>
      <c r="M42" s="1886"/>
      <c r="N42" s="1908">
        <v>-0.4</v>
      </c>
      <c r="O42" s="1886"/>
      <c r="P42" s="1908">
        <v>18.5</v>
      </c>
      <c r="Q42" s="1171"/>
      <c r="R42" s="1908">
        <v>-44.8</v>
      </c>
      <c r="S42" s="1171"/>
      <c r="T42" s="1908">
        <v>-129.4</v>
      </c>
      <c r="U42" s="1171"/>
      <c r="V42" s="1908"/>
      <c r="W42" s="1171"/>
      <c r="X42" s="1908"/>
      <c r="Y42" s="1171"/>
      <c r="Z42" s="1908"/>
      <c r="AA42" s="410"/>
      <c r="AB42" s="485"/>
      <c r="AC42" s="261">
        <f>ROUND(SUM(D42:Z42),1)</f>
        <v>-89.9</v>
      </c>
      <c r="AD42" s="1886"/>
      <c r="AE42" s="259"/>
      <c r="AF42" s="85">
        <v>1095.9000000000001</v>
      </c>
      <c r="AG42" s="1886"/>
      <c r="AH42" s="1278"/>
      <c r="AI42" s="1171">
        <f>ROUND(SUM(+AC42-AF42),1)</f>
        <v>-1185.8</v>
      </c>
      <c r="AJ42" s="273"/>
      <c r="AK42" s="1864">
        <f>ROUND(IF(AF42=0,0,AI42/ABS(AF42)),3)</f>
        <v>-1.0820000000000001</v>
      </c>
    </row>
    <row r="43" spans="1:37" s="422" customFormat="1" ht="15" customHeight="1">
      <c r="A43" s="2100"/>
      <c r="B43" s="1270" t="s">
        <v>1391</v>
      </c>
      <c r="C43" s="413"/>
      <c r="D43" s="1202">
        <v>0</v>
      </c>
      <c r="E43" s="1136"/>
      <c r="F43" s="1202">
        <v>0</v>
      </c>
      <c r="G43" s="1136"/>
      <c r="H43" s="1202">
        <v>0</v>
      </c>
      <c r="I43" s="1886"/>
      <c r="J43" s="316">
        <v>0</v>
      </c>
      <c r="K43" s="1886"/>
      <c r="L43" s="1202">
        <v>0</v>
      </c>
      <c r="M43" s="1886"/>
      <c r="N43" s="1908">
        <v>0</v>
      </c>
      <c r="O43" s="1886"/>
      <c r="P43" s="1908">
        <v>0</v>
      </c>
      <c r="Q43" s="1171"/>
      <c r="R43" s="1908">
        <v>0</v>
      </c>
      <c r="S43" s="1171"/>
      <c r="T43" s="1908">
        <v>0</v>
      </c>
      <c r="U43" s="1171"/>
      <c r="V43" s="1908"/>
      <c r="W43" s="1171"/>
      <c r="X43" s="1908"/>
      <c r="Y43" s="1171"/>
      <c r="Z43" s="1908"/>
      <c r="AA43" s="410"/>
      <c r="AB43" s="485"/>
      <c r="AC43" s="261">
        <f>ROUND(SUM(D43:Z43),1)</f>
        <v>0</v>
      </c>
      <c r="AD43" s="1886"/>
      <c r="AE43" s="259"/>
      <c r="AF43" s="2637">
        <v>0</v>
      </c>
      <c r="AG43" s="1886"/>
      <c r="AH43" s="1278"/>
      <c r="AI43" s="1171">
        <f>ROUND(SUM(+AC43-AF43),1)</f>
        <v>0</v>
      </c>
      <c r="AJ43" s="273"/>
      <c r="AK43" s="1864">
        <f>ROUND(IF(AF43=0,0,AI43/ABS(AF43)),3)</f>
        <v>0</v>
      </c>
    </row>
    <row r="44" spans="1:37" s="422" customFormat="1" ht="15" customHeight="1">
      <c r="A44" s="2100"/>
      <c r="B44" s="589" t="s">
        <v>1386</v>
      </c>
      <c r="C44" s="413"/>
      <c r="D44" s="1283">
        <f>ROUND(SUM(D39:D43),1)</f>
        <v>203.5</v>
      </c>
      <c r="E44" s="1886"/>
      <c r="F44" s="1283">
        <f>ROUND(SUM(F39:F43),1)</f>
        <v>-32.799999999999997</v>
      </c>
      <c r="G44" s="1886"/>
      <c r="H44" s="1283">
        <f>ROUND(SUM(H39:H43),1)</f>
        <v>1105.5999999999999</v>
      </c>
      <c r="I44" s="1886"/>
      <c r="J44" s="1283">
        <f>ROUND(SUM(J39:J43),1)</f>
        <v>132.9</v>
      </c>
      <c r="K44" s="1886"/>
      <c r="L44" s="1283">
        <f>ROUND(SUM(L39:L43),1)</f>
        <v>205.4</v>
      </c>
      <c r="M44" s="1886"/>
      <c r="N44" s="1283">
        <f>ROUND(SUM(N39:N43),1)</f>
        <v>1093.5999999999999</v>
      </c>
      <c r="O44" s="1886"/>
      <c r="P44" s="1283">
        <f>ROUND(SUM(P39:P43),1)</f>
        <v>81.3</v>
      </c>
      <c r="Q44" s="1886"/>
      <c r="R44" s="1283">
        <f>ROUND(SUM(R39:R43),1)</f>
        <v>11.6</v>
      </c>
      <c r="S44" s="1886"/>
      <c r="T44" s="1283">
        <f>ROUND(SUM(T39:T43),1)</f>
        <v>1084.3</v>
      </c>
      <c r="U44" s="1886"/>
      <c r="V44" s="1283">
        <f>ROUND(SUM(V39:V43),1)</f>
        <v>0</v>
      </c>
      <c r="W44" s="1886"/>
      <c r="X44" s="1283">
        <f>ROUND(SUM(X39:X43),1)</f>
        <v>0</v>
      </c>
      <c r="Y44" s="1886"/>
      <c r="Z44" s="1283">
        <f>ROUND(SUM(Z39:Z43),1)</f>
        <v>0</v>
      </c>
      <c r="AA44" s="410"/>
      <c r="AB44" s="485"/>
      <c r="AC44" s="1283">
        <f>ROUND(SUM(AC39:AC43),1)</f>
        <v>3885.4</v>
      </c>
      <c r="AD44" s="1886"/>
      <c r="AE44" s="259"/>
      <c r="AF44" s="1283">
        <f>ROUND(SUM(AF39:AF43),1)</f>
        <v>3729.5</v>
      </c>
      <c r="AG44" s="1886"/>
      <c r="AH44" s="1278"/>
      <c r="AI44" s="1283">
        <f>ROUND(SUM(AI39:AI43),1)</f>
        <v>155.9</v>
      </c>
      <c r="AJ44" s="273"/>
      <c r="AK44" s="2102">
        <f>ROUND(SUM(+AI44/AF44),3)</f>
        <v>4.2000000000000003E-2</v>
      </c>
    </row>
    <row r="45" spans="1:37" s="422" customFormat="1" ht="15" customHeight="1">
      <c r="A45" s="2100"/>
      <c r="B45" s="2076" t="s">
        <v>1432</v>
      </c>
      <c r="C45" s="413"/>
      <c r="D45" s="273"/>
      <c r="E45" s="1886"/>
      <c r="F45" s="273"/>
      <c r="G45" s="1886"/>
      <c r="H45" s="273"/>
      <c r="I45" s="1886"/>
      <c r="J45" s="316"/>
      <c r="K45" s="1886"/>
      <c r="L45" s="273"/>
      <c r="M45" s="1886"/>
      <c r="N45" s="273"/>
      <c r="O45" s="1886"/>
      <c r="P45" s="273"/>
      <c r="Q45" s="1886"/>
      <c r="R45" s="273"/>
      <c r="S45" s="1886"/>
      <c r="T45" s="273"/>
      <c r="U45" s="1886"/>
      <c r="V45" s="273"/>
      <c r="W45" s="1886"/>
      <c r="X45" s="273"/>
      <c r="Y45" s="1886"/>
      <c r="Z45" s="273"/>
      <c r="AA45" s="410"/>
      <c r="AB45" s="485"/>
      <c r="AC45" s="273"/>
      <c r="AD45" s="1886"/>
      <c r="AE45" s="259"/>
      <c r="AF45" s="316"/>
      <c r="AG45" s="1886"/>
      <c r="AH45" s="1278"/>
      <c r="AI45" s="273"/>
      <c r="AJ45" s="273"/>
      <c r="AK45" s="2074"/>
    </row>
    <row r="46" spans="1:37" s="422" customFormat="1" ht="15" customHeight="1">
      <c r="A46" s="2100"/>
      <c r="B46" s="1270" t="s">
        <v>1394</v>
      </c>
      <c r="C46" s="413"/>
      <c r="D46" s="1202">
        <v>0</v>
      </c>
      <c r="E46" s="1136"/>
      <c r="F46" s="1202">
        <v>0</v>
      </c>
      <c r="G46" s="1136"/>
      <c r="H46" s="1202">
        <v>0</v>
      </c>
      <c r="I46" s="1886"/>
      <c r="J46" s="316">
        <v>0</v>
      </c>
      <c r="K46" s="1886"/>
      <c r="L46" s="1202">
        <v>0</v>
      </c>
      <c r="M46" s="1886"/>
      <c r="N46" s="1908">
        <v>0</v>
      </c>
      <c r="O46" s="1886"/>
      <c r="P46" s="273">
        <v>0</v>
      </c>
      <c r="Q46" s="1886"/>
      <c r="R46" s="1908">
        <v>0</v>
      </c>
      <c r="S46" s="1886"/>
      <c r="T46" s="1908">
        <v>0</v>
      </c>
      <c r="U46" s="3151"/>
      <c r="V46" s="1908"/>
      <c r="W46" s="3151"/>
      <c r="X46" s="1908"/>
      <c r="Y46" s="3151"/>
      <c r="Z46" s="1908"/>
      <c r="AA46" s="410"/>
      <c r="AB46" s="485"/>
      <c r="AC46" s="261">
        <f t="shared" ref="AC46:AC51" si="3">ROUND(SUM(D46:Z46),1)</f>
        <v>0</v>
      </c>
      <c r="AD46" s="1886"/>
      <c r="AE46" s="259"/>
      <c r="AF46" s="2636">
        <v>0</v>
      </c>
      <c r="AG46" s="1886"/>
      <c r="AH46" s="1278"/>
      <c r="AI46" s="1171">
        <f t="shared" ref="AI46:AI51" si="4">ROUND(SUM(+AC46-AF46),1)</f>
        <v>0</v>
      </c>
      <c r="AJ46" s="273"/>
      <c r="AK46" s="2817">
        <f t="shared" ref="AK46:AK51" si="5">ROUND(IF(AF46=0,0,AI46/ABS(AF46)),3)</f>
        <v>0</v>
      </c>
    </row>
    <row r="47" spans="1:37" s="422" customFormat="1" ht="15" customHeight="1">
      <c r="A47" s="2100"/>
      <c r="B47" s="1270" t="s">
        <v>1395</v>
      </c>
      <c r="C47" s="413"/>
      <c r="D47" s="1136">
        <v>148.9</v>
      </c>
      <c r="E47" s="1136"/>
      <c r="F47" s="1136">
        <v>149.19999999999999</v>
      </c>
      <c r="G47" s="1136"/>
      <c r="H47" s="1136">
        <v>116.7</v>
      </c>
      <c r="I47" s="1886"/>
      <c r="J47" s="2045">
        <v>208</v>
      </c>
      <c r="K47" s="1886"/>
      <c r="L47" s="1136">
        <v>162.1</v>
      </c>
      <c r="M47" s="1886"/>
      <c r="N47" s="1908">
        <v>135.30000000000001</v>
      </c>
      <c r="O47" s="1886"/>
      <c r="P47" s="1908">
        <v>142.6</v>
      </c>
      <c r="Q47" s="1886"/>
      <c r="R47" s="1908">
        <v>102.9</v>
      </c>
      <c r="S47" s="1171"/>
      <c r="T47" s="1908">
        <v>74.2</v>
      </c>
      <c r="U47" s="1171"/>
      <c r="V47" s="1908"/>
      <c r="W47" s="1171"/>
      <c r="X47" s="1908"/>
      <c r="Y47" s="1171"/>
      <c r="Z47" s="1908"/>
      <c r="AA47" s="410"/>
      <c r="AB47" s="485"/>
      <c r="AC47" s="261">
        <f t="shared" si="3"/>
        <v>1239.9000000000001</v>
      </c>
      <c r="AD47" s="1886"/>
      <c r="AE47" s="259"/>
      <c r="AF47" s="85">
        <v>852.5</v>
      </c>
      <c r="AG47" s="1886"/>
      <c r="AH47" s="1278"/>
      <c r="AI47" s="1171">
        <f t="shared" si="4"/>
        <v>387.4</v>
      </c>
      <c r="AJ47" s="273"/>
      <c r="AK47" s="1864">
        <f t="shared" si="5"/>
        <v>0.45400000000000001</v>
      </c>
    </row>
    <row r="48" spans="1:37" s="422" customFormat="1" ht="15" customHeight="1">
      <c r="A48" s="2100"/>
      <c r="B48" s="1270" t="s">
        <v>1396</v>
      </c>
      <c r="C48" s="413"/>
      <c r="D48" s="1136">
        <v>0.9</v>
      </c>
      <c r="E48" s="1136"/>
      <c r="F48" s="1136">
        <v>1.5</v>
      </c>
      <c r="G48" s="1136"/>
      <c r="H48" s="1136">
        <v>1.9</v>
      </c>
      <c r="I48" s="1886"/>
      <c r="J48" s="2045">
        <v>1.2</v>
      </c>
      <c r="K48" s="1886"/>
      <c r="L48" s="1136">
        <v>2.6</v>
      </c>
      <c r="M48" s="1886"/>
      <c r="N48" s="1908">
        <v>2.2000000000000002</v>
      </c>
      <c r="O48" s="1886"/>
      <c r="P48" s="1908">
        <v>1.2</v>
      </c>
      <c r="Q48" s="1886"/>
      <c r="R48" s="1908">
        <v>1.5</v>
      </c>
      <c r="S48" s="1171"/>
      <c r="T48" s="1908">
        <v>0.9</v>
      </c>
      <c r="U48" s="1171"/>
      <c r="V48" s="1908"/>
      <c r="W48" s="1171"/>
      <c r="X48" s="1908"/>
      <c r="Y48" s="1171"/>
      <c r="Z48" s="1908"/>
      <c r="AA48" s="410"/>
      <c r="AB48" s="485"/>
      <c r="AC48" s="261">
        <f t="shared" si="3"/>
        <v>13.9</v>
      </c>
      <c r="AD48" s="1886"/>
      <c r="AE48" s="259"/>
      <c r="AF48" s="85">
        <v>15</v>
      </c>
      <c r="AG48" s="1886"/>
      <c r="AH48" s="1278"/>
      <c r="AI48" s="1171">
        <f t="shared" si="4"/>
        <v>-1.1000000000000001</v>
      </c>
      <c r="AJ48" s="273"/>
      <c r="AK48" s="1864">
        <f t="shared" si="5"/>
        <v>-7.2999999999999995E-2</v>
      </c>
    </row>
    <row r="49" spans="1:37" s="422" customFormat="1" ht="15" customHeight="1">
      <c r="A49" s="2100"/>
      <c r="B49" s="1270" t="s">
        <v>1397</v>
      </c>
      <c r="C49" s="413"/>
      <c r="D49" s="1202">
        <v>0</v>
      </c>
      <c r="E49" s="1136"/>
      <c r="F49" s="1202">
        <v>0</v>
      </c>
      <c r="G49" s="1136"/>
      <c r="H49" s="1202">
        <v>0</v>
      </c>
      <c r="I49" s="1886"/>
      <c r="J49" s="2045">
        <v>0</v>
      </c>
      <c r="K49" s="1886"/>
      <c r="L49" s="1202">
        <v>0</v>
      </c>
      <c r="M49" s="1886"/>
      <c r="N49" s="1908">
        <v>0</v>
      </c>
      <c r="O49" s="1886"/>
      <c r="P49" s="1908">
        <v>0</v>
      </c>
      <c r="Q49" s="1886"/>
      <c r="R49" s="1908">
        <v>0</v>
      </c>
      <c r="S49" s="1886"/>
      <c r="T49" s="1908">
        <v>0</v>
      </c>
      <c r="U49" s="3151"/>
      <c r="V49" s="1908"/>
      <c r="W49" s="3151"/>
      <c r="X49" s="1908"/>
      <c r="Y49" s="3151"/>
      <c r="Z49" s="1908"/>
      <c r="AA49" s="410"/>
      <c r="AB49" s="485"/>
      <c r="AC49" s="261">
        <f t="shared" si="3"/>
        <v>0</v>
      </c>
      <c r="AD49" s="1886"/>
      <c r="AE49" s="259"/>
      <c r="AF49" s="2636">
        <v>0</v>
      </c>
      <c r="AG49" s="1886"/>
      <c r="AH49" s="1278"/>
      <c r="AI49" s="1171">
        <f t="shared" si="4"/>
        <v>0</v>
      </c>
      <c r="AJ49" s="273"/>
      <c r="AK49" s="2817">
        <f t="shared" si="5"/>
        <v>0</v>
      </c>
    </row>
    <row r="50" spans="1:37" s="422" customFormat="1" ht="15" customHeight="1">
      <c r="A50" s="2100"/>
      <c r="B50" s="1270" t="s">
        <v>1398</v>
      </c>
      <c r="C50" s="413"/>
      <c r="D50" s="1202">
        <v>0</v>
      </c>
      <c r="E50" s="1136"/>
      <c r="F50" s="1202">
        <v>0.1</v>
      </c>
      <c r="G50" s="1136"/>
      <c r="H50" s="1202">
        <v>0.2</v>
      </c>
      <c r="I50" s="1886"/>
      <c r="J50" s="2045">
        <v>0</v>
      </c>
      <c r="K50" s="1886"/>
      <c r="L50" s="1202">
        <v>0.3</v>
      </c>
      <c r="M50" s="1886"/>
      <c r="N50" s="1908">
        <v>0.4</v>
      </c>
      <c r="O50" s="1886"/>
      <c r="P50" s="1908">
        <v>0.1</v>
      </c>
      <c r="Q50" s="1886"/>
      <c r="R50" s="1908">
        <v>0.1</v>
      </c>
      <c r="S50" s="1886"/>
      <c r="T50" s="1908">
        <v>0</v>
      </c>
      <c r="U50" s="1171"/>
      <c r="V50" s="1908"/>
      <c r="W50" s="1171"/>
      <c r="X50" s="1908"/>
      <c r="Y50" s="1886"/>
      <c r="Z50" s="1908"/>
      <c r="AA50" s="410"/>
      <c r="AB50" s="485"/>
      <c r="AC50" s="261">
        <f t="shared" si="3"/>
        <v>1.2</v>
      </c>
      <c r="AD50" s="1886"/>
      <c r="AE50" s="259"/>
      <c r="AF50" s="2638">
        <v>0.7</v>
      </c>
      <c r="AG50" s="1886"/>
      <c r="AH50" s="1278"/>
      <c r="AI50" s="1171">
        <f t="shared" si="4"/>
        <v>0.5</v>
      </c>
      <c r="AJ50" s="273"/>
      <c r="AK50" s="1864">
        <f t="shared" si="5"/>
        <v>0.71399999999999997</v>
      </c>
    </row>
    <row r="51" spans="1:37" s="422" customFormat="1" ht="15" customHeight="1">
      <c r="A51" s="2100"/>
      <c r="B51" s="2115" t="s">
        <v>1510</v>
      </c>
      <c r="C51" s="413"/>
      <c r="D51" s="1202">
        <v>0</v>
      </c>
      <c r="E51" s="1136"/>
      <c r="F51" s="1202">
        <v>0</v>
      </c>
      <c r="G51" s="1136"/>
      <c r="H51" s="1202">
        <v>0</v>
      </c>
      <c r="I51" s="1886"/>
      <c r="J51" s="2045">
        <v>0</v>
      </c>
      <c r="K51" s="1886"/>
      <c r="L51" s="1202">
        <v>0</v>
      </c>
      <c r="M51" s="1886"/>
      <c r="N51" s="1908">
        <v>0</v>
      </c>
      <c r="O51" s="1886"/>
      <c r="P51" s="1908">
        <v>0</v>
      </c>
      <c r="Q51" s="1886"/>
      <c r="R51" s="1908">
        <v>0</v>
      </c>
      <c r="S51" s="1886"/>
      <c r="T51" s="1908">
        <v>0</v>
      </c>
      <c r="U51" s="3151"/>
      <c r="V51" s="1908"/>
      <c r="W51" s="3151"/>
      <c r="X51" s="1908"/>
      <c r="Y51" s="3151"/>
      <c r="Z51" s="1908"/>
      <c r="AA51" s="410"/>
      <c r="AB51" s="485"/>
      <c r="AC51" s="261">
        <f t="shared" si="3"/>
        <v>0</v>
      </c>
      <c r="AD51" s="1886"/>
      <c r="AE51" s="259"/>
      <c r="AF51" s="2637">
        <v>0</v>
      </c>
      <c r="AG51" s="1886"/>
      <c r="AH51" s="1278"/>
      <c r="AI51" s="1171">
        <f t="shared" si="4"/>
        <v>0</v>
      </c>
      <c r="AJ51" s="273"/>
      <c r="AK51" s="1864">
        <f t="shared" si="5"/>
        <v>0</v>
      </c>
    </row>
    <row r="52" spans="1:37" s="422" customFormat="1" ht="15" customHeight="1">
      <c r="A52" s="2100"/>
      <c r="B52" s="589" t="s">
        <v>1392</v>
      </c>
      <c r="C52" s="413"/>
      <c r="D52" s="1283">
        <f>ROUND(SUM(D46:D51),1)</f>
        <v>149.80000000000001</v>
      </c>
      <c r="E52" s="1886"/>
      <c r="F52" s="1283">
        <f>ROUND(SUM(F46:F51),1)</f>
        <v>150.80000000000001</v>
      </c>
      <c r="G52" s="1886"/>
      <c r="H52" s="1283">
        <f>ROUND(SUM(H46:H51),1)</f>
        <v>118.8</v>
      </c>
      <c r="I52" s="1886"/>
      <c r="J52" s="1283">
        <f>ROUND(SUM(J46:J51),1)</f>
        <v>209.2</v>
      </c>
      <c r="K52" s="1886"/>
      <c r="L52" s="1283">
        <f>ROUND(SUM(L46:L51),1)</f>
        <v>165</v>
      </c>
      <c r="M52" s="1886"/>
      <c r="N52" s="1283">
        <f>ROUND(SUM(N46:N51),1)</f>
        <v>137.9</v>
      </c>
      <c r="O52" s="1886"/>
      <c r="P52" s="1283">
        <f>ROUND(SUM(P46:P51),1)</f>
        <v>143.9</v>
      </c>
      <c r="Q52" s="1886"/>
      <c r="R52" s="1283">
        <f>ROUND(SUM(R46:R51),1)</f>
        <v>104.5</v>
      </c>
      <c r="S52" s="1886"/>
      <c r="T52" s="1283">
        <f>ROUND(SUM(T46:T51),1)</f>
        <v>75.099999999999994</v>
      </c>
      <c r="U52" s="1886"/>
      <c r="V52" s="1283">
        <f>ROUND(SUM(V46:V51),1)</f>
        <v>0</v>
      </c>
      <c r="W52" s="1886"/>
      <c r="X52" s="1283">
        <f>ROUND(SUM(X46:X51),1)</f>
        <v>0</v>
      </c>
      <c r="Y52" s="1886"/>
      <c r="Z52" s="1283">
        <f>ROUND(SUM(Z46:Z51),1)</f>
        <v>0</v>
      </c>
      <c r="AA52" s="410"/>
      <c r="AB52" s="485"/>
      <c r="AC52" s="1283">
        <f>ROUND(SUM(AC46:AC51),1)</f>
        <v>1255</v>
      </c>
      <c r="AD52" s="1886"/>
      <c r="AE52" s="259"/>
      <c r="AF52" s="1283">
        <f>ROUND(SUM(AF46:AF51),1)</f>
        <v>868.2</v>
      </c>
      <c r="AG52" s="1886"/>
      <c r="AH52" s="1278"/>
      <c r="AI52" s="1283">
        <f>ROUND(SUM(AI46:AI51),1)</f>
        <v>386.8</v>
      </c>
      <c r="AJ52" s="273"/>
      <c r="AK52" s="2102">
        <f>ROUND(SUM(+AI52/AF52),3)</f>
        <v>0.44600000000000001</v>
      </c>
    </row>
    <row r="53" spans="1:37" s="422" customFormat="1" ht="15" customHeight="1">
      <c r="A53" s="2100"/>
      <c r="B53" s="589"/>
      <c r="C53" s="413"/>
      <c r="D53" s="273"/>
      <c r="E53" s="1886"/>
      <c r="F53" s="273"/>
      <c r="G53" s="273"/>
      <c r="H53" s="273"/>
      <c r="I53" s="273"/>
      <c r="J53" s="316"/>
      <c r="K53" s="273"/>
      <c r="L53" s="273"/>
      <c r="M53" s="273"/>
      <c r="N53" s="273"/>
      <c r="O53" s="273"/>
      <c r="P53" s="273"/>
      <c r="Q53" s="273"/>
      <c r="R53" s="273"/>
      <c r="S53" s="273"/>
      <c r="T53" s="273"/>
      <c r="U53" s="273"/>
      <c r="V53" s="273"/>
      <c r="W53" s="273"/>
      <c r="X53" s="316"/>
      <c r="Y53" s="273"/>
      <c r="Z53" s="273"/>
      <c r="AA53" s="410"/>
      <c r="AB53" s="485"/>
      <c r="AC53" s="273"/>
      <c r="AD53" s="1886"/>
      <c r="AE53" s="259"/>
      <c r="AF53" s="316"/>
      <c r="AG53" s="1886"/>
      <c r="AH53" s="1278"/>
      <c r="AI53" s="273"/>
      <c r="AJ53" s="273"/>
      <c r="AK53" s="2074"/>
    </row>
    <row r="54" spans="1:37" ht="15" customHeight="1">
      <c r="A54" s="353"/>
      <c r="B54" s="589" t="s">
        <v>1393</v>
      </c>
      <c r="C54" s="222"/>
      <c r="D54" s="616">
        <f>ROUND(SUM(D28+D37+D44+D52),1)</f>
        <v>5896</v>
      </c>
      <c r="E54" s="261"/>
      <c r="F54" s="616">
        <f>ROUND(SUM(F28+F37+F44+F52),1)</f>
        <v>2371.3000000000002</v>
      </c>
      <c r="G54" s="261"/>
      <c r="H54" s="616">
        <f>ROUND(SUM(H28+H37+H44+H52),1)</f>
        <v>5090.5</v>
      </c>
      <c r="I54" s="261"/>
      <c r="J54" s="616">
        <f>ROUND(SUM(J28+J37+J44+J52),1)</f>
        <v>2943.6</v>
      </c>
      <c r="K54" s="261"/>
      <c r="L54" s="616">
        <f>ROUND(SUM(L28+L37+L44+L52),1)</f>
        <v>2811</v>
      </c>
      <c r="M54" s="261"/>
      <c r="N54" s="616">
        <f>ROUND(SUM(N28+N37+N44+N52),1)</f>
        <v>5582.9</v>
      </c>
      <c r="O54" s="261"/>
      <c r="P54" s="616">
        <f>ROUND(SUM(P28+P37+P44+P52),1)</f>
        <v>2551.1</v>
      </c>
      <c r="Q54" s="261"/>
      <c r="R54" s="616">
        <f>ROUND(SUM(R28+R37+R44+R52),1)</f>
        <v>2379.6</v>
      </c>
      <c r="S54" s="261"/>
      <c r="T54" s="616">
        <f>ROUND(SUM(T28+T37+T44+T52),1)</f>
        <v>5425.8</v>
      </c>
      <c r="U54" s="261"/>
      <c r="V54" s="616">
        <f>ROUND(SUM(V28+V37+V44+V52),1)</f>
        <v>0</v>
      </c>
      <c r="W54" s="261"/>
      <c r="X54" s="616">
        <f>ROUND(SUM(X28+X37+X44+X52),1)</f>
        <v>0</v>
      </c>
      <c r="Y54" s="261"/>
      <c r="Z54" s="616">
        <f>ROUND(SUM(Z28+Z37+Z44+Z52),1)</f>
        <v>0</v>
      </c>
      <c r="AA54" s="368"/>
      <c r="AB54" s="237"/>
      <c r="AC54" s="616">
        <f>ROUND(SUM(AC28+AC37+AC44+AC52),1)</f>
        <v>35051.800000000003</v>
      </c>
      <c r="AD54" s="261"/>
      <c r="AE54" s="250"/>
      <c r="AF54" s="616">
        <f>ROUND(SUM(AF28+AF37+AF44+AF52),1)</f>
        <v>31539.5</v>
      </c>
      <c r="AG54" s="261"/>
      <c r="AH54" s="1276"/>
      <c r="AI54" s="616">
        <f>ROUND(SUM(AI28+AI37+AI44+AI52),1)</f>
        <v>3512.3</v>
      </c>
      <c r="AJ54" s="1908"/>
      <c r="AK54" s="525">
        <f>ROUND(SUM(+AI54/AF54),3)</f>
        <v>0.111</v>
      </c>
    </row>
    <row r="55" spans="1:37" ht="8.25" customHeight="1">
      <c r="A55" s="353"/>
      <c r="B55" s="1358"/>
      <c r="C55" s="222"/>
      <c r="D55" s="261"/>
      <c r="E55" s="261"/>
      <c r="F55" s="261"/>
      <c r="G55" s="261"/>
      <c r="H55" s="261"/>
      <c r="I55" s="261"/>
      <c r="J55" s="319"/>
      <c r="K55" s="261"/>
      <c r="L55" s="261"/>
      <c r="M55" s="261"/>
      <c r="N55" s="261"/>
      <c r="O55" s="261"/>
      <c r="P55" s="261"/>
      <c r="Q55" s="261"/>
      <c r="R55" s="261"/>
      <c r="S55" s="261"/>
      <c r="T55" s="261"/>
      <c r="U55" s="261"/>
      <c r="V55" s="261"/>
      <c r="W55" s="261"/>
      <c r="X55" s="261"/>
      <c r="Y55" s="261"/>
      <c r="Z55" s="261"/>
      <c r="AA55" s="368"/>
      <c r="AB55" s="237"/>
      <c r="AC55" s="261"/>
      <c r="AD55" s="261"/>
      <c r="AE55" s="250"/>
      <c r="AF55" s="319"/>
      <c r="AG55" s="261"/>
      <c r="AH55" s="1276"/>
      <c r="AI55" s="1171"/>
      <c r="AJ55" s="1908"/>
      <c r="AK55" s="1932"/>
    </row>
    <row r="56" spans="1:37" ht="15" customHeight="1">
      <c r="A56" s="353"/>
      <c r="B56" s="490" t="s">
        <v>1294</v>
      </c>
      <c r="C56" s="1828"/>
      <c r="D56" s="1171"/>
      <c r="E56" s="1173"/>
      <c r="F56" s="261"/>
      <c r="G56" s="1173"/>
      <c r="H56" s="261"/>
      <c r="I56" s="261"/>
      <c r="J56" s="319"/>
      <c r="K56" s="261"/>
      <c r="L56" s="261"/>
      <c r="M56" s="261"/>
      <c r="N56" s="261"/>
      <c r="O56" s="261"/>
      <c r="P56" s="261"/>
      <c r="Q56" s="261"/>
      <c r="R56" s="261"/>
      <c r="S56" s="261"/>
      <c r="T56" s="261"/>
      <c r="U56" s="261"/>
      <c r="V56" s="261"/>
      <c r="W56" s="261"/>
      <c r="X56" s="261"/>
      <c r="Y56" s="261"/>
      <c r="Z56" s="261"/>
      <c r="AA56" s="368"/>
      <c r="AB56" s="237"/>
      <c r="AC56" s="261"/>
      <c r="AD56" s="261"/>
      <c r="AE56" s="250"/>
      <c r="AF56" s="319"/>
      <c r="AG56" s="261"/>
      <c r="AH56" s="1276"/>
      <c r="AI56" s="1171"/>
      <c r="AJ56" s="1908"/>
      <c r="AK56" s="1932"/>
    </row>
    <row r="57" spans="1:37" ht="15" customHeight="1">
      <c r="A57" s="353"/>
      <c r="B57" s="1830" t="s">
        <v>1422</v>
      </c>
      <c r="C57" s="1828"/>
      <c r="D57" s="1171"/>
      <c r="E57" s="1173"/>
      <c r="F57" s="261"/>
      <c r="G57" s="1173"/>
      <c r="H57" s="261"/>
      <c r="I57" s="261"/>
      <c r="J57" s="319"/>
      <c r="K57" s="261"/>
      <c r="L57" s="261"/>
      <c r="M57" s="261"/>
      <c r="N57" s="261"/>
      <c r="O57" s="261"/>
      <c r="P57" s="261"/>
      <c r="Q57" s="261"/>
      <c r="R57" s="261"/>
      <c r="S57" s="261"/>
      <c r="T57" s="261"/>
      <c r="U57" s="261"/>
      <c r="V57" s="261"/>
      <c r="W57" s="261"/>
      <c r="X57" s="261"/>
      <c r="Y57" s="261"/>
      <c r="Z57" s="261"/>
      <c r="AA57" s="368"/>
      <c r="AB57" s="237"/>
      <c r="AC57" s="261"/>
      <c r="AD57" s="261"/>
      <c r="AE57" s="250"/>
      <c r="AF57" s="1833" t="s">
        <v>190</v>
      </c>
      <c r="AG57" s="261"/>
      <c r="AH57" s="1276"/>
      <c r="AI57" s="1171"/>
      <c r="AJ57" s="1908"/>
      <c r="AK57" s="1932"/>
    </row>
    <row r="58" spans="1:37" ht="15" customHeight="1">
      <c r="A58" s="353"/>
      <c r="B58" s="1830" t="s">
        <v>1292</v>
      </c>
      <c r="C58" s="1830"/>
      <c r="D58" s="1171">
        <v>0</v>
      </c>
      <c r="E58" s="1173"/>
      <c r="F58" s="1171">
        <v>0</v>
      </c>
      <c r="G58" s="1173"/>
      <c r="H58" s="261">
        <v>0</v>
      </c>
      <c r="I58" s="261"/>
      <c r="J58" s="319">
        <v>0</v>
      </c>
      <c r="K58" s="261"/>
      <c r="L58" s="261">
        <v>0</v>
      </c>
      <c r="M58" s="261"/>
      <c r="N58" s="261">
        <v>22</v>
      </c>
      <c r="O58" s="261"/>
      <c r="P58" s="261">
        <v>24.2</v>
      </c>
      <c r="Q58" s="261"/>
      <c r="R58" s="261">
        <v>120.2</v>
      </c>
      <c r="S58" s="261"/>
      <c r="T58" s="261">
        <v>25.8</v>
      </c>
      <c r="U58" s="261"/>
      <c r="V58" s="261"/>
      <c r="W58" s="261"/>
      <c r="X58" s="261"/>
      <c r="Y58" s="261"/>
      <c r="Z58" s="261"/>
      <c r="AA58" s="368"/>
      <c r="AB58" s="237"/>
      <c r="AC58" s="261">
        <f t="shared" ref="AC58:AC88" si="6">ROUND(SUM(D58:Z58),1)</f>
        <v>192.2</v>
      </c>
      <c r="AD58" s="261"/>
      <c r="AE58" s="250"/>
      <c r="AF58" s="1833">
        <v>250.2</v>
      </c>
      <c r="AG58" s="261"/>
      <c r="AH58" s="1276"/>
      <c r="AI58" s="1171">
        <f>ROUND(SUM(+AC58-AF58),1)</f>
        <v>-58</v>
      </c>
      <c r="AJ58" s="1908"/>
      <c r="AK58" s="2785">
        <f>ROUND(IF(AF58=0,0,AI58/ABS(AF58)),3)</f>
        <v>-0.23200000000000001</v>
      </c>
    </row>
    <row r="59" spans="1:37" ht="15" customHeight="1">
      <c r="A59" s="353"/>
      <c r="B59" s="1830" t="s">
        <v>1293</v>
      </c>
      <c r="C59" s="1830"/>
      <c r="D59" s="1171">
        <v>0.5</v>
      </c>
      <c r="E59" s="1173"/>
      <c r="F59" s="261">
        <v>0</v>
      </c>
      <c r="G59" s="1173"/>
      <c r="H59" s="319">
        <v>7.5</v>
      </c>
      <c r="I59" s="261"/>
      <c r="J59" s="319">
        <v>-0.7</v>
      </c>
      <c r="K59" s="261"/>
      <c r="L59" s="261">
        <v>-0.1</v>
      </c>
      <c r="M59" s="261"/>
      <c r="N59" s="261">
        <v>29.3</v>
      </c>
      <c r="O59" s="261"/>
      <c r="P59" s="261">
        <v>2.6</v>
      </c>
      <c r="Q59" s="261"/>
      <c r="R59" s="261">
        <v>0.4</v>
      </c>
      <c r="S59" s="261"/>
      <c r="T59" s="261">
        <v>20.399999999999999</v>
      </c>
      <c r="U59" s="261"/>
      <c r="V59" s="261"/>
      <c r="W59" s="261"/>
      <c r="X59" s="261"/>
      <c r="Y59" s="261"/>
      <c r="Z59" s="261"/>
      <c r="AA59" s="368"/>
      <c r="AB59" s="237"/>
      <c r="AC59" s="261">
        <f t="shared" si="6"/>
        <v>59.9</v>
      </c>
      <c r="AD59" s="261"/>
      <c r="AE59" s="250"/>
      <c r="AF59" s="319">
        <v>58.3</v>
      </c>
      <c r="AG59" s="261"/>
      <c r="AH59" s="1276"/>
      <c r="AI59" s="1171">
        <f>ROUND(SUM(+AC59-AF59),1)</f>
        <v>1.6</v>
      </c>
      <c r="AJ59" s="1908"/>
      <c r="AK59" s="1864">
        <f>ROUND(IF(AF59=0,0,AI59/ABS(AF59)),3)</f>
        <v>2.7E-2</v>
      </c>
    </row>
    <row r="60" spans="1:37" ht="15" customHeight="1">
      <c r="A60" s="353"/>
      <c r="B60" s="1830" t="s">
        <v>1423</v>
      </c>
      <c r="C60" s="1830"/>
      <c r="D60" s="1171"/>
      <c r="E60" s="1173"/>
      <c r="F60" s="261"/>
      <c r="G60" s="1173"/>
      <c r="H60" s="261"/>
      <c r="I60" s="261"/>
      <c r="J60" s="319"/>
      <c r="K60" s="261"/>
      <c r="L60" s="261"/>
      <c r="M60" s="261"/>
      <c r="N60" s="261"/>
      <c r="O60" s="261"/>
      <c r="P60" s="261"/>
      <c r="Q60" s="261"/>
      <c r="R60" s="261"/>
      <c r="S60" s="261"/>
      <c r="T60" s="261"/>
      <c r="U60" s="261"/>
      <c r="V60" s="261"/>
      <c r="W60" s="261"/>
      <c r="X60" s="261"/>
      <c r="Y60" s="261"/>
      <c r="Z60" s="261"/>
      <c r="AA60" s="368"/>
      <c r="AB60" s="237"/>
      <c r="AC60" s="261"/>
      <c r="AD60" s="261"/>
      <c r="AE60" s="250"/>
      <c r="AF60" s="319"/>
      <c r="AG60" s="261"/>
      <c r="AH60" s="1276"/>
      <c r="AI60" s="1171"/>
      <c r="AJ60" s="1908"/>
      <c r="AK60" s="1932"/>
    </row>
    <row r="61" spans="1:37" ht="15" customHeight="1">
      <c r="A61" s="353"/>
      <c r="B61" s="1830" t="s">
        <v>1297</v>
      </c>
      <c r="C61" s="1830"/>
      <c r="D61" s="1171">
        <v>0</v>
      </c>
      <c r="E61" s="1173"/>
      <c r="F61" s="261">
        <v>250</v>
      </c>
      <c r="G61" s="1173"/>
      <c r="H61" s="261">
        <v>0</v>
      </c>
      <c r="I61" s="261"/>
      <c r="J61" s="319">
        <v>0</v>
      </c>
      <c r="K61" s="261"/>
      <c r="L61" s="261">
        <v>0</v>
      </c>
      <c r="M61" s="261"/>
      <c r="N61" s="261">
        <v>0</v>
      </c>
      <c r="O61" s="261"/>
      <c r="P61" s="261">
        <v>0</v>
      </c>
      <c r="Q61" s="261"/>
      <c r="R61" s="261">
        <v>0</v>
      </c>
      <c r="S61" s="261"/>
      <c r="T61" s="261">
        <v>0</v>
      </c>
      <c r="U61" s="261"/>
      <c r="V61" s="261"/>
      <c r="W61" s="261"/>
      <c r="X61" s="261"/>
      <c r="Y61" s="261"/>
      <c r="Z61" s="261"/>
      <c r="AA61" s="368"/>
      <c r="AB61" s="237"/>
      <c r="AC61" s="261">
        <f t="shared" si="6"/>
        <v>250</v>
      </c>
      <c r="AD61" s="261"/>
      <c r="AE61" s="250"/>
      <c r="AF61" s="319">
        <v>1000</v>
      </c>
      <c r="AG61" s="261"/>
      <c r="AH61" s="1276"/>
      <c r="AI61" s="1171">
        <f>ROUND(SUM(+AC61-AF61),1)</f>
        <v>-750</v>
      </c>
      <c r="AJ61" s="1908"/>
      <c r="AK61" s="1864">
        <f>ROUND(IF(AF61=0,0,AI61/ABS(AF61)),3)</f>
        <v>-0.75</v>
      </c>
    </row>
    <row r="62" spans="1:37" ht="15" customHeight="1">
      <c r="A62" s="353"/>
      <c r="B62" s="1830" t="s">
        <v>1298</v>
      </c>
      <c r="C62" s="1830"/>
      <c r="D62" s="1171">
        <v>5.7</v>
      </c>
      <c r="E62" s="1173"/>
      <c r="F62" s="261">
        <v>0.4</v>
      </c>
      <c r="G62" s="1173"/>
      <c r="H62" s="261">
        <v>4.4000000000000004</v>
      </c>
      <c r="I62" s="261"/>
      <c r="J62" s="319">
        <v>5.4</v>
      </c>
      <c r="K62" s="261"/>
      <c r="L62" s="261">
        <v>5.8</v>
      </c>
      <c r="M62" s="261"/>
      <c r="N62" s="261">
        <v>11</v>
      </c>
      <c r="O62" s="261"/>
      <c r="P62" s="261">
        <v>6.5</v>
      </c>
      <c r="Q62" s="261"/>
      <c r="R62" s="261">
        <v>5.7</v>
      </c>
      <c r="S62" s="261"/>
      <c r="T62" s="261">
        <v>11.6</v>
      </c>
      <c r="U62" s="261"/>
      <c r="V62" s="261"/>
      <c r="W62" s="261"/>
      <c r="X62" s="261"/>
      <c r="Y62" s="261"/>
      <c r="Z62" s="261"/>
      <c r="AA62" s="368"/>
      <c r="AB62" s="237"/>
      <c r="AC62" s="261">
        <f t="shared" si="6"/>
        <v>56.5</v>
      </c>
      <c r="AD62" s="261"/>
      <c r="AE62" s="250"/>
      <c r="AF62" s="319">
        <v>63.1</v>
      </c>
      <c r="AG62" s="261"/>
      <c r="AH62" s="1276"/>
      <c r="AI62" s="1171">
        <f>ROUND(SUM(+AC62-AF62),1)</f>
        <v>-6.6</v>
      </c>
      <c r="AJ62" s="1908"/>
      <c r="AK62" s="1864">
        <f>ROUND(IF(AF62=0,0,AI62/ABS(AF62)),3)</f>
        <v>-0.105</v>
      </c>
    </row>
    <row r="63" spans="1:37" ht="15" customHeight="1">
      <c r="A63" s="353"/>
      <c r="B63" s="1830" t="s">
        <v>1299</v>
      </c>
      <c r="C63" s="1830"/>
      <c r="D63" s="1171">
        <v>0</v>
      </c>
      <c r="E63" s="1173"/>
      <c r="F63" s="1171">
        <v>0</v>
      </c>
      <c r="G63" s="1173"/>
      <c r="H63" s="261">
        <v>0</v>
      </c>
      <c r="I63" s="261"/>
      <c r="J63" s="319">
        <v>0</v>
      </c>
      <c r="K63" s="261"/>
      <c r="L63" s="261">
        <v>0</v>
      </c>
      <c r="M63" s="261"/>
      <c r="N63" s="261">
        <v>121.9</v>
      </c>
      <c r="O63" s="261"/>
      <c r="P63" s="261">
        <v>9.8000000000000007</v>
      </c>
      <c r="Q63" s="261"/>
      <c r="R63" s="261">
        <v>0</v>
      </c>
      <c r="S63" s="261"/>
      <c r="T63" s="261">
        <v>0.5</v>
      </c>
      <c r="U63" s="261"/>
      <c r="V63" s="261"/>
      <c r="W63" s="261"/>
      <c r="X63" s="261"/>
      <c r="Y63" s="261"/>
      <c r="Z63" s="261"/>
      <c r="AA63" s="368"/>
      <c r="AB63" s="237"/>
      <c r="AC63" s="261">
        <f t="shared" si="6"/>
        <v>132.19999999999999</v>
      </c>
      <c r="AD63" s="261"/>
      <c r="AE63" s="250"/>
      <c r="AF63" s="2689">
        <v>170.1</v>
      </c>
      <c r="AG63" s="261"/>
      <c r="AH63" s="1276"/>
      <c r="AI63" s="1171">
        <f>ROUND(SUM(+AC63-AF63),1)</f>
        <v>-37.9</v>
      </c>
      <c r="AJ63" s="1908"/>
      <c r="AK63" s="1864">
        <f>ROUND(IF(AF63=0,0,AI63/ABS(AF63)),3)</f>
        <v>-0.223</v>
      </c>
    </row>
    <row r="64" spans="1:37" ht="15" customHeight="1">
      <c r="A64" s="353"/>
      <c r="B64" s="1830" t="s">
        <v>1300</v>
      </c>
      <c r="C64" s="1830"/>
      <c r="D64" s="1171">
        <v>0</v>
      </c>
      <c r="E64" s="1173"/>
      <c r="F64" s="261">
        <v>0.1</v>
      </c>
      <c r="G64" s="1173"/>
      <c r="H64" s="261">
        <v>0.1</v>
      </c>
      <c r="I64" s="261"/>
      <c r="J64" s="319">
        <v>0</v>
      </c>
      <c r="K64" s="261"/>
      <c r="L64" s="261">
        <v>0.1</v>
      </c>
      <c r="M64" s="261"/>
      <c r="N64" s="261">
        <v>0.1</v>
      </c>
      <c r="O64" s="261"/>
      <c r="P64" s="261">
        <v>0</v>
      </c>
      <c r="Q64" s="261"/>
      <c r="R64" s="261">
        <v>0.1</v>
      </c>
      <c r="S64" s="261"/>
      <c r="T64" s="261">
        <v>0</v>
      </c>
      <c r="U64" s="261"/>
      <c r="V64" s="261"/>
      <c r="W64" s="261"/>
      <c r="X64" s="261"/>
      <c r="Y64" s="261"/>
      <c r="Z64" s="261"/>
      <c r="AA64" s="368"/>
      <c r="AB64" s="237"/>
      <c r="AC64" s="261">
        <f t="shared" si="6"/>
        <v>0.5</v>
      </c>
      <c r="AD64" s="261"/>
      <c r="AE64" s="250"/>
      <c r="AF64" s="319">
        <v>0.3</v>
      </c>
      <c r="AG64" s="261"/>
      <c r="AH64" s="1276"/>
      <c r="AI64" s="1171">
        <f>ROUND(SUM(+AC64-AF64),1)</f>
        <v>0.2</v>
      </c>
      <c r="AJ64" s="1908"/>
      <c r="AK64" s="1864">
        <f>ROUND(IF(AF64=0,0,AI64/ABS(AF64)),3)</f>
        <v>0.66700000000000004</v>
      </c>
    </row>
    <row r="65" spans="1:37" ht="15" customHeight="1">
      <c r="A65" s="353"/>
      <c r="B65" s="1830" t="s">
        <v>1428</v>
      </c>
      <c r="C65" s="1830"/>
      <c r="D65" s="1171"/>
      <c r="E65" s="1173"/>
      <c r="F65" s="261"/>
      <c r="G65" s="1173"/>
      <c r="H65" s="261"/>
      <c r="I65" s="261"/>
      <c r="J65" s="319"/>
      <c r="K65" s="261"/>
      <c r="L65" s="261"/>
      <c r="M65" s="261"/>
      <c r="N65" s="261"/>
      <c r="O65" s="261"/>
      <c r="P65" s="261"/>
      <c r="Q65" s="261"/>
      <c r="R65" s="261"/>
      <c r="S65" s="261"/>
      <c r="T65" s="261"/>
      <c r="U65" s="261"/>
      <c r="V65" s="261"/>
      <c r="W65" s="261"/>
      <c r="X65" s="261"/>
      <c r="Y65" s="261"/>
      <c r="Z65" s="261"/>
      <c r="AA65" s="368"/>
      <c r="AB65" s="237"/>
      <c r="AC65" s="261"/>
      <c r="AD65" s="261"/>
      <c r="AE65" s="250"/>
      <c r="AF65" s="319"/>
      <c r="AG65" s="261"/>
      <c r="AH65" s="1276"/>
      <c r="AI65" s="1171"/>
      <c r="AJ65" s="1908"/>
      <c r="AK65" s="1932"/>
    </row>
    <row r="66" spans="1:37" ht="15" customHeight="1">
      <c r="A66" s="353"/>
      <c r="B66" s="1830" t="s">
        <v>1301</v>
      </c>
      <c r="C66" s="1830"/>
      <c r="D66" s="1171">
        <v>6.9</v>
      </c>
      <c r="E66" s="1173"/>
      <c r="F66" s="261">
        <v>5.5</v>
      </c>
      <c r="G66" s="1173"/>
      <c r="H66" s="261">
        <v>6.9</v>
      </c>
      <c r="I66" s="261"/>
      <c r="J66" s="319">
        <v>5.7</v>
      </c>
      <c r="K66" s="261"/>
      <c r="L66" s="261">
        <v>5.7</v>
      </c>
      <c r="M66" s="261"/>
      <c r="N66" s="261">
        <v>6.5</v>
      </c>
      <c r="O66" s="261"/>
      <c r="P66" s="261">
        <v>5.9</v>
      </c>
      <c r="Q66" s="261"/>
      <c r="R66" s="261">
        <v>4.0999999999999996</v>
      </c>
      <c r="S66" s="261"/>
      <c r="T66" s="261">
        <v>4.9000000000000004</v>
      </c>
      <c r="U66" s="261"/>
      <c r="V66" s="261"/>
      <c r="W66" s="261"/>
      <c r="X66" s="261"/>
      <c r="Y66" s="261"/>
      <c r="Z66" s="261"/>
      <c r="AA66" s="368"/>
      <c r="AB66" s="237"/>
      <c r="AC66" s="261">
        <f t="shared" si="6"/>
        <v>52.1</v>
      </c>
      <c r="AD66" s="261"/>
      <c r="AE66" s="250"/>
      <c r="AF66" s="319">
        <v>45.9</v>
      </c>
      <c r="AG66" s="261"/>
      <c r="AH66" s="1276"/>
      <c r="AI66" s="1171">
        <f t="shared" ref="AI66:AI72" si="7">ROUND(SUM(+AC66-AF66),1)</f>
        <v>6.2</v>
      </c>
      <c r="AJ66" s="1908"/>
      <c r="AK66" s="1864">
        <f>ROUND(IF(AF66=0,0,AI66/ABS(AF66)),3)</f>
        <v>0.13500000000000001</v>
      </c>
    </row>
    <row r="67" spans="1:37" ht="15" customHeight="1">
      <c r="A67" s="353"/>
      <c r="B67" s="1830" t="s">
        <v>1302</v>
      </c>
      <c r="C67" s="1830"/>
      <c r="D67" s="1171">
        <v>6.6</v>
      </c>
      <c r="E67" s="1173"/>
      <c r="F67" s="261">
        <v>16.5</v>
      </c>
      <c r="G67" s="1173"/>
      <c r="H67" s="261">
        <v>30.9</v>
      </c>
      <c r="I67" s="261"/>
      <c r="J67" s="319">
        <v>1.2</v>
      </c>
      <c r="K67" s="261"/>
      <c r="L67" s="261">
        <v>11.2</v>
      </c>
      <c r="M67" s="261"/>
      <c r="N67" s="261">
        <f>33.4-0.2</f>
        <v>33.199999999999996</v>
      </c>
      <c r="O67" s="261"/>
      <c r="P67" s="261">
        <v>2.9</v>
      </c>
      <c r="Q67" s="261"/>
      <c r="R67" s="261">
        <v>5.3</v>
      </c>
      <c r="S67" s="261"/>
      <c r="T67" s="261">
        <v>26.4</v>
      </c>
      <c r="U67" s="261"/>
      <c r="V67" s="261"/>
      <c r="W67" s="261"/>
      <c r="X67" s="261"/>
      <c r="Y67" s="261"/>
      <c r="Z67" s="261"/>
      <c r="AA67" s="368"/>
      <c r="AB67" s="237"/>
      <c r="AC67" s="261">
        <f t="shared" si="6"/>
        <v>134.19999999999999</v>
      </c>
      <c r="AD67" s="261"/>
      <c r="AE67" s="250"/>
      <c r="AF67" s="319">
        <v>141.9</v>
      </c>
      <c r="AG67" s="261"/>
      <c r="AH67" s="1276"/>
      <c r="AI67" s="1171">
        <f t="shared" si="7"/>
        <v>-7.7</v>
      </c>
      <c r="AJ67" s="1908"/>
      <c r="AK67" s="1864">
        <f>ROUND(IF(AF67=0,0,AI67/ABS(AF67)),3)</f>
        <v>-5.3999999999999999E-2</v>
      </c>
    </row>
    <row r="68" spans="1:37" ht="15" customHeight="1">
      <c r="A68" s="353"/>
      <c r="B68" s="1830" t="s">
        <v>1303</v>
      </c>
      <c r="C68" s="1830"/>
      <c r="D68" s="1171">
        <v>23.2</v>
      </c>
      <c r="E68" s="1173"/>
      <c r="F68" s="261">
        <v>21.1</v>
      </c>
      <c r="G68" s="1173"/>
      <c r="H68" s="261">
        <v>18</v>
      </c>
      <c r="I68" s="261"/>
      <c r="J68" s="319">
        <v>19.399999999999999</v>
      </c>
      <c r="K68" s="261"/>
      <c r="L68" s="261">
        <v>18.8</v>
      </c>
      <c r="M68" s="261"/>
      <c r="N68" s="261">
        <v>17.5</v>
      </c>
      <c r="O68" s="261"/>
      <c r="P68" s="261">
        <v>24.6</v>
      </c>
      <c r="Q68" s="261"/>
      <c r="R68" s="261">
        <v>11.6</v>
      </c>
      <c r="S68" s="261"/>
      <c r="T68" s="261">
        <v>19.7</v>
      </c>
      <c r="U68" s="261"/>
      <c r="V68" s="261"/>
      <c r="W68" s="261"/>
      <c r="X68" s="261"/>
      <c r="Y68" s="261"/>
      <c r="Z68" s="261"/>
      <c r="AA68" s="368"/>
      <c r="AB68" s="237"/>
      <c r="AC68" s="261">
        <f t="shared" si="6"/>
        <v>173.9</v>
      </c>
      <c r="AD68" s="261"/>
      <c r="AE68" s="250"/>
      <c r="AF68" s="319">
        <v>165.9</v>
      </c>
      <c r="AG68" s="261"/>
      <c r="AH68" s="1276"/>
      <c r="AI68" s="1171">
        <f t="shared" si="7"/>
        <v>8</v>
      </c>
      <c r="AJ68" s="1908"/>
      <c r="AK68" s="1864">
        <f>ROUND(IF(AF68=0,0,AI68/ABS(AF68)),3)</f>
        <v>4.8000000000000001E-2</v>
      </c>
    </row>
    <row r="69" spans="1:37" ht="15" customHeight="1">
      <c r="A69" s="353"/>
      <c r="B69" s="1830" t="s">
        <v>1304</v>
      </c>
      <c r="C69" s="1830"/>
      <c r="D69" s="1171">
        <v>0.1</v>
      </c>
      <c r="E69" s="1173"/>
      <c r="F69" s="261">
        <v>0</v>
      </c>
      <c r="G69" s="1173"/>
      <c r="H69" s="261">
        <v>0.1</v>
      </c>
      <c r="I69" s="261"/>
      <c r="J69" s="319">
        <v>0</v>
      </c>
      <c r="K69" s="261"/>
      <c r="L69" s="261">
        <v>0.1</v>
      </c>
      <c r="M69" s="261"/>
      <c r="N69" s="261">
        <v>0</v>
      </c>
      <c r="O69" s="261"/>
      <c r="P69" s="261">
        <v>0</v>
      </c>
      <c r="Q69" s="261"/>
      <c r="R69" s="261">
        <v>0.1</v>
      </c>
      <c r="S69" s="261"/>
      <c r="T69" s="261">
        <v>0</v>
      </c>
      <c r="U69" s="261"/>
      <c r="V69" s="261"/>
      <c r="W69" s="261"/>
      <c r="X69" s="261"/>
      <c r="Y69" s="261"/>
      <c r="Z69" s="261"/>
      <c r="AA69" s="368"/>
      <c r="AB69" s="237"/>
      <c r="AC69" s="261">
        <f t="shared" si="6"/>
        <v>0.4</v>
      </c>
      <c r="AD69" s="261"/>
      <c r="AE69" s="250"/>
      <c r="AF69" s="319">
        <v>0.5</v>
      </c>
      <c r="AG69" s="261"/>
      <c r="AH69" s="1276"/>
      <c r="AI69" s="1171">
        <f t="shared" si="7"/>
        <v>-0.1</v>
      </c>
      <c r="AJ69" s="1908"/>
      <c r="AK69" s="1864">
        <f>ROUND(IF(AF69=0,0,AI69/ABS(AF69)),3)</f>
        <v>-0.2</v>
      </c>
    </row>
    <row r="70" spans="1:37" ht="15" customHeight="1">
      <c r="A70" s="353"/>
      <c r="B70" s="1830" t="s">
        <v>1305</v>
      </c>
      <c r="C70" s="1830"/>
      <c r="D70" s="1171">
        <v>36</v>
      </c>
      <c r="E70" s="1173"/>
      <c r="F70" s="261">
        <v>0</v>
      </c>
      <c r="G70" s="1173"/>
      <c r="H70" s="261">
        <v>27.7</v>
      </c>
      <c r="I70" s="261"/>
      <c r="J70" s="319">
        <v>14.6</v>
      </c>
      <c r="K70" s="261"/>
      <c r="L70" s="261">
        <v>-2.9</v>
      </c>
      <c r="M70" s="261"/>
      <c r="N70" s="261">
        <v>19.8</v>
      </c>
      <c r="O70" s="261"/>
      <c r="P70" s="261">
        <v>20.6</v>
      </c>
      <c r="Q70" s="261"/>
      <c r="R70" s="261">
        <v>7.7</v>
      </c>
      <c r="S70" s="261"/>
      <c r="T70" s="261">
        <v>22</v>
      </c>
      <c r="U70" s="261"/>
      <c r="V70" s="261"/>
      <c r="W70" s="261"/>
      <c r="X70" s="261"/>
      <c r="Y70" s="261"/>
      <c r="Z70" s="261"/>
      <c r="AA70" s="368"/>
      <c r="AB70" s="237"/>
      <c r="AC70" s="261">
        <f>ROUND(SUM(D70:Z70),1)</f>
        <v>145.5</v>
      </c>
      <c r="AD70" s="261"/>
      <c r="AE70" s="250"/>
      <c r="AF70" s="319">
        <v>138.9</v>
      </c>
      <c r="AG70" s="261"/>
      <c r="AH70" s="1276"/>
      <c r="AI70" s="1171">
        <f t="shared" si="7"/>
        <v>6.6</v>
      </c>
      <c r="AJ70" s="1908"/>
      <c r="AK70" s="2880">
        <f>ROUND(IF(AF70=0,1,AI70/ABS(AF70)),3)</f>
        <v>4.8000000000000001E-2</v>
      </c>
    </row>
    <row r="71" spans="1:37" ht="15" customHeight="1">
      <c r="A71" s="353"/>
      <c r="B71" s="1830" t="s">
        <v>1306</v>
      </c>
      <c r="C71" s="1830"/>
      <c r="D71" s="1171">
        <v>1.2</v>
      </c>
      <c r="E71" s="1173"/>
      <c r="F71" s="261">
        <v>3.3</v>
      </c>
      <c r="G71" s="1173"/>
      <c r="H71" s="261">
        <v>1.2</v>
      </c>
      <c r="I71" s="261"/>
      <c r="J71" s="319">
        <v>0.3</v>
      </c>
      <c r="K71" s="261"/>
      <c r="L71" s="261">
        <v>2.5</v>
      </c>
      <c r="M71" s="261"/>
      <c r="N71" s="261">
        <v>6</v>
      </c>
      <c r="O71" s="261"/>
      <c r="P71" s="261">
        <v>-3.7</v>
      </c>
      <c r="Q71" s="261"/>
      <c r="R71" s="261">
        <v>-1.2</v>
      </c>
      <c r="S71" s="261"/>
      <c r="T71" s="261">
        <v>1.8</v>
      </c>
      <c r="U71" s="261"/>
      <c r="V71" s="261"/>
      <c r="W71" s="261"/>
      <c r="X71" s="261"/>
      <c r="Y71" s="261"/>
      <c r="Z71" s="261"/>
      <c r="AA71" s="368"/>
      <c r="AB71" s="237"/>
      <c r="AC71" s="261">
        <f t="shared" si="6"/>
        <v>11.4</v>
      </c>
      <c r="AD71" s="261"/>
      <c r="AE71" s="250"/>
      <c r="AF71" s="1833">
        <v>13.4</v>
      </c>
      <c r="AG71" s="261"/>
      <c r="AH71" s="1276"/>
      <c r="AI71" s="1171">
        <f t="shared" si="7"/>
        <v>-2</v>
      </c>
      <c r="AJ71" s="1908"/>
      <c r="AK71" s="1864">
        <f>ROUND(IF(AF71=0,0,AI71/ABS(AF71)),3)</f>
        <v>-0.14899999999999999</v>
      </c>
    </row>
    <row r="72" spans="1:37" ht="15" customHeight="1">
      <c r="A72" s="353"/>
      <c r="B72" s="1830" t="s">
        <v>1295</v>
      </c>
      <c r="C72" s="1830"/>
      <c r="D72" s="1171">
        <v>8.6</v>
      </c>
      <c r="E72" s="1173"/>
      <c r="F72" s="261">
        <v>1090</v>
      </c>
      <c r="G72" s="1173"/>
      <c r="H72" s="261">
        <v>44.2</v>
      </c>
      <c r="I72" s="261"/>
      <c r="J72" s="1833">
        <v>26.5</v>
      </c>
      <c r="K72" s="261"/>
      <c r="L72" s="261">
        <v>38.299999999999997</v>
      </c>
      <c r="M72" s="261"/>
      <c r="N72" s="261">
        <v>26.6</v>
      </c>
      <c r="O72" s="261"/>
      <c r="P72" s="261">
        <v>391.4</v>
      </c>
      <c r="Q72" s="261"/>
      <c r="R72" s="261">
        <v>412.5</v>
      </c>
      <c r="S72" s="261"/>
      <c r="T72" s="261">
        <v>52.9</v>
      </c>
      <c r="U72" s="261"/>
      <c r="V72" s="261"/>
      <c r="W72" s="261"/>
      <c r="X72" s="261"/>
      <c r="Y72" s="261"/>
      <c r="Z72" s="261"/>
      <c r="AA72" s="368"/>
      <c r="AB72" s="237"/>
      <c r="AC72" s="261">
        <f t="shared" si="6"/>
        <v>2091</v>
      </c>
      <c r="AD72" s="261"/>
      <c r="AE72" s="250"/>
      <c r="AF72" s="319">
        <v>4220.2</v>
      </c>
      <c r="AG72" s="261"/>
      <c r="AH72" s="1276"/>
      <c r="AI72" s="1171">
        <f t="shared" si="7"/>
        <v>-2129.1999999999998</v>
      </c>
      <c r="AJ72" s="1908"/>
      <c r="AK72" s="1864">
        <f>ROUND(IF(AF72=0,0,AI72/ABS(AF72)),3)</f>
        <v>-0.505</v>
      </c>
    </row>
    <row r="73" spans="1:37" ht="15" customHeight="1">
      <c r="A73" s="353"/>
      <c r="B73" s="1830" t="s">
        <v>1296</v>
      </c>
      <c r="C73" s="1830"/>
      <c r="D73" s="1171">
        <v>0.4</v>
      </c>
      <c r="E73" s="1173"/>
      <c r="F73" s="261">
        <v>0.3</v>
      </c>
      <c r="G73" s="1173"/>
      <c r="H73" s="261">
        <v>0.6</v>
      </c>
      <c r="I73" s="261"/>
      <c r="J73" s="319">
        <v>0.6</v>
      </c>
      <c r="K73" s="261"/>
      <c r="L73" s="261">
        <v>0.7</v>
      </c>
      <c r="M73" s="261"/>
      <c r="N73" s="261">
        <v>0.7</v>
      </c>
      <c r="O73" s="261"/>
      <c r="P73" s="261">
        <v>0.7</v>
      </c>
      <c r="Q73" s="261"/>
      <c r="R73" s="261">
        <v>0.8</v>
      </c>
      <c r="S73" s="261"/>
      <c r="T73" s="261">
        <v>0.8</v>
      </c>
      <c r="U73" s="261"/>
      <c r="V73" s="261"/>
      <c r="W73" s="261"/>
      <c r="X73" s="261"/>
      <c r="Y73" s="261"/>
      <c r="Z73" s="261"/>
      <c r="AA73" s="368"/>
      <c r="AB73" s="237"/>
      <c r="AC73" s="261">
        <f t="shared" si="6"/>
        <v>5.6</v>
      </c>
      <c r="AD73" s="261"/>
      <c r="AE73" s="250"/>
      <c r="AF73" s="319">
        <v>1.9</v>
      </c>
      <c r="AG73" s="261"/>
      <c r="AH73" s="1276"/>
      <c r="AI73" s="1171">
        <f>ROUND(SUM(+AC73-AF73),1)</f>
        <v>3.7</v>
      </c>
      <c r="AJ73" s="1908"/>
      <c r="AK73" s="2785">
        <f>ROUND(IF(AF73=0,1,AI73/ABS(AF73)),3)</f>
        <v>1.9470000000000001</v>
      </c>
    </row>
    <row r="74" spans="1:37" ht="15" customHeight="1">
      <c r="A74" s="353"/>
      <c r="B74" s="1830" t="s">
        <v>1426</v>
      </c>
      <c r="C74" s="1830"/>
      <c r="D74" s="1171"/>
      <c r="E74" s="1173"/>
      <c r="F74" s="261"/>
      <c r="G74" s="1173"/>
      <c r="H74" s="261"/>
      <c r="I74" s="261"/>
      <c r="J74" s="319"/>
      <c r="K74" s="261"/>
      <c r="L74" s="261"/>
      <c r="M74" s="261"/>
      <c r="N74" s="261"/>
      <c r="O74" s="261"/>
      <c r="P74" s="261"/>
      <c r="Q74" s="261"/>
      <c r="R74" s="261"/>
      <c r="S74" s="261"/>
      <c r="T74" s="261"/>
      <c r="U74" s="261"/>
      <c r="V74" s="261"/>
      <c r="W74" s="261"/>
      <c r="X74" s="261"/>
      <c r="Y74" s="261"/>
      <c r="Z74" s="261"/>
      <c r="AA74" s="368"/>
      <c r="AB74" s="237"/>
      <c r="AC74" s="261"/>
      <c r="AD74" s="261"/>
      <c r="AE74" s="250"/>
      <c r="AF74" s="319"/>
      <c r="AG74" s="261"/>
      <c r="AH74" s="1276"/>
      <c r="AI74" s="1171"/>
      <c r="AJ74" s="1908"/>
      <c r="AK74" s="1932"/>
    </row>
    <row r="75" spans="1:37" ht="15" customHeight="1">
      <c r="A75" s="353"/>
      <c r="B75" s="1830" t="s">
        <v>1311</v>
      </c>
      <c r="C75" s="1830"/>
      <c r="D75" s="1171">
        <v>0</v>
      </c>
      <c r="E75" s="1173"/>
      <c r="F75" s="261">
        <v>0</v>
      </c>
      <c r="G75" s="1173"/>
      <c r="H75" s="261">
        <v>0</v>
      </c>
      <c r="I75" s="261"/>
      <c r="J75" s="319">
        <v>0</v>
      </c>
      <c r="K75" s="261"/>
      <c r="L75" s="261">
        <v>4.8</v>
      </c>
      <c r="M75" s="261"/>
      <c r="N75" s="261">
        <v>0</v>
      </c>
      <c r="O75" s="261"/>
      <c r="P75" s="261">
        <v>0</v>
      </c>
      <c r="Q75" s="261"/>
      <c r="R75" s="261">
        <v>7.3</v>
      </c>
      <c r="S75" s="261"/>
      <c r="T75" s="261">
        <v>5</v>
      </c>
      <c r="U75" s="261"/>
      <c r="V75" s="261"/>
      <c r="W75" s="261"/>
      <c r="X75" s="261"/>
      <c r="Y75" s="261"/>
      <c r="Z75" s="261"/>
      <c r="AA75" s="368"/>
      <c r="AB75" s="237"/>
      <c r="AC75" s="261">
        <f t="shared" si="6"/>
        <v>17.100000000000001</v>
      </c>
      <c r="AD75" s="261"/>
      <c r="AE75" s="250"/>
      <c r="AF75" s="319">
        <v>12.8</v>
      </c>
      <c r="AG75" s="261"/>
      <c r="AH75" s="1276"/>
      <c r="AI75" s="1171">
        <f>ROUND(SUM(+AC75-AF75),1)</f>
        <v>4.3</v>
      </c>
      <c r="AJ75" s="1908"/>
      <c r="AK75" s="1864">
        <f>ROUND(IF(AF75=0,0,AI75/ABS(AF75)),3)</f>
        <v>0.33600000000000002</v>
      </c>
    </row>
    <row r="76" spans="1:37" ht="15" customHeight="1">
      <c r="A76" s="353"/>
      <c r="B76" s="1830" t="s">
        <v>1312</v>
      </c>
      <c r="C76" s="1830"/>
      <c r="D76" s="1171">
        <v>0</v>
      </c>
      <c r="E76" s="1173"/>
      <c r="F76" s="261">
        <v>0</v>
      </c>
      <c r="G76" s="1173"/>
      <c r="H76" s="261">
        <v>9.5</v>
      </c>
      <c r="I76" s="261"/>
      <c r="J76" s="319">
        <v>17.5</v>
      </c>
      <c r="K76" s="261"/>
      <c r="L76" s="261">
        <v>3.7</v>
      </c>
      <c r="M76" s="261"/>
      <c r="N76" s="261">
        <v>18.8</v>
      </c>
      <c r="O76" s="261"/>
      <c r="P76" s="261">
        <v>8.5</v>
      </c>
      <c r="Q76" s="261"/>
      <c r="R76" s="261">
        <v>2.7</v>
      </c>
      <c r="S76" s="261"/>
      <c r="T76" s="261">
        <v>13.8</v>
      </c>
      <c r="U76" s="261"/>
      <c r="V76" s="261"/>
      <c r="W76" s="261"/>
      <c r="X76" s="261"/>
      <c r="Y76" s="261"/>
      <c r="Z76" s="261"/>
      <c r="AA76" s="368"/>
      <c r="AB76" s="237"/>
      <c r="AC76" s="261">
        <f t="shared" si="6"/>
        <v>74.5</v>
      </c>
      <c r="AD76" s="261"/>
      <c r="AE76" s="250"/>
      <c r="AF76" s="319">
        <v>65.5</v>
      </c>
      <c r="AG76" s="261"/>
      <c r="AH76" s="1276"/>
      <c r="AI76" s="1171">
        <f>ROUND(SUM(+AC76-AF76),1)</f>
        <v>9</v>
      </c>
      <c r="AJ76" s="1908"/>
      <c r="AK76" s="1864">
        <f>ROUND(IF(AF76=0,0,AI76/ABS(AF76)),3)</f>
        <v>0.13700000000000001</v>
      </c>
    </row>
    <row r="77" spans="1:37" ht="15" customHeight="1">
      <c r="A77" s="353"/>
      <c r="B77" s="1830" t="s">
        <v>1313</v>
      </c>
      <c r="C77" s="1830"/>
      <c r="D77" s="1171">
        <v>0</v>
      </c>
      <c r="E77" s="1173"/>
      <c r="F77" s="261">
        <v>0</v>
      </c>
      <c r="G77" s="1173"/>
      <c r="H77" s="261">
        <v>0</v>
      </c>
      <c r="I77" s="261"/>
      <c r="J77" s="319">
        <v>0.3</v>
      </c>
      <c r="K77" s="261"/>
      <c r="L77" s="261">
        <v>0</v>
      </c>
      <c r="M77" s="261"/>
      <c r="N77" s="261">
        <v>41</v>
      </c>
      <c r="O77" s="261"/>
      <c r="P77" s="261">
        <v>0</v>
      </c>
      <c r="Q77" s="261"/>
      <c r="R77" s="261">
        <v>0</v>
      </c>
      <c r="S77" s="261"/>
      <c r="T77" s="261">
        <v>1</v>
      </c>
      <c r="U77" s="261"/>
      <c r="V77" s="261"/>
      <c r="W77" s="261"/>
      <c r="X77" s="261"/>
      <c r="Y77" s="261"/>
      <c r="Z77" s="261"/>
      <c r="AA77" s="368"/>
      <c r="AB77" s="237"/>
      <c r="AC77" s="261">
        <f t="shared" si="6"/>
        <v>42.3</v>
      </c>
      <c r="AD77" s="261"/>
      <c r="AE77" s="250"/>
      <c r="AF77" s="319">
        <v>0</v>
      </c>
      <c r="AG77" s="261"/>
      <c r="AH77" s="1276"/>
      <c r="AI77" s="1171">
        <f>ROUND(SUM(+AC77-AF77),1)</f>
        <v>42.3</v>
      </c>
      <c r="AJ77" s="1908"/>
      <c r="AK77" s="1864">
        <f>ROUND(IF(AF77=0,1,AI77/ABS(AF77)),3)</f>
        <v>1</v>
      </c>
    </row>
    <row r="78" spans="1:37" ht="15" customHeight="1">
      <c r="A78" s="353"/>
      <c r="B78" s="1830" t="s">
        <v>1314</v>
      </c>
      <c r="C78" s="1830"/>
      <c r="D78" s="1171">
        <v>0</v>
      </c>
      <c r="E78" s="1173"/>
      <c r="F78" s="261">
        <v>0</v>
      </c>
      <c r="G78" s="1173"/>
      <c r="H78" s="261">
        <v>0</v>
      </c>
      <c r="I78" s="261"/>
      <c r="J78" s="319">
        <v>0</v>
      </c>
      <c r="K78" s="261"/>
      <c r="L78" s="261">
        <v>0</v>
      </c>
      <c r="M78" s="261"/>
      <c r="N78" s="261">
        <v>0</v>
      </c>
      <c r="O78" s="261"/>
      <c r="P78" s="261">
        <v>0</v>
      </c>
      <c r="Q78" s="261"/>
      <c r="R78" s="261">
        <v>0</v>
      </c>
      <c r="S78" s="261"/>
      <c r="T78" s="261">
        <v>0</v>
      </c>
      <c r="U78" s="261"/>
      <c r="V78" s="261"/>
      <c r="W78" s="261"/>
      <c r="X78" s="261"/>
      <c r="Y78" s="261"/>
      <c r="Z78" s="261"/>
      <c r="AA78" s="368"/>
      <c r="AB78" s="237"/>
      <c r="AC78" s="261">
        <f t="shared" si="6"/>
        <v>0</v>
      </c>
      <c r="AD78" s="261"/>
      <c r="AE78" s="250"/>
      <c r="AF78" s="319">
        <v>0.1</v>
      </c>
      <c r="AG78" s="261"/>
      <c r="AH78" s="1276"/>
      <c r="AI78" s="1171">
        <f>ROUND(SUM(+AC78-AF78),1)</f>
        <v>-0.1</v>
      </c>
      <c r="AJ78" s="1908"/>
      <c r="AK78" s="2817">
        <f>ROUND(IF(AF78=0,0,AI78/ABS(AF78)),3)</f>
        <v>-1</v>
      </c>
    </row>
    <row r="79" spans="1:37" ht="15" customHeight="1">
      <c r="A79" s="353"/>
      <c r="B79" s="1830" t="s">
        <v>1315</v>
      </c>
      <c r="C79" s="1830"/>
      <c r="D79" s="1171">
        <v>0.2</v>
      </c>
      <c r="E79" s="1173"/>
      <c r="F79" s="261">
        <v>0.3</v>
      </c>
      <c r="G79" s="1173"/>
      <c r="H79" s="261">
        <v>0.6</v>
      </c>
      <c r="I79" s="261"/>
      <c r="J79" s="319">
        <v>0.2</v>
      </c>
      <c r="K79" s="261"/>
      <c r="L79" s="261">
        <v>1.1000000000000001</v>
      </c>
      <c r="M79" s="261"/>
      <c r="N79" s="261">
        <v>0.6</v>
      </c>
      <c r="O79" s="261"/>
      <c r="P79" s="261">
        <v>0.2</v>
      </c>
      <c r="Q79" s="261"/>
      <c r="R79" s="261">
        <v>0.1</v>
      </c>
      <c r="S79" s="261"/>
      <c r="T79" s="261">
        <v>0.3</v>
      </c>
      <c r="U79" s="261"/>
      <c r="V79" s="261"/>
      <c r="W79" s="261"/>
      <c r="X79" s="261"/>
      <c r="Y79" s="261"/>
      <c r="Z79" s="261"/>
      <c r="AA79" s="368"/>
      <c r="AB79" s="237"/>
      <c r="AC79" s="261">
        <f t="shared" si="6"/>
        <v>3.6</v>
      </c>
      <c r="AD79" s="261"/>
      <c r="AE79" s="250"/>
      <c r="AF79" s="319">
        <v>3.4</v>
      </c>
      <c r="AG79" s="261"/>
      <c r="AH79" s="1276"/>
      <c r="AI79" s="1171">
        <f>ROUND(SUM(+AC79-AF79),1)</f>
        <v>0.2</v>
      </c>
      <c r="AJ79" s="1908"/>
      <c r="AK79" s="2785">
        <f>ROUND(IF(AF79=0,0,AI79/ABS(AF79)),3)</f>
        <v>5.8999999999999997E-2</v>
      </c>
    </row>
    <row r="80" spans="1:37" ht="15" customHeight="1">
      <c r="A80" s="353"/>
      <c r="B80" s="1830" t="s">
        <v>1427</v>
      </c>
      <c r="C80" s="1830"/>
      <c r="D80" s="1171"/>
      <c r="E80" s="1173"/>
      <c r="F80" s="261"/>
      <c r="G80" s="1173"/>
      <c r="H80" s="261"/>
      <c r="I80" s="261"/>
      <c r="J80" s="319"/>
      <c r="K80" s="261"/>
      <c r="L80" s="261"/>
      <c r="M80" s="261"/>
      <c r="N80" s="261"/>
      <c r="O80" s="261"/>
      <c r="P80" s="261"/>
      <c r="Q80" s="261"/>
      <c r="R80" s="261"/>
      <c r="S80" s="261"/>
      <c r="T80" s="261"/>
      <c r="U80" s="261"/>
      <c r="V80" s="261"/>
      <c r="W80" s="261"/>
      <c r="X80" s="261"/>
      <c r="Y80" s="261"/>
      <c r="Z80" s="261"/>
      <c r="AA80" s="368"/>
      <c r="AB80" s="237"/>
      <c r="AC80" s="261"/>
      <c r="AD80" s="261"/>
      <c r="AE80" s="250"/>
      <c r="AF80" s="319"/>
      <c r="AG80" s="261"/>
      <c r="AH80" s="1276"/>
      <c r="AI80" s="1171"/>
      <c r="AJ80" s="1908"/>
      <c r="AK80" s="1932"/>
    </row>
    <row r="81" spans="1:37" ht="15" customHeight="1">
      <c r="A81" s="353"/>
      <c r="B81" s="1830" t="s">
        <v>1316</v>
      </c>
      <c r="C81" s="1830"/>
      <c r="D81" s="1171">
        <v>0</v>
      </c>
      <c r="E81" s="1173"/>
      <c r="F81" s="261">
        <v>0</v>
      </c>
      <c r="G81" s="1173"/>
      <c r="H81" s="261">
        <v>21.1</v>
      </c>
      <c r="I81" s="261"/>
      <c r="J81" s="319">
        <v>0</v>
      </c>
      <c r="K81" s="261"/>
      <c r="L81" s="261">
        <v>0.1</v>
      </c>
      <c r="M81" s="261"/>
      <c r="N81" s="261">
        <v>18.5</v>
      </c>
      <c r="O81" s="261"/>
      <c r="P81" s="1171">
        <v>0</v>
      </c>
      <c r="Q81" s="261"/>
      <c r="R81" s="261">
        <v>0.1</v>
      </c>
      <c r="S81" s="261"/>
      <c r="T81" s="1171">
        <v>21.3</v>
      </c>
      <c r="U81" s="261"/>
      <c r="V81" s="261"/>
      <c r="W81" s="261"/>
      <c r="X81" s="261"/>
      <c r="Y81" s="261"/>
      <c r="Z81" s="261"/>
      <c r="AA81" s="368"/>
      <c r="AB81" s="237"/>
      <c r="AC81" s="261">
        <f t="shared" si="6"/>
        <v>61.1</v>
      </c>
      <c r="AD81" s="261"/>
      <c r="AE81" s="250"/>
      <c r="AF81" s="319">
        <v>70.7</v>
      </c>
      <c r="AG81" s="261"/>
      <c r="AH81" s="1276"/>
      <c r="AI81" s="1171">
        <f t="shared" ref="AI81:AI88" si="8">ROUND(SUM(+AC81-AF81),1)</f>
        <v>-9.6</v>
      </c>
      <c r="AJ81" s="1908"/>
      <c r="AK81" s="2817">
        <f>ROUND(IF(AF81=0,0,AI81/ABS(AF81)),3)</f>
        <v>-0.13600000000000001</v>
      </c>
    </row>
    <row r="82" spans="1:37" ht="15" customHeight="1">
      <c r="A82" s="353"/>
      <c r="B82" s="1830" t="s">
        <v>1318</v>
      </c>
      <c r="C82" s="1830"/>
      <c r="D82" s="1171">
        <v>0.1</v>
      </c>
      <c r="E82" s="1173"/>
      <c r="F82" s="261">
        <v>0</v>
      </c>
      <c r="G82" s="1173"/>
      <c r="H82" s="261">
        <v>0</v>
      </c>
      <c r="I82" s="261"/>
      <c r="J82" s="319">
        <v>0</v>
      </c>
      <c r="K82" s="261"/>
      <c r="L82" s="261">
        <v>0</v>
      </c>
      <c r="M82" s="261"/>
      <c r="N82" s="261">
        <v>0</v>
      </c>
      <c r="O82" s="261"/>
      <c r="P82" s="261">
        <v>0</v>
      </c>
      <c r="Q82" s="261"/>
      <c r="R82" s="261">
        <v>0</v>
      </c>
      <c r="S82" s="261"/>
      <c r="T82" s="261">
        <v>0</v>
      </c>
      <c r="U82" s="261"/>
      <c r="V82" s="261"/>
      <c r="W82" s="261"/>
      <c r="X82" s="261"/>
      <c r="Y82" s="261"/>
      <c r="Z82" s="261"/>
      <c r="AA82" s="368"/>
      <c r="AB82" s="237"/>
      <c r="AC82" s="261">
        <f t="shared" si="6"/>
        <v>0.1</v>
      </c>
      <c r="AD82" s="261"/>
      <c r="AE82" s="250"/>
      <c r="AF82" s="319">
        <v>0</v>
      </c>
      <c r="AG82" s="261"/>
      <c r="AH82" s="1276"/>
      <c r="AI82" s="1171">
        <f t="shared" si="8"/>
        <v>0.1</v>
      </c>
      <c r="AJ82" s="1908"/>
      <c r="AK82" s="2817">
        <f>ROUND(IF(AF82=0,1,AI82/ABS(AF82)),3)</f>
        <v>1</v>
      </c>
    </row>
    <row r="83" spans="1:37" ht="15" customHeight="1">
      <c r="A83" s="353"/>
      <c r="B83" s="1830" t="s">
        <v>1319</v>
      </c>
      <c r="C83" s="1830"/>
      <c r="D83" s="1171">
        <v>1.4</v>
      </c>
      <c r="E83" s="1173"/>
      <c r="F83" s="261">
        <v>8</v>
      </c>
      <c r="G83" s="1173"/>
      <c r="H83" s="261">
        <v>14.6</v>
      </c>
      <c r="I83" s="261"/>
      <c r="J83" s="319">
        <v>2.4</v>
      </c>
      <c r="K83" s="261"/>
      <c r="L83" s="261">
        <v>23.9</v>
      </c>
      <c r="M83" s="261"/>
      <c r="N83" s="261">
        <v>7.7</v>
      </c>
      <c r="O83" s="261"/>
      <c r="P83" s="261">
        <v>0.1</v>
      </c>
      <c r="Q83" s="261"/>
      <c r="R83" s="261">
        <v>1.4</v>
      </c>
      <c r="S83" s="261"/>
      <c r="T83" s="261">
        <v>23.2</v>
      </c>
      <c r="U83" s="261"/>
      <c r="V83" s="261"/>
      <c r="W83" s="261"/>
      <c r="X83" s="261"/>
      <c r="Y83" s="261"/>
      <c r="Z83" s="261"/>
      <c r="AA83" s="368"/>
      <c r="AB83" s="237"/>
      <c r="AC83" s="261">
        <f t="shared" si="6"/>
        <v>82.7</v>
      </c>
      <c r="AD83" s="261"/>
      <c r="AE83" s="250"/>
      <c r="AF83" s="319">
        <v>91.2</v>
      </c>
      <c r="AG83" s="261"/>
      <c r="AH83" s="1276"/>
      <c r="AI83" s="1171">
        <f t="shared" si="8"/>
        <v>-8.5</v>
      </c>
      <c r="AJ83" s="1908"/>
      <c r="AK83" s="1864">
        <f>ROUND(IF(AF83=0,1,AI83/ABS(AF83)),3)</f>
        <v>-9.2999999999999999E-2</v>
      </c>
    </row>
    <row r="84" spans="1:37" ht="15" customHeight="1">
      <c r="A84" s="353"/>
      <c r="B84" s="1830" t="s">
        <v>1321</v>
      </c>
      <c r="C84" s="1830"/>
      <c r="D84" s="1171">
        <v>0</v>
      </c>
      <c r="E84" s="1173"/>
      <c r="F84" s="261">
        <v>0</v>
      </c>
      <c r="G84" s="1173"/>
      <c r="H84" s="261">
        <v>-0.8</v>
      </c>
      <c r="I84" s="261"/>
      <c r="J84" s="319">
        <v>2.2000000000000002</v>
      </c>
      <c r="K84" s="261"/>
      <c r="L84" s="261">
        <v>-0.2</v>
      </c>
      <c r="M84" s="261"/>
      <c r="N84" s="261">
        <v>0</v>
      </c>
      <c r="O84" s="261"/>
      <c r="P84" s="261">
        <v>0</v>
      </c>
      <c r="Q84" s="261"/>
      <c r="R84" s="261">
        <v>2.5</v>
      </c>
      <c r="S84" s="261"/>
      <c r="T84" s="261">
        <v>2.5</v>
      </c>
      <c r="U84" s="261"/>
      <c r="V84" s="261"/>
      <c r="W84" s="261"/>
      <c r="X84" s="261"/>
      <c r="Y84" s="261"/>
      <c r="Z84" s="1171"/>
      <c r="AA84" s="368"/>
      <c r="AB84" s="237"/>
      <c r="AC84" s="261">
        <f t="shared" si="6"/>
        <v>6.2</v>
      </c>
      <c r="AD84" s="261"/>
      <c r="AE84" s="250"/>
      <c r="AF84" s="319">
        <v>1.3</v>
      </c>
      <c r="AG84" s="261"/>
      <c r="AH84" s="1276"/>
      <c r="AI84" s="1171">
        <f t="shared" si="8"/>
        <v>4.9000000000000004</v>
      </c>
      <c r="AJ84" s="1908"/>
      <c r="AK84" s="2817">
        <f>ROUND(IF(AF84=0,1,AI84/ABS(AF84)),3)</f>
        <v>3.7690000000000001</v>
      </c>
    </row>
    <row r="85" spans="1:37" ht="15" customHeight="1">
      <c r="A85" s="353"/>
      <c r="B85" s="1830" t="s">
        <v>1322</v>
      </c>
      <c r="C85" s="1830"/>
      <c r="D85" s="1171">
        <v>81.7</v>
      </c>
      <c r="E85" s="1173"/>
      <c r="F85" s="261">
        <v>1050</v>
      </c>
      <c r="G85" s="1173"/>
      <c r="H85" s="261">
        <v>0</v>
      </c>
      <c r="I85" s="261"/>
      <c r="J85" s="319">
        <v>0</v>
      </c>
      <c r="K85" s="261"/>
      <c r="L85" s="261">
        <v>0.1</v>
      </c>
      <c r="M85" s="261"/>
      <c r="N85" s="261">
        <v>0.2</v>
      </c>
      <c r="O85" s="261"/>
      <c r="P85" s="261">
        <v>0.3</v>
      </c>
      <c r="Q85" s="261"/>
      <c r="R85" s="261">
        <v>96.1</v>
      </c>
      <c r="S85" s="261"/>
      <c r="T85" s="261">
        <v>0.9</v>
      </c>
      <c r="U85" s="261"/>
      <c r="V85" s="261"/>
      <c r="W85" s="261"/>
      <c r="X85" s="261"/>
      <c r="Y85" s="261"/>
      <c r="Z85" s="261"/>
      <c r="AA85" s="368"/>
      <c r="AB85" s="237"/>
      <c r="AC85" s="261">
        <f t="shared" si="6"/>
        <v>1229.3</v>
      </c>
      <c r="AD85" s="261"/>
      <c r="AE85" s="250"/>
      <c r="AF85" s="319">
        <v>274</v>
      </c>
      <c r="AG85" s="261"/>
      <c r="AH85" s="1276"/>
      <c r="AI85" s="1171">
        <f t="shared" si="8"/>
        <v>955.3</v>
      </c>
      <c r="AJ85" s="1908"/>
      <c r="AK85" s="2880">
        <f>ROUND(IF(AF85=0,1,AI85/ABS(AF85)),3)</f>
        <v>3.4860000000000002</v>
      </c>
    </row>
    <row r="86" spans="1:37" ht="15" customHeight="1">
      <c r="A86" s="353"/>
      <c r="B86" s="1830" t="s">
        <v>1323</v>
      </c>
      <c r="C86" s="1830"/>
      <c r="D86" s="1171">
        <v>0</v>
      </c>
      <c r="E86" s="1173"/>
      <c r="F86" s="261">
        <v>0</v>
      </c>
      <c r="G86" s="1173"/>
      <c r="H86" s="261">
        <v>0</v>
      </c>
      <c r="I86" s="261"/>
      <c r="J86" s="319">
        <v>0</v>
      </c>
      <c r="K86" s="261"/>
      <c r="L86" s="261">
        <v>0</v>
      </c>
      <c r="M86" s="261"/>
      <c r="N86" s="261">
        <v>0</v>
      </c>
      <c r="O86" s="261"/>
      <c r="P86" s="261">
        <v>0</v>
      </c>
      <c r="Q86" s="261"/>
      <c r="R86" s="261">
        <v>0</v>
      </c>
      <c r="S86" s="261"/>
      <c r="T86" s="261">
        <v>0</v>
      </c>
      <c r="U86" s="261"/>
      <c r="V86" s="261"/>
      <c r="W86" s="261"/>
      <c r="X86" s="261"/>
      <c r="Y86" s="261"/>
      <c r="Z86" s="261"/>
      <c r="AA86" s="368"/>
      <c r="AB86" s="237"/>
      <c r="AC86" s="261">
        <f t="shared" si="6"/>
        <v>0</v>
      </c>
      <c r="AD86" s="261"/>
      <c r="AE86" s="250"/>
      <c r="AF86" s="319">
        <v>0</v>
      </c>
      <c r="AG86" s="261"/>
      <c r="AH86" s="1276"/>
      <c r="AI86" s="1171">
        <f t="shared" si="8"/>
        <v>0</v>
      </c>
      <c r="AJ86" s="1908"/>
      <c r="AK86" s="1864">
        <f>ROUND(IF(AF86=0,0,AI86/ABS(AF86)),3)</f>
        <v>0</v>
      </c>
    </row>
    <row r="87" spans="1:37" ht="15" customHeight="1">
      <c r="A87" s="353"/>
      <c r="B87" s="1830" t="s">
        <v>1324</v>
      </c>
      <c r="C87" s="1830"/>
      <c r="D87" s="1171">
        <v>4.5999999999999996</v>
      </c>
      <c r="E87" s="1173"/>
      <c r="F87" s="261">
        <v>-0.6</v>
      </c>
      <c r="G87" s="1173"/>
      <c r="H87" s="261">
        <v>1</v>
      </c>
      <c r="I87" s="261"/>
      <c r="J87" s="319">
        <v>4</v>
      </c>
      <c r="K87" s="261"/>
      <c r="L87" s="261">
        <v>2.2000000000000002</v>
      </c>
      <c r="M87" s="261"/>
      <c r="N87" s="261">
        <v>2.2000000000000002</v>
      </c>
      <c r="O87" s="261"/>
      <c r="P87" s="261">
        <v>2.2000000000000002</v>
      </c>
      <c r="Q87" s="261"/>
      <c r="R87" s="261">
        <v>5</v>
      </c>
      <c r="S87" s="261"/>
      <c r="T87" s="261">
        <v>2.4</v>
      </c>
      <c r="U87" s="261"/>
      <c r="V87" s="261"/>
      <c r="W87" s="261"/>
      <c r="X87" s="261"/>
      <c r="Y87" s="261"/>
      <c r="Z87" s="261"/>
      <c r="AA87" s="368"/>
      <c r="AB87" s="237"/>
      <c r="AC87" s="261">
        <f t="shared" si="6"/>
        <v>23</v>
      </c>
      <c r="AD87" s="261"/>
      <c r="AE87" s="250"/>
      <c r="AF87" s="319">
        <v>7.2</v>
      </c>
      <c r="AG87" s="261"/>
      <c r="AH87" s="1276"/>
      <c r="AI87" s="1171">
        <f t="shared" si="8"/>
        <v>15.8</v>
      </c>
      <c r="AJ87" s="1908"/>
      <c r="AK87" s="1864">
        <f>ROUND(IF(AF87=0,0,AI87/ABS(AF87)),3)</f>
        <v>2.194</v>
      </c>
    </row>
    <row r="88" spans="1:37" ht="15" customHeight="1">
      <c r="A88" s="353"/>
      <c r="B88" s="1830" t="s">
        <v>1325</v>
      </c>
      <c r="C88" s="1830"/>
      <c r="D88" s="1171">
        <v>1</v>
      </c>
      <c r="E88" s="1173"/>
      <c r="F88" s="261">
        <v>-0.3</v>
      </c>
      <c r="G88" s="1173"/>
      <c r="H88" s="261">
        <v>0.2</v>
      </c>
      <c r="I88" s="261"/>
      <c r="J88" s="319">
        <v>0</v>
      </c>
      <c r="K88" s="261"/>
      <c r="L88" s="261">
        <v>4.0999999999999996</v>
      </c>
      <c r="M88" s="261"/>
      <c r="N88" s="261">
        <v>-0.4</v>
      </c>
      <c r="O88" s="261"/>
      <c r="P88" s="261">
        <v>0.1</v>
      </c>
      <c r="Q88" s="261"/>
      <c r="R88" s="261">
        <v>0.6</v>
      </c>
      <c r="S88" s="261"/>
      <c r="T88" s="261">
        <v>-1.2</v>
      </c>
      <c r="U88" s="261"/>
      <c r="V88" s="261"/>
      <c r="W88" s="261"/>
      <c r="X88" s="261"/>
      <c r="Y88" s="261"/>
      <c r="Z88" s="261"/>
      <c r="AA88" s="368"/>
      <c r="AB88" s="237"/>
      <c r="AC88" s="261">
        <f t="shared" si="6"/>
        <v>4.0999999999999996</v>
      </c>
      <c r="AD88" s="261"/>
      <c r="AE88" s="250"/>
      <c r="AF88" s="319">
        <v>1.9</v>
      </c>
      <c r="AG88" s="261"/>
      <c r="AH88" s="1276"/>
      <c r="AI88" s="1171">
        <f t="shared" si="8"/>
        <v>2.2000000000000002</v>
      </c>
      <c r="AJ88" s="1908"/>
      <c r="AK88" s="2817">
        <f>ROUND(IF(AF88=0,1,AI88/ABS(AF88)),3)</f>
        <v>1.1579999999999999</v>
      </c>
    </row>
    <row r="89" spans="1:37" s="422" customFormat="1" ht="15" customHeight="1">
      <c r="A89" s="2100"/>
      <c r="B89" s="589" t="s">
        <v>1361</v>
      </c>
      <c r="C89" s="413"/>
      <c r="D89" s="484">
        <f>ROUND(SUM(D58:D88),1)</f>
        <v>178.2</v>
      </c>
      <c r="E89" s="2101"/>
      <c r="F89" s="484">
        <f>ROUND(SUM(F58:F88),1)</f>
        <v>2444.6</v>
      </c>
      <c r="G89" s="2101"/>
      <c r="H89" s="484">
        <f>ROUND(SUM(H58:H88),1)</f>
        <v>187.8</v>
      </c>
      <c r="I89" s="1886"/>
      <c r="J89" s="1283">
        <f>ROUND(SUM(J58:J88),1)</f>
        <v>99.6</v>
      </c>
      <c r="K89" s="1886"/>
      <c r="L89" s="484">
        <f>ROUND(SUM(L58:L88),1)</f>
        <v>120</v>
      </c>
      <c r="M89" s="1886"/>
      <c r="N89" s="484">
        <f>ROUND(SUM(N58:N88),1)</f>
        <v>383.2</v>
      </c>
      <c r="O89" s="1886"/>
      <c r="P89" s="484">
        <f>ROUND(SUM(P58:P88),1)</f>
        <v>496.9</v>
      </c>
      <c r="Q89" s="1886"/>
      <c r="R89" s="484">
        <f>ROUND(SUM(R58:R88),1)</f>
        <v>683.1</v>
      </c>
      <c r="S89" s="1886"/>
      <c r="T89" s="484">
        <f>ROUND(SUM(T58:T88),1)</f>
        <v>256</v>
      </c>
      <c r="U89" s="1886"/>
      <c r="V89" s="484">
        <f>ROUND(SUM(V58:V88),1)</f>
        <v>0</v>
      </c>
      <c r="W89" s="1886"/>
      <c r="X89" s="484">
        <f>ROUND(SUM(X58:X88),1)</f>
        <v>0</v>
      </c>
      <c r="Y89" s="1886"/>
      <c r="Z89" s="484">
        <f>ROUND(SUM(Z58:Z88),1)</f>
        <v>0</v>
      </c>
      <c r="AA89" s="410"/>
      <c r="AB89" s="485"/>
      <c r="AC89" s="484">
        <f>ROUND(SUM(AC58:AC88),1)</f>
        <v>4849.3999999999996</v>
      </c>
      <c r="AD89" s="1886"/>
      <c r="AE89" s="259"/>
      <c r="AF89" s="1283">
        <f>ROUND(SUM(AF58:AF88),1)</f>
        <v>6798.7</v>
      </c>
      <c r="AG89" s="1886"/>
      <c r="AH89" s="1278"/>
      <c r="AI89" s="484">
        <f>ROUND(SUM(AI58:AI88),1)</f>
        <v>-1949.3</v>
      </c>
      <c r="AJ89" s="273"/>
      <c r="AK89" s="2102">
        <f>ROUND(SUM(+AI89/AF89),3)</f>
        <v>-0.28699999999999998</v>
      </c>
    </row>
    <row r="90" spans="1:37" s="422" customFormat="1" ht="8.25" customHeight="1">
      <c r="A90" s="2100"/>
      <c r="B90" s="221"/>
      <c r="C90" s="413"/>
      <c r="D90" s="1886"/>
      <c r="E90" s="2101"/>
      <c r="F90" s="1886"/>
      <c r="G90" s="2101"/>
      <c r="H90" s="1886"/>
      <c r="I90" s="1886"/>
      <c r="J90" s="313"/>
      <c r="K90" s="1886"/>
      <c r="L90" s="1886"/>
      <c r="M90" s="1886"/>
      <c r="N90" s="1886"/>
      <c r="O90" s="1886"/>
      <c r="P90" s="1886"/>
      <c r="Q90" s="1886"/>
      <c r="R90" s="1886"/>
      <c r="S90" s="1886"/>
      <c r="T90" s="1886"/>
      <c r="U90" s="1886"/>
      <c r="V90" s="1886"/>
      <c r="W90" s="1886"/>
      <c r="X90" s="1886"/>
      <c r="Y90" s="1886"/>
      <c r="Z90" s="1886"/>
      <c r="AA90" s="410"/>
      <c r="AB90" s="478"/>
      <c r="AC90" s="1886"/>
      <c r="AD90" s="1886"/>
      <c r="AE90" s="259"/>
      <c r="AF90" s="313"/>
      <c r="AG90" s="1886"/>
      <c r="AH90" s="1278"/>
      <c r="AI90" s="1886"/>
      <c r="AJ90" s="273"/>
      <c r="AK90" s="513"/>
    </row>
    <row r="91" spans="1:37" ht="15" customHeight="1">
      <c r="A91" s="353"/>
      <c r="B91" s="1358" t="s">
        <v>1635</v>
      </c>
      <c r="C91" s="222"/>
      <c r="D91" s="1172">
        <v>0</v>
      </c>
      <c r="E91" s="261"/>
      <c r="F91" s="1172">
        <v>0.1</v>
      </c>
      <c r="G91" s="261"/>
      <c r="H91" s="1172">
        <v>0</v>
      </c>
      <c r="I91" s="261"/>
      <c r="J91" s="2135">
        <v>0</v>
      </c>
      <c r="K91" s="261"/>
      <c r="L91" s="1172">
        <v>0</v>
      </c>
      <c r="M91" s="261"/>
      <c r="N91" s="1172">
        <v>0.1</v>
      </c>
      <c r="O91" s="261"/>
      <c r="P91" s="1174">
        <v>0</v>
      </c>
      <c r="Q91" s="261"/>
      <c r="R91" s="1172">
        <v>0</v>
      </c>
      <c r="S91" s="261"/>
      <c r="T91" s="1172">
        <v>0.1</v>
      </c>
      <c r="U91" s="261"/>
      <c r="V91" s="1172"/>
      <c r="W91" s="261"/>
      <c r="X91" s="516"/>
      <c r="Y91" s="261"/>
      <c r="Z91" s="261"/>
      <c r="AA91" s="474"/>
      <c r="AB91" s="228"/>
      <c r="AC91" s="319">
        <f>ROUND(SUM(D91:Z91),1)</f>
        <v>0.3</v>
      </c>
      <c r="AD91" s="261"/>
      <c r="AE91" s="250"/>
      <c r="AF91" s="1277">
        <v>0.8</v>
      </c>
      <c r="AG91" s="249"/>
      <c r="AH91" s="1276"/>
      <c r="AI91" s="2749">
        <f>ROUND(SUM(+AC91-AF91),1)</f>
        <v>-0.5</v>
      </c>
      <c r="AJ91" s="1908"/>
      <c r="AK91" s="2900">
        <f>ROUND(IF(AF91=0,0,AI91/ABS(AF91)),3)</f>
        <v>-0.625</v>
      </c>
    </row>
    <row r="92" spans="1:37" ht="3.9" customHeight="1">
      <c r="A92" s="353"/>
      <c r="B92" s="223"/>
      <c r="C92" s="222"/>
      <c r="D92" s="289"/>
      <c r="E92" s="261"/>
      <c r="F92" s="289"/>
      <c r="G92" s="261"/>
      <c r="H92" s="289"/>
      <c r="I92" s="261"/>
      <c r="J92" s="328"/>
      <c r="K92" s="261"/>
      <c r="L92" s="289"/>
      <c r="M92" s="261"/>
      <c r="N92" s="289"/>
      <c r="O92" s="261"/>
      <c r="P92" s="261"/>
      <c r="Q92" s="261"/>
      <c r="R92" s="289"/>
      <c r="S92" s="261"/>
      <c r="T92" s="289"/>
      <c r="U92" s="261"/>
      <c r="V92" s="289"/>
      <c r="W92" s="261"/>
      <c r="X92" s="289"/>
      <c r="Y92" s="261"/>
      <c r="Z92" s="289"/>
      <c r="AA92" s="476"/>
      <c r="AB92" s="228"/>
      <c r="AC92" s="328"/>
      <c r="AD92" s="261"/>
      <c r="AE92" s="250"/>
      <c r="AF92" s="328"/>
      <c r="AG92" s="249"/>
      <c r="AH92" s="1276"/>
      <c r="AI92" s="1171"/>
      <c r="AJ92" s="1908"/>
      <c r="AK92" s="1932"/>
    </row>
    <row r="93" spans="1:37" ht="15" customHeight="1">
      <c r="A93" s="353"/>
      <c r="B93" s="221" t="s">
        <v>156</v>
      </c>
      <c r="C93" s="222"/>
      <c r="D93" s="271">
        <f>ROUND(SUM(D91+D89+D54),1)</f>
        <v>6074.2</v>
      </c>
      <c r="E93" s="257"/>
      <c r="F93" s="271">
        <f>ROUND(SUM(F91+F89+F54),1)</f>
        <v>4816</v>
      </c>
      <c r="G93" s="257"/>
      <c r="H93" s="271">
        <f>ROUND(SUM(H91+H89+H54),1)</f>
        <v>5278.3</v>
      </c>
      <c r="I93" s="257"/>
      <c r="J93" s="314">
        <f>ROUND(SUM(J91+J89+J54),1)</f>
        <v>3043.2</v>
      </c>
      <c r="K93" s="257"/>
      <c r="L93" s="1886">
        <f>ROUND(SUM(L91+L89+L54),1)</f>
        <v>2931</v>
      </c>
      <c r="M93" s="257"/>
      <c r="N93" s="271">
        <f>ROUND(SUM(N91+N89+N54),1)</f>
        <v>5966.2</v>
      </c>
      <c r="O93" s="1886"/>
      <c r="P93" s="271">
        <f>ROUND(SUM(P91+P89+P54),1)</f>
        <v>3048</v>
      </c>
      <c r="Q93" s="1886"/>
      <c r="R93" s="271">
        <f>ROUND(SUM(R91+R89+R54),1)</f>
        <v>3062.7</v>
      </c>
      <c r="S93" s="1886"/>
      <c r="T93" s="271">
        <f>ROUND(SUM(T91+T89+T54),1)</f>
        <v>5681.9</v>
      </c>
      <c r="U93" s="1886"/>
      <c r="V93" s="271">
        <f>ROUND(SUM(V91+V89+V54),1)</f>
        <v>0</v>
      </c>
      <c r="W93" s="1886"/>
      <c r="X93" s="271">
        <f>ROUND(SUM(X91+X89+X54),1)</f>
        <v>0</v>
      </c>
      <c r="Y93" s="1886"/>
      <c r="Z93" s="271">
        <f>ROUND(SUM(Z91+Z89+Z54),1)</f>
        <v>0</v>
      </c>
      <c r="AA93" s="477"/>
      <c r="AB93" s="478"/>
      <c r="AC93" s="271">
        <f>ROUND(SUM(AC91+AC89+AC54),1)</f>
        <v>39901.5</v>
      </c>
      <c r="AD93" s="257"/>
      <c r="AE93" s="259"/>
      <c r="AF93" s="314">
        <f>ROUND(SUM(AF91+AF89+AF54),1)</f>
        <v>38339</v>
      </c>
      <c r="AG93" s="273"/>
      <c r="AH93" s="1278"/>
      <c r="AI93" s="271">
        <f>ROUND(SUM(AI91+AI89+AI54),1)</f>
        <v>1562.5</v>
      </c>
      <c r="AJ93" s="273"/>
      <c r="AK93" s="525">
        <f>ROUND(SUM(+AI93/AF93),3)</f>
        <v>4.1000000000000002E-2</v>
      </c>
    </row>
    <row r="94" spans="1:37" ht="15" customHeight="1">
      <c r="A94" s="353"/>
      <c r="B94" s="223"/>
      <c r="C94" s="222"/>
      <c r="D94" s="249"/>
      <c r="E94" s="261"/>
      <c r="F94" s="249"/>
      <c r="G94" s="261"/>
      <c r="H94" s="249"/>
      <c r="I94" s="261"/>
      <c r="J94" s="262"/>
      <c r="K94" s="261"/>
      <c r="L94" s="289"/>
      <c r="M94" s="261"/>
      <c r="N94" s="249"/>
      <c r="O94" s="261"/>
      <c r="P94" s="249"/>
      <c r="Q94" s="261"/>
      <c r="R94" s="249"/>
      <c r="S94" s="261"/>
      <c r="T94" s="249"/>
      <c r="U94" s="261"/>
      <c r="V94" s="249"/>
      <c r="W94" s="261"/>
      <c r="X94" s="249"/>
      <c r="Y94" s="261"/>
      <c r="Z94" s="249"/>
      <c r="AA94" s="253"/>
      <c r="AB94" s="237"/>
      <c r="AC94" s="249"/>
      <c r="AD94" s="261"/>
      <c r="AE94" s="250"/>
      <c r="AF94" s="262"/>
      <c r="AG94" s="249"/>
      <c r="AH94" s="1276"/>
      <c r="AI94" s="1171"/>
      <c r="AJ94" s="1908"/>
      <c r="AK94" s="1932"/>
    </row>
    <row r="95" spans="1:37" ht="15" customHeight="1">
      <c r="A95" s="353"/>
      <c r="B95" s="221" t="s">
        <v>24</v>
      </c>
      <c r="C95" s="222"/>
      <c r="D95" s="261"/>
      <c r="E95" s="261"/>
      <c r="F95" s="261"/>
      <c r="G95" s="261"/>
      <c r="H95" s="261"/>
      <c r="I95" s="261"/>
      <c r="J95" s="319"/>
      <c r="K95" s="261"/>
      <c r="L95" s="261"/>
      <c r="M95" s="261"/>
      <c r="N95" s="261"/>
      <c r="O95" s="261"/>
      <c r="P95" s="261"/>
      <c r="Q95" s="261"/>
      <c r="R95" s="261"/>
      <c r="S95" s="261"/>
      <c r="T95" s="261"/>
      <c r="U95" s="261"/>
      <c r="V95" s="261"/>
      <c r="W95" s="261"/>
      <c r="X95" s="261"/>
      <c r="Y95" s="261"/>
      <c r="Z95" s="261"/>
      <c r="AA95" s="368"/>
      <c r="AB95" s="237"/>
      <c r="AC95" s="261"/>
      <c r="AD95" s="261"/>
      <c r="AE95" s="250"/>
      <c r="AF95" s="319"/>
      <c r="AG95" s="261"/>
      <c r="AH95" s="1276"/>
      <c r="AI95" s="1171"/>
      <c r="AJ95" s="1908"/>
      <c r="AK95" s="1932"/>
    </row>
    <row r="96" spans="1:37" ht="15" customHeight="1">
      <c r="A96" s="353"/>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8"/>
      <c r="AB96" s="237"/>
      <c r="AC96" s="261"/>
      <c r="AD96" s="261"/>
      <c r="AE96" s="250"/>
      <c r="AF96" s="2146"/>
      <c r="AG96" s="1280"/>
      <c r="AH96" s="1276"/>
      <c r="AI96" s="1171"/>
      <c r="AJ96" s="1908"/>
      <c r="AK96" s="1932"/>
    </row>
    <row r="97" spans="1:37" ht="15" customHeight="1">
      <c r="A97" s="353"/>
      <c r="B97" s="382" t="s">
        <v>26</v>
      </c>
      <c r="C97" s="222"/>
      <c r="D97" s="264">
        <v>571.6</v>
      </c>
      <c r="E97" s="249"/>
      <c r="F97" s="249">
        <v>2822.2</v>
      </c>
      <c r="G97" s="249"/>
      <c r="H97" s="249">
        <v>3138.2</v>
      </c>
      <c r="I97" s="249"/>
      <c r="J97" s="2146">
        <v>376</v>
      </c>
      <c r="K97" s="249"/>
      <c r="L97" s="1908">
        <v>802</v>
      </c>
      <c r="M97" s="249"/>
      <c r="N97" s="249">
        <v>3157.4</v>
      </c>
      <c r="O97" s="249"/>
      <c r="P97" s="249">
        <v>489.4</v>
      </c>
      <c r="Q97" s="249"/>
      <c r="R97" s="264">
        <v>1747.5</v>
      </c>
      <c r="S97" s="249"/>
      <c r="T97" s="249">
        <v>1878.8</v>
      </c>
      <c r="U97" s="249"/>
      <c r="V97" s="264"/>
      <c r="W97" s="249"/>
      <c r="X97" s="249"/>
      <c r="Y97" s="249"/>
      <c r="Z97" s="249"/>
      <c r="AA97" s="368"/>
      <c r="AB97" s="237"/>
      <c r="AC97" s="261">
        <f>ROUND(SUM(D97:Z97),1)</f>
        <v>14983.1</v>
      </c>
      <c r="AD97" s="261"/>
      <c r="AE97" s="250"/>
      <c r="AF97" s="1978">
        <v>14408</v>
      </c>
      <c r="AG97" s="1280"/>
      <c r="AH97" s="1276"/>
      <c r="AI97" s="1171">
        <f>ROUND(SUM(+AC97-AF97),1)</f>
        <v>575.1</v>
      </c>
      <c r="AJ97" s="1908"/>
      <c r="AK97" s="1864">
        <f>ROUND(IF(AF97=0,0,AI97/ABS(AF97)),3)</f>
        <v>0.04</v>
      </c>
    </row>
    <row r="98" spans="1:37" ht="15" customHeight="1">
      <c r="A98" s="353"/>
      <c r="B98" s="382" t="s">
        <v>27</v>
      </c>
      <c r="C98" s="222"/>
      <c r="D98" s="264">
        <v>0</v>
      </c>
      <c r="E98" s="261"/>
      <c r="F98" s="261">
        <v>0.5</v>
      </c>
      <c r="G98" s="261"/>
      <c r="H98" s="261">
        <v>0</v>
      </c>
      <c r="I98" s="261"/>
      <c r="J98" s="319">
        <v>2.2000000000000002</v>
      </c>
      <c r="K98" s="261"/>
      <c r="L98" s="1171">
        <v>0.2</v>
      </c>
      <c r="M98" s="261"/>
      <c r="N98" s="261">
        <v>0.1</v>
      </c>
      <c r="O98" s="261"/>
      <c r="P98" s="261">
        <v>0</v>
      </c>
      <c r="Q98" s="261"/>
      <c r="R98" s="1172">
        <v>0.4</v>
      </c>
      <c r="S98" s="261"/>
      <c r="T98" s="1172">
        <v>0.7</v>
      </c>
      <c r="U98" s="261"/>
      <c r="V98" s="261"/>
      <c r="W98" s="261"/>
      <c r="X98" s="261"/>
      <c r="Y98" s="261"/>
      <c r="Z98" s="261"/>
      <c r="AA98" s="368"/>
      <c r="AB98" s="237"/>
      <c r="AC98" s="261">
        <f t="shared" ref="AC98:AC105" si="9">ROUND(SUM(D98:Z98),1)</f>
        <v>4.0999999999999996</v>
      </c>
      <c r="AD98" s="261"/>
      <c r="AE98" s="250"/>
      <c r="AF98" s="3151">
        <v>4.2</v>
      </c>
      <c r="AG98" s="261"/>
      <c r="AH98" s="1276"/>
      <c r="AI98" s="1171">
        <f t="shared" ref="AI98:AI106" si="10">ROUND(SUM(+AC98-AF98),1)</f>
        <v>-0.1</v>
      </c>
      <c r="AJ98" s="1908"/>
      <c r="AK98" s="1864">
        <f>ROUND(IF(AF98=0,0,AI98/ABS(AF98)),3)</f>
        <v>-2.4E-2</v>
      </c>
    </row>
    <row r="99" spans="1:37" ht="15" customHeight="1">
      <c r="A99" s="353"/>
      <c r="B99" s="382" t="s">
        <v>28</v>
      </c>
      <c r="C99" s="222"/>
      <c r="D99" s="264">
        <v>2.4</v>
      </c>
      <c r="E99" s="261"/>
      <c r="F99" s="261">
        <v>15.4</v>
      </c>
      <c r="G99" s="261"/>
      <c r="H99" s="261">
        <v>561</v>
      </c>
      <c r="I99" s="261"/>
      <c r="J99" s="319">
        <v>3</v>
      </c>
      <c r="K99" s="261"/>
      <c r="L99" s="1171">
        <v>2.2000000000000002</v>
      </c>
      <c r="M99" s="261"/>
      <c r="N99" s="261">
        <v>111.7</v>
      </c>
      <c r="O99" s="261"/>
      <c r="P99" s="261">
        <v>33</v>
      </c>
      <c r="Q99" s="261"/>
      <c r="R99" s="261">
        <v>1.8</v>
      </c>
      <c r="S99" s="261"/>
      <c r="T99" s="261">
        <v>195.2</v>
      </c>
      <c r="U99" s="261"/>
      <c r="V99" s="261"/>
      <c r="W99" s="261"/>
      <c r="X99" s="261"/>
      <c r="Y99" s="261"/>
      <c r="Z99" s="261"/>
      <c r="AA99" s="368"/>
      <c r="AB99" s="237"/>
      <c r="AC99" s="261">
        <f t="shared" si="9"/>
        <v>925.7</v>
      </c>
      <c r="AD99" s="261"/>
      <c r="AE99" s="250"/>
      <c r="AF99" s="1833">
        <v>928.6</v>
      </c>
      <c r="AG99" s="261"/>
      <c r="AH99" s="1276"/>
      <c r="AI99" s="1171">
        <f t="shared" si="10"/>
        <v>-2.9</v>
      </c>
      <c r="AJ99" s="1908"/>
      <c r="AK99" s="1864">
        <f>ROUND(IF(AF99=0,0,AI99/ABS(AF99)),3)</f>
        <v>-3.0000000000000001E-3</v>
      </c>
    </row>
    <row r="100" spans="1:37" ht="15" customHeight="1">
      <c r="A100" s="353"/>
      <c r="B100" s="382" t="s">
        <v>29</v>
      </c>
      <c r="C100" s="222"/>
      <c r="D100" s="264"/>
      <c r="E100" s="261"/>
      <c r="F100" s="261"/>
      <c r="G100" s="261"/>
      <c r="H100" s="261"/>
      <c r="I100" s="261"/>
      <c r="J100" s="319"/>
      <c r="K100" s="261"/>
      <c r="L100" s="1171"/>
      <c r="M100" s="261"/>
      <c r="N100" s="261"/>
      <c r="O100" s="261"/>
      <c r="P100" s="261"/>
      <c r="Q100" s="261"/>
      <c r="R100" s="261"/>
      <c r="S100" s="261"/>
      <c r="T100" s="261"/>
      <c r="U100" s="261"/>
      <c r="V100" s="261"/>
      <c r="W100" s="261"/>
      <c r="X100" s="261"/>
      <c r="Y100" s="261"/>
      <c r="Z100" s="261"/>
      <c r="AA100" s="368"/>
      <c r="AB100" s="237"/>
      <c r="AC100" s="1171" t="s">
        <v>16</v>
      </c>
      <c r="AD100" s="261"/>
      <c r="AE100" s="250"/>
      <c r="AF100" s="1833"/>
      <c r="AG100" s="261"/>
      <c r="AH100" s="1276"/>
      <c r="AI100" s="1171" t="s">
        <v>16</v>
      </c>
      <c r="AJ100" s="1908"/>
      <c r="AK100" s="1932" t="s">
        <v>16</v>
      </c>
    </row>
    <row r="101" spans="1:37" ht="15" customHeight="1">
      <c r="A101" s="353"/>
      <c r="B101" s="1721" t="s">
        <v>30</v>
      </c>
      <c r="C101" s="222"/>
      <c r="D101" s="264">
        <v>1224.3</v>
      </c>
      <c r="E101" s="261"/>
      <c r="F101" s="261">
        <v>1598.6</v>
      </c>
      <c r="G101" s="261"/>
      <c r="H101" s="261">
        <v>764.4</v>
      </c>
      <c r="I101" s="261"/>
      <c r="J101" s="319">
        <v>908.4</v>
      </c>
      <c r="K101" s="261"/>
      <c r="L101" s="1171">
        <v>1117</v>
      </c>
      <c r="M101" s="261"/>
      <c r="N101" s="261">
        <v>1456.5</v>
      </c>
      <c r="O101" s="261"/>
      <c r="P101" s="261">
        <v>817.8</v>
      </c>
      <c r="Q101" s="261"/>
      <c r="R101" s="261">
        <v>978.1</v>
      </c>
      <c r="S101" s="261"/>
      <c r="T101" s="261">
        <v>1516.8</v>
      </c>
      <c r="U101" s="261"/>
      <c r="V101" s="261"/>
      <c r="W101" s="261"/>
      <c r="X101" s="261"/>
      <c r="Y101" s="261"/>
      <c r="Z101" s="261"/>
      <c r="AA101" s="368"/>
      <c r="AB101" s="237"/>
      <c r="AC101" s="261">
        <f t="shared" si="9"/>
        <v>10381.9</v>
      </c>
      <c r="AD101" s="261"/>
      <c r="AE101" s="250"/>
      <c r="AF101" s="1833">
        <v>9618.6</v>
      </c>
      <c r="AG101" s="261"/>
      <c r="AH101" s="1276"/>
      <c r="AI101" s="1171">
        <f t="shared" si="10"/>
        <v>763.3</v>
      </c>
      <c r="AJ101" s="1908"/>
      <c r="AK101" s="1864">
        <f t="shared" ref="AK101:AK106" si="11">ROUND(IF(AF101=0,0,AI101/ABS(AF101)),3)</f>
        <v>7.9000000000000001E-2</v>
      </c>
    </row>
    <row r="102" spans="1:37" ht="15" customHeight="1">
      <c r="A102" s="353"/>
      <c r="B102" s="382" t="s">
        <v>31</v>
      </c>
      <c r="C102" s="222"/>
      <c r="D102" s="264">
        <v>13</v>
      </c>
      <c r="E102" s="261"/>
      <c r="F102" s="261">
        <v>190.3</v>
      </c>
      <c r="G102" s="261"/>
      <c r="H102" s="261">
        <v>63.2</v>
      </c>
      <c r="I102" s="261"/>
      <c r="J102" s="319">
        <v>76.400000000000006</v>
      </c>
      <c r="K102" s="261"/>
      <c r="L102" s="1171">
        <v>56.8</v>
      </c>
      <c r="M102" s="261"/>
      <c r="N102" s="261">
        <v>51.9</v>
      </c>
      <c r="O102" s="261"/>
      <c r="P102" s="261">
        <v>48.9</v>
      </c>
      <c r="Q102" s="261"/>
      <c r="R102" s="261">
        <v>62.2</v>
      </c>
      <c r="S102" s="261"/>
      <c r="T102" s="261">
        <v>80.900000000000006</v>
      </c>
      <c r="U102" s="261"/>
      <c r="V102" s="261"/>
      <c r="W102" s="261"/>
      <c r="X102" s="261"/>
      <c r="Y102" s="261"/>
      <c r="Z102" s="261"/>
      <c r="AA102" s="368"/>
      <c r="AB102" s="237"/>
      <c r="AC102" s="261">
        <f t="shared" si="9"/>
        <v>643.6</v>
      </c>
      <c r="AD102" s="261"/>
      <c r="AE102" s="250"/>
      <c r="AF102" s="1833">
        <v>606.5</v>
      </c>
      <c r="AG102" s="261"/>
      <c r="AH102" s="1276"/>
      <c r="AI102" s="1171">
        <f t="shared" si="10"/>
        <v>37.1</v>
      </c>
      <c r="AJ102" s="1908"/>
      <c r="AK102" s="1864">
        <f t="shared" si="11"/>
        <v>6.0999999999999999E-2</v>
      </c>
    </row>
    <row r="103" spans="1:37" ht="15" customHeight="1">
      <c r="A103" s="353"/>
      <c r="B103" s="382" t="s">
        <v>32</v>
      </c>
      <c r="C103" s="222"/>
      <c r="D103" s="264">
        <v>4.4000000000000004</v>
      </c>
      <c r="E103" s="261"/>
      <c r="F103" s="261">
        <v>29.8</v>
      </c>
      <c r="G103" s="261"/>
      <c r="H103" s="261">
        <v>13.8</v>
      </c>
      <c r="I103" s="261"/>
      <c r="J103" s="319">
        <v>20</v>
      </c>
      <c r="K103" s="261"/>
      <c r="L103" s="1171">
        <v>11</v>
      </c>
      <c r="M103" s="261"/>
      <c r="N103" s="261">
        <v>32</v>
      </c>
      <c r="O103" s="261"/>
      <c r="P103" s="261">
        <v>0</v>
      </c>
      <c r="Q103" s="261"/>
      <c r="R103" s="261">
        <v>10.1</v>
      </c>
      <c r="S103" s="261"/>
      <c r="T103" s="261">
        <v>33.799999999999997</v>
      </c>
      <c r="U103" s="261"/>
      <c r="V103" s="261"/>
      <c r="W103" s="261"/>
      <c r="X103" s="261"/>
      <c r="Y103" s="261"/>
      <c r="Z103" s="261"/>
      <c r="AA103" s="368"/>
      <c r="AB103" s="237"/>
      <c r="AC103" s="261">
        <f t="shared" si="9"/>
        <v>154.9</v>
      </c>
      <c r="AD103" s="261"/>
      <c r="AE103" s="250"/>
      <c r="AF103" s="1171">
        <v>125.8</v>
      </c>
      <c r="AG103" s="261"/>
      <c r="AH103" s="1276" t="s">
        <v>16</v>
      </c>
      <c r="AI103" s="1171">
        <f t="shared" si="10"/>
        <v>29.1</v>
      </c>
      <c r="AJ103" s="1908"/>
      <c r="AK103" s="1864">
        <f t="shared" si="11"/>
        <v>0.23100000000000001</v>
      </c>
    </row>
    <row r="104" spans="1:37" ht="15" customHeight="1">
      <c r="A104" s="353"/>
      <c r="B104" s="382" t="s">
        <v>33</v>
      </c>
      <c r="C104" s="222"/>
      <c r="D104" s="264">
        <v>132.19999999999999</v>
      </c>
      <c r="E104" s="261"/>
      <c r="F104" s="261">
        <v>138.19999999999999</v>
      </c>
      <c r="G104" s="261"/>
      <c r="H104" s="261">
        <v>248.4</v>
      </c>
      <c r="I104" s="261"/>
      <c r="J104" s="319">
        <v>401.7</v>
      </c>
      <c r="K104" s="261"/>
      <c r="L104" s="1171">
        <v>126.6</v>
      </c>
      <c r="M104" s="261"/>
      <c r="N104" s="261">
        <v>424.6</v>
      </c>
      <c r="O104" s="261"/>
      <c r="P104" s="261">
        <v>175.5</v>
      </c>
      <c r="Q104" s="261"/>
      <c r="R104" s="261">
        <v>161.6</v>
      </c>
      <c r="S104" s="261"/>
      <c r="T104" s="261">
        <v>361.5</v>
      </c>
      <c r="U104" s="261"/>
      <c r="V104" s="261"/>
      <c r="W104" s="261"/>
      <c r="X104" s="261"/>
      <c r="Y104" s="261"/>
      <c r="Z104" s="261"/>
      <c r="AA104" s="368"/>
      <c r="AB104" s="237"/>
      <c r="AC104" s="261">
        <f t="shared" si="9"/>
        <v>2170.3000000000002</v>
      </c>
      <c r="AD104" s="261"/>
      <c r="AE104" s="250"/>
      <c r="AF104" s="1171">
        <v>1989.2</v>
      </c>
      <c r="AG104" s="261"/>
      <c r="AH104" s="1276"/>
      <c r="AI104" s="1171">
        <f t="shared" si="10"/>
        <v>181.1</v>
      </c>
      <c r="AJ104" s="1908"/>
      <c r="AK104" s="1864">
        <f t="shared" si="11"/>
        <v>9.0999999999999998E-2</v>
      </c>
    </row>
    <row r="105" spans="1:37" ht="15" customHeight="1">
      <c r="A105" s="353"/>
      <c r="B105" s="382" t="s">
        <v>34</v>
      </c>
      <c r="C105" s="222"/>
      <c r="D105" s="254">
        <v>2.2999999999999998</v>
      </c>
      <c r="E105" s="261"/>
      <c r="F105" s="517">
        <v>7.2</v>
      </c>
      <c r="G105" s="261"/>
      <c r="H105" s="261">
        <v>2.6</v>
      </c>
      <c r="I105" s="261"/>
      <c r="J105" s="319">
        <v>4.9000000000000004</v>
      </c>
      <c r="K105" s="261"/>
      <c r="L105" s="1171">
        <v>8.1999999999999993</v>
      </c>
      <c r="M105" s="261"/>
      <c r="N105" s="516">
        <v>4.5999999999999996</v>
      </c>
      <c r="O105" s="261"/>
      <c r="P105" s="261">
        <v>2.6</v>
      </c>
      <c r="Q105" s="261"/>
      <c r="R105" s="261">
        <v>3.9</v>
      </c>
      <c r="S105" s="261"/>
      <c r="T105" s="261">
        <v>9.1999999999999993</v>
      </c>
      <c r="U105" s="261"/>
      <c r="V105" s="516"/>
      <c r="W105" s="261"/>
      <c r="X105" s="261"/>
      <c r="Y105" s="261"/>
      <c r="Z105" s="261"/>
      <c r="AA105" s="368"/>
      <c r="AB105" s="237"/>
      <c r="AC105" s="261">
        <f t="shared" si="9"/>
        <v>45.5</v>
      </c>
      <c r="AD105" s="261"/>
      <c r="AE105" s="250"/>
      <c r="AF105" s="1978">
        <v>60.5</v>
      </c>
      <c r="AG105" s="261"/>
      <c r="AH105" s="1276"/>
      <c r="AI105" s="1171">
        <f t="shared" si="10"/>
        <v>-15</v>
      </c>
      <c r="AJ105" s="1908"/>
      <c r="AK105" s="1864">
        <f t="shared" si="11"/>
        <v>-0.248</v>
      </c>
    </row>
    <row r="106" spans="1:37" ht="15" customHeight="1">
      <c r="A106" s="353"/>
      <c r="B106" s="382" t="s">
        <v>35</v>
      </c>
      <c r="C106" s="222"/>
      <c r="D106" s="1172">
        <v>0</v>
      </c>
      <c r="E106" s="261"/>
      <c r="F106" s="517">
        <v>24.3</v>
      </c>
      <c r="G106" s="261"/>
      <c r="H106" s="261">
        <v>0</v>
      </c>
      <c r="I106" s="261"/>
      <c r="J106" s="2147">
        <v>0</v>
      </c>
      <c r="K106" s="261"/>
      <c r="L106" s="1171">
        <v>35.4</v>
      </c>
      <c r="M106" s="261"/>
      <c r="N106" s="261">
        <v>0</v>
      </c>
      <c r="O106" s="261"/>
      <c r="P106" s="1172">
        <v>0</v>
      </c>
      <c r="Q106" s="261"/>
      <c r="R106" s="261">
        <v>22.3</v>
      </c>
      <c r="S106" s="261"/>
      <c r="T106" s="261">
        <v>14.7</v>
      </c>
      <c r="U106" s="261"/>
      <c r="V106" s="261"/>
      <c r="W106" s="261"/>
      <c r="X106" s="261"/>
      <c r="Y106" s="261"/>
      <c r="Z106" s="261"/>
      <c r="AA106" s="368"/>
      <c r="AB106" s="237"/>
      <c r="AC106" s="261">
        <f>ROUND(SUM(D106:Z106),1)</f>
        <v>96.7</v>
      </c>
      <c r="AD106" s="266"/>
      <c r="AE106" s="1281"/>
      <c r="AF106" s="1355">
        <v>85</v>
      </c>
      <c r="AG106" s="266"/>
      <c r="AH106" s="1282"/>
      <c r="AI106" s="1171">
        <f t="shared" si="10"/>
        <v>11.7</v>
      </c>
      <c r="AJ106" s="2366"/>
      <c r="AK106" s="1864">
        <f t="shared" si="11"/>
        <v>0.13800000000000001</v>
      </c>
    </row>
    <row r="107" spans="1:37" ht="15" customHeight="1">
      <c r="A107" s="353"/>
      <c r="B107" s="1358" t="s">
        <v>1241</v>
      </c>
      <c r="C107" s="222"/>
      <c r="D107" s="484">
        <f>ROUND(SUM(D97:D106),1)</f>
        <v>1950.2</v>
      </c>
      <c r="E107" s="257"/>
      <c r="F107" s="484">
        <f>ROUND(SUM(F97:F106),1)</f>
        <v>4826.5</v>
      </c>
      <c r="G107" s="257"/>
      <c r="H107" s="484">
        <f>ROUND(SUM(H97:H106),1)</f>
        <v>4791.6000000000004</v>
      </c>
      <c r="I107" s="273" t="s">
        <v>16</v>
      </c>
      <c r="J107" s="1283">
        <f>ROUND(SUM(J97:J106),1)</f>
        <v>1792.6</v>
      </c>
      <c r="K107" s="273" t="s">
        <v>16</v>
      </c>
      <c r="L107" s="484">
        <f>ROUND(SUM(L97:L106),1)</f>
        <v>2159.4</v>
      </c>
      <c r="M107" s="273" t="s">
        <v>16</v>
      </c>
      <c r="N107" s="484">
        <f>ROUND(SUM(N97:N106),1)</f>
        <v>5238.8</v>
      </c>
      <c r="O107" s="273" t="s">
        <v>16</v>
      </c>
      <c r="P107" s="484">
        <f>ROUND(SUM(P97:P106),1)</f>
        <v>1567.2</v>
      </c>
      <c r="Q107" s="273" t="s">
        <v>16</v>
      </c>
      <c r="R107" s="484">
        <f>ROUND(SUM(R97:R106),1)</f>
        <v>2987.9</v>
      </c>
      <c r="S107" s="273" t="s">
        <v>16</v>
      </c>
      <c r="T107" s="484">
        <f>ROUND(SUM(T97:T106),1)</f>
        <v>4091.6</v>
      </c>
      <c r="U107" s="273" t="s">
        <v>16</v>
      </c>
      <c r="V107" s="484">
        <f>ROUND(SUM(V97:V106),1)</f>
        <v>0</v>
      </c>
      <c r="W107" s="273" t="s">
        <v>16</v>
      </c>
      <c r="X107" s="484">
        <f>ROUND(SUM(X97:X106),1)</f>
        <v>0</v>
      </c>
      <c r="Y107" s="273" t="s">
        <v>16</v>
      </c>
      <c r="Z107" s="484">
        <f>ROUND(SUM(Z97:Z106),1)</f>
        <v>0</v>
      </c>
      <c r="AA107" s="369" t="s">
        <v>16</v>
      </c>
      <c r="AB107" s="485"/>
      <c r="AC107" s="1283">
        <f>SUM(AC97:AC106)</f>
        <v>29405.800000000003</v>
      </c>
      <c r="AD107" s="257"/>
      <c r="AE107" s="259"/>
      <c r="AF107" s="1283">
        <f>ROUND(SUM(AF97:AF106),1)</f>
        <v>27826.400000000001</v>
      </c>
      <c r="AG107" s="273"/>
      <c r="AH107" s="1278"/>
      <c r="AI107" s="484">
        <f>ROUND(SUM(+AC107-AF107),1)</f>
        <v>1579.4</v>
      </c>
      <c r="AJ107" s="273"/>
      <c r="AK107" s="2750">
        <f>ROUND(SUM(AI107/AF107),3)</f>
        <v>5.7000000000000002E-2</v>
      </c>
    </row>
    <row r="108" spans="1:37" ht="15" customHeight="1">
      <c r="A108" s="353"/>
      <c r="B108" s="223" t="s">
        <v>158</v>
      </c>
      <c r="C108" s="222"/>
      <c r="D108" s="261"/>
      <c r="E108" s="261"/>
      <c r="F108" s="261"/>
      <c r="G108" s="261"/>
      <c r="H108" s="261"/>
      <c r="I108" s="261"/>
      <c r="J108" s="319"/>
      <c r="K108" s="261"/>
      <c r="L108" s="261"/>
      <c r="M108" s="261"/>
      <c r="N108" s="261"/>
      <c r="O108" s="261"/>
      <c r="P108" s="261"/>
      <c r="Q108" s="261"/>
      <c r="R108" s="261"/>
      <c r="S108" s="261"/>
      <c r="T108" s="261"/>
      <c r="U108" s="261"/>
      <c r="V108" s="261"/>
      <c r="W108" s="261"/>
      <c r="X108" s="261"/>
      <c r="Y108" s="261"/>
      <c r="Z108" s="261"/>
      <c r="AA108" s="368"/>
      <c r="AB108" s="237"/>
      <c r="AC108" s="261"/>
      <c r="AD108" s="261"/>
      <c r="AE108" s="250"/>
      <c r="AF108" s="319"/>
      <c r="AG108" s="261"/>
      <c r="AH108" s="1276"/>
      <c r="AI108" s="1171"/>
      <c r="AJ108" s="1908"/>
      <c r="AK108" s="1932"/>
    </row>
    <row r="109" spans="1:37" ht="15" customHeight="1">
      <c r="A109" s="353"/>
      <c r="B109" s="223" t="s">
        <v>159</v>
      </c>
      <c r="C109" s="222"/>
      <c r="D109" s="261">
        <v>554.20000000000005</v>
      </c>
      <c r="E109" s="261"/>
      <c r="F109" s="261">
        <v>443.4</v>
      </c>
      <c r="G109" s="261"/>
      <c r="H109" s="261">
        <v>456.8</v>
      </c>
      <c r="I109" s="261"/>
      <c r="J109" s="319">
        <v>638.1</v>
      </c>
      <c r="K109" s="261"/>
      <c r="L109" s="1171">
        <v>470.5</v>
      </c>
      <c r="M109" s="261"/>
      <c r="N109" s="261">
        <v>489</v>
      </c>
      <c r="O109" s="261"/>
      <c r="P109" s="261">
        <v>542.79999999999995</v>
      </c>
      <c r="Q109" s="261"/>
      <c r="R109" s="261">
        <v>440.9</v>
      </c>
      <c r="S109" s="261"/>
      <c r="T109" s="261">
        <v>628.79999999999995</v>
      </c>
      <c r="U109" s="261"/>
      <c r="V109" s="261"/>
      <c r="W109" s="261"/>
      <c r="X109" s="261"/>
      <c r="Y109" s="261"/>
      <c r="Z109" s="261"/>
      <c r="AA109" s="368"/>
      <c r="AB109" s="237"/>
      <c r="AC109" s="261">
        <f>ROUND(SUM(D109:Z109),1)</f>
        <v>4664.5</v>
      </c>
      <c r="AD109" s="261"/>
      <c r="AE109" s="250"/>
      <c r="AF109" s="1171">
        <v>4495.1000000000004</v>
      </c>
      <c r="AG109" s="261"/>
      <c r="AH109" s="1276"/>
      <c r="AI109" s="1171">
        <f>ROUND(SUM(+AC109-AF109),1)</f>
        <v>169.4</v>
      </c>
      <c r="AJ109" s="1908"/>
      <c r="AK109" s="1864">
        <f>ROUND(IF(AF109=0,0,AI109/ABS(AF109)),3)</f>
        <v>3.7999999999999999E-2</v>
      </c>
    </row>
    <row r="110" spans="1:37" ht="15" customHeight="1">
      <c r="A110" s="353"/>
      <c r="B110" s="247" t="s">
        <v>160</v>
      </c>
      <c r="C110" s="222"/>
      <c r="D110" s="261">
        <v>68.400000000000006</v>
      </c>
      <c r="E110" s="261"/>
      <c r="F110" s="261">
        <v>124.7</v>
      </c>
      <c r="G110" s="261"/>
      <c r="H110" s="261">
        <v>141.19999999999999</v>
      </c>
      <c r="I110" s="261"/>
      <c r="J110" s="319">
        <v>173.3</v>
      </c>
      <c r="K110" s="261"/>
      <c r="L110" s="1171">
        <v>165.8</v>
      </c>
      <c r="M110" s="261"/>
      <c r="N110" s="261">
        <v>211.8</v>
      </c>
      <c r="O110" s="261"/>
      <c r="P110" s="261">
        <v>80.7</v>
      </c>
      <c r="Q110" s="261"/>
      <c r="R110" s="261">
        <v>185</v>
      </c>
      <c r="S110" s="261"/>
      <c r="T110" s="261">
        <v>138.4</v>
      </c>
      <c r="U110" s="261"/>
      <c r="V110" s="261"/>
      <c r="W110" s="261"/>
      <c r="X110" s="261"/>
      <c r="Y110" s="261"/>
      <c r="Z110" s="261"/>
      <c r="AA110" s="368"/>
      <c r="AB110" s="237"/>
      <c r="AC110" s="261">
        <f>ROUND(SUM(D110:Z110),1)</f>
        <v>1289.3</v>
      </c>
      <c r="AD110" s="261"/>
      <c r="AE110" s="250"/>
      <c r="AF110" s="1171">
        <v>1231.0999999999999</v>
      </c>
      <c r="AG110" s="261"/>
      <c r="AH110" s="1276"/>
      <c r="AI110" s="1171">
        <f>ROUND(SUM(+AC110-AF110),1)</f>
        <v>58.2</v>
      </c>
      <c r="AJ110" s="1908"/>
      <c r="AK110" s="1864">
        <f>ROUND(IF(AF110=0,0,AI110/ABS(AF110)),3)</f>
        <v>4.7E-2</v>
      </c>
    </row>
    <row r="111" spans="1:37" ht="15" customHeight="1">
      <c r="A111" s="353"/>
      <c r="B111" s="247" t="s">
        <v>161</v>
      </c>
      <c r="C111" s="222"/>
      <c r="D111" s="261">
        <v>612.29999999999995</v>
      </c>
      <c r="E111" s="1173"/>
      <c r="F111" s="261">
        <v>503.7</v>
      </c>
      <c r="G111" s="1173"/>
      <c r="H111" s="261">
        <v>363.9</v>
      </c>
      <c r="I111" s="261"/>
      <c r="J111" s="319">
        <v>1816.2</v>
      </c>
      <c r="K111" s="261"/>
      <c r="L111" s="1171">
        <v>-50</v>
      </c>
      <c r="M111" s="261"/>
      <c r="N111" s="261">
        <v>472.6</v>
      </c>
      <c r="O111" s="261"/>
      <c r="P111" s="261">
        <v>473.1</v>
      </c>
      <c r="Q111" s="261"/>
      <c r="R111" s="489">
        <v>405.7</v>
      </c>
      <c r="S111" s="261"/>
      <c r="T111" s="261">
        <v>2.9</v>
      </c>
      <c r="U111" s="261"/>
      <c r="V111" s="261"/>
      <c r="W111" s="261"/>
      <c r="X111" s="261"/>
      <c r="Y111" s="261"/>
      <c r="Z111" s="261"/>
      <c r="AA111" s="486"/>
      <c r="AB111" s="228"/>
      <c r="AC111" s="261">
        <f>ROUND(SUM(D111:Z111),1)</f>
        <v>4600.3999999999996</v>
      </c>
      <c r="AD111" s="261"/>
      <c r="AE111" s="250"/>
      <c r="AF111" s="1171">
        <v>4341.1000000000004</v>
      </c>
      <c r="AG111" s="249"/>
      <c r="AH111" s="1276"/>
      <c r="AI111" s="2749">
        <f>ROUND(SUM(+AC111-AF111),1)</f>
        <v>259.3</v>
      </c>
      <c r="AJ111" s="1908"/>
      <c r="AK111" s="2624">
        <f>ROUND(IF(AF111=0,0,AI111/ABS(AF111)),3)</f>
        <v>0.06</v>
      </c>
    </row>
    <row r="112" spans="1:37" ht="7.5" customHeight="1">
      <c r="A112" s="353"/>
      <c r="B112" s="223"/>
      <c r="C112" s="222"/>
      <c r="D112" s="289"/>
      <c r="E112" s="261"/>
      <c r="F112" s="289"/>
      <c r="G112" s="261"/>
      <c r="H112" s="289"/>
      <c r="I112" s="261"/>
      <c r="J112" s="328"/>
      <c r="K112" s="261"/>
      <c r="L112" s="289"/>
      <c r="M112" s="261"/>
      <c r="N112" s="289"/>
      <c r="O112" s="261"/>
      <c r="P112" s="289"/>
      <c r="Q112" s="261"/>
      <c r="R112" s="261"/>
      <c r="S112" s="261"/>
      <c r="T112" s="289"/>
      <c r="U112" s="261"/>
      <c r="V112" s="289"/>
      <c r="W112" s="261"/>
      <c r="X112" s="289"/>
      <c r="Y112" s="261"/>
      <c r="Z112" s="289"/>
      <c r="AA112" s="253"/>
      <c r="AB112" s="237"/>
      <c r="AC112" s="328"/>
      <c r="AD112" s="261"/>
      <c r="AE112" s="250"/>
      <c r="AF112" s="328"/>
      <c r="AG112" s="249"/>
      <c r="AH112" s="1276"/>
      <c r="AI112" s="1171"/>
      <c r="AJ112" s="1908"/>
      <c r="AK112" s="1932"/>
    </row>
    <row r="113" spans="1:37" ht="15" customHeight="1">
      <c r="A113" s="353"/>
      <c r="B113" s="221" t="s">
        <v>162</v>
      </c>
      <c r="C113" s="222"/>
      <c r="D113" s="257">
        <f>ROUND(SUM(D109:D111)+D107,1)</f>
        <v>3185.1</v>
      </c>
      <c r="E113" s="257"/>
      <c r="F113" s="257">
        <f>ROUND(SUM(F107:F111),1)</f>
        <v>5898.3</v>
      </c>
      <c r="G113" s="257"/>
      <c r="H113" s="257">
        <f>ROUND(SUM(H107:H111),1)</f>
        <v>5753.5</v>
      </c>
      <c r="I113" s="257"/>
      <c r="J113" s="313">
        <f>ROUND(SUM(J107:J111),1)</f>
        <v>4420.2</v>
      </c>
      <c r="K113" s="257"/>
      <c r="L113" s="257">
        <f>ROUND(SUM(L107:L111),1)</f>
        <v>2745.7</v>
      </c>
      <c r="M113" s="257"/>
      <c r="N113" s="1886">
        <f>ROUND(SUM(N107:N111),1)</f>
        <v>6412.2</v>
      </c>
      <c r="O113" s="1886"/>
      <c r="P113" s="1886">
        <f>ROUND(SUM(P107:P111),1)</f>
        <v>2663.8</v>
      </c>
      <c r="Q113" s="1886"/>
      <c r="R113" s="1886">
        <f>ROUND(SUM(R107:R111),1)</f>
        <v>4019.5</v>
      </c>
      <c r="S113" s="1886"/>
      <c r="T113" s="1886">
        <f>ROUND(SUM(T107:T111),1)</f>
        <v>4861.7</v>
      </c>
      <c r="U113" s="1886"/>
      <c r="V113" s="1886">
        <f>ROUND(SUM(V107:V111),1)</f>
        <v>0</v>
      </c>
      <c r="W113" s="1886"/>
      <c r="X113" s="1886">
        <f>ROUND(SUM(X107:X111),1)</f>
        <v>0</v>
      </c>
      <c r="Y113" s="1886"/>
      <c r="Z113" s="1886">
        <f>ROUND(SUM(Z107:Z111),1)</f>
        <v>0</v>
      </c>
      <c r="AA113" s="477"/>
      <c r="AB113" s="478"/>
      <c r="AC113" s="313">
        <f>ROUND(SUM(AC107:AC111),1)</f>
        <v>39960</v>
      </c>
      <c r="AD113" s="257"/>
      <c r="AE113" s="259"/>
      <c r="AF113" s="313">
        <f>ROUND(SUM(AF107:AF111),1)</f>
        <v>37893.699999999997</v>
      </c>
      <c r="AG113" s="273"/>
      <c r="AH113" s="1278"/>
      <c r="AI113" s="2188">
        <f>ROUND(SUM(AI107:AI111),1)</f>
        <v>2066.3000000000002</v>
      </c>
      <c r="AJ113" s="273"/>
      <c r="AK113" s="2751">
        <f>ROUND(SUM(AI113/AF113),3)</f>
        <v>5.5E-2</v>
      </c>
    </row>
    <row r="114" spans="1:37" ht="15" customHeight="1">
      <c r="A114" s="353"/>
      <c r="B114" s="223"/>
      <c r="C114" s="222"/>
      <c r="D114" s="289"/>
      <c r="E114" s="261"/>
      <c r="F114" s="289"/>
      <c r="G114" s="261"/>
      <c r="H114" s="289"/>
      <c r="I114" s="261"/>
      <c r="J114" s="328"/>
      <c r="K114" s="261"/>
      <c r="L114" s="289"/>
      <c r="M114" s="261"/>
      <c r="N114" s="289"/>
      <c r="O114" s="261"/>
      <c r="P114" s="289"/>
      <c r="Q114" s="261"/>
      <c r="R114" s="289"/>
      <c r="S114" s="261"/>
      <c r="T114" s="289"/>
      <c r="U114" s="261"/>
      <c r="V114" s="289"/>
      <c r="W114" s="261"/>
      <c r="X114" s="289"/>
      <c r="Y114" s="261"/>
      <c r="Z114" s="289"/>
      <c r="AA114" s="253"/>
      <c r="AB114" s="237"/>
      <c r="AC114" s="289"/>
      <c r="AD114" s="261"/>
      <c r="AE114" s="250"/>
      <c r="AF114" s="328"/>
      <c r="AG114" s="249"/>
      <c r="AH114" s="1276"/>
      <c r="AI114" s="1171"/>
      <c r="AJ114" s="1908"/>
      <c r="AK114" s="1932"/>
    </row>
    <row r="115" spans="1:37" ht="15" customHeight="1">
      <c r="A115" s="353"/>
      <c r="B115" s="221" t="s">
        <v>163</v>
      </c>
      <c r="C115" s="222"/>
      <c r="D115" s="261"/>
      <c r="E115" s="261"/>
      <c r="F115" s="261"/>
      <c r="G115" s="261"/>
      <c r="H115" s="261"/>
      <c r="I115" s="261"/>
      <c r="J115" s="319"/>
      <c r="K115" s="261"/>
      <c r="L115" s="261"/>
      <c r="M115" s="261"/>
      <c r="N115" s="261"/>
      <c r="O115" s="261"/>
      <c r="P115" s="261"/>
      <c r="Q115" s="261"/>
      <c r="R115" s="261"/>
      <c r="S115" s="261"/>
      <c r="T115" s="261"/>
      <c r="U115" s="261"/>
      <c r="V115" s="261"/>
      <c r="W115" s="261"/>
      <c r="X115" s="261"/>
      <c r="Y115" s="261"/>
      <c r="Z115" s="261"/>
      <c r="AA115" s="368"/>
      <c r="AB115" s="237"/>
      <c r="AC115" s="3151" t="s">
        <v>164</v>
      </c>
      <c r="AD115" s="261"/>
      <c r="AE115" s="250"/>
      <c r="AF115" s="319"/>
      <c r="AG115" s="261"/>
      <c r="AH115" s="1276"/>
      <c r="AI115" s="1171"/>
      <c r="AJ115" s="1908"/>
      <c r="AK115" s="1932"/>
    </row>
    <row r="116" spans="1:37" ht="15" customHeight="1">
      <c r="A116" s="353"/>
      <c r="B116" s="221" t="s">
        <v>46</v>
      </c>
      <c r="C116" s="222"/>
      <c r="D116" s="257">
        <f>ROUND(SUM(D93-D113),1)</f>
        <v>2889.1</v>
      </c>
      <c r="E116" s="257"/>
      <c r="F116" s="257">
        <f>ROUND(SUM(F93-F113),1)</f>
        <v>-1082.3</v>
      </c>
      <c r="G116" s="257"/>
      <c r="H116" s="257">
        <f>ROUND(SUM(H93-H113),1)</f>
        <v>-475.2</v>
      </c>
      <c r="I116" s="257"/>
      <c r="J116" s="313">
        <f>ROUND(SUM(J93-J113),1)</f>
        <v>-1377</v>
      </c>
      <c r="K116" s="257"/>
      <c r="L116" s="257">
        <f>ROUND(SUM(L93-L113),1)</f>
        <v>185.3</v>
      </c>
      <c r="M116" s="257"/>
      <c r="N116" s="1886">
        <f>ROUND(SUM(N93-N113),1)</f>
        <v>-446</v>
      </c>
      <c r="O116" s="1886"/>
      <c r="P116" s="1886">
        <f>ROUND(SUM(P93-P113),1)</f>
        <v>384.2</v>
      </c>
      <c r="Q116" s="1886"/>
      <c r="R116" s="1886">
        <f>ROUND(SUM(R93-R113),1)</f>
        <v>-956.8</v>
      </c>
      <c r="S116" s="1886"/>
      <c r="T116" s="1886">
        <f>ROUND(SUM(T93-T113),1)</f>
        <v>820.2</v>
      </c>
      <c r="U116" s="1886"/>
      <c r="V116" s="1886">
        <f>ROUND(SUM(V93-V113),1)</f>
        <v>0</v>
      </c>
      <c r="W116" s="1886"/>
      <c r="X116" s="1886">
        <f>ROUND(SUM(X93-X113),1)</f>
        <v>0</v>
      </c>
      <c r="Y116" s="1886"/>
      <c r="Z116" s="1886">
        <f>ROUND(SUM(Z93-Z113),1)</f>
        <v>0</v>
      </c>
      <c r="AA116" s="477"/>
      <c r="AB116" s="478"/>
      <c r="AC116" s="257">
        <f>ROUND(SUM(AC93-AC113),1)</f>
        <v>-58.5</v>
      </c>
      <c r="AD116" s="257"/>
      <c r="AE116" s="259"/>
      <c r="AF116" s="313">
        <f>ROUND(SUM(AF93-AF113),1)</f>
        <v>445.3</v>
      </c>
      <c r="AG116" s="257"/>
      <c r="AH116" s="1278"/>
      <c r="AI116" s="271">
        <f>ROUND(SUM(+AC116-AF116),1)</f>
        <v>-503.8</v>
      </c>
      <c r="AJ116" s="273"/>
      <c r="AK116" s="525">
        <f>ROUND(SUM(AI116/AF116),3)</f>
        <v>-1.131</v>
      </c>
    </row>
    <row r="117" spans="1:37" ht="15" customHeight="1">
      <c r="A117" s="353"/>
      <c r="B117" s="223"/>
      <c r="C117" s="222"/>
      <c r="D117" s="289"/>
      <c r="E117" s="261"/>
      <c r="F117" s="289"/>
      <c r="G117" s="261"/>
      <c r="H117" s="289"/>
      <c r="I117" s="261"/>
      <c r="J117" s="328"/>
      <c r="K117" s="261"/>
      <c r="L117" s="289"/>
      <c r="M117" s="261"/>
      <c r="N117" s="289"/>
      <c r="O117" s="261"/>
      <c r="P117" s="289"/>
      <c r="Q117" s="261"/>
      <c r="R117" s="289"/>
      <c r="S117" s="261"/>
      <c r="T117" s="289"/>
      <c r="U117" s="261"/>
      <c r="V117" s="289"/>
      <c r="W117" s="261"/>
      <c r="X117" s="289"/>
      <c r="Y117" s="261"/>
      <c r="Z117" s="289"/>
      <c r="AA117" s="253"/>
      <c r="AB117" s="237"/>
      <c r="AC117" s="289"/>
      <c r="AD117" s="261"/>
      <c r="AE117" s="250"/>
      <c r="AF117" s="328"/>
      <c r="AG117" s="289"/>
      <c r="AH117" s="1276"/>
      <c r="AI117" s="1171"/>
      <c r="AJ117" s="1908"/>
      <c r="AK117" s="1932"/>
    </row>
    <row r="118" spans="1:37" ht="15" customHeight="1">
      <c r="A118" s="353"/>
      <c r="B118" s="221" t="s">
        <v>47</v>
      </c>
      <c r="C118" s="222"/>
      <c r="D118" s="261"/>
      <c r="E118" s="261"/>
      <c r="F118" s="261"/>
      <c r="G118" s="261"/>
      <c r="H118" s="261"/>
      <c r="I118" s="261"/>
      <c r="J118" s="319"/>
      <c r="K118" s="261"/>
      <c r="L118" s="261"/>
      <c r="M118" s="261"/>
      <c r="N118" s="261"/>
      <c r="O118" s="261"/>
      <c r="P118" s="261"/>
      <c r="Q118" s="261"/>
      <c r="R118" s="261"/>
      <c r="S118" s="261"/>
      <c r="T118" s="261"/>
      <c r="U118" s="261"/>
      <c r="V118" s="261"/>
      <c r="W118" s="261"/>
      <c r="X118" s="261"/>
      <c r="Y118" s="261"/>
      <c r="Z118" s="261"/>
      <c r="AA118" s="368"/>
      <c r="AB118" s="237"/>
      <c r="AC118" s="261"/>
      <c r="AD118" s="261"/>
      <c r="AE118" s="250"/>
      <c r="AF118" s="319"/>
      <c r="AG118" s="261"/>
      <c r="AH118" s="1276"/>
      <c r="AI118" s="1171"/>
      <c r="AJ118" s="1908"/>
      <c r="AK118" s="1932"/>
    </row>
    <row r="119" spans="1:37" ht="15" customHeight="1">
      <c r="A119" s="353"/>
      <c r="B119" s="221"/>
      <c r="C119" s="222"/>
      <c r="D119" s="261"/>
      <c r="E119" s="261"/>
      <c r="F119" s="261"/>
      <c r="G119" s="261"/>
      <c r="H119" s="261"/>
      <c r="I119" s="261"/>
      <c r="J119" s="319"/>
      <c r="K119" s="261"/>
      <c r="L119" s="261"/>
      <c r="M119" s="261"/>
      <c r="N119" s="261"/>
      <c r="O119" s="261"/>
      <c r="P119" s="261"/>
      <c r="Q119" s="261"/>
      <c r="R119" s="261"/>
      <c r="S119" s="261"/>
      <c r="T119" s="261"/>
      <c r="U119" s="261"/>
      <c r="V119" s="261"/>
      <c r="W119" s="261"/>
      <c r="X119" s="261"/>
      <c r="Y119" s="261"/>
      <c r="Z119" s="261"/>
      <c r="AA119" s="368"/>
      <c r="AB119" s="237"/>
      <c r="AC119" s="261"/>
      <c r="AD119" s="261"/>
      <c r="AE119" s="250"/>
      <c r="AF119" s="319"/>
      <c r="AG119" s="261"/>
      <c r="AH119" s="1276"/>
      <c r="AI119" s="1171"/>
      <c r="AJ119" s="1908"/>
      <c r="AK119" s="1932"/>
    </row>
    <row r="120" spans="1:37" ht="15" customHeight="1">
      <c r="A120" s="353"/>
      <c r="B120" s="1854" t="s">
        <v>1255</v>
      </c>
      <c r="C120" s="307"/>
      <c r="D120" s="261">
        <v>1679.4</v>
      </c>
      <c r="E120" s="319"/>
      <c r="F120" s="274">
        <v>538.5</v>
      </c>
      <c r="G120" s="319"/>
      <c r="H120" s="274">
        <v>1201.0999999999999</v>
      </c>
      <c r="I120" s="319"/>
      <c r="J120" s="320">
        <v>524.5</v>
      </c>
      <c r="K120" s="319"/>
      <c r="L120" s="1171">
        <v>260.60000000000002</v>
      </c>
      <c r="M120" s="319"/>
      <c r="N120" s="261">
        <v>1461.7</v>
      </c>
      <c r="O120" s="319"/>
      <c r="P120" s="261">
        <v>562.6</v>
      </c>
      <c r="Q120" s="319"/>
      <c r="R120" s="261">
        <v>430.5</v>
      </c>
      <c r="S120" s="319"/>
      <c r="T120" s="261">
        <v>1248.9000000000001</v>
      </c>
      <c r="U120" s="319"/>
      <c r="V120" s="261"/>
      <c r="W120" s="319"/>
      <c r="X120" s="261"/>
      <c r="Y120" s="319"/>
      <c r="Z120" s="261"/>
      <c r="AA120" s="368"/>
      <c r="AB120" s="488"/>
      <c r="AC120" s="261">
        <f t="shared" ref="AC120:AC128" si="12">ROUND(SUM(D120:Z120),1)</f>
        <v>7907.8</v>
      </c>
      <c r="AD120" s="319"/>
      <c r="AE120" s="1284"/>
      <c r="AF120" s="1833">
        <v>6495</v>
      </c>
      <c r="AG120" s="319"/>
      <c r="AH120" s="1276"/>
      <c r="AI120" s="1171">
        <f>ROUND(SUM(+AC120-AF120),1)</f>
        <v>1412.8</v>
      </c>
      <c r="AJ120" s="1908"/>
      <c r="AK120" s="1864">
        <f t="shared" ref="AK120:AK125" si="13">ROUND(IF(AF120=0,0,AI120/ABS(AF120)),3)</f>
        <v>0.218</v>
      </c>
    </row>
    <row r="121" spans="1:37" ht="15" customHeight="1">
      <c r="A121" s="353"/>
      <c r="B121" s="1854" t="s">
        <v>1283</v>
      </c>
      <c r="C121" s="307"/>
      <c r="D121" s="261">
        <v>461.4</v>
      </c>
      <c r="E121" s="319"/>
      <c r="F121" s="274">
        <v>249</v>
      </c>
      <c r="G121" s="319"/>
      <c r="H121" s="274">
        <v>822.3</v>
      </c>
      <c r="I121" s="319"/>
      <c r="J121" s="320">
        <v>480.6</v>
      </c>
      <c r="K121" s="319"/>
      <c r="L121" s="1171">
        <v>344.2</v>
      </c>
      <c r="M121" s="319"/>
      <c r="N121" s="261">
        <v>619.1</v>
      </c>
      <c r="O121" s="319"/>
      <c r="P121" s="261">
        <v>401.2</v>
      </c>
      <c r="Q121" s="319"/>
      <c r="R121" s="261">
        <v>451</v>
      </c>
      <c r="S121" s="319"/>
      <c r="T121" s="261">
        <v>555.79999999999995</v>
      </c>
      <c r="U121" s="319"/>
      <c r="V121" s="261"/>
      <c r="W121" s="319"/>
      <c r="X121" s="261"/>
      <c r="Y121" s="319"/>
      <c r="Z121" s="261"/>
      <c r="AA121" s="261"/>
      <c r="AB121" s="1284"/>
      <c r="AC121" s="261">
        <f t="shared" si="12"/>
        <v>4384.6000000000004</v>
      </c>
      <c r="AD121" s="319"/>
      <c r="AE121" s="1284"/>
      <c r="AF121" s="1833">
        <v>4449.2</v>
      </c>
      <c r="AG121" s="319"/>
      <c r="AH121" s="1276"/>
      <c r="AI121" s="1171">
        <f>ROUND(SUM(+AC121-AF121),1)</f>
        <v>-64.599999999999994</v>
      </c>
      <c r="AJ121" s="1908"/>
      <c r="AK121" s="1864">
        <f t="shared" si="13"/>
        <v>-1.4999999999999999E-2</v>
      </c>
    </row>
    <row r="122" spans="1:37" ht="15" customHeight="1">
      <c r="A122" s="353"/>
      <c r="B122" s="1854" t="s">
        <v>1256</v>
      </c>
      <c r="C122" s="307"/>
      <c r="D122" s="261">
        <v>74.2</v>
      </c>
      <c r="E122" s="319"/>
      <c r="F122" s="274">
        <v>97.1</v>
      </c>
      <c r="G122" s="319"/>
      <c r="H122" s="274">
        <v>75.8</v>
      </c>
      <c r="I122" s="319"/>
      <c r="J122" s="320">
        <v>75.7</v>
      </c>
      <c r="K122" s="319"/>
      <c r="L122" s="1171">
        <v>81.099999999999994</v>
      </c>
      <c r="M122" s="319"/>
      <c r="N122" s="261">
        <v>94.9</v>
      </c>
      <c r="O122" s="319"/>
      <c r="P122" s="261">
        <v>89.2</v>
      </c>
      <c r="Q122" s="319"/>
      <c r="R122" s="261">
        <v>62.5</v>
      </c>
      <c r="S122" s="319"/>
      <c r="T122" s="261">
        <v>78.2</v>
      </c>
      <c r="U122" s="319"/>
      <c r="V122" s="261"/>
      <c r="W122" s="319"/>
      <c r="X122" s="261"/>
      <c r="Y122" s="319"/>
      <c r="Z122" s="261"/>
      <c r="AA122" s="261"/>
      <c r="AB122" s="1284"/>
      <c r="AC122" s="261">
        <f t="shared" si="12"/>
        <v>728.7</v>
      </c>
      <c r="AD122" s="319"/>
      <c r="AE122" s="1284"/>
      <c r="AF122" s="1833">
        <v>636.20000000000005</v>
      </c>
      <c r="AG122" s="319"/>
      <c r="AH122" s="1276"/>
      <c r="AI122" s="1171">
        <f>ROUND(SUM(+AC122-AF122),1)</f>
        <v>92.5</v>
      </c>
      <c r="AJ122" s="1908"/>
      <c r="AK122" s="1864">
        <f t="shared" si="13"/>
        <v>0.14499999999999999</v>
      </c>
    </row>
    <row r="123" spans="1:37" ht="15" customHeight="1">
      <c r="A123" s="353"/>
      <c r="B123" s="487" t="s">
        <v>165</v>
      </c>
      <c r="C123" s="307"/>
      <c r="D123" s="261">
        <v>14.9</v>
      </c>
      <c r="E123" s="319"/>
      <c r="F123" s="274">
        <v>298.3</v>
      </c>
      <c r="G123" s="319"/>
      <c r="H123" s="274">
        <v>3.8</v>
      </c>
      <c r="I123" s="319"/>
      <c r="J123" s="320">
        <v>20.7</v>
      </c>
      <c r="K123" s="319"/>
      <c r="L123" s="1171">
        <v>1.9</v>
      </c>
      <c r="M123" s="319"/>
      <c r="N123" s="261">
        <v>90.3</v>
      </c>
      <c r="O123" s="319"/>
      <c r="P123" s="261">
        <v>1.9</v>
      </c>
      <c r="Q123" s="319"/>
      <c r="R123" s="261">
        <v>7.2</v>
      </c>
      <c r="S123" s="319"/>
      <c r="T123" s="261">
        <v>40.9</v>
      </c>
      <c r="U123" s="319"/>
      <c r="V123" s="261"/>
      <c r="W123" s="319"/>
      <c r="X123" s="261"/>
      <c r="Y123" s="319"/>
      <c r="Z123" s="261"/>
      <c r="AA123" s="261"/>
      <c r="AB123" s="1284"/>
      <c r="AC123" s="261">
        <f t="shared" si="12"/>
        <v>479.9</v>
      </c>
      <c r="AD123" s="319"/>
      <c r="AE123" s="1284"/>
      <c r="AF123" s="1833">
        <v>362</v>
      </c>
      <c r="AG123" s="319"/>
      <c r="AH123" s="1276"/>
      <c r="AI123" s="1171">
        <f>ROUND(SUM(+AC123-AF123),1)</f>
        <v>117.9</v>
      </c>
      <c r="AJ123" s="1908"/>
      <c r="AK123" s="1864">
        <f t="shared" si="13"/>
        <v>0.32600000000000001</v>
      </c>
    </row>
    <row r="124" spans="1:37" ht="15" customHeight="1">
      <c r="A124" s="353" t="s">
        <v>16</v>
      </c>
      <c r="B124" s="223" t="s">
        <v>166</v>
      </c>
      <c r="C124" s="222"/>
      <c r="D124" s="261">
        <v>-73.099999999999994</v>
      </c>
      <c r="E124" s="261"/>
      <c r="F124" s="261">
        <v>-143</v>
      </c>
      <c r="G124" s="261"/>
      <c r="H124" s="261">
        <v>314.10000000000002</v>
      </c>
      <c r="I124" s="261"/>
      <c r="J124" s="320">
        <v>-144.69999999999999</v>
      </c>
      <c r="K124" s="261"/>
      <c r="L124" s="1171">
        <v>-266.2</v>
      </c>
      <c r="M124" s="261"/>
      <c r="N124" s="261">
        <v>-241</v>
      </c>
      <c r="O124" s="261"/>
      <c r="P124" s="261">
        <v>47</v>
      </c>
      <c r="Q124" s="261"/>
      <c r="R124" s="261">
        <v>-186.4</v>
      </c>
      <c r="S124" s="261"/>
      <c r="T124" s="261">
        <v>90.4</v>
      </c>
      <c r="U124" s="261"/>
      <c r="V124" s="261"/>
      <c r="W124" s="261"/>
      <c r="X124" s="261"/>
      <c r="Y124" s="261"/>
      <c r="Z124" s="261"/>
      <c r="AA124" s="368"/>
      <c r="AB124" s="237"/>
      <c r="AC124" s="261">
        <f t="shared" si="12"/>
        <v>-602.9</v>
      </c>
      <c r="AD124" s="261"/>
      <c r="AE124" s="250"/>
      <c r="AF124" s="1171">
        <v>-999.6</v>
      </c>
      <c r="AG124" s="261"/>
      <c r="AH124" s="1276"/>
      <c r="AI124" s="1171">
        <f>ROUND(SUM(+AC124-AF124)*-1,1)</f>
        <v>-396.7</v>
      </c>
      <c r="AJ124" s="1908"/>
      <c r="AK124" s="2880">
        <f t="shared" si="13"/>
        <v>-0.39700000000000002</v>
      </c>
    </row>
    <row r="125" spans="1:37" ht="15" customHeight="1">
      <c r="A125" s="353"/>
      <c r="B125" s="223" t="s">
        <v>167</v>
      </c>
      <c r="C125" s="222"/>
      <c r="D125" s="1172">
        <v>0</v>
      </c>
      <c r="E125" s="261"/>
      <c r="F125" s="1172">
        <v>0</v>
      </c>
      <c r="G125" s="261"/>
      <c r="H125" s="1172">
        <v>0</v>
      </c>
      <c r="I125" s="261"/>
      <c r="J125" s="2147">
        <v>0</v>
      </c>
      <c r="K125" s="261"/>
      <c r="L125" s="2633">
        <v>0</v>
      </c>
      <c r="M125" s="261"/>
      <c r="N125" s="1172">
        <v>0</v>
      </c>
      <c r="O125" s="261"/>
      <c r="P125" s="1172">
        <v>0</v>
      </c>
      <c r="Q125" s="261"/>
      <c r="R125" s="1172">
        <v>0</v>
      </c>
      <c r="S125" s="261"/>
      <c r="T125" s="1172">
        <v>0</v>
      </c>
      <c r="U125" s="261"/>
      <c r="V125" s="1172"/>
      <c r="W125" s="261"/>
      <c r="X125" s="1172"/>
      <c r="Y125" s="261"/>
      <c r="Z125" s="373"/>
      <c r="AA125" s="368"/>
      <c r="AB125" s="237"/>
      <c r="AC125" s="261">
        <f t="shared" si="12"/>
        <v>0</v>
      </c>
      <c r="AD125" s="261"/>
      <c r="AE125" s="250"/>
      <c r="AF125" s="2633">
        <v>0</v>
      </c>
      <c r="AG125" s="261"/>
      <c r="AH125" s="1276"/>
      <c r="AI125" s="3151">
        <f>ROUND(SUM(+AC125-AF125)*-1,1)</f>
        <v>0</v>
      </c>
      <c r="AJ125" s="1908"/>
      <c r="AK125" s="2817">
        <f t="shared" si="13"/>
        <v>0</v>
      </c>
    </row>
    <row r="126" spans="1:37" ht="15" customHeight="1">
      <c r="A126" s="353"/>
      <c r="B126" s="1358" t="s">
        <v>1628</v>
      </c>
      <c r="C126" s="222"/>
      <c r="D126" s="1172">
        <v>0</v>
      </c>
      <c r="E126" s="261"/>
      <c r="F126" s="1172">
        <v>-5</v>
      </c>
      <c r="G126" s="261"/>
      <c r="H126" s="1172">
        <v>-118.4</v>
      </c>
      <c r="I126" s="261"/>
      <c r="J126" s="2147">
        <v>-55</v>
      </c>
      <c r="K126" s="261"/>
      <c r="L126" s="2633">
        <v>-60</v>
      </c>
      <c r="M126" s="261"/>
      <c r="N126" s="1172">
        <v>-111.5</v>
      </c>
      <c r="O126" s="261"/>
      <c r="P126" s="1172">
        <v>-70</v>
      </c>
      <c r="Q126" s="261"/>
      <c r="R126" s="1172">
        <v>-150</v>
      </c>
      <c r="S126" s="261"/>
      <c r="T126" s="1172">
        <v>-98</v>
      </c>
      <c r="U126" s="261"/>
      <c r="V126" s="1172"/>
      <c r="W126" s="261"/>
      <c r="X126" s="1172"/>
      <c r="Y126" s="261"/>
      <c r="Z126" s="373"/>
      <c r="AA126" s="368"/>
      <c r="AB126" s="237"/>
      <c r="AC126" s="261">
        <f t="shared" si="12"/>
        <v>-667.9</v>
      </c>
      <c r="AD126" s="261"/>
      <c r="AE126" s="250"/>
      <c r="AF126" s="2633">
        <v>-49.5</v>
      </c>
      <c r="AG126" s="261"/>
      <c r="AH126" s="1276"/>
      <c r="AI126" s="3151">
        <f>ROUND(SUM(+AC126-AF126)*-1,1)</f>
        <v>618.4</v>
      </c>
      <c r="AJ126" s="1908"/>
      <c r="AK126" s="2880">
        <f>ROUND(IF(AF126=0,1,AI126/ABS(AF126)),3)</f>
        <v>12.493</v>
      </c>
    </row>
    <row r="127" spans="1:37" ht="15" customHeight="1">
      <c r="A127" s="353"/>
      <c r="B127" s="223" t="s">
        <v>168</v>
      </c>
      <c r="C127" s="222"/>
      <c r="D127" s="261">
        <v>-302</v>
      </c>
      <c r="E127" s="261"/>
      <c r="F127" s="261">
        <v>8.6999999999999993</v>
      </c>
      <c r="G127" s="261"/>
      <c r="H127" s="261">
        <v>22.4</v>
      </c>
      <c r="I127" s="261"/>
      <c r="J127" s="320">
        <v>-167.4</v>
      </c>
      <c r="K127" s="261"/>
      <c r="L127" s="1171">
        <v>12.5</v>
      </c>
      <c r="M127" s="261"/>
      <c r="N127" s="261">
        <v>70</v>
      </c>
      <c r="O127" s="261"/>
      <c r="P127" s="261">
        <v>-144.6</v>
      </c>
      <c r="Q127" s="261"/>
      <c r="R127" s="261">
        <v>2.8</v>
      </c>
      <c r="S127" s="261"/>
      <c r="T127" s="261">
        <v>1.9</v>
      </c>
      <c r="U127" s="261"/>
      <c r="V127" s="261"/>
      <c r="W127" s="261"/>
      <c r="X127" s="261"/>
      <c r="Y127" s="261"/>
      <c r="Z127" s="261"/>
      <c r="AA127" s="368"/>
      <c r="AB127" s="237"/>
      <c r="AC127" s="261">
        <f t="shared" si="12"/>
        <v>-495.7</v>
      </c>
      <c r="AD127" s="261"/>
      <c r="AE127" s="250"/>
      <c r="AF127" s="1171">
        <v>-477.6</v>
      </c>
      <c r="AG127" s="261"/>
      <c r="AH127" s="1276"/>
      <c r="AI127" s="1171">
        <f>ROUND(SUM(+AC127-AF127)*-1,1)</f>
        <v>18.100000000000001</v>
      </c>
      <c r="AJ127" s="1908"/>
      <c r="AK127" s="1864">
        <f>ROUND(IF(AF127=0,0,AI127/ABS(AF127)),3)</f>
        <v>3.7999999999999999E-2</v>
      </c>
    </row>
    <row r="128" spans="1:37" ht="15" customHeight="1">
      <c r="A128" s="353"/>
      <c r="B128" s="308" t="s">
        <v>169</v>
      </c>
      <c r="C128" s="307"/>
      <c r="D128" s="261">
        <v>-1699.8</v>
      </c>
      <c r="E128" s="319"/>
      <c r="F128" s="261">
        <v>-713.5</v>
      </c>
      <c r="G128" s="319"/>
      <c r="H128" s="261">
        <v>-373.5</v>
      </c>
      <c r="I128" s="319"/>
      <c r="J128" s="320">
        <v>-796</v>
      </c>
      <c r="K128" s="319"/>
      <c r="L128" s="1171">
        <v>-695.6</v>
      </c>
      <c r="M128" s="319"/>
      <c r="N128" s="261">
        <v>-310</v>
      </c>
      <c r="O128" s="319"/>
      <c r="P128" s="261">
        <v>-599.70000000000005</v>
      </c>
      <c r="Q128" s="319"/>
      <c r="R128" s="261">
        <v>-737.3</v>
      </c>
      <c r="S128" s="319"/>
      <c r="T128" s="261">
        <v>-309</v>
      </c>
      <c r="U128" s="319"/>
      <c r="V128" s="261"/>
      <c r="W128" s="319"/>
      <c r="X128" s="261"/>
      <c r="Y128" s="319"/>
      <c r="Z128" s="261"/>
      <c r="AA128" s="486"/>
      <c r="AB128" s="310"/>
      <c r="AC128" s="261">
        <f t="shared" si="12"/>
        <v>-6234.4</v>
      </c>
      <c r="AD128" s="319"/>
      <c r="AE128" s="1284"/>
      <c r="AF128" s="1833">
        <v>-4842.6000000000004</v>
      </c>
      <c r="AG128" s="262"/>
      <c r="AH128" s="1276"/>
      <c r="AI128" s="2749">
        <f>ROUND(SUM(+AC128-AF128)*-1,1)</f>
        <v>1391.8</v>
      </c>
      <c r="AJ128" s="1908"/>
      <c r="AK128" s="2624">
        <f>ROUND(IF(AF128=0,0,AI128/ABS(AF128)),3)</f>
        <v>0.28699999999999998</v>
      </c>
    </row>
    <row r="129" spans="1:37" ht="5.0999999999999996" customHeight="1">
      <c r="A129" s="353"/>
      <c r="B129" s="308"/>
      <c r="C129" s="307"/>
      <c r="D129" s="328"/>
      <c r="E129" s="319"/>
      <c r="F129" s="328"/>
      <c r="G129" s="319"/>
      <c r="H129" s="328" t="s">
        <v>16</v>
      </c>
      <c r="I129" s="319"/>
      <c r="J129" s="328"/>
      <c r="K129" s="319"/>
      <c r="L129" s="328"/>
      <c r="M129" s="319"/>
      <c r="N129" s="328"/>
      <c r="O129" s="319"/>
      <c r="P129" s="328"/>
      <c r="Q129" s="319"/>
      <c r="R129" s="328"/>
      <c r="S129" s="319"/>
      <c r="T129" s="328"/>
      <c r="U129" s="319"/>
      <c r="V129" s="328"/>
      <c r="W129" s="319"/>
      <c r="X129" s="328"/>
      <c r="Y129" s="319"/>
      <c r="Z129" s="328"/>
      <c r="AA129" s="318"/>
      <c r="AB129" s="488"/>
      <c r="AC129" s="328"/>
      <c r="AD129" s="319"/>
      <c r="AE129" s="1284"/>
      <c r="AF129" s="328"/>
      <c r="AG129" s="262"/>
      <c r="AH129" s="1276"/>
      <c r="AI129" s="1171"/>
      <c r="AJ129" s="1908"/>
      <c r="AK129" s="1932"/>
    </row>
    <row r="130" spans="1:37" ht="15" customHeight="1">
      <c r="A130" s="353"/>
      <c r="B130" s="221" t="s">
        <v>170</v>
      </c>
      <c r="C130" s="222"/>
      <c r="D130" s="261"/>
      <c r="E130" s="261"/>
      <c r="F130" s="261"/>
      <c r="G130" s="261"/>
      <c r="H130" s="261"/>
      <c r="I130" s="261"/>
      <c r="J130" s="319"/>
      <c r="K130" s="261"/>
      <c r="L130" s="261"/>
      <c r="M130" s="261"/>
      <c r="N130" s="261"/>
      <c r="O130" s="261"/>
      <c r="P130" s="261"/>
      <c r="Q130" s="261"/>
      <c r="R130" s="261"/>
      <c r="S130" s="261"/>
      <c r="T130" s="261"/>
      <c r="U130" s="261"/>
      <c r="V130" s="261"/>
      <c r="W130" s="261"/>
      <c r="X130" s="261"/>
      <c r="Y130" s="368"/>
      <c r="Z130" s="368"/>
      <c r="AA130" s="368"/>
      <c r="AB130" s="237"/>
      <c r="AC130" s="261"/>
      <c r="AD130" s="261"/>
      <c r="AE130" s="250"/>
      <c r="AF130" s="319"/>
      <c r="AG130" s="261"/>
      <c r="AH130" s="1276"/>
      <c r="AI130" s="1171"/>
      <c r="AJ130" s="1908"/>
      <c r="AK130" s="1932"/>
    </row>
    <row r="131" spans="1:37" ht="15" customHeight="1">
      <c r="A131" s="353"/>
      <c r="B131" s="221" t="s">
        <v>171</v>
      </c>
      <c r="C131" s="222"/>
      <c r="D131" s="257">
        <f>ROUND(SUM(D120:D129),1)</f>
        <v>155</v>
      </c>
      <c r="E131" s="257"/>
      <c r="F131" s="257">
        <f>ROUND(SUM(F120:F129),1)</f>
        <v>330.1</v>
      </c>
      <c r="G131" s="257"/>
      <c r="H131" s="257">
        <f>ROUND(SUM(H120:H129),1)</f>
        <v>1947.6</v>
      </c>
      <c r="I131" s="257"/>
      <c r="J131" s="313">
        <f>ROUND(SUM(J120:J128),1)</f>
        <v>-61.6</v>
      </c>
      <c r="K131" s="257"/>
      <c r="L131" s="257">
        <f>ROUND(SUM(L120:L128),1)</f>
        <v>-321.5</v>
      </c>
      <c r="M131" s="257"/>
      <c r="N131" s="257">
        <f>ROUND(SUM(N120:N128),1)</f>
        <v>1673.5</v>
      </c>
      <c r="O131" s="257"/>
      <c r="P131" s="257">
        <f>ROUND(SUM(P120:P128),1)</f>
        <v>287.60000000000002</v>
      </c>
      <c r="Q131" s="257"/>
      <c r="R131" s="257">
        <f>ROUND(SUM(R120:R128),1)</f>
        <v>-119.7</v>
      </c>
      <c r="S131" s="257"/>
      <c r="T131" s="257">
        <f>ROUND(SUM(T120:T128),1)</f>
        <v>1609.1</v>
      </c>
      <c r="U131" s="257"/>
      <c r="V131" s="257">
        <f>ROUND(SUM(V120:V128),1)</f>
        <v>0</v>
      </c>
      <c r="W131" s="257"/>
      <c r="X131" s="257">
        <f>ROUND(SUM(X120:X128),1)</f>
        <v>0</v>
      </c>
      <c r="Y131" s="410"/>
      <c r="Z131" s="257">
        <f>ROUND(SUM(Z120:Z128),1)</f>
        <v>0</v>
      </c>
      <c r="AA131" s="477"/>
      <c r="AB131" s="478"/>
      <c r="AC131" s="257">
        <f>ROUND(SUM(AC120:AC128),1)</f>
        <v>5500.1</v>
      </c>
      <c r="AD131" s="257"/>
      <c r="AE131" s="259"/>
      <c r="AF131" s="313">
        <f>ROUND(SUM(AF120:AF128),1)</f>
        <v>5573.1</v>
      </c>
      <c r="AG131" s="273"/>
      <c r="AH131" s="1278"/>
      <c r="AI131" s="271">
        <f>ROUND(SUM(+AC131-AF131),1)</f>
        <v>-73</v>
      </c>
      <c r="AJ131" s="273"/>
      <c r="AK131" s="525">
        <f>ROUND(SUM(+AI131/AF131),3)</f>
        <v>-1.2999999999999999E-2</v>
      </c>
    </row>
    <row r="132" spans="1:37" ht="15" customHeight="1">
      <c r="A132" s="353"/>
      <c r="B132" s="223"/>
      <c r="C132" s="222"/>
      <c r="D132" s="289"/>
      <c r="E132" s="261"/>
      <c r="F132" s="289"/>
      <c r="G132" s="261"/>
      <c r="H132" s="289"/>
      <c r="I132" s="261"/>
      <c r="J132" s="328"/>
      <c r="K132" s="261"/>
      <c r="L132" s="289"/>
      <c r="M132" s="261"/>
      <c r="N132" s="289"/>
      <c r="O132" s="261"/>
      <c r="P132" s="289"/>
      <c r="Q132" s="261"/>
      <c r="R132" s="289"/>
      <c r="S132" s="261"/>
      <c r="T132" s="289"/>
      <c r="U132" s="261"/>
      <c r="V132" s="289"/>
      <c r="W132" s="261"/>
      <c r="X132" s="289"/>
      <c r="Y132" s="368"/>
      <c r="Z132" s="371"/>
      <c r="AA132" s="253"/>
      <c r="AB132" s="237"/>
      <c r="AC132" s="289"/>
      <c r="AD132" s="261"/>
      <c r="AE132" s="250"/>
      <c r="AF132" s="328"/>
      <c r="AG132" s="249"/>
      <c r="AH132" s="1276"/>
      <c r="AI132" s="1362"/>
      <c r="AJ132" s="1608"/>
      <c r="AK132" s="1600"/>
    </row>
    <row r="133" spans="1:37" ht="15" customHeight="1">
      <c r="A133" s="353"/>
      <c r="B133" s="221" t="s">
        <v>172</v>
      </c>
      <c r="C133" s="222"/>
      <c r="D133" s="261"/>
      <c r="E133" s="261"/>
      <c r="F133" s="261"/>
      <c r="G133" s="261"/>
      <c r="H133" s="261"/>
      <c r="I133" s="261"/>
      <c r="J133" s="319"/>
      <c r="K133" s="261"/>
      <c r="L133" s="261"/>
      <c r="M133" s="261"/>
      <c r="N133" s="261"/>
      <c r="O133" s="261"/>
      <c r="P133" s="261"/>
      <c r="Q133" s="261"/>
      <c r="R133" s="261"/>
      <c r="S133" s="261"/>
      <c r="T133" s="261"/>
      <c r="U133" s="261"/>
      <c r="V133" s="261"/>
      <c r="W133" s="261"/>
      <c r="X133" s="261"/>
      <c r="Y133" s="368"/>
      <c r="Z133" s="368"/>
      <c r="AA133" s="368"/>
      <c r="AB133" s="237"/>
      <c r="AC133" s="261"/>
      <c r="AD133" s="261"/>
      <c r="AE133" s="250"/>
      <c r="AF133" s="319"/>
      <c r="AG133" s="261"/>
      <c r="AH133" s="1276"/>
      <c r="AI133" s="1362"/>
      <c r="AJ133" s="1608"/>
      <c r="AK133" s="1600"/>
    </row>
    <row r="134" spans="1:37" ht="15" customHeight="1">
      <c r="A134" s="353"/>
      <c r="B134" s="221" t="s">
        <v>173</v>
      </c>
      <c r="C134" s="222"/>
      <c r="D134" s="261"/>
      <c r="E134" s="261"/>
      <c r="F134" s="261"/>
      <c r="G134" s="261"/>
      <c r="H134" s="261"/>
      <c r="I134" s="261"/>
      <c r="J134" s="319"/>
      <c r="K134" s="261"/>
      <c r="L134" s="261"/>
      <c r="M134" s="261"/>
      <c r="N134" s="261"/>
      <c r="O134" s="261"/>
      <c r="P134" s="261"/>
      <c r="Q134" s="261"/>
      <c r="R134" s="261"/>
      <c r="S134" s="261"/>
      <c r="T134" s="261"/>
      <c r="U134" s="261"/>
      <c r="V134" s="261"/>
      <c r="W134" s="261"/>
      <c r="X134" s="261"/>
      <c r="Y134" s="368"/>
      <c r="Z134" s="368"/>
      <c r="AA134" s="368"/>
      <c r="AB134" s="237"/>
      <c r="AC134" s="261"/>
      <c r="AD134" s="261"/>
      <c r="AE134" s="250"/>
      <c r="AF134" s="319"/>
      <c r="AG134" s="261"/>
      <c r="AH134" s="1276"/>
      <c r="AI134" s="1362"/>
      <c r="AJ134" s="1608"/>
      <c r="AK134" s="1600"/>
    </row>
    <row r="135" spans="1:37" ht="15" customHeight="1">
      <c r="A135" s="353"/>
      <c r="B135" s="221" t="s">
        <v>174</v>
      </c>
      <c r="C135" s="222"/>
      <c r="D135" s="257">
        <f>ROUND(SUM(D116+D131),1)</f>
        <v>3044.1</v>
      </c>
      <c r="E135" s="257"/>
      <c r="F135" s="257">
        <f>ROUND(SUM(F116+F131),1)</f>
        <v>-752.2</v>
      </c>
      <c r="G135" s="257"/>
      <c r="H135" s="257">
        <f>ROUND(SUM(H116+H131),1)</f>
        <v>1472.4</v>
      </c>
      <c r="I135" s="257"/>
      <c r="J135" s="313">
        <f>ROUND(SUM(J116+J131),1)</f>
        <v>-1438.6</v>
      </c>
      <c r="K135" s="257"/>
      <c r="L135" s="257">
        <f>ROUND(SUM(L116+L131),1)</f>
        <v>-136.19999999999999</v>
      </c>
      <c r="M135" s="257"/>
      <c r="N135" s="257">
        <f>ROUND(SUM(N116+N131),1)</f>
        <v>1227.5</v>
      </c>
      <c r="O135" s="257"/>
      <c r="P135" s="257">
        <f>ROUND(SUM(P116+P131),1)</f>
        <v>671.8</v>
      </c>
      <c r="Q135" s="257"/>
      <c r="R135" s="257">
        <f>ROUND(SUM(R116+R131),1)</f>
        <v>-1076.5</v>
      </c>
      <c r="S135" s="261"/>
      <c r="T135" s="257">
        <f>ROUND(SUM(T116+T131),1)</f>
        <v>2429.3000000000002</v>
      </c>
      <c r="U135" s="261"/>
      <c r="V135" s="257">
        <f>ROUND(SUM(V116+V131),1)</f>
        <v>0</v>
      </c>
      <c r="W135" s="261"/>
      <c r="X135" s="257">
        <f>ROUND(SUM(X116+X131),1)</f>
        <v>0</v>
      </c>
      <c r="Y135" s="368"/>
      <c r="Z135" s="271">
        <f>ROUND(SUM(Z116+Z131),1)</f>
        <v>0</v>
      </c>
      <c r="AA135" s="253"/>
      <c r="AB135" s="237"/>
      <c r="AC135" s="257">
        <f>ROUND(SUM(AC116+AC131),1)</f>
        <v>5441.6</v>
      </c>
      <c r="AD135" s="257"/>
      <c r="AE135" s="259"/>
      <c r="AF135" s="313">
        <f>ROUND(SUM(AF116+AF131),1)</f>
        <v>6018.4</v>
      </c>
      <c r="AG135" s="273"/>
      <c r="AH135" s="1278"/>
      <c r="AI135" s="271">
        <f>ROUND(SUM(+AC135-AF135),1)</f>
        <v>-576.79999999999995</v>
      </c>
      <c r="AJ135" s="2752"/>
      <c r="AK135" s="525">
        <f>ROUND(SUM(AI135/AF135),3)</f>
        <v>-9.6000000000000002E-2</v>
      </c>
    </row>
    <row r="136" spans="1:37" ht="9" customHeight="1">
      <c r="A136" s="353"/>
      <c r="B136" s="223"/>
      <c r="C136" s="222"/>
      <c r="D136" s="371"/>
      <c r="E136" s="223"/>
      <c r="F136" s="467"/>
      <c r="G136" s="223"/>
      <c r="H136" s="235"/>
      <c r="I136" s="223"/>
      <c r="J136" s="328"/>
      <c r="K136" s="223"/>
      <c r="L136" s="235"/>
      <c r="M136" s="223"/>
      <c r="N136" s="235"/>
      <c r="O136" s="223"/>
      <c r="P136" s="235"/>
      <c r="Q136" s="223"/>
      <c r="R136" s="235"/>
      <c r="S136" s="223"/>
      <c r="T136" s="235"/>
      <c r="U136" s="223"/>
      <c r="V136" s="235"/>
      <c r="W136" s="223"/>
      <c r="X136" s="235"/>
      <c r="Y136" s="223"/>
      <c r="Z136" s="229"/>
      <c r="AA136" s="229"/>
      <c r="AB136" s="237"/>
      <c r="AC136" s="289"/>
      <c r="AD136" s="261"/>
      <c r="AE136" s="250"/>
      <c r="AF136" s="328"/>
      <c r="AG136" s="249"/>
      <c r="AH136" s="1276"/>
      <c r="AI136" s="1356"/>
      <c r="AJ136" s="1608"/>
      <c r="AK136" s="2753"/>
    </row>
    <row r="137" spans="1:37" ht="15" customHeight="1" thickBot="1">
      <c r="A137" s="353"/>
      <c r="B137" s="490" t="s">
        <v>146</v>
      </c>
      <c r="C137" s="307"/>
      <c r="D137" s="491">
        <f>ROUND(SUM(D14+D135),1)</f>
        <v>10343.6</v>
      </c>
      <c r="E137" s="492"/>
      <c r="F137" s="491">
        <f>ROUND(SUM(F14+F135),1)</f>
        <v>9591.4</v>
      </c>
      <c r="G137" s="493"/>
      <c r="H137" s="491">
        <f>ROUND(SUM(H14+H135),1)</f>
        <v>11063.8</v>
      </c>
      <c r="I137" s="493"/>
      <c r="J137" s="491">
        <f>ROUND(SUM(J14+J135),1)</f>
        <v>9625.2000000000007</v>
      </c>
      <c r="K137" s="493"/>
      <c r="L137" s="491">
        <f>ROUND(SUM(L14+L135),1)</f>
        <v>9489</v>
      </c>
      <c r="M137" s="493"/>
      <c r="N137" s="491">
        <f>ROUND(SUM(N14+N135),1)</f>
        <v>10716.5</v>
      </c>
      <c r="O137" s="493"/>
      <c r="P137" s="491">
        <f>ROUND(SUM(P14+P135),1)</f>
        <v>11388.3</v>
      </c>
      <c r="Q137" s="493"/>
      <c r="R137" s="491">
        <f>ROUND(SUM(R14+R135),1)</f>
        <v>10311.799999999999</v>
      </c>
      <c r="S137" s="493"/>
      <c r="T137" s="491">
        <f>ROUND(SUM(T14+T135),1)</f>
        <v>12741.1</v>
      </c>
      <c r="U137" s="493"/>
      <c r="V137" s="491">
        <f>ROUND(SUM(V14+V135),1)</f>
        <v>0</v>
      </c>
      <c r="W137" s="493"/>
      <c r="X137" s="491">
        <f>ROUND(SUM(X14+X135),1)</f>
        <v>0</v>
      </c>
      <c r="Y137" s="493"/>
      <c r="Z137" s="491">
        <f>ROUND(SUM(Z14+Z135),1)</f>
        <v>0</v>
      </c>
      <c r="AA137" s="492"/>
      <c r="AB137" s="494"/>
      <c r="AC137" s="491">
        <f>ROUND(SUM(AC14+AC135),1)</f>
        <v>12741.1</v>
      </c>
      <c r="AD137" s="313"/>
      <c r="AE137" s="1285"/>
      <c r="AF137" s="491">
        <f>ROUND(SUM(AF14+AF135),1)</f>
        <v>8253.6</v>
      </c>
      <c r="AG137" s="385"/>
      <c r="AH137" s="471"/>
      <c r="AI137" s="503">
        <f>ROUND(SUM(+AC137-AF137),1)</f>
        <v>4487.5</v>
      </c>
      <c r="AJ137" s="2752"/>
      <c r="AK137" s="531">
        <f>ROUND(SUM(+AI137/AF137),3)</f>
        <v>0.54400000000000004</v>
      </c>
    </row>
    <row r="138" spans="1:37" ht="15" customHeight="1" thickTop="1">
      <c r="A138" s="353"/>
      <c r="B138" s="223"/>
      <c r="C138" s="222"/>
      <c r="D138" s="229"/>
      <c r="E138" s="228"/>
      <c r="F138" s="495"/>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86"/>
      <c r="AI138" s="1362"/>
      <c r="AJ138" s="1608"/>
      <c r="AK138" s="1600"/>
    </row>
    <row r="139" spans="1:37" ht="15" customHeight="1">
      <c r="A139" s="353"/>
      <c r="B139" s="223" t="s">
        <v>16</v>
      </c>
      <c r="C139" s="222"/>
      <c r="D139" s="229"/>
      <c r="E139" s="223"/>
      <c r="F139" s="495"/>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87"/>
      <c r="AI139" s="1362"/>
      <c r="AJ139" s="1608"/>
      <c r="AK139" s="1600"/>
    </row>
    <row r="140" spans="1:37" ht="15" customHeight="1">
      <c r="A140" s="353"/>
      <c r="B140" s="223"/>
      <c r="C140" s="222"/>
      <c r="D140" s="229"/>
      <c r="E140" s="223"/>
      <c r="F140" s="495"/>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87"/>
      <c r="AI140" s="1362"/>
      <c r="AJ140" s="1608"/>
      <c r="AK140" s="1600"/>
    </row>
    <row r="141" spans="1:37" ht="15" customHeight="1">
      <c r="A141" s="456"/>
      <c r="B141" s="365"/>
      <c r="C141" s="496"/>
      <c r="D141" s="496"/>
      <c r="E141" s="497"/>
      <c r="F141" s="497"/>
      <c r="G141" s="497"/>
      <c r="H141" s="222"/>
      <c r="I141" s="222"/>
      <c r="J141" s="319"/>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9"/>
      <c r="AG141" s="261"/>
      <c r="AH141" s="1288"/>
      <c r="AI141" s="1171"/>
      <c r="AJ141" s="1908"/>
      <c r="AK141" s="1932"/>
    </row>
    <row r="142" spans="1:37" ht="14.1" customHeight="1">
      <c r="A142" s="456"/>
      <c r="B142" s="365"/>
      <c r="C142" s="496"/>
      <c r="D142" s="496"/>
      <c r="E142" s="497"/>
      <c r="F142" s="497"/>
      <c r="G142" s="497"/>
      <c r="H142" s="222"/>
      <c r="I142" s="222"/>
      <c r="J142" s="319"/>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9"/>
      <c r="AG142" s="261"/>
      <c r="AH142" s="1288"/>
      <c r="AI142" s="1171"/>
      <c r="AJ142" s="1908"/>
      <c r="AK142" s="1932"/>
    </row>
    <row r="143" spans="1:37" ht="15" customHeight="1">
      <c r="A143" s="456"/>
      <c r="B143" s="365"/>
      <c r="C143" s="496"/>
      <c r="D143" s="496"/>
      <c r="E143" s="497"/>
      <c r="F143" s="497"/>
      <c r="G143" s="497"/>
      <c r="H143" s="222"/>
      <c r="I143" s="222"/>
      <c r="J143" s="319"/>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9"/>
      <c r="AG143" s="261"/>
      <c r="AH143" s="1288"/>
      <c r="AI143" s="1171"/>
      <c r="AJ143" s="1908"/>
      <c r="AK143" s="1932"/>
    </row>
    <row r="144" spans="1:37" ht="15.75" customHeight="1">
      <c r="A144" s="456"/>
      <c r="B144" s="365"/>
      <c r="C144" s="496"/>
      <c r="D144" s="496"/>
      <c r="E144" s="497"/>
      <c r="F144" s="497"/>
      <c r="G144" s="497"/>
      <c r="H144" s="222"/>
      <c r="I144" s="222"/>
      <c r="J144" s="319"/>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9"/>
      <c r="AG144" s="261"/>
      <c r="AH144" s="1288"/>
      <c r="AI144" s="1171"/>
      <c r="AJ144" s="1908"/>
      <c r="AK144" s="1932"/>
    </row>
    <row r="145" spans="1:37" ht="14.25" customHeight="1">
      <c r="A145" s="456"/>
      <c r="B145" s="365"/>
      <c r="C145" s="496"/>
      <c r="D145" s="496"/>
      <c r="E145" s="497"/>
      <c r="F145" s="497"/>
      <c r="G145" s="497"/>
      <c r="H145" s="222"/>
      <c r="I145" s="222"/>
      <c r="J145" s="319"/>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9"/>
      <c r="AG145" s="261"/>
      <c r="AH145" s="1288"/>
      <c r="AI145" s="1171"/>
      <c r="AJ145" s="1908"/>
      <c r="AK145" s="1932"/>
    </row>
    <row r="146" spans="1:37" ht="14.25" customHeight="1">
      <c r="A146" s="456"/>
      <c r="B146" s="365"/>
      <c r="C146" s="496"/>
      <c r="D146" s="496"/>
      <c r="E146" s="497"/>
      <c r="F146" s="497"/>
      <c r="G146" s="497"/>
      <c r="H146" s="222"/>
      <c r="I146" s="222"/>
      <c r="J146" s="319"/>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9"/>
      <c r="AG146" s="261"/>
      <c r="AH146" s="1288"/>
      <c r="AI146" s="1171"/>
      <c r="AJ146" s="1908"/>
      <c r="AK146" s="1932"/>
    </row>
    <row r="147" spans="1:37" ht="14.25" customHeight="1">
      <c r="A147" s="456"/>
      <c r="B147" s="365"/>
      <c r="C147" s="496"/>
      <c r="D147" s="496"/>
      <c r="E147" s="497"/>
      <c r="F147" s="497"/>
      <c r="G147" s="497"/>
      <c r="H147" s="222"/>
      <c r="I147" s="222"/>
      <c r="J147" s="319"/>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9"/>
      <c r="AG147" s="261"/>
      <c r="AH147" s="1288"/>
      <c r="AI147" s="1171"/>
      <c r="AJ147" s="1908"/>
      <c r="AK147" s="1932"/>
    </row>
    <row r="148" spans="1:37" ht="14.25" customHeight="1">
      <c r="A148" s="456"/>
      <c r="B148" s="365"/>
      <c r="C148" s="496"/>
      <c r="D148" s="496"/>
      <c r="E148" s="497"/>
      <c r="F148" s="497"/>
      <c r="G148" s="497"/>
      <c r="H148" s="222"/>
      <c r="I148" s="222"/>
      <c r="J148" s="319"/>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9"/>
      <c r="AG148" s="261"/>
      <c r="AH148" s="1288"/>
      <c r="AI148" s="1171"/>
      <c r="AJ148" s="1908"/>
      <c r="AK148" s="1932"/>
    </row>
    <row r="149" spans="1:37" ht="14.25" customHeight="1">
      <c r="A149" s="456"/>
      <c r="B149" s="365"/>
      <c r="C149" s="496"/>
      <c r="D149" s="496"/>
      <c r="E149" s="497"/>
      <c r="F149" s="497"/>
      <c r="G149" s="497"/>
      <c r="H149" s="222"/>
      <c r="I149" s="222"/>
      <c r="J149" s="319"/>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9"/>
      <c r="AG149" s="261"/>
      <c r="AH149" s="1288"/>
      <c r="AI149" s="1171"/>
      <c r="AJ149" s="1908"/>
      <c r="AK149" s="1932"/>
    </row>
    <row r="150" spans="1:37" ht="14.25" customHeight="1">
      <c r="A150" s="456"/>
      <c r="B150" s="365"/>
      <c r="C150" s="496"/>
      <c r="D150" s="496"/>
      <c r="E150" s="497"/>
      <c r="F150" s="497"/>
      <c r="G150" s="497"/>
      <c r="H150" s="222"/>
      <c r="I150" s="222"/>
      <c r="J150" s="319"/>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9"/>
      <c r="AG150" s="261"/>
      <c r="AH150" s="1288"/>
      <c r="AI150" s="1171"/>
      <c r="AJ150" s="1908"/>
      <c r="AK150" s="1932"/>
    </row>
    <row r="151" spans="1:37" ht="14.25" customHeight="1">
      <c r="A151" s="456"/>
      <c r="B151" s="365"/>
      <c r="C151" s="496"/>
      <c r="D151" s="496"/>
      <c r="E151" s="497"/>
      <c r="F151" s="497"/>
      <c r="G151" s="497"/>
      <c r="H151" s="222"/>
      <c r="I151" s="222"/>
      <c r="J151" s="319"/>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9"/>
      <c r="AG151" s="261"/>
      <c r="AH151" s="1288"/>
      <c r="AI151" s="1171"/>
      <c r="AJ151" s="1908"/>
      <c r="AK151" s="1932"/>
    </row>
    <row r="152" spans="1:37" ht="14.25" customHeight="1">
      <c r="A152" s="456"/>
      <c r="B152" s="365"/>
      <c r="C152" s="496"/>
      <c r="D152" s="496"/>
      <c r="E152" s="497"/>
      <c r="F152" s="497"/>
      <c r="G152" s="497"/>
      <c r="H152" s="222"/>
      <c r="I152" s="222"/>
      <c r="J152" s="319"/>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7"/>
      <c r="AG152" s="222"/>
      <c r="AH152" s="498"/>
      <c r="AI152" s="1882"/>
      <c r="AJ152" s="2744"/>
      <c r="AK152" s="1932"/>
    </row>
    <row r="153" spans="1:37" ht="14.25" customHeight="1">
      <c r="A153" s="456"/>
      <c r="B153" s="365"/>
      <c r="C153" s="496"/>
      <c r="D153" s="496"/>
      <c r="E153" s="497"/>
      <c r="F153" s="497"/>
      <c r="G153" s="497"/>
      <c r="H153" s="222"/>
      <c r="I153" s="222"/>
      <c r="J153" s="319"/>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7"/>
      <c r="AG153" s="222"/>
      <c r="AH153" s="498"/>
      <c r="AI153" s="1882"/>
      <c r="AJ153" s="2744"/>
      <c r="AK153" s="1932"/>
    </row>
    <row r="154" spans="1:37" ht="14.25" customHeight="1">
      <c r="A154" s="456"/>
      <c r="B154" s="365"/>
      <c r="C154" s="496"/>
      <c r="D154" s="496"/>
      <c r="E154" s="497"/>
      <c r="F154" s="497"/>
      <c r="G154" s="497"/>
      <c r="H154" s="222"/>
      <c r="I154" s="222"/>
      <c r="J154" s="319"/>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7"/>
      <c r="AG154" s="222"/>
      <c r="AH154" s="498"/>
      <c r="AI154" s="1882"/>
      <c r="AJ154" s="2744"/>
      <c r="AK154" s="1932"/>
    </row>
    <row r="155" spans="1:37" ht="14.25" customHeight="1">
      <c r="A155" s="456"/>
      <c r="B155" s="365"/>
      <c r="C155" s="496"/>
      <c r="D155" s="496"/>
      <c r="E155" s="497"/>
      <c r="F155" s="497"/>
      <c r="G155" s="497"/>
      <c r="H155" s="222"/>
      <c r="I155" s="222"/>
      <c r="J155" s="319"/>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7"/>
      <c r="AG155" s="222"/>
      <c r="AH155" s="498"/>
      <c r="AI155" s="1882"/>
      <c r="AJ155" s="2744"/>
      <c r="AK155" s="1932"/>
    </row>
    <row r="156" spans="1:37" ht="14.25" customHeight="1">
      <c r="A156" s="456"/>
      <c r="B156" s="365"/>
      <c r="C156" s="496"/>
      <c r="D156" s="496"/>
      <c r="E156" s="497"/>
      <c r="F156" s="497"/>
      <c r="G156" s="497"/>
      <c r="H156" s="222"/>
      <c r="I156" s="222"/>
      <c r="J156" s="319"/>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7"/>
      <c r="AG156" s="222"/>
      <c r="AH156" s="498"/>
      <c r="AI156" s="1882"/>
      <c r="AJ156" s="2744"/>
      <c r="AK156" s="1932"/>
    </row>
    <row r="157" spans="1:37" ht="14.25" customHeight="1">
      <c r="A157" s="456"/>
      <c r="B157" s="365"/>
      <c r="C157" s="496"/>
      <c r="D157" s="496"/>
      <c r="E157" s="497"/>
      <c r="F157" s="497"/>
      <c r="G157" s="497"/>
      <c r="H157" s="222"/>
      <c r="I157" s="222"/>
      <c r="J157" s="319"/>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7"/>
      <c r="AG157" s="222"/>
      <c r="AH157" s="498"/>
      <c r="AI157" s="1882"/>
      <c r="AJ157" s="2744"/>
      <c r="AK157" s="1932"/>
    </row>
    <row r="158" spans="1:37" ht="14.25" customHeight="1">
      <c r="A158" s="456"/>
      <c r="B158" s="365"/>
      <c r="C158" s="496"/>
      <c r="D158" s="496"/>
      <c r="E158" s="497"/>
      <c r="F158" s="497"/>
      <c r="G158" s="497"/>
      <c r="H158" s="222"/>
      <c r="I158" s="222"/>
      <c r="J158" s="319"/>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7"/>
      <c r="AG158" s="222"/>
      <c r="AH158" s="498"/>
      <c r="AI158" s="1882"/>
      <c r="AJ158" s="2744"/>
      <c r="AK158" s="1932"/>
    </row>
    <row r="159" spans="1:37" ht="14.25" customHeight="1">
      <c r="A159" s="456"/>
      <c r="B159" s="365"/>
      <c r="C159" s="496"/>
      <c r="D159" s="496"/>
      <c r="E159" s="497"/>
      <c r="F159" s="497"/>
      <c r="G159" s="497"/>
      <c r="H159" s="222"/>
      <c r="I159" s="222"/>
      <c r="J159" s="319"/>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7"/>
      <c r="AG159" s="222"/>
      <c r="AH159" s="498"/>
      <c r="AI159" s="1882"/>
      <c r="AJ159" s="2744"/>
      <c r="AK159" s="1932"/>
    </row>
    <row r="160" spans="1:37" ht="14.25" customHeight="1">
      <c r="A160" s="456"/>
      <c r="B160" s="365"/>
      <c r="C160" s="496"/>
      <c r="D160" s="496"/>
      <c r="E160" s="497"/>
      <c r="F160" s="497"/>
      <c r="G160" s="497"/>
      <c r="H160" s="222"/>
      <c r="I160" s="222"/>
      <c r="J160" s="319"/>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7"/>
      <c r="AG160" s="222"/>
      <c r="AH160" s="498"/>
      <c r="AI160" s="1882"/>
      <c r="AJ160" s="2744"/>
      <c r="AK160" s="1932"/>
    </row>
    <row r="161" spans="1:38" ht="20.100000000000001" customHeight="1">
      <c r="A161" s="456"/>
      <c r="B161" s="247"/>
      <c r="C161" s="222"/>
      <c r="D161" s="222"/>
      <c r="E161" s="222"/>
      <c r="F161" s="222"/>
      <c r="G161" s="222"/>
      <c r="H161" s="222"/>
      <c r="I161" s="222"/>
      <c r="J161" s="319"/>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7"/>
      <c r="AG161" s="222"/>
      <c r="AH161" s="498"/>
      <c r="AI161" s="1882"/>
      <c r="AJ161" s="2744"/>
      <c r="AK161" s="1932"/>
    </row>
    <row r="162" spans="1:38" ht="20.100000000000001" customHeight="1">
      <c r="A162" s="456"/>
      <c r="B162" s="247"/>
      <c r="C162" s="222"/>
      <c r="D162" s="222"/>
      <c r="E162" s="222"/>
      <c r="F162" s="222"/>
      <c r="G162" s="222"/>
      <c r="H162" s="222"/>
      <c r="I162" s="222"/>
      <c r="J162" s="319"/>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7"/>
      <c r="AG162" s="222"/>
      <c r="AH162" s="498"/>
      <c r="AI162" s="1882"/>
      <c r="AJ162" s="2744"/>
      <c r="AK162" s="1932"/>
      <c r="AL162" s="222"/>
    </row>
    <row r="163" spans="1:38" ht="20.100000000000001" customHeight="1">
      <c r="A163" s="456"/>
      <c r="B163" s="247"/>
      <c r="C163" s="222"/>
      <c r="D163" s="222"/>
      <c r="E163" s="222"/>
      <c r="F163" s="222"/>
      <c r="G163" s="222"/>
      <c r="H163" s="222"/>
      <c r="I163" s="222"/>
      <c r="J163" s="319"/>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7"/>
      <c r="AG163" s="222"/>
      <c r="AH163" s="498"/>
      <c r="AI163" s="1882"/>
      <c r="AJ163" s="2744"/>
      <c r="AK163" s="1932"/>
      <c r="AL163" s="222"/>
    </row>
    <row r="164" spans="1:38" ht="20.100000000000001" customHeight="1">
      <c r="B164" s="247"/>
      <c r="C164" s="222"/>
      <c r="D164" s="222"/>
      <c r="E164" s="222"/>
      <c r="F164" s="222"/>
      <c r="G164" s="222"/>
      <c r="H164" s="222"/>
      <c r="I164" s="222"/>
      <c r="J164" s="319"/>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7"/>
      <c r="AG164" s="222"/>
      <c r="AH164" s="222"/>
      <c r="AI164" s="1882"/>
      <c r="AJ164" s="2744"/>
      <c r="AK164" s="1932"/>
      <c r="AL164" s="222"/>
    </row>
    <row r="165" spans="1:38" ht="20.100000000000001" customHeight="1">
      <c r="B165" s="222"/>
      <c r="C165" s="222"/>
      <c r="D165" s="222"/>
      <c r="E165" s="222"/>
      <c r="F165" s="222"/>
      <c r="G165" s="222"/>
      <c r="H165" s="222"/>
      <c r="I165" s="222"/>
      <c r="J165" s="319"/>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7"/>
      <c r="AG165" s="222"/>
      <c r="AH165" s="222"/>
      <c r="AI165" s="1882"/>
      <c r="AJ165" s="2744"/>
      <c r="AK165" s="1932"/>
      <c r="AL165" s="222"/>
    </row>
    <row r="166" spans="1:38" ht="20.100000000000001" customHeight="1">
      <c r="B166" s="500"/>
      <c r="C166" s="222"/>
      <c r="D166" s="222"/>
      <c r="E166" s="222"/>
      <c r="F166" s="222"/>
      <c r="G166" s="222"/>
      <c r="H166" s="222"/>
      <c r="I166" s="222"/>
      <c r="J166" s="319"/>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7"/>
      <c r="AG166" s="222"/>
      <c r="AI166" s="457"/>
      <c r="AJ166" s="2091"/>
      <c r="AK166" s="1600"/>
      <c r="AL166" s="222"/>
    </row>
    <row r="167" spans="1:38" ht="20.100000000000001" customHeight="1">
      <c r="B167" s="222"/>
      <c r="C167" s="222"/>
      <c r="D167" s="222"/>
      <c r="E167" s="222"/>
      <c r="F167" s="222"/>
      <c r="G167" s="222"/>
      <c r="H167" s="222"/>
      <c r="I167" s="222"/>
      <c r="J167" s="319"/>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7"/>
      <c r="AG167" s="222"/>
      <c r="AI167" s="457"/>
      <c r="AJ167" s="2091"/>
      <c r="AK167" s="1600"/>
      <c r="AL167" s="222"/>
    </row>
    <row r="168" spans="1:38" ht="20.100000000000001" customHeight="1">
      <c r="B168" s="222"/>
      <c r="C168" s="222"/>
      <c r="D168" s="222"/>
      <c r="E168" s="222"/>
      <c r="F168" s="222"/>
      <c r="G168" s="222"/>
      <c r="H168" s="222"/>
      <c r="I168" s="222"/>
      <c r="J168" s="319"/>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7"/>
      <c r="AG168" s="222"/>
      <c r="AI168" s="457"/>
      <c r="AJ168" s="2091"/>
      <c r="AK168" s="1600"/>
      <c r="AL168" s="222"/>
    </row>
    <row r="169" spans="1:38" ht="20.100000000000001" customHeight="1">
      <c r="B169" s="457"/>
      <c r="C169" s="457"/>
      <c r="D169" s="457"/>
      <c r="E169" s="457"/>
      <c r="F169" s="457"/>
      <c r="G169" s="457"/>
      <c r="H169" s="457"/>
      <c r="I169" s="457"/>
      <c r="J169" s="2144"/>
      <c r="K169" s="457"/>
      <c r="L169" s="457"/>
      <c r="M169" s="457"/>
      <c r="N169" s="457"/>
      <c r="O169" s="457"/>
      <c r="P169" s="457"/>
      <c r="Q169" s="457"/>
      <c r="R169" s="457"/>
      <c r="S169" s="457"/>
      <c r="T169" s="457"/>
      <c r="U169" s="457"/>
      <c r="V169" s="457"/>
      <c r="W169" s="457"/>
      <c r="X169" s="457"/>
      <c r="Y169" s="457"/>
      <c r="Z169" s="457"/>
      <c r="AA169" s="457"/>
      <c r="AB169" s="457"/>
      <c r="AC169" s="457"/>
      <c r="AD169" s="457"/>
      <c r="AE169" s="457"/>
      <c r="AF169" s="1825"/>
      <c r="AG169" s="457"/>
      <c r="AI169" s="457"/>
      <c r="AJ169" s="2091"/>
      <c r="AK169" s="1600"/>
      <c r="AL169" s="222"/>
    </row>
    <row r="170" spans="1:38" ht="20.100000000000001" customHeight="1">
      <c r="B170" s="457"/>
      <c r="C170" s="457"/>
      <c r="D170" s="457"/>
      <c r="E170" s="457"/>
      <c r="F170" s="457"/>
      <c r="G170" s="457"/>
      <c r="H170" s="457"/>
      <c r="I170" s="457"/>
      <c r="J170" s="2144"/>
      <c r="K170" s="457"/>
      <c r="L170" s="457"/>
      <c r="M170" s="457"/>
      <c r="N170" s="457"/>
      <c r="O170" s="457"/>
      <c r="P170" s="457"/>
      <c r="Q170" s="457"/>
      <c r="R170" s="457"/>
      <c r="S170" s="457"/>
      <c r="T170" s="457"/>
      <c r="U170" s="457"/>
      <c r="V170" s="457"/>
      <c r="W170" s="457"/>
      <c r="X170" s="457"/>
      <c r="Y170" s="457"/>
      <c r="Z170" s="457"/>
      <c r="AA170" s="457"/>
      <c r="AB170" s="457"/>
      <c r="AC170" s="457"/>
      <c r="AD170" s="457"/>
      <c r="AE170" s="457"/>
      <c r="AF170" s="1825"/>
      <c r="AG170" s="457"/>
    </row>
    <row r="171" spans="1:38" ht="20.100000000000001" customHeight="1">
      <c r="B171" s="457"/>
      <c r="C171" s="457"/>
      <c r="D171" s="457"/>
      <c r="E171" s="457"/>
      <c r="F171" s="457"/>
      <c r="G171" s="457"/>
      <c r="H171" s="457"/>
      <c r="I171" s="457"/>
      <c r="J171" s="2144"/>
      <c r="K171" s="457"/>
      <c r="L171" s="457"/>
      <c r="M171" s="457"/>
      <c r="N171" s="457"/>
      <c r="O171" s="457"/>
      <c r="P171" s="457"/>
      <c r="Q171" s="457"/>
      <c r="R171" s="457"/>
      <c r="S171" s="457"/>
      <c r="T171" s="457"/>
      <c r="U171" s="457"/>
      <c r="V171" s="457"/>
      <c r="W171" s="457"/>
      <c r="X171" s="457"/>
      <c r="Y171" s="457"/>
      <c r="Z171" s="457"/>
      <c r="AA171" s="457"/>
      <c r="AB171" s="457"/>
      <c r="AC171" s="457"/>
      <c r="AD171" s="457"/>
      <c r="AE171" s="457"/>
      <c r="AF171" s="1825"/>
      <c r="AG171" s="457"/>
    </row>
    <row r="172" spans="1:38" ht="20.100000000000001" customHeight="1">
      <c r="B172" s="457"/>
      <c r="C172" s="457"/>
      <c r="D172" s="457"/>
      <c r="E172" s="457"/>
      <c r="F172" s="457"/>
      <c r="G172" s="457"/>
      <c r="H172" s="457"/>
      <c r="I172" s="457"/>
      <c r="J172" s="2144"/>
      <c r="K172" s="457"/>
      <c r="L172" s="457"/>
      <c r="M172" s="457"/>
      <c r="N172" s="457"/>
      <c r="O172" s="457"/>
      <c r="P172" s="457"/>
      <c r="Q172" s="457"/>
      <c r="R172" s="457"/>
      <c r="S172" s="457"/>
      <c r="T172" s="457"/>
      <c r="U172" s="457"/>
      <c r="V172" s="457"/>
      <c r="W172" s="457"/>
      <c r="X172" s="457"/>
      <c r="Y172" s="457"/>
      <c r="Z172" s="457"/>
      <c r="AA172" s="457"/>
      <c r="AB172" s="457"/>
      <c r="AC172" s="457"/>
      <c r="AD172" s="457"/>
      <c r="AE172" s="457"/>
      <c r="AF172" s="1825"/>
      <c r="AG172" s="457"/>
    </row>
    <row r="173" spans="1:38" ht="20.100000000000001" customHeight="1">
      <c r="B173" s="457"/>
      <c r="C173" s="457"/>
      <c r="D173" s="457"/>
      <c r="E173" s="457"/>
      <c r="F173" s="457"/>
      <c r="G173" s="457"/>
      <c r="H173" s="457"/>
      <c r="I173" s="457"/>
      <c r="J173" s="2144"/>
      <c r="K173" s="457"/>
      <c r="L173" s="457"/>
      <c r="M173" s="457"/>
      <c r="N173" s="457"/>
      <c r="O173" s="457"/>
      <c r="P173" s="457"/>
      <c r="Q173" s="457"/>
      <c r="R173" s="457"/>
      <c r="S173" s="457"/>
      <c r="T173" s="457"/>
      <c r="U173" s="457"/>
      <c r="V173" s="457"/>
      <c r="W173" s="457"/>
      <c r="X173" s="457"/>
      <c r="Y173" s="457"/>
      <c r="Z173" s="457"/>
      <c r="AA173" s="457"/>
      <c r="AB173" s="457"/>
      <c r="AC173" s="457"/>
      <c r="AD173" s="457"/>
      <c r="AE173" s="457"/>
      <c r="AF173" s="1825"/>
      <c r="AG173" s="457"/>
    </row>
    <row r="174" spans="1:38">
      <c r="B174" s="457"/>
      <c r="C174" s="457"/>
      <c r="D174" s="457"/>
      <c r="E174" s="457"/>
      <c r="F174" s="457"/>
      <c r="G174" s="457"/>
      <c r="H174" s="457"/>
      <c r="I174" s="457"/>
      <c r="J174" s="2144"/>
      <c r="K174" s="457"/>
      <c r="L174" s="457"/>
      <c r="M174" s="457"/>
      <c r="N174" s="457"/>
      <c r="O174" s="457"/>
      <c r="P174" s="457"/>
      <c r="Q174" s="457"/>
      <c r="R174" s="457"/>
      <c r="S174" s="457"/>
      <c r="T174" s="457"/>
      <c r="U174" s="457"/>
      <c r="V174" s="457"/>
      <c r="W174" s="457"/>
      <c r="X174" s="457"/>
      <c r="Y174" s="457"/>
      <c r="Z174" s="457"/>
      <c r="AA174" s="457"/>
      <c r="AB174" s="457"/>
      <c r="AC174" s="457"/>
      <c r="AD174" s="457"/>
      <c r="AE174" s="457"/>
      <c r="AF174" s="1825"/>
      <c r="AG174" s="457"/>
    </row>
    <row r="175" spans="1:38">
      <c r="B175" s="457"/>
      <c r="C175" s="457"/>
      <c r="D175" s="457"/>
      <c r="E175" s="457"/>
      <c r="F175" s="457"/>
      <c r="G175" s="457"/>
      <c r="H175" s="457"/>
      <c r="I175" s="457"/>
      <c r="J175" s="2144"/>
      <c r="K175" s="457"/>
      <c r="L175" s="457"/>
      <c r="M175" s="457"/>
      <c r="N175" s="457"/>
      <c r="O175" s="457"/>
      <c r="P175" s="457"/>
      <c r="Q175" s="457"/>
      <c r="R175" s="457"/>
      <c r="S175" s="457"/>
      <c r="T175" s="457"/>
      <c r="U175" s="457"/>
      <c r="V175" s="457"/>
      <c r="W175" s="457"/>
      <c r="X175" s="457"/>
      <c r="Y175" s="457"/>
      <c r="Z175" s="457"/>
      <c r="AA175" s="457"/>
      <c r="AB175" s="457"/>
      <c r="AC175" s="457"/>
      <c r="AD175" s="457"/>
      <c r="AE175" s="457"/>
      <c r="AF175" s="1825"/>
      <c r="AG175" s="457"/>
    </row>
    <row r="176" spans="1:38">
      <c r="B176" s="457"/>
      <c r="C176" s="457"/>
      <c r="D176" s="457"/>
      <c r="E176" s="457"/>
      <c r="F176" s="457"/>
      <c r="G176" s="457"/>
      <c r="H176" s="457"/>
      <c r="I176" s="457"/>
      <c r="J176" s="2144"/>
      <c r="K176" s="457"/>
      <c r="L176" s="457"/>
      <c r="M176" s="457"/>
      <c r="N176" s="457"/>
      <c r="O176" s="457"/>
      <c r="P176" s="457"/>
      <c r="Q176" s="457"/>
      <c r="R176" s="457"/>
      <c r="S176" s="457"/>
      <c r="T176" s="457"/>
      <c r="U176" s="457"/>
      <c r="V176" s="457"/>
      <c r="W176" s="457"/>
      <c r="X176" s="457"/>
      <c r="Y176" s="457"/>
      <c r="Z176" s="457"/>
      <c r="AA176" s="457"/>
      <c r="AB176" s="457"/>
      <c r="AC176" s="457"/>
      <c r="AD176" s="457"/>
      <c r="AE176" s="457"/>
      <c r="AF176" s="1825"/>
      <c r="AG176" s="457"/>
    </row>
    <row r="177" spans="2:33">
      <c r="B177" s="457"/>
      <c r="C177" s="457"/>
      <c r="D177" s="457"/>
      <c r="E177" s="457"/>
      <c r="F177" s="457"/>
      <c r="G177" s="457"/>
      <c r="H177" s="457"/>
      <c r="I177" s="457"/>
      <c r="J177" s="2144"/>
      <c r="K177" s="457"/>
      <c r="L177" s="457"/>
      <c r="M177" s="457"/>
      <c r="N177" s="457"/>
      <c r="O177" s="457"/>
      <c r="P177" s="457"/>
      <c r="Q177" s="457"/>
      <c r="R177" s="457"/>
      <c r="S177" s="457"/>
      <c r="T177" s="457"/>
      <c r="U177" s="457"/>
      <c r="V177" s="457"/>
      <c r="W177" s="457"/>
      <c r="X177" s="457"/>
      <c r="Y177" s="457"/>
      <c r="Z177" s="457"/>
      <c r="AA177" s="457"/>
      <c r="AB177" s="457"/>
      <c r="AC177" s="457"/>
      <c r="AD177" s="457"/>
      <c r="AE177" s="457"/>
      <c r="AF177" s="1825"/>
      <c r="AG177" s="457"/>
    </row>
    <row r="178" spans="2:33">
      <c r="B178" s="457"/>
      <c r="C178" s="457"/>
      <c r="D178" s="457"/>
      <c r="E178" s="457"/>
      <c r="F178" s="457"/>
      <c r="G178" s="457"/>
      <c r="H178" s="457"/>
      <c r="I178" s="457"/>
      <c r="J178" s="2144"/>
      <c r="K178" s="457"/>
      <c r="L178" s="457"/>
      <c r="M178" s="457"/>
      <c r="N178" s="457"/>
      <c r="O178" s="457"/>
      <c r="P178" s="457"/>
      <c r="Q178" s="457"/>
      <c r="R178" s="457"/>
      <c r="S178" s="457"/>
      <c r="T178" s="457"/>
      <c r="U178" s="457"/>
      <c r="V178" s="457"/>
      <c r="W178" s="457"/>
      <c r="X178" s="457"/>
      <c r="Y178" s="457"/>
      <c r="Z178" s="457"/>
      <c r="AA178" s="457"/>
      <c r="AB178" s="457"/>
      <c r="AC178" s="457"/>
      <c r="AD178" s="457"/>
      <c r="AE178" s="457"/>
      <c r="AF178" s="1825"/>
      <c r="AG178" s="457"/>
    </row>
    <row r="179" spans="2:33">
      <c r="B179" s="457"/>
      <c r="C179" s="457"/>
      <c r="D179" s="457"/>
      <c r="E179" s="457"/>
      <c r="F179" s="457"/>
      <c r="G179" s="457"/>
      <c r="H179" s="457"/>
      <c r="I179" s="457"/>
      <c r="J179" s="2144"/>
      <c r="K179" s="457"/>
      <c r="L179" s="457"/>
      <c r="M179" s="457"/>
      <c r="N179" s="457"/>
      <c r="O179" s="457"/>
      <c r="P179" s="457"/>
      <c r="Q179" s="457"/>
      <c r="R179" s="457"/>
      <c r="S179" s="457"/>
      <c r="T179" s="457"/>
      <c r="U179" s="457"/>
      <c r="V179" s="457"/>
      <c r="W179" s="457"/>
      <c r="X179" s="457"/>
      <c r="Y179" s="457"/>
      <c r="Z179" s="457"/>
      <c r="AA179" s="457"/>
      <c r="AB179" s="457"/>
      <c r="AC179" s="457"/>
      <c r="AD179" s="457"/>
      <c r="AE179" s="457"/>
      <c r="AF179" s="1825"/>
      <c r="AG179" s="457"/>
    </row>
    <row r="180" spans="2:33">
      <c r="B180" s="457"/>
      <c r="C180" s="457"/>
      <c r="D180" s="457"/>
      <c r="E180" s="457"/>
      <c r="F180" s="457"/>
      <c r="G180" s="457"/>
      <c r="H180" s="457"/>
      <c r="I180" s="457"/>
      <c r="J180" s="2144"/>
      <c r="K180" s="457"/>
      <c r="L180" s="457"/>
      <c r="M180" s="457"/>
      <c r="N180" s="457"/>
      <c r="O180" s="457"/>
      <c r="P180" s="457"/>
      <c r="Q180" s="457"/>
      <c r="R180" s="457"/>
      <c r="S180" s="457"/>
      <c r="T180" s="457"/>
      <c r="U180" s="457"/>
      <c r="V180" s="457"/>
      <c r="W180" s="457"/>
      <c r="X180" s="457"/>
      <c r="Y180" s="457"/>
      <c r="Z180" s="457"/>
      <c r="AA180" s="457"/>
      <c r="AB180" s="457"/>
      <c r="AC180" s="457"/>
      <c r="AD180" s="457"/>
      <c r="AE180" s="457"/>
      <c r="AF180" s="1825"/>
      <c r="AG180" s="457"/>
    </row>
    <row r="181" spans="2:33">
      <c r="B181" s="457"/>
      <c r="C181" s="457"/>
      <c r="D181" s="457"/>
      <c r="E181" s="457"/>
      <c r="F181" s="457"/>
      <c r="G181" s="457"/>
      <c r="H181" s="457"/>
      <c r="I181" s="457"/>
      <c r="J181" s="2144"/>
      <c r="K181" s="457"/>
      <c r="L181" s="457"/>
      <c r="M181" s="457"/>
      <c r="N181" s="457"/>
      <c r="O181" s="457"/>
      <c r="P181" s="457"/>
      <c r="Q181" s="457"/>
      <c r="R181" s="457"/>
      <c r="S181" s="457"/>
      <c r="T181" s="457"/>
      <c r="U181" s="457"/>
      <c r="V181" s="457"/>
      <c r="W181" s="457"/>
      <c r="X181" s="457"/>
      <c r="Y181" s="457"/>
      <c r="Z181" s="457"/>
      <c r="AA181" s="457"/>
      <c r="AB181" s="457"/>
      <c r="AC181" s="457"/>
      <c r="AD181" s="457"/>
      <c r="AE181" s="457"/>
      <c r="AF181" s="1825"/>
      <c r="AG181" s="457"/>
    </row>
    <row r="182" spans="2:33">
      <c r="B182" s="457"/>
      <c r="C182" s="457"/>
      <c r="D182" s="457"/>
      <c r="E182" s="457"/>
      <c r="F182" s="457"/>
      <c r="G182" s="457"/>
      <c r="H182" s="457"/>
      <c r="I182" s="457"/>
      <c r="J182" s="2144"/>
      <c r="K182" s="457"/>
      <c r="L182" s="457"/>
      <c r="M182" s="457"/>
      <c r="N182" s="457"/>
      <c r="O182" s="457"/>
      <c r="P182" s="457"/>
      <c r="Q182" s="457"/>
      <c r="R182" s="457"/>
      <c r="S182" s="457"/>
      <c r="T182" s="457"/>
      <c r="U182" s="457"/>
      <c r="V182" s="457"/>
      <c r="W182" s="457"/>
      <c r="X182" s="457"/>
      <c r="Y182" s="457"/>
      <c r="Z182" s="457"/>
      <c r="AA182" s="457"/>
      <c r="AB182" s="457"/>
      <c r="AC182" s="457"/>
      <c r="AD182" s="457"/>
      <c r="AE182" s="457"/>
      <c r="AF182" s="1825"/>
      <c r="AG182" s="457"/>
    </row>
    <row r="183" spans="2:33">
      <c r="B183" s="457"/>
      <c r="C183" s="457"/>
      <c r="D183" s="457"/>
      <c r="E183" s="457"/>
      <c r="F183" s="457"/>
      <c r="G183" s="457"/>
      <c r="H183" s="457"/>
      <c r="I183" s="457"/>
      <c r="J183" s="2144"/>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1825"/>
      <c r="AG183" s="457"/>
    </row>
    <row r="184" spans="2:33">
      <c r="B184" s="457"/>
      <c r="C184" s="457"/>
      <c r="D184" s="457"/>
      <c r="E184" s="457"/>
      <c r="F184" s="457"/>
      <c r="G184" s="457"/>
      <c r="H184" s="457"/>
      <c r="I184" s="457"/>
      <c r="J184" s="2144"/>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1825"/>
      <c r="AG184" s="457"/>
    </row>
    <row r="185" spans="2:33">
      <c r="B185" s="457"/>
      <c r="C185" s="457"/>
      <c r="D185" s="457"/>
      <c r="E185" s="457"/>
      <c r="F185" s="457"/>
      <c r="G185" s="457"/>
      <c r="H185" s="457"/>
      <c r="I185" s="457"/>
      <c r="J185" s="2144"/>
      <c r="K185" s="457"/>
      <c r="L185" s="457"/>
      <c r="M185" s="457"/>
      <c r="N185" s="457"/>
      <c r="O185" s="457"/>
      <c r="P185" s="457"/>
      <c r="Q185" s="457"/>
      <c r="R185" s="457"/>
      <c r="S185" s="457"/>
      <c r="T185" s="457"/>
      <c r="U185" s="457"/>
      <c r="V185" s="457"/>
      <c r="W185" s="457"/>
      <c r="X185" s="457"/>
      <c r="Y185" s="457"/>
      <c r="Z185" s="457"/>
      <c r="AA185" s="457"/>
      <c r="AB185" s="457"/>
      <c r="AC185" s="457"/>
      <c r="AD185" s="457"/>
      <c r="AE185" s="457"/>
      <c r="AF185" s="1825"/>
      <c r="AG185" s="457"/>
    </row>
    <row r="186" spans="2:33">
      <c r="B186" s="457"/>
      <c r="C186" s="457"/>
      <c r="D186" s="457"/>
      <c r="E186" s="457"/>
      <c r="F186" s="457"/>
      <c r="G186" s="457"/>
      <c r="H186" s="457"/>
      <c r="I186" s="457"/>
      <c r="J186" s="2144"/>
      <c r="K186" s="457"/>
      <c r="L186" s="457"/>
      <c r="M186" s="457"/>
      <c r="N186" s="457"/>
      <c r="O186" s="457"/>
      <c r="P186" s="457"/>
      <c r="Q186" s="457"/>
      <c r="R186" s="457"/>
      <c r="S186" s="457"/>
      <c r="T186" s="457"/>
      <c r="U186" s="457"/>
      <c r="V186" s="457"/>
      <c r="W186" s="457"/>
      <c r="X186" s="457"/>
      <c r="Y186" s="457"/>
      <c r="Z186" s="457"/>
      <c r="AA186" s="457"/>
      <c r="AB186" s="457"/>
      <c r="AC186" s="457"/>
      <c r="AD186" s="457"/>
      <c r="AE186" s="457"/>
      <c r="AF186" s="1825"/>
      <c r="AG186" s="457"/>
    </row>
    <row r="187" spans="2:33">
      <c r="B187" s="457"/>
      <c r="C187" s="457"/>
      <c r="D187" s="457"/>
      <c r="E187" s="457"/>
      <c r="F187" s="457"/>
      <c r="G187" s="457"/>
      <c r="H187" s="457"/>
      <c r="I187" s="457"/>
      <c r="J187" s="2144"/>
      <c r="K187" s="457"/>
      <c r="L187" s="457"/>
      <c r="M187" s="457"/>
      <c r="N187" s="457"/>
      <c r="O187" s="457"/>
      <c r="P187" s="457"/>
      <c r="Q187" s="457"/>
      <c r="R187" s="457"/>
      <c r="S187" s="457"/>
      <c r="T187" s="457"/>
      <c r="U187" s="457"/>
      <c r="V187" s="457"/>
      <c r="W187" s="457"/>
      <c r="X187" s="457"/>
      <c r="Y187" s="457"/>
      <c r="Z187" s="457"/>
      <c r="AA187" s="457"/>
      <c r="AB187" s="457"/>
      <c r="AC187" s="457"/>
      <c r="AD187" s="457"/>
      <c r="AE187" s="457"/>
      <c r="AF187" s="1825"/>
      <c r="AG187" s="457"/>
    </row>
    <row r="188" spans="2:33">
      <c r="B188" s="457"/>
      <c r="C188" s="457"/>
      <c r="D188" s="457"/>
      <c r="E188" s="457"/>
      <c r="F188" s="457"/>
      <c r="G188" s="457"/>
      <c r="H188" s="457"/>
      <c r="I188" s="457"/>
      <c r="J188" s="2144"/>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1825"/>
      <c r="AG188" s="457"/>
    </row>
    <row r="189" spans="2:33">
      <c r="B189" s="457"/>
      <c r="C189" s="457"/>
      <c r="D189" s="457"/>
      <c r="E189" s="457"/>
      <c r="F189" s="457"/>
      <c r="G189" s="457"/>
      <c r="H189" s="457"/>
      <c r="I189" s="457"/>
      <c r="J189" s="2144"/>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1825"/>
      <c r="AG189" s="457"/>
    </row>
    <row r="190" spans="2:33">
      <c r="B190" s="457"/>
      <c r="C190" s="457"/>
      <c r="D190" s="457"/>
      <c r="E190" s="457"/>
      <c r="F190" s="457"/>
      <c r="G190" s="457"/>
      <c r="H190" s="457"/>
      <c r="I190" s="457"/>
      <c r="J190" s="2144"/>
      <c r="K190" s="457"/>
      <c r="L190" s="457"/>
      <c r="M190" s="457"/>
      <c r="N190" s="457"/>
      <c r="O190" s="457"/>
      <c r="P190" s="457"/>
      <c r="Q190" s="457"/>
      <c r="R190" s="457"/>
      <c r="S190" s="457"/>
      <c r="T190" s="457"/>
      <c r="U190" s="457"/>
      <c r="V190" s="457"/>
      <c r="W190" s="457"/>
      <c r="X190" s="457"/>
      <c r="Y190" s="457"/>
      <c r="Z190" s="457"/>
      <c r="AA190" s="457"/>
      <c r="AB190" s="457"/>
      <c r="AC190" s="457"/>
      <c r="AD190" s="457"/>
      <c r="AE190" s="457"/>
      <c r="AF190" s="1825"/>
      <c r="AG190" s="457"/>
    </row>
    <row r="191" spans="2:33">
      <c r="B191" s="457"/>
      <c r="C191" s="457"/>
      <c r="D191" s="457"/>
      <c r="E191" s="457"/>
      <c r="F191" s="457"/>
      <c r="G191" s="457"/>
      <c r="H191" s="457"/>
      <c r="I191" s="457"/>
      <c r="J191" s="2144"/>
      <c r="K191" s="457"/>
      <c r="L191" s="457"/>
      <c r="M191" s="457"/>
      <c r="N191" s="457"/>
      <c r="O191" s="457"/>
      <c r="P191" s="457"/>
      <c r="Q191" s="457"/>
      <c r="R191" s="457"/>
      <c r="S191" s="457"/>
      <c r="T191" s="457"/>
      <c r="U191" s="457"/>
      <c r="V191" s="457"/>
      <c r="W191" s="457"/>
      <c r="X191" s="457"/>
      <c r="Y191" s="457"/>
      <c r="Z191" s="457"/>
      <c r="AA191" s="457"/>
      <c r="AB191" s="457"/>
      <c r="AC191" s="457"/>
      <c r="AD191" s="457"/>
      <c r="AE191" s="457"/>
      <c r="AF191" s="1825"/>
      <c r="AG191" s="457"/>
    </row>
    <row r="192" spans="2:33">
      <c r="B192" s="457"/>
      <c r="C192" s="457"/>
      <c r="D192" s="457"/>
      <c r="E192" s="457"/>
      <c r="F192" s="457"/>
      <c r="G192" s="457"/>
      <c r="H192" s="457"/>
      <c r="I192" s="457"/>
      <c r="J192" s="2144"/>
      <c r="K192" s="457"/>
      <c r="L192" s="457"/>
      <c r="M192" s="457"/>
      <c r="N192" s="457"/>
      <c r="O192" s="457"/>
      <c r="P192" s="457"/>
      <c r="Q192" s="457"/>
      <c r="R192" s="457"/>
      <c r="S192" s="457"/>
      <c r="T192" s="457"/>
      <c r="U192" s="457"/>
      <c r="V192" s="457"/>
      <c r="W192" s="457"/>
      <c r="X192" s="457"/>
      <c r="Y192" s="457"/>
      <c r="Z192" s="457"/>
      <c r="AA192" s="457"/>
      <c r="AB192" s="457"/>
      <c r="AC192" s="457"/>
      <c r="AD192" s="457"/>
      <c r="AE192" s="457"/>
      <c r="AF192" s="1825"/>
      <c r="AG192" s="457"/>
    </row>
    <row r="193" spans="2:33">
      <c r="B193" s="457"/>
      <c r="C193" s="457"/>
      <c r="D193" s="457"/>
      <c r="E193" s="457"/>
      <c r="F193" s="457"/>
      <c r="G193" s="457"/>
      <c r="H193" s="457"/>
      <c r="I193" s="457"/>
      <c r="J193" s="2144"/>
      <c r="K193" s="457"/>
      <c r="L193" s="457"/>
      <c r="M193" s="457"/>
      <c r="N193" s="457"/>
      <c r="O193" s="457"/>
      <c r="P193" s="457"/>
      <c r="Q193" s="457"/>
      <c r="R193" s="457"/>
      <c r="S193" s="457"/>
      <c r="T193" s="457"/>
      <c r="U193" s="457"/>
      <c r="V193" s="457"/>
      <c r="W193" s="457"/>
      <c r="X193" s="457"/>
      <c r="Y193" s="457"/>
      <c r="Z193" s="457"/>
      <c r="AA193" s="457"/>
      <c r="AB193" s="457"/>
      <c r="AC193" s="457"/>
      <c r="AD193" s="457"/>
      <c r="AE193" s="457"/>
      <c r="AF193" s="1825"/>
      <c r="AG193" s="457"/>
    </row>
    <row r="194" spans="2:33">
      <c r="B194" s="457"/>
      <c r="C194" s="457"/>
      <c r="D194" s="457"/>
      <c r="E194" s="457"/>
      <c r="F194" s="457"/>
      <c r="G194" s="457"/>
      <c r="H194" s="457"/>
      <c r="I194" s="457"/>
      <c r="J194" s="2144"/>
      <c r="K194" s="457"/>
      <c r="L194" s="457"/>
      <c r="M194" s="457"/>
      <c r="N194" s="457"/>
      <c r="O194" s="457"/>
      <c r="P194" s="457"/>
      <c r="Q194" s="457"/>
      <c r="R194" s="457"/>
      <c r="S194" s="457"/>
      <c r="T194" s="457"/>
      <c r="U194" s="457"/>
      <c r="V194" s="457"/>
      <c r="W194" s="457"/>
      <c r="X194" s="457"/>
      <c r="Y194" s="457"/>
      <c r="Z194" s="457"/>
      <c r="AA194" s="457"/>
      <c r="AB194" s="457"/>
      <c r="AC194" s="457"/>
      <c r="AD194" s="457"/>
      <c r="AE194" s="457"/>
      <c r="AF194" s="1825"/>
      <c r="AG194" s="457"/>
    </row>
    <row r="195" spans="2:33">
      <c r="B195" s="457"/>
      <c r="C195" s="457"/>
      <c r="D195" s="457"/>
      <c r="E195" s="457"/>
      <c r="F195" s="457"/>
      <c r="G195" s="457"/>
      <c r="H195" s="457"/>
      <c r="I195" s="457"/>
      <c r="J195" s="2144"/>
      <c r="K195" s="457"/>
      <c r="L195" s="457"/>
      <c r="M195" s="457"/>
      <c r="N195" s="457"/>
      <c r="O195" s="457"/>
      <c r="P195" s="457"/>
      <c r="Q195" s="457"/>
      <c r="R195" s="457"/>
      <c r="S195" s="457"/>
      <c r="T195" s="457"/>
      <c r="U195" s="457"/>
      <c r="V195" s="457"/>
      <c r="W195" s="457"/>
      <c r="X195" s="457"/>
      <c r="Y195" s="457"/>
      <c r="Z195" s="457"/>
      <c r="AA195" s="457"/>
      <c r="AB195" s="457"/>
      <c r="AC195" s="457"/>
      <c r="AD195" s="457"/>
      <c r="AE195" s="457"/>
      <c r="AF195" s="1825"/>
      <c r="AG195" s="457"/>
    </row>
    <row r="196" spans="2:33">
      <c r="B196" s="457"/>
      <c r="C196" s="457"/>
      <c r="D196" s="457"/>
      <c r="E196" s="457"/>
      <c r="F196" s="457"/>
      <c r="G196" s="457"/>
      <c r="H196" s="457"/>
      <c r="I196" s="457"/>
      <c r="J196" s="2144"/>
      <c r="K196" s="457"/>
      <c r="L196" s="457"/>
      <c r="M196" s="457"/>
      <c r="N196" s="457"/>
      <c r="O196" s="457"/>
      <c r="P196" s="457"/>
      <c r="Q196" s="457"/>
      <c r="R196" s="457"/>
      <c r="S196" s="457"/>
      <c r="T196" s="457"/>
      <c r="U196" s="457"/>
      <c r="V196" s="457"/>
      <c r="W196" s="457"/>
      <c r="X196" s="457"/>
      <c r="Y196" s="457"/>
      <c r="Z196" s="457"/>
      <c r="AA196" s="457"/>
      <c r="AB196" s="457"/>
      <c r="AC196" s="457"/>
      <c r="AD196" s="457"/>
      <c r="AE196" s="457"/>
      <c r="AF196" s="1825"/>
      <c r="AG196" s="457"/>
    </row>
    <row r="197" spans="2:33">
      <c r="B197" s="457"/>
      <c r="C197" s="457"/>
      <c r="D197" s="457"/>
      <c r="E197" s="457"/>
      <c r="F197" s="457"/>
      <c r="G197" s="457"/>
      <c r="H197" s="457"/>
      <c r="I197" s="457"/>
      <c r="J197" s="2144"/>
      <c r="K197" s="457"/>
      <c r="L197" s="457"/>
      <c r="M197" s="457"/>
      <c r="N197" s="457"/>
      <c r="O197" s="457"/>
      <c r="P197" s="457"/>
      <c r="Q197" s="457"/>
      <c r="R197" s="457"/>
      <c r="S197" s="457"/>
      <c r="T197" s="457"/>
      <c r="U197" s="457"/>
      <c r="V197" s="457"/>
      <c r="W197" s="457"/>
      <c r="X197" s="457"/>
      <c r="Y197" s="457"/>
      <c r="Z197" s="457"/>
      <c r="AA197" s="457"/>
      <c r="AB197" s="457"/>
      <c r="AC197" s="457"/>
      <c r="AD197" s="457"/>
      <c r="AE197" s="457"/>
      <c r="AF197" s="1825"/>
      <c r="AG197" s="457"/>
    </row>
    <row r="198" spans="2:33">
      <c r="B198" s="457"/>
      <c r="C198" s="457"/>
      <c r="D198" s="457"/>
      <c r="E198" s="457"/>
      <c r="F198" s="457"/>
      <c r="G198" s="457"/>
      <c r="H198" s="457"/>
      <c r="I198" s="457"/>
      <c r="J198" s="2144"/>
      <c r="K198" s="457"/>
      <c r="L198" s="457"/>
      <c r="M198" s="457"/>
      <c r="N198" s="457"/>
      <c r="O198" s="457"/>
      <c r="P198" s="457"/>
      <c r="Q198" s="457"/>
      <c r="R198" s="457"/>
      <c r="S198" s="457"/>
      <c r="T198" s="457"/>
      <c r="U198" s="457"/>
      <c r="V198" s="457"/>
      <c r="W198" s="457"/>
      <c r="X198" s="457"/>
      <c r="Y198" s="457"/>
      <c r="Z198" s="457"/>
      <c r="AA198" s="457"/>
      <c r="AB198" s="457"/>
      <c r="AC198" s="457"/>
      <c r="AD198" s="457"/>
      <c r="AE198" s="457"/>
      <c r="AF198" s="1825"/>
      <c r="AG198" s="457"/>
    </row>
    <row r="199" spans="2:33">
      <c r="B199" s="457"/>
      <c r="C199" s="457"/>
      <c r="D199" s="457"/>
      <c r="E199" s="457"/>
      <c r="F199" s="457"/>
      <c r="G199" s="457"/>
      <c r="H199" s="457"/>
      <c r="I199" s="457"/>
      <c r="J199" s="2144"/>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1825"/>
      <c r="AG199" s="457"/>
    </row>
    <row r="200" spans="2:33">
      <c r="B200" s="457"/>
      <c r="C200" s="457"/>
      <c r="D200" s="457"/>
      <c r="E200" s="457"/>
      <c r="F200" s="457"/>
      <c r="G200" s="457"/>
      <c r="H200" s="457"/>
      <c r="I200" s="457"/>
      <c r="J200" s="2144"/>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1825"/>
      <c r="AG200" s="457"/>
    </row>
    <row r="201" spans="2:33">
      <c r="B201" s="457"/>
      <c r="C201" s="457"/>
      <c r="D201" s="457"/>
      <c r="E201" s="457"/>
      <c r="F201" s="457"/>
      <c r="G201" s="457"/>
      <c r="H201" s="457"/>
      <c r="I201" s="457"/>
      <c r="J201" s="2144"/>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1825"/>
      <c r="AG201" s="457"/>
    </row>
    <row r="202" spans="2:33">
      <c r="B202" s="457"/>
      <c r="C202" s="457"/>
      <c r="D202" s="457"/>
      <c r="E202" s="457"/>
      <c r="F202" s="457"/>
      <c r="G202" s="457"/>
      <c r="H202" s="457"/>
      <c r="I202" s="457"/>
      <c r="J202" s="2144"/>
      <c r="K202" s="457"/>
      <c r="L202" s="457"/>
      <c r="M202" s="457"/>
      <c r="N202" s="457"/>
      <c r="O202" s="457"/>
      <c r="P202" s="457"/>
      <c r="Q202" s="457"/>
      <c r="R202" s="457"/>
      <c r="S202" s="457"/>
      <c r="T202" s="457"/>
      <c r="U202" s="457"/>
      <c r="V202" s="457"/>
      <c r="W202" s="457"/>
      <c r="X202" s="457"/>
      <c r="Y202" s="457"/>
      <c r="Z202" s="457"/>
      <c r="AA202" s="457"/>
      <c r="AB202" s="457"/>
      <c r="AC202" s="457"/>
      <c r="AD202" s="457"/>
      <c r="AE202" s="457"/>
      <c r="AF202" s="1825"/>
      <c r="AG202" s="457"/>
    </row>
    <row r="203" spans="2:33">
      <c r="B203" s="457"/>
      <c r="C203" s="457"/>
      <c r="D203" s="457"/>
      <c r="E203" s="457"/>
      <c r="F203" s="457"/>
      <c r="G203" s="457"/>
      <c r="H203" s="457"/>
      <c r="I203" s="457"/>
      <c r="J203" s="2144"/>
      <c r="K203" s="457"/>
      <c r="L203" s="457"/>
      <c r="M203" s="457"/>
      <c r="N203" s="457"/>
      <c r="O203" s="457"/>
      <c r="P203" s="457"/>
      <c r="Q203" s="457"/>
      <c r="R203" s="457"/>
      <c r="S203" s="457"/>
      <c r="T203" s="457"/>
      <c r="U203" s="457"/>
      <c r="V203" s="457"/>
      <c r="W203" s="457"/>
      <c r="X203" s="457"/>
      <c r="Y203" s="457"/>
      <c r="Z203" s="457"/>
      <c r="AA203" s="457"/>
      <c r="AB203" s="457"/>
      <c r="AC203" s="457"/>
      <c r="AD203" s="457"/>
      <c r="AE203" s="457"/>
      <c r="AF203" s="1825"/>
      <c r="AG203" s="457"/>
    </row>
    <row r="204" spans="2:33">
      <c r="B204" s="457"/>
      <c r="C204" s="457"/>
      <c r="D204" s="457"/>
      <c r="E204" s="457"/>
      <c r="F204" s="457"/>
      <c r="G204" s="457"/>
      <c r="H204" s="457"/>
      <c r="I204" s="457"/>
      <c r="J204" s="2144"/>
      <c r="K204" s="457"/>
      <c r="L204" s="457"/>
      <c r="M204" s="457"/>
      <c r="N204" s="457"/>
      <c r="O204" s="457"/>
      <c r="P204" s="457"/>
      <c r="Q204" s="457"/>
      <c r="R204" s="457"/>
      <c r="S204" s="457"/>
      <c r="T204" s="457"/>
      <c r="U204" s="457"/>
      <c r="V204" s="457"/>
      <c r="W204" s="457"/>
      <c r="X204" s="457"/>
      <c r="Y204" s="457"/>
      <c r="Z204" s="457"/>
      <c r="AA204" s="457"/>
      <c r="AB204" s="457"/>
      <c r="AC204" s="457"/>
      <c r="AD204" s="457"/>
      <c r="AE204" s="457"/>
      <c r="AF204" s="1825"/>
      <c r="AG204" s="457"/>
    </row>
    <row r="205" spans="2:33">
      <c r="B205" s="457"/>
      <c r="C205" s="457"/>
      <c r="D205" s="457"/>
      <c r="E205" s="457"/>
      <c r="F205" s="457"/>
      <c r="G205" s="457"/>
      <c r="H205" s="457"/>
      <c r="I205" s="457"/>
      <c r="J205" s="2144"/>
      <c r="K205" s="457"/>
      <c r="L205" s="457"/>
      <c r="M205" s="457"/>
      <c r="N205" s="457"/>
      <c r="O205" s="457"/>
      <c r="P205" s="457"/>
      <c r="Q205" s="457"/>
      <c r="R205" s="457"/>
      <c r="S205" s="457"/>
      <c r="T205" s="457"/>
      <c r="U205" s="457"/>
      <c r="V205" s="457"/>
      <c r="W205" s="457"/>
      <c r="X205" s="457"/>
      <c r="Y205" s="457"/>
      <c r="Z205" s="457"/>
      <c r="AA205" s="457"/>
      <c r="AB205" s="457"/>
      <c r="AC205" s="457"/>
      <c r="AD205" s="457"/>
      <c r="AE205" s="457"/>
      <c r="AF205" s="1825"/>
      <c r="AG205" s="457"/>
    </row>
    <row r="206" spans="2:33">
      <c r="B206" s="457"/>
      <c r="C206" s="457"/>
      <c r="D206" s="457"/>
      <c r="E206" s="457"/>
      <c r="F206" s="457"/>
      <c r="G206" s="457"/>
      <c r="H206" s="457"/>
      <c r="I206" s="457"/>
      <c r="J206" s="2144"/>
      <c r="K206" s="457"/>
      <c r="L206" s="457"/>
      <c r="M206" s="457"/>
      <c r="N206" s="457"/>
      <c r="O206" s="457"/>
      <c r="P206" s="457"/>
      <c r="Q206" s="457"/>
      <c r="R206" s="457"/>
      <c r="S206" s="457"/>
      <c r="T206" s="457"/>
      <c r="U206" s="457"/>
      <c r="V206" s="457"/>
      <c r="W206" s="457"/>
      <c r="X206" s="457"/>
      <c r="Y206" s="457"/>
      <c r="Z206" s="457"/>
      <c r="AA206" s="457"/>
      <c r="AB206" s="457"/>
      <c r="AC206" s="457"/>
      <c r="AD206" s="457"/>
      <c r="AE206" s="457"/>
      <c r="AF206" s="1825"/>
      <c r="AG206" s="457"/>
    </row>
    <row r="207" spans="2:33">
      <c r="B207" s="457"/>
      <c r="C207" s="457"/>
      <c r="D207" s="457"/>
      <c r="E207" s="457"/>
      <c r="F207" s="457"/>
      <c r="G207" s="457"/>
      <c r="H207" s="457"/>
      <c r="I207" s="457"/>
      <c r="J207" s="2144"/>
      <c r="K207" s="457"/>
      <c r="L207" s="457"/>
      <c r="M207" s="457"/>
      <c r="N207" s="457"/>
      <c r="O207" s="457"/>
      <c r="P207" s="457"/>
      <c r="Q207" s="457"/>
      <c r="R207" s="457"/>
      <c r="S207" s="457"/>
      <c r="T207" s="457"/>
      <c r="U207" s="457"/>
      <c r="V207" s="457"/>
      <c r="W207" s="457"/>
      <c r="X207" s="457"/>
      <c r="Y207" s="457"/>
      <c r="Z207" s="457"/>
      <c r="AA207" s="457"/>
      <c r="AB207" s="457"/>
      <c r="AC207" s="457"/>
      <c r="AD207" s="457"/>
      <c r="AE207" s="457"/>
      <c r="AF207" s="1825"/>
      <c r="AG207" s="457"/>
    </row>
    <row r="208" spans="2:33">
      <c r="B208" s="457"/>
      <c r="C208" s="457"/>
      <c r="D208" s="457"/>
      <c r="E208" s="457"/>
      <c r="F208" s="457"/>
      <c r="G208" s="457"/>
      <c r="H208" s="457"/>
      <c r="I208" s="457"/>
      <c r="J208" s="2144"/>
      <c r="K208" s="457"/>
      <c r="L208" s="457"/>
      <c r="M208" s="457"/>
      <c r="N208" s="457"/>
      <c r="O208" s="457"/>
      <c r="P208" s="457"/>
      <c r="Q208" s="457"/>
      <c r="R208" s="457"/>
      <c r="S208" s="457"/>
      <c r="T208" s="457"/>
      <c r="U208" s="457"/>
      <c r="V208" s="457"/>
      <c r="W208" s="457"/>
      <c r="X208" s="457"/>
      <c r="Y208" s="457"/>
      <c r="Z208" s="457"/>
      <c r="AA208" s="457"/>
      <c r="AB208" s="457"/>
      <c r="AC208" s="457"/>
      <c r="AD208" s="457"/>
      <c r="AE208" s="457"/>
      <c r="AF208" s="1825"/>
      <c r="AG208" s="457"/>
    </row>
    <row r="209" spans="2:33">
      <c r="B209" s="457"/>
      <c r="C209" s="457"/>
      <c r="D209" s="457"/>
      <c r="E209" s="457"/>
      <c r="F209" s="457"/>
      <c r="G209" s="457"/>
      <c r="H209" s="457"/>
      <c r="I209" s="457"/>
      <c r="J209" s="2144"/>
      <c r="K209" s="457"/>
      <c r="L209" s="457"/>
      <c r="M209" s="457"/>
      <c r="N209" s="457"/>
      <c r="O209" s="457"/>
      <c r="P209" s="457"/>
      <c r="Q209" s="457"/>
      <c r="R209" s="457"/>
      <c r="S209" s="457"/>
      <c r="T209" s="457"/>
      <c r="U209" s="457"/>
      <c r="V209" s="457"/>
      <c r="W209" s="457"/>
      <c r="X209" s="457"/>
      <c r="Y209" s="457"/>
      <c r="Z209" s="457"/>
      <c r="AA209" s="457"/>
      <c r="AB209" s="457"/>
      <c r="AC209" s="457"/>
      <c r="AD209" s="457"/>
      <c r="AE209" s="457"/>
      <c r="AF209" s="1825"/>
      <c r="AG209" s="457"/>
    </row>
    <row r="210" spans="2:33">
      <c r="B210" s="457"/>
      <c r="C210" s="457"/>
      <c r="D210" s="457"/>
      <c r="E210" s="457"/>
      <c r="F210" s="457"/>
      <c r="G210" s="457"/>
      <c r="H210" s="457"/>
      <c r="I210" s="457"/>
      <c r="J210" s="2144"/>
      <c r="K210" s="457"/>
      <c r="L210" s="457"/>
      <c r="M210" s="457"/>
      <c r="N210" s="457"/>
      <c r="O210" s="457"/>
      <c r="P210" s="457"/>
      <c r="Q210" s="457"/>
      <c r="R210" s="457"/>
      <c r="S210" s="457"/>
      <c r="T210" s="457"/>
      <c r="U210" s="457"/>
      <c r="V210" s="457"/>
      <c r="W210" s="457"/>
      <c r="X210" s="457"/>
      <c r="Y210" s="457"/>
      <c r="Z210" s="457"/>
      <c r="AA210" s="457"/>
      <c r="AB210" s="457"/>
      <c r="AC210" s="457"/>
      <c r="AD210" s="457"/>
      <c r="AE210" s="457"/>
      <c r="AF210" s="1825"/>
      <c r="AG210" s="457"/>
    </row>
    <row r="211" spans="2:33">
      <c r="B211" s="457"/>
      <c r="C211" s="457"/>
      <c r="D211" s="457"/>
      <c r="E211" s="457"/>
      <c r="F211" s="457"/>
      <c r="G211" s="457"/>
      <c r="H211" s="457"/>
      <c r="I211" s="457"/>
      <c r="J211" s="2144"/>
      <c r="K211" s="457"/>
      <c r="L211" s="457"/>
      <c r="M211" s="457"/>
      <c r="N211" s="457"/>
      <c r="O211" s="457"/>
      <c r="P211" s="457"/>
      <c r="Q211" s="457"/>
      <c r="R211" s="457"/>
      <c r="S211" s="457"/>
      <c r="T211" s="457"/>
      <c r="U211" s="457"/>
      <c r="V211" s="457"/>
      <c r="W211" s="457"/>
      <c r="X211" s="457"/>
      <c r="Y211" s="457"/>
      <c r="Z211" s="457"/>
      <c r="AA211" s="457"/>
      <c r="AB211" s="457"/>
      <c r="AC211" s="457"/>
      <c r="AD211" s="457"/>
      <c r="AE211" s="457"/>
      <c r="AF211" s="1825"/>
      <c r="AG211" s="457"/>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1" fitToHeight="2" orientation="landscape" useFirstPageNumber="1" r:id="rId2"/>
  <headerFooter scaleWithDoc="0" alignWithMargins="0">
    <oddFooter>&amp;C&amp;8&amp;P</oddFooter>
  </headerFooter>
  <rowBreaks count="1" manualBreakCount="1">
    <brk id="89" min="1" max="36" man="1"/>
  </rowBreaks>
  <ignoredErrors>
    <ignoredError sqref="AK19:AK69 AK78:AK112 AK127:AK128 AK114:AK115 AK117:AK125" unlockedFormula="1"/>
    <ignoredError sqref="AC24 AI22" formula="1"/>
    <ignoredError sqref="AK70:AK77 AK126"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4"/>
  <sheetViews>
    <sheetView showGridLines="0" zoomScale="70" zoomScaleNormal="60" zoomScaleSheetLayoutView="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style="222" customWidth="1"/>
    <col min="6" max="6" width="12.36328125" style="222" bestFit="1" customWidth="1"/>
    <col min="7" max="7" width="1.6328125" style="222" customWidth="1"/>
    <col min="8" max="8" width="12.1796875" style="222" customWidth="1"/>
    <col min="9" max="9" width="1.6328125" customWidth="1"/>
    <col min="10" max="10" width="12" style="222" customWidth="1"/>
    <col min="11" max="11" width="1.6328125" style="222" customWidth="1"/>
    <col min="12" max="12" width="13.1796875" style="222" customWidth="1"/>
    <col min="13" max="13" width="1.6328125" style="222" customWidth="1"/>
    <col min="14" max="14" width="14.453125" style="222" customWidth="1"/>
    <col min="15" max="15" width="1.6328125" style="222" customWidth="1"/>
    <col min="16" max="16" width="12" style="222" bestFit="1" customWidth="1"/>
    <col min="17" max="17" width="1.6328125" style="222" customWidth="1"/>
    <col min="18" max="18" width="12" style="222" customWidth="1"/>
    <col min="19" max="19" width="1.6328125" style="222" customWidth="1"/>
    <col min="20" max="20" width="12" style="222" customWidth="1"/>
    <col min="21" max="21" width="1.6328125" style="222" customWidth="1"/>
    <col min="22" max="22" width="9.6328125" style="222" customWidth="1"/>
    <col min="23" max="23" width="1.6328125" style="222" customWidth="1"/>
    <col min="24" max="24" width="11.6328125" style="222" customWidth="1"/>
    <col min="25" max="25" width="1.6328125" style="222"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82" customWidth="1"/>
    <col min="38" max="16384" width="8.90625" style="222"/>
  </cols>
  <sheetData>
    <row r="1" spans="1:42">
      <c r="B1" s="1184" t="s">
        <v>1217</v>
      </c>
    </row>
    <row r="2" spans="1:42" ht="15.6">
      <c r="A2" s="498"/>
      <c r="M2" s="221"/>
      <c r="N2" s="221"/>
      <c r="O2" s="223"/>
    </row>
    <row r="3" spans="1:42" ht="15.6">
      <c r="A3" s="498"/>
      <c r="M3" s="221"/>
      <c r="N3" s="221"/>
      <c r="O3" s="223"/>
    </row>
    <row r="4" spans="1:42" ht="17.399999999999999">
      <c r="A4" s="498"/>
      <c r="B4" s="461" t="s">
        <v>0</v>
      </c>
      <c r="M4" s="221"/>
      <c r="N4" s="221"/>
      <c r="O4" s="223"/>
      <c r="AD4" s="504"/>
      <c r="AE4" s="504"/>
      <c r="AF4" s="504"/>
      <c r="AG4" s="504"/>
      <c r="AH4" s="504"/>
      <c r="AI4" s="504"/>
      <c r="AJ4" s="504"/>
      <c r="AK4" s="741" t="s">
        <v>175</v>
      </c>
    </row>
    <row r="5" spans="1:42" ht="17.399999999999999">
      <c r="A5" s="498"/>
      <c r="B5" s="461" t="s">
        <v>1466</v>
      </c>
      <c r="L5" s="221"/>
      <c r="M5" s="221"/>
      <c r="O5" s="223"/>
    </row>
    <row r="6" spans="1:42" ht="17.399999999999999">
      <c r="A6" s="498"/>
      <c r="B6" s="466" t="s">
        <v>153</v>
      </c>
      <c r="L6" s="223"/>
      <c r="M6" s="223"/>
      <c r="O6" s="223"/>
      <c r="X6" s="506"/>
    </row>
    <row r="7" spans="1:42" ht="21">
      <c r="A7" s="498"/>
      <c r="B7" s="466" t="s">
        <v>1522</v>
      </c>
      <c r="L7" s="223"/>
      <c r="M7" s="223"/>
      <c r="O7" s="223"/>
      <c r="AK7" s="508"/>
    </row>
    <row r="8" spans="1:42" ht="17.399999999999999">
      <c r="A8" s="498"/>
      <c r="B8" s="461" t="s">
        <v>1103</v>
      </c>
      <c r="AH8" s="223"/>
      <c r="AI8" s="223"/>
      <c r="AJ8" s="223"/>
      <c r="AK8" s="1358"/>
    </row>
    <row r="9" spans="1:42">
      <c r="A9" s="498"/>
      <c r="L9" s="223"/>
      <c r="M9" s="223"/>
      <c r="N9" s="223"/>
      <c r="O9" s="223"/>
      <c r="AB9" s="223"/>
      <c r="AC9" s="223"/>
      <c r="AD9" s="223"/>
      <c r="AE9" s="223"/>
      <c r="AF9" s="223"/>
      <c r="AG9" s="223"/>
      <c r="AH9" s="223"/>
      <c r="AI9" s="223"/>
      <c r="AJ9" s="223"/>
      <c r="AK9" s="1358"/>
    </row>
    <row r="10" spans="1:42" s="457" customFormat="1" ht="19.5" customHeight="1">
      <c r="A10" s="456"/>
      <c r="I10"/>
      <c r="L10" s="501"/>
      <c r="M10" s="501"/>
      <c r="N10" s="501"/>
      <c r="O10" s="501"/>
      <c r="AB10" s="550"/>
      <c r="AC10" s="550"/>
      <c r="AD10" s="2690"/>
      <c r="AE10" s="2690"/>
      <c r="AF10" s="2691" t="s">
        <v>1664</v>
      </c>
      <c r="AG10" s="2690"/>
      <c r="AH10" s="536"/>
      <c r="AI10" s="536"/>
      <c r="AJ10" s="536"/>
      <c r="AK10" s="536"/>
    </row>
    <row r="11" spans="1:42" ht="15.6">
      <c r="A11" s="498"/>
      <c r="D11" s="1512">
        <v>2015</v>
      </c>
      <c r="E11" s="221"/>
      <c r="F11" s="221"/>
      <c r="G11" s="221"/>
      <c r="H11" s="221"/>
      <c r="J11" s="221"/>
      <c r="K11" s="221"/>
      <c r="L11" s="221"/>
      <c r="M11" s="221"/>
      <c r="N11" s="221"/>
      <c r="O11" s="221"/>
      <c r="P11" s="221"/>
      <c r="Q11" s="221"/>
      <c r="R11" s="221"/>
      <c r="S11" s="221"/>
      <c r="T11" s="221"/>
      <c r="U11" s="221"/>
      <c r="V11" s="1512">
        <v>2016</v>
      </c>
      <c r="W11" s="221"/>
      <c r="X11" s="221"/>
      <c r="Y11" s="221"/>
      <c r="Z11" s="221"/>
      <c r="AA11" s="221"/>
      <c r="AB11" s="221"/>
      <c r="AC11" s="414"/>
      <c r="AD11" s="414"/>
      <c r="AE11" s="414"/>
      <c r="AF11" s="414"/>
      <c r="AG11" s="414"/>
      <c r="AH11" s="413"/>
      <c r="AI11" s="1516" t="s">
        <v>8</v>
      </c>
      <c r="AJ11" s="414"/>
      <c r="AK11" s="1517" t="s">
        <v>9</v>
      </c>
      <c r="AL11" s="413"/>
      <c r="AM11" s="413"/>
      <c r="AN11" s="413"/>
      <c r="AO11" s="413"/>
      <c r="AP11" s="413"/>
    </row>
    <row r="12" spans="1:42" ht="15.6">
      <c r="A12" s="498"/>
      <c r="D12" s="1498" t="s">
        <v>129</v>
      </c>
      <c r="E12" s="221"/>
      <c r="F12" s="1498" t="s">
        <v>130</v>
      </c>
      <c r="G12" s="221"/>
      <c r="H12" s="1498" t="s">
        <v>131</v>
      </c>
      <c r="J12" s="1498" t="s">
        <v>132</v>
      </c>
      <c r="K12" s="221"/>
      <c r="L12" s="1498" t="s">
        <v>133</v>
      </c>
      <c r="M12" s="221"/>
      <c r="N12" s="1498" t="s">
        <v>134</v>
      </c>
      <c r="O12" s="221"/>
      <c r="P12" s="1498" t="s">
        <v>135</v>
      </c>
      <c r="Q12" s="221"/>
      <c r="R12" s="1498" t="s">
        <v>136</v>
      </c>
      <c r="S12" s="221"/>
      <c r="T12" s="1498" t="s">
        <v>137</v>
      </c>
      <c r="U12" s="221"/>
      <c r="V12" s="1498" t="s">
        <v>154</v>
      </c>
      <c r="W12" s="221"/>
      <c r="X12" s="1498" t="s">
        <v>139</v>
      </c>
      <c r="Y12" s="221"/>
      <c r="Z12" s="1498" t="s">
        <v>140</v>
      </c>
      <c r="AA12" s="221"/>
      <c r="AB12" s="221"/>
      <c r="AC12" s="1512">
        <v>2015</v>
      </c>
      <c r="AD12" s="221" t="s">
        <v>16</v>
      </c>
      <c r="AE12" s="413"/>
      <c r="AF12" s="1512">
        <v>2014</v>
      </c>
      <c r="AG12" s="1497"/>
      <c r="AH12" s="413"/>
      <c r="AI12" s="1522" t="s">
        <v>13</v>
      </c>
      <c r="AJ12" s="413"/>
      <c r="AK12" s="1522" t="s">
        <v>14</v>
      </c>
      <c r="AL12" s="413"/>
      <c r="AM12" s="413"/>
      <c r="AN12" s="413"/>
      <c r="AO12" s="413"/>
      <c r="AP12" s="413"/>
    </row>
    <row r="13" spans="1:42" ht="5.25" customHeight="1">
      <c r="A13" s="498"/>
      <c r="D13" s="235"/>
      <c r="F13" s="235"/>
      <c r="H13" s="235"/>
      <c r="J13" s="235"/>
      <c r="L13" s="235"/>
      <c r="N13" s="509"/>
      <c r="P13" s="235"/>
      <c r="R13" s="235"/>
      <c r="T13" s="235"/>
      <c r="V13" s="235"/>
      <c r="X13" s="235"/>
      <c r="Z13" s="235"/>
      <c r="AC13" s="235"/>
      <c r="AF13" s="235"/>
      <c r="AG13" s="229"/>
      <c r="AH13" s="510"/>
    </row>
    <row r="14" spans="1:42" ht="15" customHeight="1">
      <c r="A14" s="223"/>
      <c r="B14" s="376" t="s">
        <v>1622</v>
      </c>
      <c r="C14" s="223"/>
      <c r="D14" s="337">
        <v>2661.8</v>
      </c>
      <c r="E14" s="295"/>
      <c r="F14" s="295">
        <f>D122</f>
        <v>2700.4</v>
      </c>
      <c r="G14" s="295"/>
      <c r="H14" s="295">
        <f>F122</f>
        <v>4105.1000000000004</v>
      </c>
      <c r="J14" s="295">
        <f>H122</f>
        <v>4010.5</v>
      </c>
      <c r="K14" s="295"/>
      <c r="L14" s="295">
        <v>4182.1000000000004</v>
      </c>
      <c r="M14" s="295"/>
      <c r="N14" s="295">
        <v>4668.5</v>
      </c>
      <c r="O14" s="295"/>
      <c r="P14" s="295">
        <f>N122</f>
        <v>2282</v>
      </c>
      <c r="Q14" s="295"/>
      <c r="R14" s="295">
        <f>P122</f>
        <v>3445.3</v>
      </c>
      <c r="S14" s="295"/>
      <c r="T14" s="295">
        <v>3984.9</v>
      </c>
      <c r="U14" s="295"/>
      <c r="V14" s="295"/>
      <c r="W14" s="295"/>
      <c r="X14" s="295"/>
      <c r="Y14" s="295"/>
      <c r="Z14" s="295"/>
      <c r="AA14" s="295"/>
      <c r="AB14" s="296"/>
      <c r="AC14" s="295">
        <f>+D14</f>
        <v>2661.8</v>
      </c>
      <c r="AD14" s="295"/>
      <c r="AE14" s="296"/>
      <c r="AF14" s="295">
        <v>2362.9</v>
      </c>
      <c r="AG14" s="511"/>
      <c r="AH14" s="424"/>
      <c r="AI14" s="384">
        <f>AC14-AF14</f>
        <v>298.90000000000009</v>
      </c>
      <c r="AJ14" s="512"/>
      <c r="AK14" s="513">
        <f>(AC14-AF14)/AF14</f>
        <v>0.12649710101993317</v>
      </c>
      <c r="AL14" s="506"/>
      <c r="AM14" s="506"/>
      <c r="AN14" s="506"/>
      <c r="AO14" s="506"/>
      <c r="AP14" s="506"/>
    </row>
    <row r="15" spans="1:42" ht="15" customHeight="1">
      <c r="A15" s="223"/>
      <c r="B15" s="223"/>
      <c r="C15" s="223"/>
      <c r="AB15" s="416"/>
      <c r="AE15" s="416"/>
      <c r="AG15" s="514"/>
      <c r="AH15" s="229"/>
      <c r="AK15" s="1932"/>
    </row>
    <row r="16" spans="1:42" ht="15" customHeight="1">
      <c r="A16" s="223"/>
      <c r="B16" s="221" t="s">
        <v>15</v>
      </c>
      <c r="C16" s="223"/>
      <c r="D16" s="261"/>
      <c r="E16" s="261"/>
      <c r="F16" s="261"/>
      <c r="G16" s="261"/>
      <c r="H16" s="261"/>
      <c r="J16" s="261"/>
      <c r="K16" s="261"/>
      <c r="L16" s="261"/>
      <c r="M16" s="261"/>
      <c r="N16" s="261"/>
      <c r="O16" s="261"/>
      <c r="P16" s="261"/>
      <c r="Q16" s="261"/>
      <c r="R16" s="261"/>
      <c r="S16" s="261"/>
      <c r="T16" s="261"/>
      <c r="U16" s="261"/>
      <c r="V16" s="261"/>
      <c r="W16" s="261"/>
      <c r="X16" s="261"/>
      <c r="Y16" s="261"/>
      <c r="Z16" s="261"/>
      <c r="AA16" s="261"/>
      <c r="AB16" s="250"/>
      <c r="AC16" s="261"/>
      <c r="AD16" s="261"/>
      <c r="AE16" s="250"/>
      <c r="AF16" s="261"/>
      <c r="AG16" s="515"/>
      <c r="AH16" s="249"/>
      <c r="AI16" s="261"/>
      <c r="AK16" s="1932"/>
    </row>
    <row r="17" spans="1:37" ht="15" customHeight="1">
      <c r="A17" s="223"/>
      <c r="B17" s="490" t="s">
        <v>1359</v>
      </c>
      <c r="C17" s="223"/>
      <c r="D17" s="261"/>
      <c r="E17" s="261"/>
      <c r="F17" s="261"/>
      <c r="G17" s="261"/>
      <c r="H17" s="261"/>
      <c r="J17" s="261"/>
      <c r="K17" s="261"/>
      <c r="L17" s="261"/>
      <c r="M17" s="261"/>
      <c r="N17" s="261"/>
      <c r="O17" s="261"/>
      <c r="P17" s="261"/>
      <c r="Q17" s="261"/>
      <c r="R17" s="261"/>
      <c r="S17" s="261"/>
      <c r="T17" s="261"/>
      <c r="U17" s="261"/>
      <c r="V17" s="261"/>
      <c r="W17" s="261"/>
      <c r="X17" s="261"/>
      <c r="Y17" s="261"/>
      <c r="Z17" s="261"/>
      <c r="AA17" s="261"/>
      <c r="AB17" s="250"/>
      <c r="AC17" s="261"/>
      <c r="AD17" s="261"/>
      <c r="AE17" s="250"/>
      <c r="AF17" s="261"/>
      <c r="AG17" s="515"/>
      <c r="AH17" s="249"/>
      <c r="AI17" s="261"/>
      <c r="AK17" s="1932"/>
    </row>
    <row r="18" spans="1:37" s="413" customFormat="1" ht="15" customHeight="1">
      <c r="A18" s="221"/>
      <c r="B18" s="2385" t="s">
        <v>1364</v>
      </c>
      <c r="C18" s="221"/>
      <c r="D18" s="3151">
        <f>'Exhibit G state'!D16</f>
        <v>3.1</v>
      </c>
      <c r="E18" s="3151"/>
      <c r="F18" s="3151">
        <f>'Exhibit G state'!F16</f>
        <v>0</v>
      </c>
      <c r="G18" s="2694"/>
      <c r="H18" s="3151">
        <f>'Exhibit G state'!H16</f>
        <v>431.2</v>
      </c>
      <c r="I18"/>
      <c r="J18" s="2694">
        <f>'Exhibit G state'!J16</f>
        <v>0</v>
      </c>
      <c r="K18" s="2694"/>
      <c r="L18" s="2694">
        <f>'Exhibit G state'!L16</f>
        <v>0</v>
      </c>
      <c r="M18" s="2694"/>
      <c r="N18" s="2694">
        <f>'Exhibit G state'!N16</f>
        <v>189.6</v>
      </c>
      <c r="O18" s="2694"/>
      <c r="P18" s="2694">
        <f>'Exhibit G state'!P16</f>
        <v>0</v>
      </c>
      <c r="Q18" s="2694"/>
      <c r="R18" s="2694">
        <f>'Exhibit G state'!R16</f>
        <v>25.6</v>
      </c>
      <c r="S18" s="2886"/>
      <c r="T18" s="2886">
        <f>'Exhibit G state'!T16</f>
        <v>125</v>
      </c>
      <c r="U18" s="295"/>
      <c r="V18" s="2886"/>
      <c r="W18" s="295"/>
      <c r="X18" s="2886"/>
      <c r="Y18" s="295"/>
      <c r="Z18" s="2886"/>
      <c r="AA18" s="295"/>
      <c r="AB18" s="296"/>
      <c r="AC18" s="1171">
        <f>ROUND(SUM(D18:Z18),1)</f>
        <v>774.5</v>
      </c>
      <c r="AD18" s="1171"/>
      <c r="AE18" s="2720"/>
      <c r="AF18" s="1327">
        <f>'Exhibit G state'!AH16</f>
        <v>781.3</v>
      </c>
      <c r="AG18" s="2696"/>
      <c r="AH18" s="1908"/>
      <c r="AI18" s="1171">
        <f>ROUND(SUM(+AC18-AF18),1)</f>
        <v>-6.8</v>
      </c>
      <c r="AJ18" s="248"/>
      <c r="AK18" s="2817">
        <f>ROUND(IF(AF18=0,1,AI18/ABS(AF18)),3)</f>
        <v>-8.9999999999999993E-3</v>
      </c>
    </row>
    <row r="19" spans="1:37" s="413" customFormat="1" ht="6" customHeight="1">
      <c r="A19" s="221"/>
      <c r="B19" s="2385"/>
      <c r="C19" s="221"/>
      <c r="D19" s="2694"/>
      <c r="E19" s="2694"/>
      <c r="F19" s="2694"/>
      <c r="G19" s="2694"/>
      <c r="H19" s="2694"/>
      <c r="I19"/>
      <c r="J19" s="2694"/>
      <c r="K19" s="2694"/>
      <c r="L19" s="2694">
        <f>'Exhibit G state'!L17</f>
        <v>0</v>
      </c>
      <c r="M19" s="2694"/>
      <c r="N19" s="2694"/>
      <c r="O19" s="295"/>
      <c r="P19" s="295"/>
      <c r="Q19" s="295"/>
      <c r="R19" s="295"/>
      <c r="S19" s="295"/>
      <c r="T19" s="295"/>
      <c r="U19" s="295"/>
      <c r="V19" s="295"/>
      <c r="W19" s="295"/>
      <c r="X19" s="295"/>
      <c r="Y19" s="295"/>
      <c r="Z19" s="295"/>
      <c r="AA19" s="295"/>
      <c r="AB19" s="296"/>
      <c r="AC19" s="1252"/>
      <c r="AD19" s="1252"/>
      <c r="AE19" s="2404"/>
      <c r="AF19" s="1254"/>
      <c r="AG19" s="2405"/>
      <c r="AH19" s="1975"/>
      <c r="AI19" s="1252"/>
      <c r="AJ19" s="248"/>
      <c r="AK19" s="1864"/>
    </row>
    <row r="20" spans="1:37" ht="15" customHeight="1">
      <c r="A20" s="223"/>
      <c r="B20" s="2385" t="s">
        <v>1430</v>
      </c>
      <c r="C20" s="223"/>
      <c r="D20" s="261"/>
      <c r="E20" s="261"/>
      <c r="F20" s="261"/>
      <c r="G20" s="261"/>
      <c r="H20" s="261"/>
      <c r="J20" s="261"/>
      <c r="K20" s="261"/>
      <c r="L20" s="2694"/>
      <c r="M20" s="261"/>
      <c r="N20" s="261"/>
      <c r="O20" s="261"/>
      <c r="P20" s="261"/>
      <c r="Q20" s="261"/>
      <c r="R20" s="261"/>
      <c r="S20" s="261"/>
      <c r="T20" s="261"/>
      <c r="U20" s="261"/>
      <c r="V20" s="261"/>
      <c r="W20" s="261"/>
      <c r="X20" s="261"/>
      <c r="Y20" s="261"/>
      <c r="Z20" s="261"/>
      <c r="AA20" s="261"/>
      <c r="AB20" s="250"/>
      <c r="AC20" s="1886"/>
      <c r="AD20" s="1886"/>
      <c r="AE20" s="259"/>
      <c r="AF20" s="1886"/>
      <c r="AG20" s="522"/>
      <c r="AH20" s="273"/>
      <c r="AI20" s="1886"/>
      <c r="AJ20" s="413"/>
      <c r="AK20" s="513"/>
    </row>
    <row r="21" spans="1:37" ht="15" customHeight="1">
      <c r="A21" s="223"/>
      <c r="B21" s="2118" t="s">
        <v>1379</v>
      </c>
      <c r="C21" s="223"/>
      <c r="D21" s="1171">
        <f>'Exhibit G state'!D20</f>
        <v>91</v>
      </c>
      <c r="E21" s="261"/>
      <c r="F21" s="3151">
        <f>'Exhibit G state'!F20</f>
        <v>65.2</v>
      </c>
      <c r="G21" s="261"/>
      <c r="H21" s="3151">
        <f>'Exhibit G state'!H20</f>
        <v>86.4</v>
      </c>
      <c r="J21" s="261">
        <f>'Exhibit G state'!J20</f>
        <v>71.3</v>
      </c>
      <c r="K21" s="261"/>
      <c r="L21" s="2694">
        <f>'Exhibit G state'!L20</f>
        <v>66.3</v>
      </c>
      <c r="M21" s="2694"/>
      <c r="N21" s="2694">
        <f>'Exhibit G state'!N20</f>
        <v>97.7</v>
      </c>
      <c r="O21" s="2694"/>
      <c r="P21" s="2694">
        <f>'Exhibit G state'!P20</f>
        <v>58.8</v>
      </c>
      <c r="Q21" s="2694"/>
      <c r="R21" s="2694">
        <f>'Exhibit G state'!R20</f>
        <v>67.599999999999994</v>
      </c>
      <c r="S21" s="2886"/>
      <c r="T21" s="2886">
        <f>'Exhibit G state'!T20</f>
        <v>78.3</v>
      </c>
      <c r="U21" s="261"/>
      <c r="V21" s="261"/>
      <c r="W21" s="261"/>
      <c r="X21" s="2886"/>
      <c r="Y21" s="261"/>
      <c r="Z21" s="2886"/>
      <c r="AA21" s="261"/>
      <c r="AB21" s="250"/>
      <c r="AC21" s="261">
        <f t="shared" ref="AC21:AC27" si="0">ROUND(SUM(D21:Z21),1)</f>
        <v>682.6</v>
      </c>
      <c r="AD21" s="261"/>
      <c r="AE21" s="250"/>
      <c r="AF21" s="1327">
        <f>'Exhibit G state'!AH20</f>
        <v>673.7</v>
      </c>
      <c r="AG21" s="515"/>
      <c r="AH21" s="249"/>
      <c r="AI21" s="1171">
        <f t="shared" ref="AI21:AI27" si="1">ROUND(SUM(+AC21-AF21),1)</f>
        <v>8.9</v>
      </c>
      <c r="AJ21" s="248"/>
      <c r="AK21" s="1864">
        <f t="shared" ref="AK21:AK27" si="2">ROUND(IF(AF21=0,0,AI21/ABS(AF21)),3)</f>
        <v>1.2999999999999999E-2</v>
      </c>
    </row>
    <row r="22" spans="1:37" ht="15" customHeight="1">
      <c r="A22" s="223"/>
      <c r="B22" s="2118" t="s">
        <v>1380</v>
      </c>
      <c r="C22" s="223"/>
      <c r="D22" s="1171">
        <f>'Exhibit G state'!D21</f>
        <v>1.5</v>
      </c>
      <c r="E22" s="261"/>
      <c r="F22" s="3151">
        <f>'Exhibit G state'!F21</f>
        <v>0.2</v>
      </c>
      <c r="G22" s="261"/>
      <c r="H22" s="3151">
        <f>'Exhibit G state'!H21</f>
        <v>10.6</v>
      </c>
      <c r="J22" s="261">
        <f>'Exhibit G state'!J21</f>
        <v>0.1</v>
      </c>
      <c r="K22" s="261"/>
      <c r="L22" s="2694">
        <f>'Exhibit G state'!L21</f>
        <v>0</v>
      </c>
      <c r="M22" s="2694"/>
      <c r="N22" s="2694">
        <f>'Exhibit G state'!N21</f>
        <v>14.7</v>
      </c>
      <c r="O22" s="2694"/>
      <c r="P22" s="2694">
        <f>'Exhibit G state'!P21</f>
        <v>0.3</v>
      </c>
      <c r="Q22" s="2694"/>
      <c r="R22" s="2694">
        <f>'Exhibit G state'!R21</f>
        <v>0</v>
      </c>
      <c r="S22" s="2886"/>
      <c r="T22" s="2886">
        <f>'Exhibit G state'!T21</f>
        <v>11.8</v>
      </c>
      <c r="U22" s="261"/>
      <c r="V22" s="261"/>
      <c r="W22" s="261"/>
      <c r="X22" s="2886"/>
      <c r="Y22" s="261"/>
      <c r="Z22" s="2886"/>
      <c r="AA22" s="261"/>
      <c r="AB22" s="250"/>
      <c r="AC22" s="261">
        <f t="shared" si="0"/>
        <v>39.200000000000003</v>
      </c>
      <c r="AD22" s="261"/>
      <c r="AE22" s="250"/>
      <c r="AF22" s="1327">
        <f>'Exhibit G state'!AH21</f>
        <v>37.5</v>
      </c>
      <c r="AG22" s="515"/>
      <c r="AH22" s="249"/>
      <c r="AI22" s="1171">
        <f t="shared" si="1"/>
        <v>1.7</v>
      </c>
      <c r="AJ22" s="248"/>
      <c r="AK22" s="1864">
        <f t="shared" si="2"/>
        <v>4.4999999999999998E-2</v>
      </c>
    </row>
    <row r="23" spans="1:37" ht="15" customHeight="1">
      <c r="A23" s="223"/>
      <c r="B23" s="2118" t="s">
        <v>1381</v>
      </c>
      <c r="C23" s="223"/>
      <c r="D23" s="1171">
        <f>'Exhibit G state'!D22</f>
        <v>83.2</v>
      </c>
      <c r="E23" s="261"/>
      <c r="F23" s="3151">
        <f>'Exhibit G state'!F22</f>
        <v>72.2</v>
      </c>
      <c r="G23" s="261"/>
      <c r="H23" s="3151">
        <f>'Exhibit G state'!H22</f>
        <v>89.6</v>
      </c>
      <c r="J23" s="261">
        <f>'Exhibit G state'!J22</f>
        <v>85.7</v>
      </c>
      <c r="K23" s="261"/>
      <c r="L23" s="2694">
        <f>'Exhibit G state'!L22</f>
        <v>76.400000000000006</v>
      </c>
      <c r="M23" s="2694"/>
      <c r="N23" s="2694">
        <f>'Exhibit G state'!N22</f>
        <v>85.1</v>
      </c>
      <c r="O23" s="2694"/>
      <c r="P23" s="2694">
        <f>'Exhibit G state'!P22</f>
        <v>81.099999999999994</v>
      </c>
      <c r="Q23" s="2694"/>
      <c r="R23" s="2694">
        <f>'Exhibit G state'!R22</f>
        <v>70.5</v>
      </c>
      <c r="S23" s="2886"/>
      <c r="T23" s="2886">
        <f>'Exhibit G state'!T22</f>
        <v>83</v>
      </c>
      <c r="U23" s="261"/>
      <c r="V23" s="261"/>
      <c r="W23" s="261"/>
      <c r="X23" s="2886"/>
      <c r="Y23" s="261"/>
      <c r="Z23" s="2886"/>
      <c r="AA23" s="261"/>
      <c r="AB23" s="250"/>
      <c r="AC23" s="261">
        <f t="shared" si="0"/>
        <v>726.8</v>
      </c>
      <c r="AD23" s="261"/>
      <c r="AE23" s="250"/>
      <c r="AF23" s="1327">
        <f>'Exhibit G state'!AH22</f>
        <v>761.6</v>
      </c>
      <c r="AG23" s="515"/>
      <c r="AH23" s="249"/>
      <c r="AI23" s="1171">
        <f t="shared" si="1"/>
        <v>-34.799999999999997</v>
      </c>
      <c r="AJ23" s="248"/>
      <c r="AK23" s="1864">
        <f t="shared" si="2"/>
        <v>-4.5999999999999999E-2</v>
      </c>
    </row>
    <row r="24" spans="1:37" ht="15" customHeight="1">
      <c r="A24" s="223"/>
      <c r="B24" s="2118" t="s">
        <v>1382</v>
      </c>
      <c r="C24" s="223"/>
      <c r="D24" s="1171">
        <f>'Exhibit G state'!D23</f>
        <v>8.6999999999999993</v>
      </c>
      <c r="E24" s="261"/>
      <c r="F24" s="3151">
        <f>'Exhibit G state'!F23</f>
        <v>8.6</v>
      </c>
      <c r="G24" s="261"/>
      <c r="H24" s="3151">
        <f>'Exhibit G state'!H23</f>
        <v>8.4</v>
      </c>
      <c r="J24" s="261">
        <f>'Exhibit G state'!J23</f>
        <v>9.1</v>
      </c>
      <c r="K24" s="261"/>
      <c r="L24" s="2694">
        <f>'Exhibit G state'!L23</f>
        <v>10</v>
      </c>
      <c r="M24" s="2694"/>
      <c r="N24" s="2694">
        <f>'Exhibit G state'!N23</f>
        <v>7.9</v>
      </c>
      <c r="O24" s="2694"/>
      <c r="P24" s="2694">
        <f>'Exhibit G state'!P23</f>
        <v>9</v>
      </c>
      <c r="Q24" s="2694"/>
      <c r="R24" s="2694">
        <f>'Exhibit G state'!R23</f>
        <v>8.5</v>
      </c>
      <c r="S24" s="2886"/>
      <c r="T24" s="2886">
        <f>'Exhibit G state'!T23</f>
        <v>8.1999999999999993</v>
      </c>
      <c r="U24" s="261"/>
      <c r="V24" s="261"/>
      <c r="W24" s="261"/>
      <c r="X24" s="2886"/>
      <c r="Y24" s="261"/>
      <c r="Z24" s="2886"/>
      <c r="AA24" s="261"/>
      <c r="AB24" s="250"/>
      <c r="AC24" s="261">
        <f t="shared" si="0"/>
        <v>78.400000000000006</v>
      </c>
      <c r="AD24" s="261"/>
      <c r="AE24" s="250"/>
      <c r="AF24" s="1327">
        <f>'Exhibit G state'!AH23</f>
        <v>78</v>
      </c>
      <c r="AG24" s="515"/>
      <c r="AH24" s="249"/>
      <c r="AI24" s="1171">
        <f t="shared" si="1"/>
        <v>0.4</v>
      </c>
      <c r="AJ24" s="248"/>
      <c r="AK24" s="1864">
        <f t="shared" si="2"/>
        <v>5.0000000000000001E-3</v>
      </c>
    </row>
    <row r="25" spans="1:37" ht="15" customHeight="1">
      <c r="A25" s="223"/>
      <c r="B25" s="2118" t="s">
        <v>1383</v>
      </c>
      <c r="C25" s="223"/>
      <c r="D25" s="1171">
        <f>'Exhibit G state'!D24</f>
        <v>0</v>
      </c>
      <c r="E25" s="261"/>
      <c r="F25" s="3151">
        <f>'Exhibit G state'!F24</f>
        <v>0</v>
      </c>
      <c r="G25" s="261"/>
      <c r="H25" s="3151">
        <f>'Exhibit G state'!H24</f>
        <v>0</v>
      </c>
      <c r="J25" s="261">
        <f>'Exhibit G state'!J24</f>
        <v>0</v>
      </c>
      <c r="K25" s="261"/>
      <c r="L25" s="2694">
        <f>'Exhibit G state'!L24</f>
        <v>0</v>
      </c>
      <c r="M25" s="2694"/>
      <c r="N25" s="2694">
        <f>'Exhibit G state'!N24</f>
        <v>0</v>
      </c>
      <c r="O25" s="261"/>
      <c r="P25" s="261">
        <v>0</v>
      </c>
      <c r="Q25" s="261"/>
      <c r="R25" s="261">
        <v>0</v>
      </c>
      <c r="S25" s="261"/>
      <c r="T25" s="261">
        <v>0</v>
      </c>
      <c r="U25" s="261"/>
      <c r="V25" s="261"/>
      <c r="W25" s="261"/>
      <c r="X25" s="2886"/>
      <c r="Y25" s="261"/>
      <c r="Z25" s="2886"/>
      <c r="AA25" s="261"/>
      <c r="AB25" s="250"/>
      <c r="AC25" s="261">
        <f t="shared" si="0"/>
        <v>0</v>
      </c>
      <c r="AD25" s="261"/>
      <c r="AE25" s="250"/>
      <c r="AF25" s="2131">
        <f>'Exhibit G state'!AH24</f>
        <v>0</v>
      </c>
      <c r="AG25" s="515"/>
      <c r="AH25" s="249"/>
      <c r="AI25" s="1171">
        <f t="shared" si="1"/>
        <v>0</v>
      </c>
      <c r="AJ25" s="248"/>
      <c r="AK25" s="1864">
        <f t="shared" si="2"/>
        <v>0</v>
      </c>
    </row>
    <row r="26" spans="1:37" ht="15" customHeight="1">
      <c r="A26" s="223"/>
      <c r="B26" s="2118" t="s">
        <v>1384</v>
      </c>
      <c r="C26" s="223"/>
      <c r="D26" s="1171">
        <f>'Exhibit G state'!D25</f>
        <v>0</v>
      </c>
      <c r="E26" s="261"/>
      <c r="F26" s="3151">
        <f>'Exhibit G state'!F25</f>
        <v>0</v>
      </c>
      <c r="G26" s="261"/>
      <c r="H26" s="3151">
        <f>'Exhibit G state'!H25</f>
        <v>0</v>
      </c>
      <c r="J26" s="261">
        <f>'Exhibit G state'!J25</f>
        <v>0</v>
      </c>
      <c r="K26" s="261"/>
      <c r="L26" s="2694">
        <f>'Exhibit G state'!L24</f>
        <v>0</v>
      </c>
      <c r="M26" s="2694"/>
      <c r="N26" s="2694">
        <f>'Exhibit G state'!N24</f>
        <v>0</v>
      </c>
      <c r="O26" s="261"/>
      <c r="P26" s="261">
        <v>0</v>
      </c>
      <c r="Q26" s="261"/>
      <c r="R26" s="261">
        <v>0</v>
      </c>
      <c r="S26" s="261"/>
      <c r="T26" s="261">
        <v>0</v>
      </c>
      <c r="U26" s="261"/>
      <c r="V26" s="261"/>
      <c r="W26" s="261"/>
      <c r="X26" s="2886"/>
      <c r="Y26" s="261"/>
      <c r="Z26" s="2886"/>
      <c r="AA26" s="261"/>
      <c r="AB26" s="250"/>
      <c r="AC26" s="261">
        <f t="shared" si="0"/>
        <v>0</v>
      </c>
      <c r="AD26" s="261"/>
      <c r="AE26" s="250"/>
      <c r="AF26" s="2131">
        <f>'Exhibit G state'!AH25</f>
        <v>0</v>
      </c>
      <c r="AG26" s="515"/>
      <c r="AH26" s="249"/>
      <c r="AI26" s="1171">
        <f t="shared" si="1"/>
        <v>0</v>
      </c>
      <c r="AJ26" s="248"/>
      <c r="AK26" s="1864">
        <f t="shared" si="2"/>
        <v>0</v>
      </c>
    </row>
    <row r="27" spans="1:37" ht="15" customHeight="1">
      <c r="A27" s="223"/>
      <c r="B27" s="2120" t="s">
        <v>1385</v>
      </c>
      <c r="C27" s="223"/>
      <c r="D27" s="1171">
        <f>'Exhibit G state'!D26</f>
        <v>19.2</v>
      </c>
      <c r="E27" s="261"/>
      <c r="F27" s="3151">
        <f>'Exhibit G state'!F26</f>
        <v>0.6</v>
      </c>
      <c r="G27" s="261"/>
      <c r="H27" s="3151">
        <f>'Exhibit G state'!H26</f>
        <v>0.4</v>
      </c>
      <c r="J27" s="261">
        <f>'Exhibit G state'!J26</f>
        <v>18.100000000000001</v>
      </c>
      <c r="K27" s="261"/>
      <c r="L27" s="2694">
        <f>'Exhibit G state'!L26</f>
        <v>0.3</v>
      </c>
      <c r="M27" s="2694"/>
      <c r="N27" s="2694">
        <f>'Exhibit G state'!N26</f>
        <v>0.1</v>
      </c>
      <c r="O27" s="2694"/>
      <c r="P27" s="2694">
        <f>'Exhibit G state'!P26</f>
        <v>16.2</v>
      </c>
      <c r="Q27" s="2694"/>
      <c r="R27" s="2694">
        <f>'Exhibit G state'!R26</f>
        <v>0.5</v>
      </c>
      <c r="S27" s="2886"/>
      <c r="T27" s="2886">
        <f>'Exhibit G state'!T26</f>
        <v>0.1</v>
      </c>
      <c r="U27" s="261"/>
      <c r="V27" s="261"/>
      <c r="W27" s="261"/>
      <c r="X27" s="2886"/>
      <c r="Y27" s="261"/>
      <c r="Z27" s="2886"/>
      <c r="AA27" s="261"/>
      <c r="AB27" s="250"/>
      <c r="AC27" s="261">
        <f t="shared" si="0"/>
        <v>55.5</v>
      </c>
      <c r="AD27" s="261"/>
      <c r="AE27" s="250"/>
      <c r="AF27" s="2131">
        <f>'Exhibit G state'!AH26</f>
        <v>62.6</v>
      </c>
      <c r="AG27" s="515"/>
      <c r="AH27" s="249"/>
      <c r="AI27" s="1171">
        <f t="shared" si="1"/>
        <v>-7.1</v>
      </c>
      <c r="AJ27" s="248"/>
      <c r="AK27" s="1864">
        <f t="shared" si="2"/>
        <v>-0.113</v>
      </c>
    </row>
    <row r="28" spans="1:37" s="413" customFormat="1" ht="15" customHeight="1">
      <c r="A28" s="221"/>
      <c r="B28" s="2119" t="s">
        <v>1583</v>
      </c>
      <c r="C28" s="221"/>
      <c r="D28" s="256">
        <f>ROUND(SUM(D21:D27),1)</f>
        <v>203.6</v>
      </c>
      <c r="E28" s="1886"/>
      <c r="F28" s="256">
        <f>ROUND(SUM(F21:F27),1)</f>
        <v>146.80000000000001</v>
      </c>
      <c r="G28" s="1886"/>
      <c r="H28" s="256">
        <f>ROUND(SUM(H21:H27),1)</f>
        <v>195.4</v>
      </c>
      <c r="I28"/>
      <c r="J28" s="256">
        <f>ROUND(SUM(J21:J27),1)</f>
        <v>184.3</v>
      </c>
      <c r="K28" s="1886"/>
      <c r="L28" s="256">
        <f>ROUND(SUM(L21:L27),1)</f>
        <v>153</v>
      </c>
      <c r="M28" s="1886"/>
      <c r="N28" s="256">
        <f>ROUND(SUM(N21:N27),1)</f>
        <v>205.5</v>
      </c>
      <c r="O28" s="1886"/>
      <c r="P28" s="256">
        <f>ROUND(SUM(P21:P27),1)</f>
        <v>165.4</v>
      </c>
      <c r="Q28" s="1886"/>
      <c r="R28" s="256">
        <f>ROUND(SUM(R21:R27),1)</f>
        <v>147.1</v>
      </c>
      <c r="S28" s="1886"/>
      <c r="T28" s="256">
        <f>ROUND(SUM(T21:T27),1)</f>
        <v>181.4</v>
      </c>
      <c r="U28" s="1886"/>
      <c r="V28" s="256">
        <f>ROUND(SUM(V21:V27),1)</f>
        <v>0</v>
      </c>
      <c r="W28" s="1886"/>
      <c r="X28" s="256">
        <f>ROUND(SUM(X21:X27),1)</f>
        <v>0</v>
      </c>
      <c r="Y28" s="1886"/>
      <c r="Z28" s="256">
        <f>ROUND(SUM(Z21:Z27),1)</f>
        <v>0</v>
      </c>
      <c r="AA28" s="1886"/>
      <c r="AB28" s="259"/>
      <c r="AC28" s="256">
        <f>ROUND(SUM(AC21:AC27),1)</f>
        <v>1582.5</v>
      </c>
      <c r="AD28" s="1886"/>
      <c r="AE28" s="259"/>
      <c r="AF28" s="256">
        <f>ROUND(SUM(AF21:AF27),1)</f>
        <v>1613.4</v>
      </c>
      <c r="AG28" s="522"/>
      <c r="AH28" s="273"/>
      <c r="AI28" s="256">
        <f>ROUND(SUM(AI21:AI27),1)</f>
        <v>-30.9</v>
      </c>
      <c r="AK28" s="2746">
        <f>ROUND(SUM(+AI28/AF28),3)</f>
        <v>-1.9E-2</v>
      </c>
    </row>
    <row r="29" spans="1:37" ht="15" customHeight="1">
      <c r="A29" s="223"/>
      <c r="B29" s="2385" t="s">
        <v>1431</v>
      </c>
      <c r="C29" s="223"/>
      <c r="D29" s="261"/>
      <c r="E29" s="261"/>
      <c r="F29" s="261"/>
      <c r="G29" s="261"/>
      <c r="H29" s="261"/>
      <c r="J29" s="261"/>
      <c r="K29" s="261"/>
      <c r="L29" s="261"/>
      <c r="M29" s="261"/>
      <c r="N29" s="261"/>
      <c r="O29" s="261"/>
      <c r="P29" s="261"/>
      <c r="Q29" s="261"/>
      <c r="R29" s="261"/>
      <c r="S29" s="261"/>
      <c r="T29" s="261"/>
      <c r="U29" s="261"/>
      <c r="V29" s="261"/>
      <c r="W29" s="261"/>
      <c r="X29" s="261"/>
      <c r="Y29" s="261"/>
      <c r="Z29" s="261"/>
      <c r="AA29" s="261"/>
      <c r="AB29" s="250"/>
      <c r="AC29" s="261"/>
      <c r="AD29" s="261"/>
      <c r="AE29" s="250"/>
      <c r="AF29" s="261"/>
      <c r="AG29" s="515"/>
      <c r="AH29" s="249"/>
      <c r="AI29" s="1171"/>
      <c r="AK29" s="1932"/>
    </row>
    <row r="30" spans="1:37" ht="15" customHeight="1">
      <c r="A30" s="223"/>
      <c r="B30" s="2118" t="s">
        <v>1387</v>
      </c>
      <c r="C30" s="223"/>
      <c r="D30" s="261">
        <f>'Exhibit G state'!D29</f>
        <v>11.5</v>
      </c>
      <c r="E30" s="261"/>
      <c r="F30" s="261">
        <f>'Exhibit G state'!F29</f>
        <v>3.5</v>
      </c>
      <c r="G30" s="261"/>
      <c r="H30" s="261">
        <f>'Exhibit G state'!H29</f>
        <v>136.4</v>
      </c>
      <c r="J30" s="261">
        <f>'Exhibit G state'!J29</f>
        <v>11.9</v>
      </c>
      <c r="K30" s="261"/>
      <c r="L30" s="261">
        <f>'Exhibit G state'!L29</f>
        <v>18</v>
      </c>
      <c r="M30" s="261"/>
      <c r="N30" s="261">
        <f>'Exhibit G state'!N29</f>
        <v>102</v>
      </c>
      <c r="O30" s="261"/>
      <c r="P30" s="261">
        <f>'Exhibit G state'!P29</f>
        <v>23.4</v>
      </c>
      <c r="Q30" s="261"/>
      <c r="R30" s="261">
        <f>'Exhibit G state'!R29</f>
        <v>36.6</v>
      </c>
      <c r="S30" s="261"/>
      <c r="T30" s="261">
        <f>'Exhibit G state'!T29</f>
        <v>148.4</v>
      </c>
      <c r="U30" s="261"/>
      <c r="V30" s="261"/>
      <c r="W30" s="261"/>
      <c r="X30" s="261"/>
      <c r="Y30" s="261"/>
      <c r="Z30" s="261"/>
      <c r="AA30" s="261"/>
      <c r="AB30" s="250"/>
      <c r="AC30" s="261">
        <f>ROUND(SUM(D30:Z30),1)</f>
        <v>491.7</v>
      </c>
      <c r="AD30" s="261"/>
      <c r="AE30" s="250"/>
      <c r="AF30" s="2131">
        <f>'Exhibit G state'!AH29</f>
        <v>314.2</v>
      </c>
      <c r="AG30" s="515"/>
      <c r="AH30" s="249"/>
      <c r="AI30" s="1171">
        <f>ROUND(SUM(+AC30-AF30),1)</f>
        <v>177.5</v>
      </c>
      <c r="AJ30" s="248"/>
      <c r="AK30" s="1864">
        <f>ROUND(IF(AF30=0,0,AI30/ABS(AF30)),3)</f>
        <v>0.56499999999999995</v>
      </c>
    </row>
    <row r="31" spans="1:37" ht="15" customHeight="1">
      <c r="A31" s="223"/>
      <c r="B31" s="2118" t="s">
        <v>1388</v>
      </c>
      <c r="C31" s="223"/>
      <c r="D31" s="261">
        <f>'Exhibit G state'!D30</f>
        <v>1.7</v>
      </c>
      <c r="E31" s="261"/>
      <c r="F31" s="261">
        <f>'Exhibit G state'!F30</f>
        <v>0.5</v>
      </c>
      <c r="G31" s="261"/>
      <c r="H31" s="261">
        <f>'Exhibit G state'!H30</f>
        <v>28.2</v>
      </c>
      <c r="J31" s="261">
        <f>'Exhibit G state'!J30</f>
        <v>0.5</v>
      </c>
      <c r="K31" s="261"/>
      <c r="L31" s="261">
        <f>'Exhibit G state'!L30</f>
        <v>2.2999999999999998</v>
      </c>
      <c r="M31" s="261"/>
      <c r="N31" s="261">
        <f>'Exhibit G state'!N30</f>
        <v>30.1</v>
      </c>
      <c r="O31" s="261"/>
      <c r="P31" s="261">
        <f>'Exhibit G state'!P30</f>
        <v>2.7</v>
      </c>
      <c r="Q31" s="261"/>
      <c r="R31" s="261">
        <f>'Exhibit G state'!R30</f>
        <v>4.7</v>
      </c>
      <c r="S31" s="261"/>
      <c r="T31" s="261">
        <f>'Exhibit G state'!T30</f>
        <v>29.6</v>
      </c>
      <c r="U31" s="261"/>
      <c r="V31" s="261"/>
      <c r="W31" s="261"/>
      <c r="X31" s="261"/>
      <c r="Y31" s="261"/>
      <c r="Z31" s="261"/>
      <c r="AA31" s="261"/>
      <c r="AB31" s="250"/>
      <c r="AC31" s="261">
        <f>ROUND(SUM(D31:Z31),1)</f>
        <v>100.3</v>
      </c>
      <c r="AD31" s="261"/>
      <c r="AE31" s="250"/>
      <c r="AF31" s="2131">
        <f>'Exhibit G state'!AH30</f>
        <v>93</v>
      </c>
      <c r="AG31" s="515"/>
      <c r="AH31" s="249"/>
      <c r="AI31" s="1171">
        <f>ROUND(SUM(+AC31-AF31),1)</f>
        <v>7.3</v>
      </c>
      <c r="AJ31" s="248"/>
      <c r="AK31" s="1864">
        <f>ROUND(IF(AF31=0,0,AI31/ABS(AF31)),3)</f>
        <v>7.8E-2</v>
      </c>
    </row>
    <row r="32" spans="1:37" ht="15" customHeight="1">
      <c r="A32" s="223"/>
      <c r="B32" s="2118" t="s">
        <v>1389</v>
      </c>
      <c r="C32" s="223"/>
      <c r="D32" s="261">
        <f>'Exhibit G state'!D31</f>
        <v>-0.1</v>
      </c>
      <c r="E32" s="261"/>
      <c r="F32" s="261">
        <f>'Exhibit G state'!F31</f>
        <v>-0.1</v>
      </c>
      <c r="G32" s="261"/>
      <c r="H32" s="261">
        <f>'Exhibit G state'!H31</f>
        <v>32.4</v>
      </c>
      <c r="J32" s="261">
        <f>'Exhibit G state'!J31</f>
        <v>3.4</v>
      </c>
      <c r="K32" s="261"/>
      <c r="L32" s="261">
        <f>'Exhibit G state'!L31</f>
        <v>5.4</v>
      </c>
      <c r="M32" s="261"/>
      <c r="N32" s="261">
        <f>'Exhibit G state'!N31</f>
        <v>30.7</v>
      </c>
      <c r="O32" s="261"/>
      <c r="P32" s="261">
        <f>'Exhibit G state'!P31</f>
        <v>-0.7</v>
      </c>
      <c r="Q32" s="261"/>
      <c r="R32" s="261">
        <f>'Exhibit G state'!R31</f>
        <v>0</v>
      </c>
      <c r="S32" s="261"/>
      <c r="T32" s="261">
        <f>'Exhibit G state'!T31</f>
        <v>28.6</v>
      </c>
      <c r="U32" s="261"/>
      <c r="V32" s="261"/>
      <c r="W32" s="261"/>
      <c r="X32" s="261"/>
      <c r="Y32" s="261"/>
      <c r="Z32" s="261"/>
      <c r="AA32" s="261"/>
      <c r="AB32" s="250"/>
      <c r="AC32" s="261">
        <f>ROUND(SUM(D32:Z32),1)</f>
        <v>99.6</v>
      </c>
      <c r="AD32" s="261"/>
      <c r="AE32" s="250"/>
      <c r="AF32" s="2131">
        <f>'Exhibit G state'!AH31</f>
        <v>95.8</v>
      </c>
      <c r="AG32" s="515"/>
      <c r="AH32" s="249"/>
      <c r="AI32" s="1171">
        <f>ROUND(SUM(+AC32-AF32),1)</f>
        <v>3.8</v>
      </c>
      <c r="AJ32" s="248"/>
      <c r="AK32" s="2817">
        <f>ROUND(IF(AF32=0,0,AI32/ABS(AF32)),3)</f>
        <v>0.04</v>
      </c>
    </row>
    <row r="33" spans="1:37" ht="15" customHeight="1">
      <c r="A33" s="223"/>
      <c r="B33" s="2118" t="s">
        <v>1390</v>
      </c>
      <c r="C33" s="223"/>
      <c r="D33" s="261">
        <f>'Exhibit G state'!D32</f>
        <v>6.6</v>
      </c>
      <c r="E33" s="261"/>
      <c r="F33" s="261">
        <f>'Exhibit G state'!F32</f>
        <v>-0.1</v>
      </c>
      <c r="G33" s="261"/>
      <c r="H33" s="261">
        <f>'Exhibit G state'!H32</f>
        <v>3.9</v>
      </c>
      <c r="J33" s="261">
        <f>'Exhibit G state'!J32</f>
        <v>12.3</v>
      </c>
      <c r="K33" s="261"/>
      <c r="L33" s="261">
        <f>'Exhibit G state'!L32</f>
        <v>8.6999999999999993</v>
      </c>
      <c r="M33" s="261"/>
      <c r="N33" s="261">
        <f>'Exhibit G state'!N32</f>
        <v>-3</v>
      </c>
      <c r="O33" s="261"/>
      <c r="P33" s="261">
        <f>'Exhibit G state'!P32</f>
        <v>2.8</v>
      </c>
      <c r="Q33" s="261"/>
      <c r="R33" s="261">
        <f>'Exhibit G state'!R32</f>
        <v>-6.8</v>
      </c>
      <c r="S33" s="261"/>
      <c r="T33" s="261">
        <f>'Exhibit G state'!T32</f>
        <v>-16</v>
      </c>
      <c r="U33" s="261"/>
      <c r="V33" s="261"/>
      <c r="W33" s="261"/>
      <c r="X33" s="261"/>
      <c r="Y33" s="261"/>
      <c r="Z33" s="261"/>
      <c r="AA33" s="261"/>
      <c r="AB33" s="250"/>
      <c r="AC33" s="261">
        <f>ROUND(SUM(D33:Z33),1)</f>
        <v>8.4</v>
      </c>
      <c r="AD33" s="261"/>
      <c r="AE33" s="250"/>
      <c r="AF33" s="2131">
        <f>'Exhibit G state'!AH32</f>
        <v>166.7</v>
      </c>
      <c r="AG33" s="515"/>
      <c r="AH33" s="249"/>
      <c r="AI33" s="1171">
        <f>ROUND(SUM(+AC33-AF33),1)</f>
        <v>-158.30000000000001</v>
      </c>
      <c r="AJ33" s="248"/>
      <c r="AK33" s="1864">
        <f>ROUND(IF(AF33=0,0,AI33/ABS(AF33)),3)</f>
        <v>-0.95</v>
      </c>
    </row>
    <row r="34" spans="1:37" ht="15" customHeight="1">
      <c r="A34" s="223"/>
      <c r="B34" s="2118" t="s">
        <v>1391</v>
      </c>
      <c r="C34" s="223"/>
      <c r="D34" s="261">
        <f>'Exhibit G state'!D33</f>
        <v>40.6</v>
      </c>
      <c r="E34" s="261"/>
      <c r="F34" s="261">
        <f>'Exhibit G state'!F33</f>
        <v>39.9</v>
      </c>
      <c r="G34" s="261"/>
      <c r="H34" s="261">
        <f>'Exhibit G state'!H33</f>
        <v>40.799999999999997</v>
      </c>
      <c r="J34" s="261">
        <f>'Exhibit G state'!J33</f>
        <v>42.9</v>
      </c>
      <c r="K34" s="261"/>
      <c r="L34" s="261">
        <f>'Exhibit G state'!L33</f>
        <v>46.3</v>
      </c>
      <c r="M34" s="261"/>
      <c r="N34" s="261">
        <f>'Exhibit G state'!N33</f>
        <v>42.2</v>
      </c>
      <c r="O34" s="261"/>
      <c r="P34" s="261">
        <f>'Exhibit G state'!P33</f>
        <v>43.1</v>
      </c>
      <c r="Q34" s="261"/>
      <c r="R34" s="261">
        <f>'Exhibit G state'!R33</f>
        <v>40.700000000000003</v>
      </c>
      <c r="S34" s="261"/>
      <c r="T34" s="261">
        <f>'Exhibit G state'!T33</f>
        <v>40.1</v>
      </c>
      <c r="U34" s="261"/>
      <c r="V34" s="261"/>
      <c r="W34" s="261"/>
      <c r="X34" s="261"/>
      <c r="Y34" s="261"/>
      <c r="Z34" s="261"/>
      <c r="AA34" s="261"/>
      <c r="AB34" s="250"/>
      <c r="AC34" s="261">
        <f>ROUND(SUM(D34:Z34),1)</f>
        <v>376.6</v>
      </c>
      <c r="AD34" s="261"/>
      <c r="AE34" s="250"/>
      <c r="AF34" s="2131">
        <f>'Exhibit G state'!AH33</f>
        <v>392.3</v>
      </c>
      <c r="AG34" s="515"/>
      <c r="AH34" s="249"/>
      <c r="AI34" s="1171">
        <f>ROUND(SUM(+AC34-AF34),1)</f>
        <v>-15.7</v>
      </c>
      <c r="AJ34" s="248"/>
      <c r="AK34" s="1864">
        <f>ROUND(IF(AF34=0,0,AI34/ABS(AF34)),3)</f>
        <v>-0.04</v>
      </c>
    </row>
    <row r="35" spans="1:37" s="413" customFormat="1" ht="15" customHeight="1">
      <c r="A35" s="221"/>
      <c r="B35" s="2119" t="s">
        <v>1584</v>
      </c>
      <c r="C35" s="221"/>
      <c r="D35" s="256">
        <f>ROUND(SUM(D30:D34),1)</f>
        <v>60.3</v>
      </c>
      <c r="E35" s="1886"/>
      <c r="F35" s="256">
        <f>ROUND(SUM(F30:F34),1)</f>
        <v>43.7</v>
      </c>
      <c r="G35" s="1886"/>
      <c r="H35" s="256">
        <f>ROUND(SUM(H30:H34),1)</f>
        <v>241.7</v>
      </c>
      <c r="I35"/>
      <c r="J35" s="256">
        <f>ROUND(SUM(J30:J34),1)</f>
        <v>71</v>
      </c>
      <c r="K35" s="1886"/>
      <c r="L35" s="256">
        <f>ROUND(SUM(L30:L34),1)</f>
        <v>80.7</v>
      </c>
      <c r="M35" s="1886"/>
      <c r="N35" s="256">
        <f>ROUND(SUM(N30:N34),1)</f>
        <v>202</v>
      </c>
      <c r="O35" s="1886"/>
      <c r="P35" s="256">
        <f>ROUND(SUM(P30:P34),1)</f>
        <v>71.3</v>
      </c>
      <c r="Q35" s="1886"/>
      <c r="R35" s="256">
        <f>ROUND(SUM(R30:R34),1)</f>
        <v>75.2</v>
      </c>
      <c r="S35" s="1886"/>
      <c r="T35" s="256">
        <f>ROUND(SUM(T30:T34),1)</f>
        <v>230.7</v>
      </c>
      <c r="U35" s="1886"/>
      <c r="V35" s="256">
        <f>ROUND(SUM(V30:V34),1)</f>
        <v>0</v>
      </c>
      <c r="W35" s="1886"/>
      <c r="X35" s="256">
        <f>ROUND(SUM(X30:X34),1)</f>
        <v>0</v>
      </c>
      <c r="Y35" s="1886"/>
      <c r="Z35" s="256">
        <f>ROUND(SUM(Z30:Z34),1)</f>
        <v>0</v>
      </c>
      <c r="AA35" s="1886"/>
      <c r="AB35" s="259"/>
      <c r="AC35" s="256">
        <f>ROUND(SUM(AC30:AC34),1)</f>
        <v>1076.5999999999999</v>
      </c>
      <c r="AD35" s="1886"/>
      <c r="AE35" s="259"/>
      <c r="AF35" s="256">
        <f>ROUND(SUM(AF30:AF34),1)</f>
        <v>1062</v>
      </c>
      <c r="AG35" s="522"/>
      <c r="AH35" s="273"/>
      <c r="AI35" s="256">
        <f>ROUND(SUM(AI30:AI34),1)</f>
        <v>14.6</v>
      </c>
      <c r="AK35" s="528">
        <f>ROUND(SUM(+AI35/AF35),3)</f>
        <v>1.4E-2</v>
      </c>
    </row>
    <row r="36" spans="1:37" ht="15" customHeight="1">
      <c r="A36" s="223"/>
      <c r="B36" s="2385" t="s">
        <v>1432</v>
      </c>
      <c r="C36" s="223"/>
      <c r="D36" s="261"/>
      <c r="E36" s="261"/>
      <c r="F36" s="261"/>
      <c r="G36" s="261"/>
      <c r="H36" s="261"/>
      <c r="J36" s="261"/>
      <c r="K36" s="261"/>
      <c r="L36" s="261"/>
      <c r="M36" s="261"/>
      <c r="N36" s="261"/>
      <c r="O36" s="261"/>
      <c r="P36" s="261"/>
      <c r="Q36" s="261"/>
      <c r="R36" s="261"/>
      <c r="S36" s="261"/>
      <c r="T36" s="261"/>
      <c r="U36" s="261"/>
      <c r="V36" s="261"/>
      <c r="W36" s="261"/>
      <c r="X36" s="261"/>
      <c r="Y36" s="261"/>
      <c r="Z36" s="261"/>
      <c r="AA36" s="261"/>
      <c r="AB36" s="250"/>
      <c r="AC36" s="261"/>
      <c r="AD36" s="261"/>
      <c r="AE36" s="250"/>
      <c r="AF36" s="261"/>
      <c r="AG36" s="515"/>
      <c r="AH36" s="249"/>
      <c r="AI36" s="1171"/>
      <c r="AK36" s="1932"/>
    </row>
    <row r="37" spans="1:37" ht="15" customHeight="1">
      <c r="A37" s="223"/>
      <c r="B37" s="2120" t="s">
        <v>1399</v>
      </c>
      <c r="C37" s="223"/>
      <c r="D37" s="261">
        <f>'Exhibit G state'!D36</f>
        <v>132.6</v>
      </c>
      <c r="E37" s="261"/>
      <c r="F37" s="261">
        <f>'Exhibit G state'!F36</f>
        <v>87.3</v>
      </c>
      <c r="G37" s="261"/>
      <c r="H37" s="261">
        <f>'Exhibit G state'!H36</f>
        <v>95.8</v>
      </c>
      <c r="J37" s="261">
        <f>'Exhibit G state'!J36</f>
        <v>95.7</v>
      </c>
      <c r="K37" s="261"/>
      <c r="L37" s="261">
        <f>'Exhibit G state'!L36</f>
        <v>85.1</v>
      </c>
      <c r="M37" s="261">
        <f>'Exhibit G state'!M36</f>
        <v>0</v>
      </c>
      <c r="N37" s="261">
        <f>'Exhibit G state'!N36</f>
        <v>99.6</v>
      </c>
      <c r="O37" s="261"/>
      <c r="P37" s="261">
        <f>'Exhibit G state'!P36</f>
        <v>87.2</v>
      </c>
      <c r="Q37" s="261"/>
      <c r="R37" s="261">
        <f>'Exhibit G state'!R36</f>
        <v>94.8</v>
      </c>
      <c r="S37" s="261"/>
      <c r="T37" s="261">
        <f>'Exhibit G state'!T36</f>
        <v>111.4</v>
      </c>
      <c r="U37" s="261"/>
      <c r="V37" s="261"/>
      <c r="W37" s="261"/>
      <c r="X37" s="261"/>
      <c r="Y37" s="261"/>
      <c r="Z37" s="261"/>
      <c r="AA37" s="261"/>
      <c r="AB37" s="250"/>
      <c r="AC37" s="261">
        <f>ROUND(SUM(D37:Z37),1)</f>
        <v>889.5</v>
      </c>
      <c r="AD37" s="261"/>
      <c r="AE37" s="250"/>
      <c r="AF37" s="2131">
        <f>'Exhibit G state'!AH36</f>
        <v>867.7</v>
      </c>
      <c r="AG37" s="515"/>
      <c r="AH37" s="249"/>
      <c r="AI37" s="1171">
        <f>ROUND(SUM(+AC37-AF37),1)</f>
        <v>21.8</v>
      </c>
      <c r="AJ37" s="248"/>
      <c r="AK37" s="1864">
        <f>ROUND(IF(AF37=0,0,AI37/ABS(AF37)),3)</f>
        <v>2.5000000000000001E-2</v>
      </c>
    </row>
    <row r="38" spans="1:37" s="413" customFormat="1" ht="15" customHeight="1">
      <c r="A38" s="221"/>
      <c r="B38" s="2119" t="s">
        <v>1585</v>
      </c>
      <c r="C38" s="221"/>
      <c r="D38" s="484">
        <f>ROUND(SUM(D37:D37),1)</f>
        <v>132.6</v>
      </c>
      <c r="E38" s="1886"/>
      <c r="F38" s="484">
        <f>ROUND(SUM(F37:F37),1)</f>
        <v>87.3</v>
      </c>
      <c r="G38" s="1886"/>
      <c r="H38" s="484">
        <f>ROUND(SUM(H37:H37),1)</f>
        <v>95.8</v>
      </c>
      <c r="I38"/>
      <c r="J38" s="484">
        <f>ROUND(SUM(J37:J37),1)</f>
        <v>95.7</v>
      </c>
      <c r="K38" s="1886"/>
      <c r="L38" s="484">
        <f>ROUND(SUM(L37:L37),1)</f>
        <v>85.1</v>
      </c>
      <c r="M38" s="484">
        <f>ROUND(SUM(M37:M37),1)</f>
        <v>0</v>
      </c>
      <c r="N38" s="484">
        <f>ROUND(SUM(N37:N37),1)</f>
        <v>99.6</v>
      </c>
      <c r="O38" s="1886"/>
      <c r="P38" s="484">
        <f>ROUND(SUM(P37:P37),1)</f>
        <v>87.2</v>
      </c>
      <c r="Q38" s="1886"/>
      <c r="R38" s="484">
        <f>ROUND(SUM(R37:R37),1)</f>
        <v>94.8</v>
      </c>
      <c r="S38" s="1886"/>
      <c r="T38" s="484">
        <f>ROUND(SUM(T37:T37),1)</f>
        <v>111.4</v>
      </c>
      <c r="U38" s="1886"/>
      <c r="V38" s="484">
        <f>ROUND(SUM(V37:V37),1)</f>
        <v>0</v>
      </c>
      <c r="W38" s="1886"/>
      <c r="X38" s="484">
        <f>ROUND(SUM(X37:X37),1)</f>
        <v>0</v>
      </c>
      <c r="Y38" s="1886"/>
      <c r="Z38" s="484">
        <f>ROUND(SUM(Z37:Z37),1)</f>
        <v>0</v>
      </c>
      <c r="AA38" s="1886"/>
      <c r="AB38" s="259"/>
      <c r="AC38" s="484">
        <f>ROUND(SUM(AC37:AC37),1)</f>
        <v>889.5</v>
      </c>
      <c r="AD38" s="1886"/>
      <c r="AE38" s="259"/>
      <c r="AF38" s="484">
        <f>ROUND(SUM(AF37:AF37),1)</f>
        <v>867.7</v>
      </c>
      <c r="AG38" s="522"/>
      <c r="AH38" s="273"/>
      <c r="AI38" s="484">
        <f>ROUND(SUM(AI37:AI37),1)</f>
        <v>21.8</v>
      </c>
      <c r="AK38" s="2102">
        <f>ROUND(SUM(+AI38/AF38),3)</f>
        <v>2.5000000000000001E-2</v>
      </c>
    </row>
    <row r="39" spans="1:37" ht="15" customHeight="1">
      <c r="A39" s="223"/>
      <c r="B39" s="2133"/>
      <c r="C39" s="223"/>
      <c r="D39" s="249"/>
      <c r="E39" s="261"/>
      <c r="F39" s="249"/>
      <c r="G39" s="249"/>
      <c r="H39" s="249"/>
      <c r="J39" s="249"/>
      <c r="K39" s="249"/>
      <c r="L39" s="249"/>
      <c r="M39" s="249"/>
      <c r="N39" s="249"/>
      <c r="O39" s="249"/>
      <c r="P39" s="249"/>
      <c r="Q39" s="249"/>
      <c r="R39" s="249"/>
      <c r="S39" s="249"/>
      <c r="T39" s="249"/>
      <c r="U39" s="249"/>
      <c r="V39" s="249"/>
      <c r="W39" s="249"/>
      <c r="X39" s="249"/>
      <c r="Y39" s="249"/>
      <c r="Z39" s="249"/>
      <c r="AA39" s="261"/>
      <c r="AB39" s="250"/>
      <c r="AC39" s="249"/>
      <c r="AD39" s="261"/>
      <c r="AE39" s="250"/>
      <c r="AF39" s="249"/>
      <c r="AG39" s="515"/>
      <c r="AH39" s="249"/>
      <c r="AI39" s="1908"/>
      <c r="AJ39" s="229"/>
      <c r="AK39" s="1268"/>
    </row>
    <row r="40" spans="1:37" ht="15" customHeight="1">
      <c r="A40" s="223"/>
      <c r="B40" s="2119" t="s">
        <v>1586</v>
      </c>
      <c r="C40" s="223"/>
      <c r="D40" s="2353">
        <f>ROUND(SUM(D18+D28+D35+D38),1)</f>
        <v>399.6</v>
      </c>
      <c r="E40" s="261"/>
      <c r="F40" s="271">
        <f>ROUND(SUM(F18+F28+F35+F38),1)</f>
        <v>277.8</v>
      </c>
      <c r="G40" s="261"/>
      <c r="H40" s="271">
        <f>ROUND(SUM(H18+H28+H35+H38),1)</f>
        <v>964.1</v>
      </c>
      <c r="J40" s="271">
        <f>ROUND(SUM(J18+J28+J35+J38),1)</f>
        <v>351</v>
      </c>
      <c r="K40" s="261"/>
      <c r="L40" s="271">
        <f>ROUND(SUM(L18+L28+L35+L38),1)</f>
        <v>318.8</v>
      </c>
      <c r="M40" s="261"/>
      <c r="N40" s="271">
        <f>ROUND(SUM(N18+N28+N35+N38),1)</f>
        <v>696.7</v>
      </c>
      <c r="O40" s="261"/>
      <c r="P40" s="271">
        <f>ROUND(SUM(P18+P28+P35+P38),1)</f>
        <v>323.89999999999998</v>
      </c>
      <c r="Q40" s="261"/>
      <c r="R40" s="271">
        <f>ROUND(SUM(R18+R28+R35+R38),1)</f>
        <v>342.7</v>
      </c>
      <c r="S40" s="261"/>
      <c r="T40" s="271">
        <f>ROUND(SUM(T18+T28+T35+T38),1)</f>
        <v>648.5</v>
      </c>
      <c r="U40" s="261"/>
      <c r="V40" s="271">
        <f>ROUND(SUM(V18+V28+V35+V38),1)</f>
        <v>0</v>
      </c>
      <c r="W40" s="261"/>
      <c r="X40" s="271">
        <f>ROUND(SUM(X18+X28+X35+X38),1)</f>
        <v>0</v>
      </c>
      <c r="Y40" s="261"/>
      <c r="Z40" s="271">
        <f>ROUND(SUM(Z18+Z28+Z35+Z38),1)</f>
        <v>0</v>
      </c>
      <c r="AA40" s="261"/>
      <c r="AB40" s="250"/>
      <c r="AC40" s="271">
        <f>ROUND(SUM(AC18+AC28+AC35+AC38),1)</f>
        <v>4323.1000000000004</v>
      </c>
      <c r="AD40" s="261"/>
      <c r="AE40" s="250"/>
      <c r="AF40" s="271">
        <f>ROUND(SUM(AF18+AF28+AF35+AF38),1)</f>
        <v>4324.3999999999996</v>
      </c>
      <c r="AG40" s="515"/>
      <c r="AH40" s="249"/>
      <c r="AI40" s="271">
        <f>ROUND(SUM(AI18+AI28+AI35+AI38),1)</f>
        <v>-1.3</v>
      </c>
      <c r="AK40" s="525">
        <f>ROUND(SUM(+AI40/AF40),3)</f>
        <v>0</v>
      </c>
    </row>
    <row r="41" spans="1:37" ht="15" customHeight="1">
      <c r="A41" s="223"/>
      <c r="B41" s="223"/>
      <c r="C41" s="223"/>
      <c r="D41" s="1327"/>
      <c r="E41" s="261"/>
      <c r="F41" s="1327"/>
      <c r="G41" s="261"/>
      <c r="H41" s="1327"/>
      <c r="J41" s="1327"/>
      <c r="K41" s="261"/>
      <c r="L41" s="1327"/>
      <c r="M41" s="261"/>
      <c r="N41" s="274"/>
      <c r="O41" s="261"/>
      <c r="P41" s="274"/>
      <c r="Q41" s="261"/>
      <c r="R41" s="274"/>
      <c r="S41" s="261"/>
      <c r="T41" s="274"/>
      <c r="U41" s="261"/>
      <c r="V41" s="274"/>
      <c r="W41" s="261"/>
      <c r="X41" s="274"/>
      <c r="Y41" s="261"/>
      <c r="Z41" s="518"/>
      <c r="AA41" s="261"/>
      <c r="AB41" s="250"/>
      <c r="AC41" s="261"/>
      <c r="AD41" s="261"/>
      <c r="AE41" s="250"/>
      <c r="AF41" s="516"/>
      <c r="AG41" s="519"/>
      <c r="AH41" s="249"/>
      <c r="AI41" s="1171"/>
      <c r="AJ41" s="248"/>
      <c r="AK41" s="1932"/>
    </row>
    <row r="42" spans="1:37" ht="15" customHeight="1">
      <c r="A42" s="223"/>
      <c r="B42" s="490" t="s">
        <v>1294</v>
      </c>
      <c r="C42" s="223"/>
      <c r="D42" s="1327"/>
      <c r="E42" s="261"/>
      <c r="F42" s="1327"/>
      <c r="G42" s="261"/>
      <c r="H42" s="1327"/>
      <c r="J42" s="1327"/>
      <c r="K42" s="261"/>
      <c r="L42" s="1327"/>
      <c r="M42" s="261"/>
      <c r="N42" s="274"/>
      <c r="O42" s="261"/>
      <c r="P42" s="274"/>
      <c r="Q42" s="261"/>
      <c r="R42" s="274"/>
      <c r="S42" s="261"/>
      <c r="T42" s="274"/>
      <c r="U42" s="261"/>
      <c r="V42" s="274"/>
      <c r="W42" s="261"/>
      <c r="X42" s="274"/>
      <c r="Y42" s="261"/>
      <c r="Z42" s="518"/>
      <c r="AA42" s="261"/>
      <c r="AB42" s="250"/>
      <c r="AC42" s="261"/>
      <c r="AD42" s="261"/>
      <c r="AE42" s="250"/>
      <c r="AF42" s="516"/>
      <c r="AG42" s="519"/>
      <c r="AH42" s="249"/>
      <c r="AI42" s="1171"/>
      <c r="AJ42" s="248"/>
      <c r="AK42" s="1932"/>
    </row>
    <row r="43" spans="1:37" ht="15" customHeight="1">
      <c r="A43" s="223"/>
      <c r="B43" s="1830" t="s">
        <v>1422</v>
      </c>
      <c r="C43" s="223"/>
      <c r="D43" s="1327"/>
      <c r="E43" s="261"/>
      <c r="F43" s="1327"/>
      <c r="G43" s="261"/>
      <c r="H43" s="1327"/>
      <c r="J43" s="1327"/>
      <c r="K43" s="261"/>
      <c r="L43" s="1327"/>
      <c r="M43" s="261"/>
      <c r="N43" s="274"/>
      <c r="O43" s="261"/>
      <c r="P43" s="274"/>
      <c r="Q43" s="261"/>
      <c r="R43" s="274"/>
      <c r="S43" s="261"/>
      <c r="T43" s="274"/>
      <c r="U43" s="261"/>
      <c r="V43" s="274"/>
      <c r="W43" s="261"/>
      <c r="X43" s="274"/>
      <c r="Y43" s="261"/>
      <c r="Z43" s="518"/>
      <c r="AA43" s="261"/>
      <c r="AB43" s="250"/>
      <c r="AC43" s="261"/>
      <c r="AD43" s="261"/>
      <c r="AE43" s="250"/>
      <c r="AF43" s="516"/>
      <c r="AG43" s="519"/>
      <c r="AH43" s="249"/>
      <c r="AI43" s="1171"/>
      <c r="AJ43" s="248"/>
      <c r="AK43" s="1932"/>
    </row>
    <row r="44" spans="1:37" ht="15" customHeight="1">
      <c r="A44" s="223"/>
      <c r="B44" s="1830" t="s">
        <v>1327</v>
      </c>
      <c r="C44" s="223"/>
      <c r="D44" s="1327">
        <f>'Exhibit G state'!D43+'Exhibit G Federal'!D19</f>
        <v>0.8</v>
      </c>
      <c r="E44" s="261"/>
      <c r="F44" s="1327">
        <f>'Exhibit G state'!F43+'Exhibit G Federal'!F19</f>
        <v>0.6</v>
      </c>
      <c r="G44" s="261"/>
      <c r="H44" s="1327">
        <f>'Exhibit G state'!H43+'Exhibit G Federal'!H19</f>
        <v>0.9</v>
      </c>
      <c r="J44" s="1327">
        <f>'Exhibit G state'!J43+'Exhibit G Federal'!J19</f>
        <v>1.1000000000000001</v>
      </c>
      <c r="K44" s="1327">
        <f>'Exhibit G state'!K43+'Exhibit G Federal'!K19</f>
        <v>0</v>
      </c>
      <c r="L44" s="1327">
        <f>'Exhibit G state'!L43+'Exhibit G Federal'!L19</f>
        <v>0.9</v>
      </c>
      <c r="M44" s="1327"/>
      <c r="N44" s="1327">
        <f>'Exhibit G state'!N43+'Exhibit G Federal'!N19</f>
        <v>1</v>
      </c>
      <c r="O44" s="1327"/>
      <c r="P44" s="1327">
        <f>'Exhibit G state'!P43+'Exhibit G Federal'!P19</f>
        <v>0.8</v>
      </c>
      <c r="Q44" s="1327"/>
      <c r="R44" s="1327">
        <f>'Exhibit G state'!R43+'Exhibit G Federal'!R19</f>
        <v>0.8</v>
      </c>
      <c r="S44" s="2131"/>
      <c r="T44" s="2131">
        <f>'Exhibit G state'!T43+'Exhibit G Federal'!T19</f>
        <v>1.2</v>
      </c>
      <c r="U44" s="261"/>
      <c r="V44" s="2131"/>
      <c r="W44" s="261"/>
      <c r="X44" s="2131"/>
      <c r="Y44" s="261"/>
      <c r="Z44" s="2131"/>
      <c r="AA44" s="261"/>
      <c r="AB44" s="250"/>
      <c r="AC44" s="261">
        <f t="shared" ref="AC44:AC84" si="3">ROUND(SUM(D44:Z44),1)</f>
        <v>8.1</v>
      </c>
      <c r="AD44" s="261"/>
      <c r="AE44" s="250"/>
      <c r="AF44" s="516">
        <f>+'Exhibit G state'!AH43+'Exhibit G Federal'!AH19</f>
        <v>8.4</v>
      </c>
      <c r="AG44" s="519"/>
      <c r="AH44" s="249"/>
      <c r="AI44" s="1171">
        <f>ROUND(SUM(+AC44-AF44),1)</f>
        <v>-0.3</v>
      </c>
      <c r="AJ44" s="248"/>
      <c r="AK44" s="1864">
        <f>ROUND(IF(AF44=0,0,AI44/ABS(AF44)),3)</f>
        <v>-3.5999999999999997E-2</v>
      </c>
    </row>
    <row r="45" spans="1:37" ht="15" customHeight="1">
      <c r="A45" s="223"/>
      <c r="B45" s="1830" t="s">
        <v>1423</v>
      </c>
      <c r="C45" s="223"/>
      <c r="D45" s="1351"/>
      <c r="E45" s="261"/>
      <c r="F45" s="1351"/>
      <c r="G45" s="261"/>
      <c r="H45" s="1351"/>
      <c r="J45" s="1327"/>
      <c r="K45" s="261"/>
      <c r="L45" s="1327"/>
      <c r="M45" s="261"/>
      <c r="N45" s="1351"/>
      <c r="O45" s="261"/>
      <c r="P45" s="1327"/>
      <c r="Q45" s="261"/>
      <c r="R45" s="274"/>
      <c r="S45" s="261"/>
      <c r="T45" s="274"/>
      <c r="U45" s="261"/>
      <c r="V45" s="274"/>
      <c r="W45" s="261"/>
      <c r="X45" s="2131"/>
      <c r="Y45" s="261"/>
      <c r="Z45" s="2131"/>
      <c r="AA45" s="261"/>
      <c r="AB45" s="250"/>
      <c r="AC45" s="261"/>
      <c r="AD45" s="261"/>
      <c r="AE45" s="250"/>
      <c r="AF45" s="516"/>
      <c r="AG45" s="519"/>
      <c r="AH45" s="249"/>
      <c r="AI45" s="1171"/>
      <c r="AJ45" s="248"/>
      <c r="AK45" s="1932"/>
    </row>
    <row r="46" spans="1:37" ht="15" customHeight="1">
      <c r="A46" s="223"/>
      <c r="B46" s="1830" t="s">
        <v>1329</v>
      </c>
      <c r="C46" s="223"/>
      <c r="D46" s="1351">
        <f>'Exhibit G state'!D45+'Exhibit G Federal'!D21</f>
        <v>79.3</v>
      </c>
      <c r="E46" s="261"/>
      <c r="F46" s="1351">
        <f>'Exhibit G state'!F45+'Exhibit G Federal'!F21</f>
        <v>52.2</v>
      </c>
      <c r="G46" s="261"/>
      <c r="H46" s="1351">
        <f>'Exhibit G state'!H45+'Exhibit G Federal'!H21</f>
        <v>92.1</v>
      </c>
      <c r="J46" s="1327">
        <f>'Exhibit G state'!J45+'Exhibit G Federal'!J21</f>
        <v>25.2</v>
      </c>
      <c r="K46" s="1327"/>
      <c r="L46" s="1327">
        <f>'Exhibit G state'!L45+'Exhibit G Federal'!L21</f>
        <v>33.9</v>
      </c>
      <c r="M46" s="1327"/>
      <c r="N46" s="1327">
        <f>'Exhibit G state'!N45+'Exhibit G Federal'!N21</f>
        <v>133.79999999999998</v>
      </c>
      <c r="O46" s="1327"/>
      <c r="P46" s="1327">
        <f>'Exhibit G state'!P45+'Exhibit G Federal'!P21</f>
        <v>15</v>
      </c>
      <c r="Q46" s="1327"/>
      <c r="R46" s="1327">
        <f>'Exhibit G state'!R45+'Exhibit G Federal'!R21</f>
        <v>36.1</v>
      </c>
      <c r="S46" s="2131"/>
      <c r="T46" s="2131">
        <f>'Exhibit G state'!T45+'Exhibit G Federal'!T21</f>
        <v>184.29999999999998</v>
      </c>
      <c r="U46" s="261"/>
      <c r="V46" s="2131"/>
      <c r="W46" s="261"/>
      <c r="X46" s="2131"/>
      <c r="Y46" s="261"/>
      <c r="Z46" s="2131"/>
      <c r="AA46" s="261"/>
      <c r="AB46" s="250"/>
      <c r="AC46" s="261">
        <f t="shared" si="3"/>
        <v>651.9</v>
      </c>
      <c r="AD46" s="261"/>
      <c r="AE46" s="250"/>
      <c r="AF46" s="516">
        <f>+'Exhibit G state'!AH45+'Exhibit G Federal'!AH21</f>
        <v>662.5</v>
      </c>
      <c r="AG46" s="519"/>
      <c r="AH46" s="249"/>
      <c r="AI46" s="1171">
        <f>ROUND(SUM(+AC46-AF46),1)</f>
        <v>-10.6</v>
      </c>
      <c r="AJ46" s="248"/>
      <c r="AK46" s="1864">
        <f>ROUND(IF(AF46=0,0,AI46/ABS(AF46)),3)</f>
        <v>-1.6E-2</v>
      </c>
    </row>
    <row r="47" spans="1:37" ht="15" customHeight="1">
      <c r="A47" s="223"/>
      <c r="B47" s="1830" t="s">
        <v>1330</v>
      </c>
      <c r="C47" s="223"/>
      <c r="D47" s="1351">
        <f>'Exhibit G state'!D46+'Exhibit G Federal'!D22</f>
        <v>371.1</v>
      </c>
      <c r="E47" s="261"/>
      <c r="F47" s="1351">
        <f>'Exhibit G state'!F46+'Exhibit G Federal'!F22</f>
        <v>425.4</v>
      </c>
      <c r="G47" s="261"/>
      <c r="H47" s="1351">
        <f>'Exhibit G state'!H46+'Exhibit G Federal'!H22</f>
        <v>489.3</v>
      </c>
      <c r="J47" s="1327">
        <f>'Exhibit G state'!J46+'Exhibit G Federal'!J22</f>
        <v>470.2</v>
      </c>
      <c r="K47" s="261"/>
      <c r="L47" s="1327">
        <f>'Exhibit G state'!L46+'Exhibit G Federal'!L22</f>
        <v>425.4</v>
      </c>
      <c r="M47" s="1327"/>
      <c r="N47" s="1327">
        <f>'Exhibit G state'!N46+'Exhibit G Federal'!N22</f>
        <v>417.2</v>
      </c>
      <c r="O47" s="1327"/>
      <c r="P47" s="1327">
        <f>'Exhibit G state'!P46+'Exhibit G Federal'!P22</f>
        <v>429.4</v>
      </c>
      <c r="Q47" s="1327"/>
      <c r="R47" s="1327">
        <f>'Exhibit G state'!R46+'Exhibit G Federal'!R22</f>
        <v>447.6</v>
      </c>
      <c r="S47" s="2131"/>
      <c r="T47" s="2131">
        <f>'Exhibit G state'!T46+'Exhibit G Federal'!T22</f>
        <v>396.5</v>
      </c>
      <c r="U47" s="261"/>
      <c r="V47" s="2131"/>
      <c r="W47" s="261"/>
      <c r="X47" s="2131"/>
      <c r="Y47" s="261"/>
      <c r="Z47" s="2131"/>
      <c r="AA47" s="261"/>
      <c r="AB47" s="250"/>
      <c r="AC47" s="1171">
        <f t="shared" si="3"/>
        <v>3872.1</v>
      </c>
      <c r="AD47" s="261"/>
      <c r="AE47" s="250"/>
      <c r="AF47" s="516">
        <f>+'Exhibit G state'!AH46+'Exhibit G Federal'!AH22</f>
        <v>3719.1</v>
      </c>
      <c r="AG47" s="519"/>
      <c r="AH47" s="249"/>
      <c r="AI47" s="1171">
        <f>ROUND(SUM(+AC47-AF47),1)</f>
        <v>153</v>
      </c>
      <c r="AJ47" s="248"/>
      <c r="AK47" s="1864">
        <f>ROUND(IF(AF47=0,0,AI47/ABS(AF47)),3)</f>
        <v>4.1000000000000002E-2</v>
      </c>
    </row>
    <row r="48" spans="1:37" ht="15" customHeight="1">
      <c r="A48" s="223"/>
      <c r="B48" s="1830" t="s">
        <v>1331</v>
      </c>
      <c r="C48" s="223"/>
      <c r="D48" s="1351">
        <f>'Exhibit G state'!D47+'Exhibit G Federal'!D23</f>
        <v>0.7</v>
      </c>
      <c r="E48" s="261"/>
      <c r="F48" s="1351">
        <f>'Exhibit G state'!F47+'Exhibit G Federal'!F23</f>
        <v>-0.1</v>
      </c>
      <c r="G48" s="261"/>
      <c r="H48" s="1351">
        <f>'Exhibit G state'!H47+'Exhibit G Federal'!H23</f>
        <v>0.3</v>
      </c>
      <c r="J48" s="1327">
        <f>'Exhibit G state'!J47+'Exhibit G Federal'!J23</f>
        <v>0</v>
      </c>
      <c r="K48" s="261"/>
      <c r="L48" s="1327">
        <f>'Exhibit G state'!L47+'Exhibit G Federal'!L23</f>
        <v>0.6</v>
      </c>
      <c r="M48" s="1327"/>
      <c r="N48" s="1327">
        <f>'Exhibit G state'!N47+'Exhibit G Federal'!N23</f>
        <v>40.6</v>
      </c>
      <c r="O48" s="1327"/>
      <c r="P48" s="1327">
        <f>'Exhibit G state'!P47+'Exhibit G Federal'!P23</f>
        <v>-10.8</v>
      </c>
      <c r="Q48" s="1327"/>
      <c r="R48" s="1327">
        <f>'Exhibit G state'!R47+'Exhibit G Federal'!R23</f>
        <v>-3.5</v>
      </c>
      <c r="S48" s="2131"/>
      <c r="T48" s="2131">
        <f>'Exhibit G state'!T47+'Exhibit G Federal'!T23</f>
        <v>-1.2</v>
      </c>
      <c r="U48" s="261"/>
      <c r="V48" s="2131"/>
      <c r="W48" s="261"/>
      <c r="X48" s="2131"/>
      <c r="Y48" s="261"/>
      <c r="Z48" s="2131"/>
      <c r="AA48" s="261"/>
      <c r="AB48" s="250"/>
      <c r="AC48" s="261">
        <f t="shared" si="3"/>
        <v>26.6</v>
      </c>
      <c r="AD48" s="261"/>
      <c r="AE48" s="250"/>
      <c r="AF48" s="516">
        <f>+'Exhibit G state'!AH47+'Exhibit G Federal'!AH23</f>
        <v>46.2</v>
      </c>
      <c r="AG48" s="519"/>
      <c r="AH48" s="249"/>
      <c r="AI48" s="1171">
        <f>ROUND(SUM(+AC48-AF48),1)</f>
        <v>-19.600000000000001</v>
      </c>
      <c r="AJ48" s="248"/>
      <c r="AK48" s="1864">
        <f>ROUND(IF(AF48=0,0,AI48/ABS(AF48)),3)</f>
        <v>-0.42399999999999999</v>
      </c>
    </row>
    <row r="49" spans="1:37" ht="15" customHeight="1">
      <c r="A49" s="223"/>
      <c r="B49" s="1830" t="s">
        <v>1332</v>
      </c>
      <c r="C49" s="223"/>
      <c r="D49" s="1351">
        <f>'Exhibit G state'!D48+'Exhibit G Federal'!D24</f>
        <v>18.2</v>
      </c>
      <c r="E49" s="261"/>
      <c r="F49" s="1351">
        <f>'Exhibit G state'!F48+'Exhibit G Federal'!F24</f>
        <v>19.3</v>
      </c>
      <c r="G49" s="261"/>
      <c r="H49" s="1351">
        <f>'Exhibit G state'!H48+'Exhibit G Federal'!H24</f>
        <v>17.899999999999999</v>
      </c>
      <c r="J49" s="1327">
        <f>'Exhibit G state'!J48+'Exhibit G Federal'!J24</f>
        <v>19</v>
      </c>
      <c r="K49" s="261"/>
      <c r="L49" s="1327">
        <f>'Exhibit G state'!L48+'Exhibit G Federal'!L24</f>
        <v>18.8</v>
      </c>
      <c r="M49" s="1327"/>
      <c r="N49" s="1327">
        <f>'Exhibit G state'!N48+'Exhibit G Federal'!N24</f>
        <v>17.899999999999999</v>
      </c>
      <c r="O49" s="1327"/>
      <c r="P49" s="1327">
        <f>'Exhibit G state'!P48+'Exhibit G Federal'!P24</f>
        <v>18.8</v>
      </c>
      <c r="Q49" s="1327"/>
      <c r="R49" s="1327">
        <f>'Exhibit G state'!R48+'Exhibit G Federal'!R24</f>
        <v>18</v>
      </c>
      <c r="S49" s="2131"/>
      <c r="T49" s="2131">
        <f>'Exhibit G state'!T48+'Exhibit G Federal'!T24</f>
        <v>18.2</v>
      </c>
      <c r="U49" s="261"/>
      <c r="V49" s="2131"/>
      <c r="W49" s="261"/>
      <c r="X49" s="2131"/>
      <c r="Y49" s="261"/>
      <c r="Z49" s="2131"/>
      <c r="AA49" s="261"/>
      <c r="AB49" s="250"/>
      <c r="AC49" s="261">
        <f t="shared" si="3"/>
        <v>166.1</v>
      </c>
      <c r="AD49" s="261"/>
      <c r="AE49" s="250"/>
      <c r="AF49" s="516">
        <f>+'Exhibit G state'!AH48+'Exhibit G Federal'!AH24</f>
        <v>154.69999999999999</v>
      </c>
      <c r="AG49" s="519"/>
      <c r="AH49" s="249"/>
      <c r="AI49" s="1171">
        <f>ROUND(SUM(+AC49-AF49),1)</f>
        <v>11.4</v>
      </c>
      <c r="AJ49" s="248"/>
      <c r="AK49" s="1864">
        <f>ROUND(IF(AF49=0,0,AI49/ABS(AF49)),3)</f>
        <v>7.3999999999999996E-2</v>
      </c>
    </row>
    <row r="50" spans="1:37" ht="15" customHeight="1">
      <c r="A50" s="223"/>
      <c r="B50" s="1830" t="s">
        <v>1428</v>
      </c>
      <c r="C50" s="223"/>
      <c r="D50" s="1351"/>
      <c r="E50" s="261"/>
      <c r="F50" s="1351"/>
      <c r="G50" s="261"/>
      <c r="H50" s="1351"/>
      <c r="J50" s="1327"/>
      <c r="K50" s="261"/>
      <c r="L50" s="1327"/>
      <c r="M50" s="261"/>
      <c r="N50" s="1351"/>
      <c r="O50" s="261"/>
      <c r="P50" s="1327"/>
      <c r="Q50" s="261"/>
      <c r="R50" s="1327"/>
      <c r="S50" s="261"/>
      <c r="T50" s="2131"/>
      <c r="U50" s="261"/>
      <c r="V50" s="2131"/>
      <c r="W50" s="261"/>
      <c r="X50" s="2131"/>
      <c r="Y50" s="261"/>
      <c r="Z50" s="2131"/>
      <c r="AA50" s="261"/>
      <c r="AB50" s="250"/>
      <c r="AC50" s="261"/>
      <c r="AD50" s="261"/>
      <c r="AE50" s="250"/>
      <c r="AF50" s="516"/>
      <c r="AG50" s="519"/>
      <c r="AH50" s="249"/>
      <c r="AI50" s="1171"/>
      <c r="AJ50" s="248"/>
      <c r="AK50" s="1932"/>
    </row>
    <row r="51" spans="1:37" ht="15" customHeight="1">
      <c r="A51" s="223"/>
      <c r="B51" s="1830" t="s">
        <v>1674</v>
      </c>
      <c r="C51" s="223"/>
      <c r="D51" s="1351">
        <f>'Exhibit G state'!D50</f>
        <v>0</v>
      </c>
      <c r="E51" s="261"/>
      <c r="F51" s="1351">
        <f>'Exhibit G state'!F50</f>
        <v>0</v>
      </c>
      <c r="G51" s="261"/>
      <c r="H51" s="1351">
        <f>'Exhibit G state'!H50</f>
        <v>0</v>
      </c>
      <c r="J51" s="1327">
        <f>'Exhibit G state'!J50</f>
        <v>0</v>
      </c>
      <c r="K51" s="261"/>
      <c r="L51" s="1327">
        <f>'Exhibit G state'!L50</f>
        <v>0</v>
      </c>
      <c r="M51" s="261"/>
      <c r="N51" s="1351">
        <f>'Exhibit G state'!N50</f>
        <v>0</v>
      </c>
      <c r="O51" s="261"/>
      <c r="P51" s="1327">
        <f>'Exhibit G state'!P50</f>
        <v>0</v>
      </c>
      <c r="Q51" s="261"/>
      <c r="R51" s="1327">
        <f>'Exhibit G state'!R50</f>
        <v>0</v>
      </c>
      <c r="S51" s="2131"/>
      <c r="T51" s="2131">
        <f>'Exhibit G state'!T50</f>
        <v>2.1</v>
      </c>
      <c r="U51" s="261"/>
      <c r="V51" s="2131"/>
      <c r="W51" s="261"/>
      <c r="X51" s="2131"/>
      <c r="Y51" s="261"/>
      <c r="Z51" s="2131"/>
      <c r="AA51" s="261"/>
      <c r="AB51" s="250"/>
      <c r="AC51" s="261">
        <f>ROUND(SUM(D51:Z51),1)</f>
        <v>2.1</v>
      </c>
      <c r="AD51" s="261"/>
      <c r="AE51" s="250"/>
      <c r="AF51" s="516">
        <f>+'Exhibit G state'!AH50</f>
        <v>0</v>
      </c>
      <c r="AG51" s="519"/>
      <c r="AH51" s="249"/>
      <c r="AI51" s="3151">
        <f>ROUND(SUM(+AC51-AF51),1)</f>
        <v>2.1</v>
      </c>
      <c r="AJ51" s="248"/>
      <c r="AK51" s="3533">
        <f>ROUND(IF(AF51=0,1,AI51/ABS(AF51)),3)</f>
        <v>1</v>
      </c>
    </row>
    <row r="52" spans="1:37" ht="15" customHeight="1">
      <c r="A52" s="223"/>
      <c r="B52" s="1830" t="s">
        <v>1333</v>
      </c>
      <c r="C52" s="223"/>
      <c r="D52" s="1351">
        <f>'Exhibit G state'!D51+'Exhibit G Federal'!D26</f>
        <v>70.5</v>
      </c>
      <c r="E52" s="261"/>
      <c r="F52" s="1351">
        <f>'Exhibit G state'!F51+'Exhibit G Federal'!F26</f>
        <v>53.4</v>
      </c>
      <c r="G52" s="261"/>
      <c r="H52" s="1351">
        <f>'Exhibit G state'!H51+'Exhibit G Federal'!H26</f>
        <v>94.4</v>
      </c>
      <c r="I52" s="1351">
        <f>'Exhibit G state'!I51+'Exhibit G Federal'!I26</f>
        <v>0</v>
      </c>
      <c r="J52" s="1351">
        <f>'Exhibit G state'!J51+'Exhibit G Federal'!J26</f>
        <v>47.7</v>
      </c>
      <c r="K52" s="1327"/>
      <c r="L52" s="1327">
        <f>'Exhibit G state'!L51+'Exhibit G Federal'!L26</f>
        <v>76.099999999999994</v>
      </c>
      <c r="M52" s="1327"/>
      <c r="N52" s="1327">
        <f>'Exhibit G state'!N51+'Exhibit G Federal'!N26</f>
        <v>156.9</v>
      </c>
      <c r="O52" s="1327"/>
      <c r="P52" s="1327">
        <f>'Exhibit G state'!P51+'Exhibit G Federal'!P26</f>
        <v>89.4</v>
      </c>
      <c r="Q52" s="1327"/>
      <c r="R52" s="1327">
        <f>'Exhibit G state'!R51+'Exhibit G Federal'!R26</f>
        <v>75.099999999999994</v>
      </c>
      <c r="S52" s="2131"/>
      <c r="T52" s="2131">
        <f>'Exhibit G state'!T51+'Exhibit G Federal'!T26</f>
        <v>106.8</v>
      </c>
      <c r="U52" s="261"/>
      <c r="V52" s="2131"/>
      <c r="W52" s="261"/>
      <c r="X52" s="2131"/>
      <c r="Y52" s="261"/>
      <c r="Z52" s="2131"/>
      <c r="AA52" s="261"/>
      <c r="AB52" s="250"/>
      <c r="AC52" s="261">
        <f t="shared" si="3"/>
        <v>770.3</v>
      </c>
      <c r="AD52" s="261"/>
      <c r="AE52" s="250"/>
      <c r="AF52" s="516">
        <f>+'Exhibit G state'!AH51+'Exhibit G Federal'!AH26</f>
        <v>811.7</v>
      </c>
      <c r="AG52" s="519"/>
      <c r="AH52" s="249"/>
      <c r="AI52" s="1171">
        <f t="shared" ref="AI52:AI57" si="4">ROUND(SUM(+AC52-AF52),1)</f>
        <v>-41.4</v>
      </c>
      <c r="AJ52" s="248"/>
      <c r="AK52" s="1864">
        <f t="shared" ref="AK52:AK57" si="5">ROUND(IF(AF52=0,0,AI52/ABS(AF52)),3)</f>
        <v>-5.0999999999999997E-2</v>
      </c>
    </row>
    <row r="53" spans="1:37" ht="15" customHeight="1">
      <c r="A53" s="223"/>
      <c r="B53" s="1830" t="s">
        <v>1334</v>
      </c>
      <c r="C53" s="223"/>
      <c r="D53" s="1351">
        <f>'Exhibit G state'!D52+'Exhibit G Federal'!D27</f>
        <v>4.4000000000000004</v>
      </c>
      <c r="E53" s="261"/>
      <c r="F53" s="1351">
        <f>'Exhibit G state'!F52+'Exhibit G Federal'!F27</f>
        <v>4.4000000000000004</v>
      </c>
      <c r="G53" s="261"/>
      <c r="H53" s="1351">
        <f>'Exhibit G state'!H52+'Exhibit G Federal'!H27</f>
        <v>4.2</v>
      </c>
      <c r="J53" s="1351">
        <f>'Exhibit G state'!J52+'Exhibit G Federal'!J27</f>
        <v>4.7</v>
      </c>
      <c r="K53" s="261"/>
      <c r="L53" s="1327">
        <f>'Exhibit G state'!L52+'Exhibit G Federal'!L27</f>
        <v>5.4</v>
      </c>
      <c r="M53" s="1327"/>
      <c r="N53" s="1327">
        <f>'Exhibit G state'!N52+'Exhibit G Federal'!N27</f>
        <v>4.5999999999999996</v>
      </c>
      <c r="O53" s="1327"/>
      <c r="P53" s="1327">
        <f>'Exhibit G state'!P52+'Exhibit G Federal'!P27</f>
        <v>5.2</v>
      </c>
      <c r="Q53" s="1327"/>
      <c r="R53" s="1327">
        <f>'Exhibit G state'!R52+'Exhibit G Federal'!R27</f>
        <v>5.0999999999999996</v>
      </c>
      <c r="S53" s="2131"/>
      <c r="T53" s="2131">
        <f>'Exhibit G state'!T52+'Exhibit G Federal'!T27</f>
        <v>4.2</v>
      </c>
      <c r="U53" s="261"/>
      <c r="V53" s="2131"/>
      <c r="W53" s="261"/>
      <c r="X53" s="2131"/>
      <c r="Y53" s="261"/>
      <c r="Z53" s="2131"/>
      <c r="AA53" s="261"/>
      <c r="AB53" s="250"/>
      <c r="AC53" s="261">
        <f t="shared" si="3"/>
        <v>42.2</v>
      </c>
      <c r="AD53" s="261"/>
      <c r="AE53" s="250"/>
      <c r="AF53" s="516">
        <f>+'Exhibit G state'!AH52+'Exhibit G Federal'!AH27</f>
        <v>16.100000000000001</v>
      </c>
      <c r="AG53" s="519"/>
      <c r="AH53" s="249"/>
      <c r="AI53" s="1171">
        <f t="shared" si="4"/>
        <v>26.1</v>
      </c>
      <c r="AJ53" s="248"/>
      <c r="AK53" s="1864">
        <f t="shared" si="5"/>
        <v>1.621</v>
      </c>
    </row>
    <row r="54" spans="1:37" ht="15" customHeight="1">
      <c r="A54" s="223"/>
      <c r="B54" s="1830" t="s">
        <v>1335</v>
      </c>
      <c r="C54" s="223"/>
      <c r="D54" s="1351">
        <f>'Exhibit G state'!D53+'Exhibit G Federal'!D28</f>
        <v>0</v>
      </c>
      <c r="E54" s="261"/>
      <c r="F54" s="1351">
        <f>'Exhibit G state'!F53+'Exhibit G Federal'!F28</f>
        <v>0.3</v>
      </c>
      <c r="G54" s="261"/>
      <c r="H54" s="1351">
        <f>'Exhibit G state'!H53+'Exhibit G Federal'!H28</f>
        <v>1.8</v>
      </c>
      <c r="J54" s="1351">
        <f>'Exhibit G state'!J53+'Exhibit G Federal'!J28</f>
        <v>1</v>
      </c>
      <c r="K54" s="261"/>
      <c r="L54" s="1327">
        <f>'Exhibit G state'!L53+'Exhibit G Federal'!L28</f>
        <v>1.6</v>
      </c>
      <c r="M54" s="1327"/>
      <c r="N54" s="1327">
        <f>'Exhibit G state'!N53+'Exhibit G Federal'!N28</f>
        <v>0</v>
      </c>
      <c r="O54" s="1327"/>
      <c r="P54" s="1327">
        <f>'Exhibit G state'!P53+'Exhibit G Federal'!P28</f>
        <v>0</v>
      </c>
      <c r="Q54" s="1327"/>
      <c r="R54" s="1327">
        <f>'Exhibit G state'!R53+'Exhibit G Federal'!R28</f>
        <v>0.3</v>
      </c>
      <c r="S54" s="2131"/>
      <c r="T54" s="2131">
        <f>'Exhibit G state'!T53+'Exhibit G Federal'!T28</f>
        <v>2.2000000000000002</v>
      </c>
      <c r="U54" s="261"/>
      <c r="V54" s="2131"/>
      <c r="W54" s="261"/>
      <c r="X54" s="2131"/>
      <c r="Y54" s="261"/>
      <c r="Z54" s="2131"/>
      <c r="AA54" s="261"/>
      <c r="AB54" s="250"/>
      <c r="AC54" s="261">
        <f t="shared" si="3"/>
        <v>7.2</v>
      </c>
      <c r="AD54" s="261"/>
      <c r="AE54" s="250"/>
      <c r="AF54" s="516">
        <f>+'Exhibit G state'!AH53+'Exhibit G Federal'!AH28</f>
        <v>6.8</v>
      </c>
      <c r="AG54" s="519"/>
      <c r="AH54" s="249"/>
      <c r="AI54" s="1171">
        <f t="shared" si="4"/>
        <v>0.4</v>
      </c>
      <c r="AJ54" s="248"/>
      <c r="AK54" s="1864">
        <f t="shared" si="5"/>
        <v>5.8999999999999997E-2</v>
      </c>
    </row>
    <row r="55" spans="1:37" ht="15" customHeight="1">
      <c r="A55" s="223"/>
      <c r="B55" s="1830" t="s">
        <v>1336</v>
      </c>
      <c r="C55" s="223"/>
      <c r="D55" s="1351">
        <f>'Exhibit G state'!D54+'Exhibit G Federal'!D29</f>
        <v>33.5</v>
      </c>
      <c r="E55" s="261"/>
      <c r="F55" s="1351">
        <f>'Exhibit G state'!F54+'Exhibit G Federal'!F29</f>
        <v>50</v>
      </c>
      <c r="G55" s="261"/>
      <c r="H55" s="1351">
        <f>'Exhibit G state'!H54+'Exhibit G Federal'!H29</f>
        <v>44.3</v>
      </c>
      <c r="J55" s="1351">
        <f>'Exhibit G state'!J54+'Exhibit G Federal'!J29</f>
        <v>42.2</v>
      </c>
      <c r="K55" s="261"/>
      <c r="L55" s="1327">
        <f>'Exhibit G state'!L54+'Exhibit G Federal'!L29</f>
        <v>41.2</v>
      </c>
      <c r="M55" s="1327"/>
      <c r="N55" s="1327">
        <f>'Exhibit G state'!N54+'Exhibit G Federal'!N29</f>
        <v>42.8</v>
      </c>
      <c r="O55" s="1327"/>
      <c r="P55" s="1327">
        <f>'Exhibit G state'!P54+'Exhibit G Federal'!P29</f>
        <v>36.9</v>
      </c>
      <c r="Q55" s="1327"/>
      <c r="R55" s="1327">
        <f>'Exhibit G state'!R54+'Exhibit G Federal'!R29</f>
        <v>39.6</v>
      </c>
      <c r="S55" s="2131"/>
      <c r="T55" s="2131">
        <f>'Exhibit G state'!T54+'Exhibit G Federal'!T29</f>
        <v>36.9</v>
      </c>
      <c r="U55" s="261"/>
      <c r="V55" s="2131"/>
      <c r="W55" s="261"/>
      <c r="X55" s="2131"/>
      <c r="Y55" s="261"/>
      <c r="Z55" s="2131"/>
      <c r="AA55" s="261"/>
      <c r="AB55" s="250"/>
      <c r="AC55" s="261">
        <f t="shared" si="3"/>
        <v>367.4</v>
      </c>
      <c r="AD55" s="261"/>
      <c r="AE55" s="250"/>
      <c r="AF55" s="516">
        <f>+'Exhibit G state'!AH54+'Exhibit G Federal'!AH29</f>
        <v>353.9</v>
      </c>
      <c r="AG55" s="519"/>
      <c r="AH55" s="249"/>
      <c r="AI55" s="1171">
        <f t="shared" si="4"/>
        <v>13.5</v>
      </c>
      <c r="AJ55" s="248"/>
      <c r="AK55" s="1864">
        <f t="shared" si="5"/>
        <v>3.7999999999999999E-2</v>
      </c>
    </row>
    <row r="56" spans="1:37" ht="15" customHeight="1">
      <c r="A56" s="223"/>
      <c r="B56" s="1830" t="s">
        <v>1337</v>
      </c>
      <c r="C56" s="223"/>
      <c r="D56" s="1351">
        <f>'Exhibit G state'!D55+'Exhibit G Federal'!D30</f>
        <v>15.4</v>
      </c>
      <c r="E56" s="261"/>
      <c r="F56" s="1351">
        <f>'Exhibit G state'!F55+'Exhibit G Federal'!F30</f>
        <v>24.1</v>
      </c>
      <c r="G56" s="261"/>
      <c r="H56" s="1351">
        <f>'Exhibit G state'!H55+'Exhibit G Federal'!H30</f>
        <v>25.4</v>
      </c>
      <c r="J56" s="1351">
        <f>'Exhibit G state'!J55+'Exhibit G Federal'!J30</f>
        <v>34.299999999999997</v>
      </c>
      <c r="K56" s="261"/>
      <c r="L56" s="1327">
        <f>'Exhibit G state'!L55+'Exhibit G Federal'!L30</f>
        <v>24</v>
      </c>
      <c r="M56" s="1327"/>
      <c r="N56" s="1327">
        <f>'Exhibit G state'!N55+'Exhibit G Federal'!N30</f>
        <v>26.7</v>
      </c>
      <c r="O56" s="1327"/>
      <c r="P56" s="1327">
        <f>'Exhibit G state'!P55+'Exhibit G Federal'!P30</f>
        <v>28.6</v>
      </c>
      <c r="Q56" s="1327"/>
      <c r="R56" s="1327">
        <f>'Exhibit G state'!R55+'Exhibit G Federal'!R30</f>
        <v>13.7</v>
      </c>
      <c r="S56" s="2131"/>
      <c r="T56" s="2131">
        <f>'Exhibit G state'!T55+'Exhibit G Federal'!T30</f>
        <v>10.5</v>
      </c>
      <c r="U56" s="261"/>
      <c r="V56" s="2131"/>
      <c r="W56" s="261"/>
      <c r="X56" s="2131"/>
      <c r="Y56" s="261"/>
      <c r="Z56" s="2131"/>
      <c r="AA56" s="261"/>
      <c r="AB56" s="250"/>
      <c r="AC56" s="1171">
        <f t="shared" si="3"/>
        <v>202.7</v>
      </c>
      <c r="AD56" s="261"/>
      <c r="AE56" s="250"/>
      <c r="AF56" s="516">
        <f>+'Exhibit G state'!AH55+'Exhibit G Federal'!AH30</f>
        <v>190.2</v>
      </c>
      <c r="AG56" s="519"/>
      <c r="AH56" s="249"/>
      <c r="AI56" s="1171">
        <f t="shared" si="4"/>
        <v>12.5</v>
      </c>
      <c r="AJ56" s="248"/>
      <c r="AK56" s="1864">
        <f t="shared" si="5"/>
        <v>6.6000000000000003E-2</v>
      </c>
    </row>
    <row r="57" spans="1:37" ht="15" customHeight="1">
      <c r="A57" s="223"/>
      <c r="B57" s="1830" t="s">
        <v>1295</v>
      </c>
      <c r="C57" s="223"/>
      <c r="D57" s="1351">
        <f>'Exhibit G state'!D56+'Exhibit G Federal'!D31</f>
        <v>9.9</v>
      </c>
      <c r="E57" s="261"/>
      <c r="F57" s="1351">
        <f>'Exhibit G state'!F56+'Exhibit G Federal'!F31</f>
        <v>321.10000000000002</v>
      </c>
      <c r="G57" s="261"/>
      <c r="H57" s="1351">
        <f>'Exhibit G state'!H56+'Exhibit G Federal'!H31</f>
        <v>26.2</v>
      </c>
      <c r="J57" s="1351">
        <f>'Exhibit G state'!J56+'Exhibit G Federal'!J31</f>
        <v>21.9</v>
      </c>
      <c r="K57" s="261"/>
      <c r="L57" s="1327">
        <f>'Exhibit G state'!L56+'Exhibit G Federal'!L31</f>
        <v>16.8</v>
      </c>
      <c r="M57" s="1327"/>
      <c r="N57" s="1327">
        <f>'Exhibit G state'!N56+'Exhibit G Federal'!N31</f>
        <v>5.3</v>
      </c>
      <c r="O57" s="1327"/>
      <c r="P57" s="1327">
        <f>'Exhibit G state'!P56+'Exhibit G Federal'!P31</f>
        <v>3</v>
      </c>
      <c r="Q57" s="1327"/>
      <c r="R57" s="1327">
        <f>'Exhibit G state'!R56+'Exhibit G Federal'!R31</f>
        <v>6.8</v>
      </c>
      <c r="S57" s="2131"/>
      <c r="T57" s="2131">
        <f>'Exhibit G state'!T56+'Exhibit G Federal'!T31</f>
        <v>22.400000000000002</v>
      </c>
      <c r="U57" s="261"/>
      <c r="V57" s="2131"/>
      <c r="W57" s="261"/>
      <c r="X57" s="2131"/>
      <c r="Y57" s="261"/>
      <c r="Z57" s="2131"/>
      <c r="AA57" s="261"/>
      <c r="AB57" s="250"/>
      <c r="AC57" s="1171">
        <f t="shared" si="3"/>
        <v>433.4</v>
      </c>
      <c r="AD57" s="261"/>
      <c r="AE57" s="250"/>
      <c r="AF57" s="516">
        <f>+'Exhibit G state'!AH56+'Exhibit G Federal'!AH31</f>
        <v>40.5</v>
      </c>
      <c r="AG57" s="519"/>
      <c r="AH57" s="249"/>
      <c r="AI57" s="1171">
        <f t="shared" si="4"/>
        <v>392.9</v>
      </c>
      <c r="AJ57" s="248"/>
      <c r="AK57" s="2880">
        <f t="shared" si="5"/>
        <v>9.7010000000000005</v>
      </c>
    </row>
    <row r="58" spans="1:37" ht="15" customHeight="1">
      <c r="A58" s="223"/>
      <c r="B58" s="1830" t="s">
        <v>1425</v>
      </c>
      <c r="C58" s="223"/>
      <c r="D58" s="1351"/>
      <c r="E58" s="261"/>
      <c r="F58" s="1351"/>
      <c r="G58" s="261"/>
      <c r="H58" s="1351"/>
      <c r="J58" s="1327"/>
      <c r="K58" s="261"/>
      <c r="L58" s="1327"/>
      <c r="M58" s="261"/>
      <c r="N58" s="1351"/>
      <c r="O58" s="261"/>
      <c r="P58" s="1327"/>
      <c r="Q58" s="261"/>
      <c r="R58" s="1327"/>
      <c r="S58" s="261"/>
      <c r="T58" s="2131"/>
      <c r="U58" s="261"/>
      <c r="V58" s="2131"/>
      <c r="W58" s="261"/>
      <c r="X58" s="2131"/>
      <c r="Y58" s="261"/>
      <c r="Z58" s="2131"/>
      <c r="AA58" s="261"/>
      <c r="AB58" s="250"/>
      <c r="AC58" s="1171"/>
      <c r="AD58" s="261"/>
      <c r="AE58" s="250"/>
      <c r="AF58" s="516"/>
      <c r="AG58" s="519"/>
      <c r="AH58" s="249"/>
      <c r="AI58" s="1171"/>
      <c r="AJ58" s="248"/>
      <c r="AK58" s="1932"/>
    </row>
    <row r="59" spans="1:37" ht="15" customHeight="1">
      <c r="A59" s="223"/>
      <c r="B59" s="1830" t="s">
        <v>1338</v>
      </c>
      <c r="C59" s="223"/>
      <c r="D59" s="1351">
        <f>'Exhibit G state'!D58</f>
        <v>43.5</v>
      </c>
      <c r="E59" s="261"/>
      <c r="F59" s="1351">
        <f>'Exhibit G state'!F58</f>
        <v>0.6</v>
      </c>
      <c r="G59" s="261"/>
      <c r="H59" s="1351">
        <f>'Exhibit G state'!H58</f>
        <v>34.4</v>
      </c>
      <c r="I59" s="1351">
        <f>'Exhibit G state'!I58</f>
        <v>0</v>
      </c>
      <c r="J59" s="1351">
        <f>'Exhibit G state'!J58</f>
        <v>13.9</v>
      </c>
      <c r="K59" s="1327"/>
      <c r="L59" s="1327">
        <f>'Exhibit G state'!L58</f>
        <v>1</v>
      </c>
      <c r="M59" s="1327"/>
      <c r="N59" s="1327">
        <f>'Exhibit G state'!N58</f>
        <v>39.6</v>
      </c>
      <c r="O59" s="1327"/>
      <c r="P59" s="1327">
        <f>'Exhibit G state'!P58</f>
        <v>15.9</v>
      </c>
      <c r="Q59" s="1327"/>
      <c r="R59" s="1327">
        <f>'Exhibit G state'!R58</f>
        <v>0.7</v>
      </c>
      <c r="S59" s="2131"/>
      <c r="T59" s="2131">
        <f>'Exhibit G state'!T58</f>
        <v>38.200000000000003</v>
      </c>
      <c r="U59" s="261"/>
      <c r="V59" s="2131"/>
      <c r="W59" s="261"/>
      <c r="X59" s="2131"/>
      <c r="Y59" s="261"/>
      <c r="Z59" s="2131"/>
      <c r="AA59" s="261"/>
      <c r="AB59" s="250"/>
      <c r="AC59" s="1171">
        <f t="shared" si="3"/>
        <v>187.8</v>
      </c>
      <c r="AD59" s="261"/>
      <c r="AE59" s="250"/>
      <c r="AF59" s="516">
        <f>+'Exhibit G state'!AH58</f>
        <v>148.4</v>
      </c>
      <c r="AG59" s="519"/>
      <c r="AH59" s="249"/>
      <c r="AI59" s="1171">
        <f>ROUND(SUM(+AC59-AF59),1)</f>
        <v>39.4</v>
      </c>
      <c r="AJ59" s="248"/>
      <c r="AK59" s="2880">
        <f>ROUND(IF(AF59=0,0,AI59/ABS(AF59)),3)</f>
        <v>0.26500000000000001</v>
      </c>
    </row>
    <row r="60" spans="1:37" ht="15" customHeight="1">
      <c r="A60" s="223"/>
      <c r="B60" s="1830" t="s">
        <v>1339</v>
      </c>
      <c r="C60" s="223"/>
      <c r="D60" s="1351">
        <f>'Exhibit G state'!D59</f>
        <v>226.4</v>
      </c>
      <c r="E60" s="261"/>
      <c r="F60" s="1351">
        <f>'Exhibit G state'!F59</f>
        <v>191.2</v>
      </c>
      <c r="G60" s="261"/>
      <c r="H60" s="1351">
        <f>'Exhibit G state'!H59</f>
        <v>188.5</v>
      </c>
      <c r="J60" s="1351">
        <f>'Exhibit G state'!J59</f>
        <v>220.2</v>
      </c>
      <c r="K60" s="261"/>
      <c r="L60" s="1327">
        <f>'Exhibit G state'!L59</f>
        <v>170.1</v>
      </c>
      <c r="M60" s="1327"/>
      <c r="N60" s="1327">
        <f>'Exhibit G state'!N59</f>
        <v>227.1</v>
      </c>
      <c r="O60" s="1327"/>
      <c r="P60" s="1327">
        <f>'Exhibit G state'!P59</f>
        <v>178.4</v>
      </c>
      <c r="Q60" s="1327"/>
      <c r="R60" s="1327">
        <f>'Exhibit G state'!R59</f>
        <v>178.7</v>
      </c>
      <c r="S60" s="2131"/>
      <c r="T60" s="2131">
        <f>'Exhibit G state'!T59</f>
        <v>228.1</v>
      </c>
      <c r="U60" s="261"/>
      <c r="V60" s="2131"/>
      <c r="W60" s="261"/>
      <c r="X60" s="2131"/>
      <c r="Y60" s="261"/>
      <c r="Z60" s="2131"/>
      <c r="AA60" s="261"/>
      <c r="AB60" s="250"/>
      <c r="AC60" s="1171">
        <f t="shared" si="3"/>
        <v>1808.7</v>
      </c>
      <c r="AD60" s="261"/>
      <c r="AE60" s="250"/>
      <c r="AF60" s="516">
        <f>+'Exhibit G state'!AH59</f>
        <v>1746.3</v>
      </c>
      <c r="AG60" s="519"/>
      <c r="AH60" s="249"/>
      <c r="AI60" s="1171">
        <f>ROUND(SUM(+AC60-AF60),1)</f>
        <v>62.4</v>
      </c>
      <c r="AJ60" s="248"/>
      <c r="AK60" s="1864">
        <f>ROUND(IF(AF60=0,0,AI60/ABS(AF60)),3)</f>
        <v>3.5999999999999997E-2</v>
      </c>
    </row>
    <row r="61" spans="1:37" ht="15" customHeight="1">
      <c r="A61" s="223"/>
      <c r="B61" s="1830" t="s">
        <v>1340</v>
      </c>
      <c r="C61" s="223"/>
      <c r="D61" s="1351">
        <f>'Exhibit G state'!D60</f>
        <v>94.5</v>
      </c>
      <c r="E61" s="261"/>
      <c r="F61" s="1351">
        <f>'Exhibit G state'!F60</f>
        <v>73.400000000000006</v>
      </c>
      <c r="G61" s="261"/>
      <c r="H61" s="1351">
        <f>'Exhibit G state'!H60</f>
        <v>72.900000000000006</v>
      </c>
      <c r="J61" s="1351">
        <f>'Exhibit G state'!J60</f>
        <v>90.1</v>
      </c>
      <c r="K61" s="261"/>
      <c r="L61" s="1327">
        <f>'Exhibit G state'!L60</f>
        <v>72.3</v>
      </c>
      <c r="M61" s="1327"/>
      <c r="N61" s="1327">
        <f>'Exhibit G state'!N60</f>
        <v>91</v>
      </c>
      <c r="O61" s="1327"/>
      <c r="P61" s="1327">
        <f>'Exhibit G state'!P60</f>
        <v>68.900000000000006</v>
      </c>
      <c r="Q61" s="1327"/>
      <c r="R61" s="1327">
        <f>'Exhibit G state'!R60</f>
        <v>70</v>
      </c>
      <c r="S61" s="2131"/>
      <c r="T61" s="2131">
        <f>'Exhibit G state'!T60</f>
        <v>87.8</v>
      </c>
      <c r="U61" s="261"/>
      <c r="V61" s="2131"/>
      <c r="W61" s="261"/>
      <c r="X61" s="2131"/>
      <c r="Y61" s="261"/>
      <c r="Z61" s="2131"/>
      <c r="AA61" s="261"/>
      <c r="AB61" s="250"/>
      <c r="AC61" s="1171">
        <f t="shared" si="3"/>
        <v>720.9</v>
      </c>
      <c r="AD61" s="261"/>
      <c r="AE61" s="250"/>
      <c r="AF61" s="516">
        <f>+'Exhibit G state'!AH60</f>
        <v>699.5</v>
      </c>
      <c r="AG61" s="519"/>
      <c r="AH61" s="249"/>
      <c r="AI61" s="1171">
        <f>ROUND(SUM(+AC61-AF61),1)</f>
        <v>21.4</v>
      </c>
      <c r="AJ61" s="248"/>
      <c r="AK61" s="1864">
        <f>ROUND(IF(AF61=0,0,AI61/ABS(AF61)),3)</f>
        <v>3.1E-2</v>
      </c>
    </row>
    <row r="62" spans="1:37" ht="15" customHeight="1">
      <c r="A62" s="223"/>
      <c r="B62" s="1830" t="s">
        <v>1296</v>
      </c>
      <c r="C62" s="223"/>
      <c r="D62" s="1351">
        <f>'Exhibit G state'!D61+'Exhibit G Federal'!D32</f>
        <v>2.4</v>
      </c>
      <c r="E62" s="261"/>
      <c r="F62" s="1351">
        <f>'Exhibit G state'!F61+'Exhibit G Federal'!F32</f>
        <v>3.8</v>
      </c>
      <c r="G62" s="261"/>
      <c r="H62" s="1351">
        <f>'Exhibit G state'!H61+'Exhibit G Federal'!H32</f>
        <v>1.9000000000000001</v>
      </c>
      <c r="J62" s="1351">
        <f>'Exhibit G state'!J61</f>
        <v>2.7</v>
      </c>
      <c r="K62" s="261"/>
      <c r="L62" s="1327">
        <f>'Exhibit G state'!L61+'Exhibit G Federal'!L32</f>
        <v>5.8</v>
      </c>
      <c r="M62" s="1327"/>
      <c r="N62" s="1327">
        <f>'Exhibit G state'!N61+'Exhibit G Federal'!N32</f>
        <v>2.4</v>
      </c>
      <c r="O62" s="1327"/>
      <c r="P62" s="1327">
        <f>'Exhibit G state'!P61+'Exhibit G Federal'!P32</f>
        <v>1.8</v>
      </c>
      <c r="Q62" s="1327"/>
      <c r="R62" s="1327">
        <f>'Exhibit G state'!R61+'Exhibit G Federal'!R32</f>
        <v>3.1</v>
      </c>
      <c r="S62" s="2131"/>
      <c r="T62" s="2131">
        <f>'Exhibit G state'!T61+'Exhibit G Federal'!T32</f>
        <v>2.9</v>
      </c>
      <c r="U62" s="261"/>
      <c r="V62" s="2131"/>
      <c r="W62" s="261"/>
      <c r="X62" s="2131"/>
      <c r="Y62" s="261"/>
      <c r="Z62" s="2131"/>
      <c r="AA62" s="261"/>
      <c r="AB62" s="250"/>
      <c r="AC62" s="1171">
        <f t="shared" si="3"/>
        <v>26.8</v>
      </c>
      <c r="AD62" s="261"/>
      <c r="AE62" s="250"/>
      <c r="AF62" s="516">
        <f>+'Exhibit G state'!AH61+'Exhibit G Federal'!AH32</f>
        <v>20.200000000000003</v>
      </c>
      <c r="AG62" s="519"/>
      <c r="AH62" s="249"/>
      <c r="AI62" s="1171">
        <f>ROUND(SUM(+AC62-AF62),1)</f>
        <v>6.6</v>
      </c>
      <c r="AJ62" s="248"/>
      <c r="AK62" s="1864">
        <f>ROUND(IF(AF62=0,0,AI62/ABS(AF62)),3)</f>
        <v>0.32700000000000001</v>
      </c>
    </row>
    <row r="63" spans="1:37" ht="15" customHeight="1">
      <c r="A63" s="223"/>
      <c r="B63" s="1830" t="s">
        <v>1426</v>
      </c>
      <c r="C63" s="223"/>
      <c r="D63" s="1351"/>
      <c r="E63" s="261"/>
      <c r="F63" s="1351"/>
      <c r="G63" s="261"/>
      <c r="H63" s="1351"/>
      <c r="J63" s="1327"/>
      <c r="K63" s="261"/>
      <c r="L63" s="1327"/>
      <c r="M63" s="261"/>
      <c r="N63" s="1351"/>
      <c r="O63" s="261"/>
      <c r="P63" s="1327"/>
      <c r="Q63" s="261"/>
      <c r="R63" s="1327"/>
      <c r="S63" s="261"/>
      <c r="T63" s="2131"/>
      <c r="U63" s="261"/>
      <c r="V63" s="2131"/>
      <c r="W63" s="261"/>
      <c r="X63" s="2131"/>
      <c r="Y63" s="261"/>
      <c r="Z63" s="2131"/>
      <c r="AA63" s="261"/>
      <c r="AB63" s="250"/>
      <c r="AC63" s="1171"/>
      <c r="AD63" s="261"/>
      <c r="AE63" s="250"/>
      <c r="AF63" s="516"/>
      <c r="AG63" s="519"/>
      <c r="AH63" s="249"/>
      <c r="AI63" s="1171"/>
      <c r="AJ63" s="248"/>
      <c r="AK63" s="1932"/>
    </row>
    <row r="64" spans="1:37" ht="15" customHeight="1">
      <c r="A64" s="223"/>
      <c r="B64" s="1830" t="s">
        <v>1341</v>
      </c>
      <c r="C64" s="223"/>
      <c r="D64" s="1351">
        <f>'Exhibit G state'!D63+'Exhibit G Federal'!D34</f>
        <v>0</v>
      </c>
      <c r="E64" s="261"/>
      <c r="F64" s="1351">
        <f>'Exhibit G state'!F63+'Exhibit G Federal'!F34</f>
        <v>0</v>
      </c>
      <c r="G64" s="261"/>
      <c r="H64" s="1351">
        <f>'Exhibit G state'!H63+'Exhibit G Federal'!H34</f>
        <v>0</v>
      </c>
      <c r="I64" s="1351">
        <f>'Exhibit G state'!I63+'Exhibit G Federal'!I34</f>
        <v>0</v>
      </c>
      <c r="J64" s="1351">
        <f>'Exhibit G state'!J63+'Exhibit G Federal'!J34</f>
        <v>0</v>
      </c>
      <c r="K64" s="1327"/>
      <c r="L64" s="1327">
        <f>'Exhibit G state'!L63+'Exhibit G Federal'!L34</f>
        <v>0</v>
      </c>
      <c r="M64" s="1327"/>
      <c r="N64" s="1327">
        <f>'Exhibit G state'!N63+'Exhibit G Federal'!N34</f>
        <v>0</v>
      </c>
      <c r="O64" s="1327"/>
      <c r="P64" s="1327">
        <v>0</v>
      </c>
      <c r="Q64" s="1327"/>
      <c r="R64" s="1327">
        <v>0</v>
      </c>
      <c r="S64" s="2131"/>
      <c r="T64" s="2131">
        <v>0</v>
      </c>
      <c r="U64" s="261"/>
      <c r="V64" s="2131"/>
      <c r="W64" s="261"/>
      <c r="X64" s="2131"/>
      <c r="Y64" s="261"/>
      <c r="Z64" s="2131"/>
      <c r="AA64" s="261"/>
      <c r="AB64" s="250"/>
      <c r="AC64" s="1171">
        <f t="shared" si="3"/>
        <v>0</v>
      </c>
      <c r="AD64" s="261"/>
      <c r="AE64" s="250"/>
      <c r="AF64" s="516">
        <f>+'Exhibit G state'!AH63+'Exhibit G Federal'!AH34</f>
        <v>0</v>
      </c>
      <c r="AG64" s="519"/>
      <c r="AH64" s="249"/>
      <c r="AI64" s="1171">
        <f t="shared" ref="AI64:AI69" si="6">ROUND(SUM(+AC64-AF64),1)</f>
        <v>0</v>
      </c>
      <c r="AJ64" s="248"/>
      <c r="AK64" s="1864">
        <f t="shared" ref="AK64:AK69" si="7">ROUND(IF(AF64=0,0,AI64/ABS(AF64)),3)</f>
        <v>0</v>
      </c>
    </row>
    <row r="65" spans="1:37" ht="15" customHeight="1">
      <c r="A65" s="223"/>
      <c r="B65" s="1830" t="s">
        <v>1342</v>
      </c>
      <c r="C65" s="223"/>
      <c r="D65" s="1351">
        <f>'Exhibit G state'!D64+'Exhibit G Federal'!D35</f>
        <v>0</v>
      </c>
      <c r="E65" s="261"/>
      <c r="F65" s="1351">
        <f>'Exhibit G state'!F64+'Exhibit G Federal'!F35</f>
        <v>0</v>
      </c>
      <c r="G65" s="261"/>
      <c r="H65" s="1351">
        <f>'Exhibit G state'!H64+'Exhibit G Federal'!H35</f>
        <v>0</v>
      </c>
      <c r="J65" s="1351">
        <f>'Exhibit G state'!J64+'Exhibit G Federal'!J35</f>
        <v>11</v>
      </c>
      <c r="K65" s="261"/>
      <c r="L65" s="1327">
        <f>'Exhibit G state'!L64+'Exhibit G Federal'!L35</f>
        <v>9.4</v>
      </c>
      <c r="M65" s="1327"/>
      <c r="N65" s="1327">
        <f>'Exhibit G state'!N64+'Exhibit G Federal'!N35</f>
        <v>0</v>
      </c>
      <c r="O65" s="1327"/>
      <c r="P65" s="1327">
        <f>'Exhibit G state'!P64+'Exhibit G Federal'!P35</f>
        <v>0</v>
      </c>
      <c r="Q65" s="1327"/>
      <c r="R65" s="1327">
        <f>'Exhibit G state'!R64+'Exhibit G Federal'!R35</f>
        <v>0</v>
      </c>
      <c r="S65" s="2131"/>
      <c r="T65" s="2131">
        <f>'Exhibit G state'!T64+'Exhibit G Federal'!T35</f>
        <v>0</v>
      </c>
      <c r="U65" s="261"/>
      <c r="V65" s="2131"/>
      <c r="W65" s="261"/>
      <c r="X65" s="2131"/>
      <c r="Y65" s="261"/>
      <c r="Z65" s="2131"/>
      <c r="AA65" s="261"/>
      <c r="AB65" s="250"/>
      <c r="AC65" s="1171">
        <f t="shared" si="3"/>
        <v>20.399999999999999</v>
      </c>
      <c r="AD65" s="261"/>
      <c r="AE65" s="250"/>
      <c r="AF65" s="516">
        <f>+'Exhibit G state'!AH64+'Exhibit G Federal'!AH35</f>
        <v>20.399999999999999</v>
      </c>
      <c r="AG65" s="519"/>
      <c r="AH65" s="249"/>
      <c r="AI65" s="1171">
        <f t="shared" si="6"/>
        <v>0</v>
      </c>
      <c r="AJ65" s="248"/>
      <c r="AK65" s="1864">
        <f t="shared" si="7"/>
        <v>0</v>
      </c>
    </row>
    <row r="66" spans="1:37" ht="15" customHeight="1">
      <c r="A66" s="223"/>
      <c r="B66" s="1830" t="s">
        <v>1343</v>
      </c>
      <c r="C66" s="223"/>
      <c r="D66" s="1351">
        <f>'Exhibit G state'!D65+'Exhibit G Federal'!D36</f>
        <v>0.2</v>
      </c>
      <c r="E66" s="261"/>
      <c r="F66" s="1351">
        <f>'Exhibit G state'!F65+'Exhibit G Federal'!F36</f>
        <v>5.7</v>
      </c>
      <c r="G66" s="261"/>
      <c r="H66" s="1351">
        <f>'Exhibit G state'!H65+'Exhibit G Federal'!H36</f>
        <v>1.3</v>
      </c>
      <c r="J66" s="1351">
        <f>'Exhibit G state'!J65+'Exhibit G Federal'!J36</f>
        <v>0</v>
      </c>
      <c r="K66" s="261"/>
      <c r="L66" s="1327">
        <f>'Exhibit G state'!L65+'Exhibit G Federal'!L36</f>
        <v>0</v>
      </c>
      <c r="M66" s="1327"/>
      <c r="N66" s="1327">
        <f>'Exhibit G state'!N65+'Exhibit G Federal'!N36</f>
        <v>0</v>
      </c>
      <c r="O66" s="1327"/>
      <c r="P66" s="1327">
        <f>'Exhibit G state'!P65+'Exhibit G Federal'!P36</f>
        <v>0</v>
      </c>
      <c r="Q66" s="1327"/>
      <c r="R66" s="1327">
        <f>'Exhibit G state'!R65+'Exhibit G Federal'!R36</f>
        <v>0</v>
      </c>
      <c r="S66" s="2131"/>
      <c r="T66" s="2131">
        <f>'Exhibit G state'!T65+'Exhibit G Federal'!T36</f>
        <v>0</v>
      </c>
      <c r="U66" s="261"/>
      <c r="V66" s="2131"/>
      <c r="W66" s="261"/>
      <c r="X66" s="2131"/>
      <c r="Y66" s="261"/>
      <c r="Z66" s="2131"/>
      <c r="AA66" s="261"/>
      <c r="AB66" s="250"/>
      <c r="AC66" s="1171">
        <f t="shared" si="3"/>
        <v>7.2</v>
      </c>
      <c r="AD66" s="261"/>
      <c r="AE66" s="250"/>
      <c r="AF66" s="516">
        <f>+'Exhibit G state'!AH65+'Exhibit G Federal'!AH36</f>
        <v>7.2</v>
      </c>
      <c r="AG66" s="519"/>
      <c r="AH66" s="249"/>
      <c r="AI66" s="1171">
        <f t="shared" si="6"/>
        <v>0</v>
      </c>
      <c r="AJ66" s="248"/>
      <c r="AK66" s="1864">
        <f t="shared" si="7"/>
        <v>0</v>
      </c>
    </row>
    <row r="67" spans="1:37" ht="15" customHeight="1">
      <c r="A67" s="223"/>
      <c r="B67" s="1830" t="s">
        <v>1344</v>
      </c>
      <c r="C67" s="223"/>
      <c r="D67" s="1351">
        <f>'Exhibit G state'!D66+'Exhibit G Federal'!D37</f>
        <v>0.2</v>
      </c>
      <c r="E67" s="261"/>
      <c r="F67" s="1351">
        <f>'Exhibit G state'!F66+'Exhibit G Federal'!F37</f>
        <v>0.7</v>
      </c>
      <c r="G67" s="261"/>
      <c r="H67" s="1351">
        <f>'Exhibit G state'!H66+'Exhibit G Federal'!H37</f>
        <v>0</v>
      </c>
      <c r="J67" s="1351">
        <f>'Exhibit G state'!J66+'Exhibit G Federal'!J37</f>
        <v>0.3</v>
      </c>
      <c r="K67" s="261"/>
      <c r="L67" s="1327">
        <f>'Exhibit G state'!L66+'Exhibit G Federal'!L37</f>
        <v>0.8</v>
      </c>
      <c r="M67" s="1327"/>
      <c r="N67" s="1327">
        <f>'Exhibit G state'!N66+'Exhibit G Federal'!N37</f>
        <v>0.1</v>
      </c>
      <c r="O67" s="1327"/>
      <c r="P67" s="1327">
        <f>'Exhibit G state'!P66+'Exhibit G Federal'!P37</f>
        <v>0.3</v>
      </c>
      <c r="Q67" s="1327"/>
      <c r="R67" s="1327">
        <f>'Exhibit G state'!R66+'Exhibit G Federal'!R37</f>
        <v>3.6</v>
      </c>
      <c r="S67" s="2131"/>
      <c r="T67" s="2131">
        <f>'Exhibit G state'!T66+'Exhibit G Federal'!T37</f>
        <v>0</v>
      </c>
      <c r="U67" s="261"/>
      <c r="V67" s="2131"/>
      <c r="W67" s="261"/>
      <c r="X67" s="2131"/>
      <c r="Y67" s="261"/>
      <c r="Z67" s="2131"/>
      <c r="AA67" s="261"/>
      <c r="AB67" s="250"/>
      <c r="AC67" s="1171">
        <f t="shared" si="3"/>
        <v>6</v>
      </c>
      <c r="AD67" s="261"/>
      <c r="AE67" s="250"/>
      <c r="AF67" s="516">
        <f>+'Exhibit G state'!AH66+'Exhibit G Federal'!AH37</f>
        <v>7</v>
      </c>
      <c r="AG67" s="519"/>
      <c r="AH67" s="249"/>
      <c r="AI67" s="1171">
        <f t="shared" si="6"/>
        <v>-1</v>
      </c>
      <c r="AJ67" s="248"/>
      <c r="AK67" s="1864">
        <f t="shared" si="7"/>
        <v>-0.14299999999999999</v>
      </c>
    </row>
    <row r="68" spans="1:37" ht="15" customHeight="1">
      <c r="A68" s="223"/>
      <c r="B68" s="1830" t="s">
        <v>1314</v>
      </c>
      <c r="C68" s="223"/>
      <c r="D68" s="1351">
        <f>'Exhibit G state'!D67+'Exhibit G Federal'!D38</f>
        <v>39.700000000000003</v>
      </c>
      <c r="E68" s="261"/>
      <c r="F68" s="1351">
        <f>'Exhibit G state'!F67+'Exhibit G Federal'!F38</f>
        <v>7.9</v>
      </c>
      <c r="G68" s="261"/>
      <c r="H68" s="1351">
        <f>'Exhibit G state'!H67+'Exhibit G Federal'!H38</f>
        <v>7.9</v>
      </c>
      <c r="J68" s="1351">
        <f>'Exhibit G state'!J67+'Exhibit G Federal'!J38</f>
        <v>5.4</v>
      </c>
      <c r="K68" s="261"/>
      <c r="L68" s="1327">
        <f>'Exhibit G state'!L67+'Exhibit G Federal'!L38</f>
        <v>3.4</v>
      </c>
      <c r="M68" s="1327"/>
      <c r="N68" s="1327">
        <f>'Exhibit G state'!N67+'Exhibit G Federal'!N38</f>
        <v>8.5</v>
      </c>
      <c r="O68" s="1327"/>
      <c r="P68" s="1327">
        <f>'Exhibit G state'!P67+'Exhibit G Federal'!P38</f>
        <v>7.5</v>
      </c>
      <c r="Q68" s="1327"/>
      <c r="R68" s="1327">
        <f>'Exhibit G state'!R67+'Exhibit G Federal'!R38</f>
        <v>3.2</v>
      </c>
      <c r="S68" s="2131"/>
      <c r="T68" s="2131">
        <f>'Exhibit G state'!T67+'Exhibit G Federal'!T38</f>
        <v>7.8</v>
      </c>
      <c r="U68" s="261"/>
      <c r="V68" s="2131"/>
      <c r="W68" s="261"/>
      <c r="X68" s="2131"/>
      <c r="Y68" s="261"/>
      <c r="Z68" s="2131"/>
      <c r="AA68" s="261"/>
      <c r="AB68" s="250"/>
      <c r="AC68" s="1171">
        <f t="shared" si="3"/>
        <v>91.3</v>
      </c>
      <c r="AD68" s="261"/>
      <c r="AE68" s="250"/>
      <c r="AF68" s="516">
        <f>+'Exhibit G state'!AH67+'Exhibit G Federal'!AH38</f>
        <v>83.8</v>
      </c>
      <c r="AG68" s="519"/>
      <c r="AH68" s="249"/>
      <c r="AI68" s="1171">
        <f t="shared" si="6"/>
        <v>7.5</v>
      </c>
      <c r="AJ68" s="248"/>
      <c r="AK68" s="1864">
        <f t="shared" si="7"/>
        <v>8.8999999999999996E-2</v>
      </c>
    </row>
    <row r="69" spans="1:37" ht="15" customHeight="1">
      <c r="A69" s="223"/>
      <c r="B69" s="1830" t="s">
        <v>1315</v>
      </c>
      <c r="C69" s="223"/>
      <c r="D69" s="1351">
        <f>'Exhibit G state'!D68+'Exhibit G Federal'!D39</f>
        <v>33.799999999999997</v>
      </c>
      <c r="E69" s="261"/>
      <c r="F69" s="1351">
        <f>'Exhibit G state'!F68+'Exhibit G Federal'!F39</f>
        <v>20.9</v>
      </c>
      <c r="G69" s="261"/>
      <c r="H69" s="1351">
        <f>'Exhibit G state'!H68+'Exhibit G Federal'!H39</f>
        <v>21.8</v>
      </c>
      <c r="J69" s="1351">
        <f>'Exhibit G state'!J68+'Exhibit G Federal'!J39</f>
        <v>9.6999999999999993</v>
      </c>
      <c r="K69" s="261"/>
      <c r="L69" s="1327">
        <f>'Exhibit G state'!L68+'Exhibit G Federal'!L39</f>
        <v>27.2</v>
      </c>
      <c r="M69" s="1327"/>
      <c r="N69" s="1327">
        <f>'Exhibit G state'!N68+'Exhibit G Federal'!N39</f>
        <v>3.1</v>
      </c>
      <c r="O69" s="1327"/>
      <c r="P69" s="1327">
        <f>'Exhibit G state'!P68+'Exhibit G Federal'!P39</f>
        <v>0.7</v>
      </c>
      <c r="Q69" s="1327"/>
      <c r="R69" s="1327">
        <f>'Exhibit G state'!R68+'Exhibit G Federal'!R39</f>
        <v>-15.4</v>
      </c>
      <c r="S69" s="2131"/>
      <c r="T69" s="2131">
        <f>'Exhibit G state'!T68+'Exhibit G Federal'!T39</f>
        <v>112.4</v>
      </c>
      <c r="U69" s="261"/>
      <c r="V69" s="2131"/>
      <c r="W69" s="261"/>
      <c r="X69" s="2131"/>
      <c r="Y69" s="261"/>
      <c r="Z69" s="2131"/>
      <c r="AA69" s="261"/>
      <c r="AB69" s="250"/>
      <c r="AC69" s="1171">
        <f t="shared" si="3"/>
        <v>214.2</v>
      </c>
      <c r="AD69" s="261"/>
      <c r="AE69" s="250"/>
      <c r="AF69" s="516">
        <f>+'Exhibit G state'!AH68+'Exhibit G Federal'!AH39</f>
        <v>219.4</v>
      </c>
      <c r="AG69" s="519"/>
      <c r="AH69" s="249"/>
      <c r="AI69" s="1171">
        <f t="shared" si="6"/>
        <v>-5.2</v>
      </c>
      <c r="AJ69" s="248"/>
      <c r="AK69" s="2785">
        <f t="shared" si="7"/>
        <v>-2.4E-2</v>
      </c>
    </row>
    <row r="70" spans="1:37" ht="15" customHeight="1">
      <c r="A70" s="223"/>
      <c r="B70" s="1830" t="s">
        <v>1427</v>
      </c>
      <c r="C70" s="223"/>
      <c r="D70" s="1351"/>
      <c r="E70" s="261"/>
      <c r="F70" s="1351"/>
      <c r="G70" s="261"/>
      <c r="H70" s="1351"/>
      <c r="J70" s="1327"/>
      <c r="K70" s="261"/>
      <c r="L70" s="1327"/>
      <c r="M70" s="261"/>
      <c r="N70" s="1351"/>
      <c r="O70" s="261"/>
      <c r="P70" s="1327"/>
      <c r="Q70" s="261"/>
      <c r="R70" s="261"/>
      <c r="S70" s="261"/>
      <c r="T70" s="2131"/>
      <c r="U70" s="261"/>
      <c r="V70" s="2131"/>
      <c r="W70" s="261"/>
      <c r="X70" s="2131"/>
      <c r="Y70" s="261"/>
      <c r="Z70" s="2131"/>
      <c r="AA70" s="261"/>
      <c r="AB70" s="250"/>
      <c r="AC70" s="1171"/>
      <c r="AD70" s="261"/>
      <c r="AE70" s="250"/>
      <c r="AF70" s="516"/>
      <c r="AG70" s="519"/>
      <c r="AH70" s="249"/>
      <c r="AI70" s="1171"/>
      <c r="AJ70" s="248"/>
      <c r="AK70" s="1932"/>
    </row>
    <row r="71" spans="1:37" ht="15" customHeight="1">
      <c r="A71" s="223"/>
      <c r="B71" s="1830" t="s">
        <v>1345</v>
      </c>
      <c r="C71" s="223"/>
      <c r="D71" s="1351">
        <f>'Exhibit G state'!D70+'Exhibit G Federal'!D41</f>
        <v>0.7</v>
      </c>
      <c r="E71" s="261"/>
      <c r="F71" s="1351">
        <f>'Exhibit G state'!F70+'Exhibit G Federal'!F41</f>
        <v>16.100000000000001</v>
      </c>
      <c r="G71" s="261"/>
      <c r="H71" s="1351">
        <f>'Exhibit G state'!H70+'Exhibit G Federal'!H41</f>
        <v>8.4</v>
      </c>
      <c r="I71" s="1351">
        <f>'Exhibit G state'!I70+'Exhibit G Federal'!I41</f>
        <v>0</v>
      </c>
      <c r="J71" s="1351">
        <f>'Exhibit G state'!J70+'Exhibit G Federal'!J41</f>
        <v>9.4</v>
      </c>
      <c r="K71" s="1327"/>
      <c r="L71" s="1327">
        <f>'Exhibit G state'!L70+'Exhibit G Federal'!L41</f>
        <v>9.8000000000000007</v>
      </c>
      <c r="M71" s="1327"/>
      <c r="N71" s="1327">
        <f>'Exhibit G state'!N70+'Exhibit G Federal'!N41</f>
        <v>8.6999999999999993</v>
      </c>
      <c r="O71" s="1327"/>
      <c r="P71" s="1327">
        <f>'Exhibit G state'!P70+'Exhibit G Federal'!P41</f>
        <v>8.6999999999999993</v>
      </c>
      <c r="Q71" s="1327"/>
      <c r="R71" s="1327">
        <f>'Exhibit G state'!R70+'Exhibit G Federal'!R41</f>
        <v>8.6</v>
      </c>
      <c r="S71" s="2131"/>
      <c r="T71" s="2131">
        <f>'Exhibit G state'!T70+'Exhibit G Federal'!T41</f>
        <v>9</v>
      </c>
      <c r="U71" s="261"/>
      <c r="V71" s="2131"/>
      <c r="W71" s="261"/>
      <c r="X71" s="2131"/>
      <c r="Y71" s="261"/>
      <c r="Z71" s="2131"/>
      <c r="AA71" s="261"/>
      <c r="AB71" s="250"/>
      <c r="AC71" s="1833">
        <f t="shared" si="3"/>
        <v>79.400000000000006</v>
      </c>
      <c r="AD71" s="261"/>
      <c r="AE71" s="250"/>
      <c r="AF71" s="516">
        <f>+'Exhibit G state'!AH70+'Exhibit G Federal'!AH41</f>
        <v>71.400000000000006</v>
      </c>
      <c r="AG71" s="519"/>
      <c r="AH71" s="249"/>
      <c r="AI71" s="1171">
        <f t="shared" ref="AI71:AI81" si="8">ROUND(SUM(+AC71-AF71),1)</f>
        <v>8</v>
      </c>
      <c r="AJ71" s="248"/>
      <c r="AK71" s="1864">
        <f>ROUND(IF(AF71=0,0,AI71/ABS(AF71)),3)</f>
        <v>0.112</v>
      </c>
    </row>
    <row r="72" spans="1:37" ht="15" customHeight="1">
      <c r="A72" s="223"/>
      <c r="B72" s="1830" t="s">
        <v>1346</v>
      </c>
      <c r="C72" s="223"/>
      <c r="D72" s="1351">
        <f>'Exhibit G state'!D71+'Exhibit G Federal'!D42</f>
        <v>0.1</v>
      </c>
      <c r="E72" s="261"/>
      <c r="F72" s="1351">
        <f>'Exhibit G state'!F71+'Exhibit G Federal'!F42</f>
        <v>0.1</v>
      </c>
      <c r="G72" s="261"/>
      <c r="H72" s="1351">
        <f>'Exhibit G state'!H71+'Exhibit G Federal'!H42</f>
        <v>0.4</v>
      </c>
      <c r="J72" s="1351">
        <f>'Exhibit G state'!J71+'Exhibit G Federal'!J42</f>
        <v>0.1</v>
      </c>
      <c r="K72" s="261"/>
      <c r="L72" s="1327">
        <f>'Exhibit G state'!L71+'Exhibit G Federal'!L42</f>
        <v>0.1</v>
      </c>
      <c r="M72" s="1327"/>
      <c r="N72" s="1327">
        <f>'Exhibit G state'!N71+'Exhibit G Federal'!N42</f>
        <v>0.4</v>
      </c>
      <c r="O72" s="1327"/>
      <c r="P72" s="1327">
        <f>'Exhibit G state'!P71+'Exhibit G Federal'!P42</f>
        <v>1</v>
      </c>
      <c r="Q72" s="1327"/>
      <c r="R72" s="1327">
        <f>'Exhibit G state'!R71+'Exhibit G Federal'!R42</f>
        <v>1.5</v>
      </c>
      <c r="S72" s="2131"/>
      <c r="T72" s="2131">
        <f>'Exhibit G state'!T71+'Exhibit G Federal'!T42</f>
        <v>3.7</v>
      </c>
      <c r="U72" s="261"/>
      <c r="V72" s="2131"/>
      <c r="W72" s="261"/>
      <c r="X72" s="2131"/>
      <c r="Y72" s="261"/>
      <c r="Z72" s="2131"/>
      <c r="AA72" s="261"/>
      <c r="AB72" s="250"/>
      <c r="AC72" s="1171">
        <f t="shared" si="3"/>
        <v>7.4</v>
      </c>
      <c r="AD72" s="261"/>
      <c r="AE72" s="250"/>
      <c r="AF72" s="516">
        <f>+'Exhibit G state'!AH71+'Exhibit G Federal'!AH42</f>
        <v>7</v>
      </c>
      <c r="AG72" s="519"/>
      <c r="AH72" s="249"/>
      <c r="AI72" s="1171">
        <f t="shared" si="8"/>
        <v>0.4</v>
      </c>
      <c r="AJ72" s="248"/>
      <c r="AK72" s="1864">
        <f>ROUND(IF(AF72=0,0,AI72/ABS(AF72)),3)</f>
        <v>5.7000000000000002E-2</v>
      </c>
    </row>
    <row r="73" spans="1:37" ht="15" customHeight="1">
      <c r="A73" s="223"/>
      <c r="B73" s="1830" t="s">
        <v>1347</v>
      </c>
      <c r="C73" s="223"/>
      <c r="D73" s="1351">
        <f>'Exhibit G state'!D72+'Exhibit G Federal'!D43</f>
        <v>0.9</v>
      </c>
      <c r="E73" s="261"/>
      <c r="F73" s="1351">
        <f>'Exhibit G state'!F72+'Exhibit G Federal'!F43</f>
        <v>0.7</v>
      </c>
      <c r="G73" s="261"/>
      <c r="H73" s="1351">
        <f>'Exhibit G state'!H72+'Exhibit G Federal'!H43</f>
        <v>0.2</v>
      </c>
      <c r="J73" s="1351">
        <f>'Exhibit G state'!J72+'Exhibit G Federal'!J43</f>
        <v>0.3</v>
      </c>
      <c r="K73" s="261"/>
      <c r="L73" s="1327">
        <f>'Exhibit G state'!L72+'Exhibit G Federal'!L43</f>
        <v>0.2</v>
      </c>
      <c r="M73" s="1327"/>
      <c r="N73" s="1327">
        <f>'Exhibit G state'!N72+'Exhibit G Federal'!N43</f>
        <v>0.4</v>
      </c>
      <c r="O73" s="1327"/>
      <c r="P73" s="1327">
        <f>'Exhibit G state'!P72+'Exhibit G Federal'!P43</f>
        <v>0.1</v>
      </c>
      <c r="Q73" s="1327"/>
      <c r="R73" s="1327">
        <f>'Exhibit G state'!R72+'Exhibit G Federal'!R43</f>
        <v>0.2</v>
      </c>
      <c r="S73" s="2131"/>
      <c r="T73" s="2131">
        <f>'Exhibit G state'!T72+'Exhibit G Federal'!T43</f>
        <v>0.4</v>
      </c>
      <c r="U73" s="261"/>
      <c r="V73" s="2131"/>
      <c r="W73" s="261"/>
      <c r="X73" s="2131"/>
      <c r="Y73" s="261"/>
      <c r="Z73" s="2131"/>
      <c r="AA73" s="261"/>
      <c r="AB73" s="250"/>
      <c r="AC73" s="1171">
        <f t="shared" si="3"/>
        <v>3.4</v>
      </c>
      <c r="AD73" s="261"/>
      <c r="AE73" s="250"/>
      <c r="AF73" s="516">
        <f>+'Exhibit G state'!AH72+'Exhibit G Federal'!AH43</f>
        <v>2.8</v>
      </c>
      <c r="AG73" s="519"/>
      <c r="AH73" s="249"/>
      <c r="AI73" s="1171">
        <f t="shared" si="8"/>
        <v>0.6</v>
      </c>
      <c r="AJ73" s="248"/>
      <c r="AK73" s="1864">
        <f>ROUND(IF(AF73=0,0,AI73/ABS(AF73)),3)</f>
        <v>0.214</v>
      </c>
    </row>
    <row r="74" spans="1:37" ht="15" customHeight="1">
      <c r="A74" s="223"/>
      <c r="B74" s="1830" t="s">
        <v>1348</v>
      </c>
      <c r="C74" s="223"/>
      <c r="D74" s="1351">
        <v>0</v>
      </c>
      <c r="E74" s="261"/>
      <c r="F74" s="1351">
        <f>'Exhibit G state'!F73+'Exhibit G Federal'!F44</f>
        <v>4</v>
      </c>
      <c r="G74" s="261"/>
      <c r="H74" s="1351">
        <f>'Exhibit G state'!H73+'Exhibit G Federal'!H44</f>
        <v>0</v>
      </c>
      <c r="J74" s="1351">
        <f>'Exhibit G state'!J73+'Exhibit G Federal'!J44</f>
        <v>0</v>
      </c>
      <c r="K74" s="261"/>
      <c r="L74" s="1327">
        <f>'Exhibit G state'!L73+'Exhibit G Federal'!L44</f>
        <v>0</v>
      </c>
      <c r="M74" s="1327"/>
      <c r="N74" s="1327">
        <f>'Exhibit G state'!N73+'Exhibit G Federal'!N44</f>
        <v>0</v>
      </c>
      <c r="O74" s="1327"/>
      <c r="P74" s="1327">
        <v>0</v>
      </c>
      <c r="Q74" s="1327"/>
      <c r="R74" s="1327">
        <v>0</v>
      </c>
      <c r="S74" s="2131"/>
      <c r="T74" s="2131">
        <v>0</v>
      </c>
      <c r="U74" s="261"/>
      <c r="V74" s="2131"/>
      <c r="W74" s="261"/>
      <c r="X74" s="2131"/>
      <c r="Y74" s="261"/>
      <c r="Z74" s="2131"/>
      <c r="AA74" s="261"/>
      <c r="AB74" s="250"/>
      <c r="AC74" s="1171">
        <f t="shared" si="3"/>
        <v>4</v>
      </c>
      <c r="AD74" s="261"/>
      <c r="AE74" s="250"/>
      <c r="AF74" s="516">
        <f>+'Exhibit G state'!AH73+'Exhibit G Federal'!AH44</f>
        <v>0</v>
      </c>
      <c r="AG74" s="519"/>
      <c r="AH74" s="249"/>
      <c r="AI74" s="1171">
        <f t="shared" si="8"/>
        <v>4</v>
      </c>
      <c r="AJ74" s="248"/>
      <c r="AK74" s="2817">
        <f>ROUND(IF(AF74=0,1,AI74/ABS(AF74)),3)</f>
        <v>1</v>
      </c>
    </row>
    <row r="75" spans="1:37" ht="15" customHeight="1">
      <c r="A75" s="223"/>
      <c r="B75" s="1830" t="s">
        <v>1349</v>
      </c>
      <c r="C75" s="223"/>
      <c r="D75" s="1351">
        <f>'Exhibit G state'!D74+'Exhibit G Federal'!D45</f>
        <v>-747.8</v>
      </c>
      <c r="E75" s="261"/>
      <c r="F75" s="1351">
        <f>'Exhibit G state'!F74+'Exhibit G Federal'!F45</f>
        <v>228.7</v>
      </c>
      <c r="G75" s="261"/>
      <c r="H75" s="1351">
        <f>'Exhibit G state'!H74+'Exhibit G Federal'!H45</f>
        <v>159.19999999999999</v>
      </c>
      <c r="J75" s="1351">
        <f>'Exhibit G state'!J74+'Exhibit G Federal'!J45</f>
        <v>251.4</v>
      </c>
      <c r="K75" s="261"/>
      <c r="L75" s="1327">
        <f>'Exhibit G state'!L74+'Exhibit G Federal'!L45</f>
        <v>74.8</v>
      </c>
      <c r="M75" s="1327"/>
      <c r="N75" s="1327">
        <f>'Exhibit G state'!N74+'Exhibit G Federal'!N45</f>
        <v>66.7</v>
      </c>
      <c r="O75" s="1327"/>
      <c r="P75" s="1327">
        <f>'Exhibit G state'!P74+'Exhibit G Federal'!P45</f>
        <v>245.2</v>
      </c>
      <c r="Q75" s="1327"/>
      <c r="R75" s="1327">
        <f>'Exhibit G state'!R74+'Exhibit G Federal'!R45</f>
        <v>144.69999999999999</v>
      </c>
      <c r="S75" s="2131"/>
      <c r="T75" s="2131">
        <f>'Exhibit G state'!T74+'Exhibit G Federal'!T45</f>
        <v>184.4</v>
      </c>
      <c r="U75" s="261"/>
      <c r="V75" s="2131"/>
      <c r="W75" s="261"/>
      <c r="X75" s="2131"/>
      <c r="Y75" s="261"/>
      <c r="Z75" s="2131"/>
      <c r="AA75" s="261"/>
      <c r="AB75" s="250"/>
      <c r="AC75" s="1171">
        <f t="shared" si="3"/>
        <v>607.29999999999995</v>
      </c>
      <c r="AD75" s="261"/>
      <c r="AE75" s="250"/>
      <c r="AF75" s="516">
        <f>+'Exhibit G state'!AH74+'Exhibit G Federal'!AH45</f>
        <v>1443</v>
      </c>
      <c r="AG75" s="519"/>
      <c r="AH75" s="249"/>
      <c r="AI75" s="1171">
        <f t="shared" si="8"/>
        <v>-835.7</v>
      </c>
      <c r="AJ75" s="248"/>
      <c r="AK75" s="1864">
        <f>ROUND(IF(AF75=0,0,AI75/ABS(AF75)),3)</f>
        <v>-0.57899999999999996</v>
      </c>
    </row>
    <row r="76" spans="1:37" ht="15" customHeight="1">
      <c r="A76" s="223"/>
      <c r="B76" s="1830" t="s">
        <v>1350</v>
      </c>
      <c r="C76" s="223"/>
      <c r="D76" s="1351">
        <f>'Exhibit G state'!D75+'Exhibit G Federal'!D46</f>
        <v>11.2</v>
      </c>
      <c r="E76" s="261"/>
      <c r="F76" s="1351">
        <f>'Exhibit G state'!F75+'Exhibit G Federal'!F46</f>
        <v>9.3000000000000007</v>
      </c>
      <c r="G76" s="261"/>
      <c r="H76" s="1351">
        <f>'Exhibit G state'!H75+'Exhibit G Federal'!H46</f>
        <v>10.4</v>
      </c>
      <c r="J76" s="1351">
        <f>'Exhibit G state'!J75+'Exhibit G Federal'!J46</f>
        <v>24.6</v>
      </c>
      <c r="K76" s="261"/>
      <c r="L76" s="1327">
        <f>'Exhibit G state'!L75+'Exhibit G Federal'!L46</f>
        <v>9.2000000000000011</v>
      </c>
      <c r="M76" s="1327"/>
      <c r="N76" s="1327">
        <f>'Exhibit G state'!N75+'Exhibit G Federal'!N46</f>
        <v>11.700000000000001</v>
      </c>
      <c r="O76" s="1327"/>
      <c r="P76" s="1327">
        <f>'Exhibit G state'!P75+'Exhibit G Federal'!P46</f>
        <v>10.7</v>
      </c>
      <c r="Q76" s="1327"/>
      <c r="R76" s="1327">
        <f>'Exhibit G state'!R75+'Exhibit G Federal'!R46</f>
        <v>9</v>
      </c>
      <c r="S76" s="2131"/>
      <c r="T76" s="2131">
        <f>'Exhibit G state'!T75+'Exhibit G Federal'!T46</f>
        <v>15.4</v>
      </c>
      <c r="U76" s="261"/>
      <c r="V76" s="2131"/>
      <c r="W76" s="261"/>
      <c r="X76" s="2131"/>
      <c r="Y76" s="261"/>
      <c r="Z76" s="2131"/>
      <c r="AA76" s="261"/>
      <c r="AB76" s="250"/>
      <c r="AC76" s="1833">
        <f t="shared" si="3"/>
        <v>111.5</v>
      </c>
      <c r="AD76" s="261"/>
      <c r="AE76" s="250"/>
      <c r="AF76" s="516">
        <f>+'Exhibit G state'!AH75+'Exhibit G Federal'!AH46</f>
        <v>113.7</v>
      </c>
      <c r="AG76" s="519"/>
      <c r="AH76" s="249"/>
      <c r="AI76" s="1171">
        <f t="shared" si="8"/>
        <v>-2.2000000000000002</v>
      </c>
      <c r="AJ76" s="248"/>
      <c r="AK76" s="1864">
        <f>ROUND(IF(AF76=0,0,AI76/ABS(AF76)),3)</f>
        <v>-1.9E-2</v>
      </c>
    </row>
    <row r="77" spans="1:37" ht="15" customHeight="1">
      <c r="A77" s="223"/>
      <c r="B77" s="1830" t="s">
        <v>1351</v>
      </c>
      <c r="C77" s="223"/>
      <c r="D77" s="1351">
        <f>'Exhibit G state'!D76+'Exhibit G Federal'!D47</f>
        <v>0.6</v>
      </c>
      <c r="E77" s="261"/>
      <c r="F77" s="1351">
        <f>'Exhibit G state'!F76+'Exhibit G Federal'!F47</f>
        <v>3.5</v>
      </c>
      <c r="G77" s="261"/>
      <c r="H77" s="1351">
        <f>'Exhibit G state'!H76+'Exhibit G Federal'!H47</f>
        <v>1.2</v>
      </c>
      <c r="J77" s="1351">
        <f>'Exhibit G state'!J76+'Exhibit G Federal'!J47</f>
        <v>5.4</v>
      </c>
      <c r="K77" s="261"/>
      <c r="L77" s="1327">
        <f>'Exhibit G state'!L76+'Exhibit G Federal'!L47</f>
        <v>33.9</v>
      </c>
      <c r="M77" s="1327"/>
      <c r="N77" s="1327">
        <f>'Exhibit G state'!N76+'Exhibit G Federal'!N47</f>
        <v>0.5</v>
      </c>
      <c r="O77" s="1327"/>
      <c r="P77" s="1327">
        <f>'Exhibit G state'!P76+'Exhibit G Federal'!P47</f>
        <v>3.6</v>
      </c>
      <c r="Q77" s="1327"/>
      <c r="R77" s="1327">
        <f>'Exhibit G state'!R76+'Exhibit G Federal'!R47</f>
        <v>2.2000000000000002</v>
      </c>
      <c r="S77" s="2131"/>
      <c r="T77" s="2131">
        <f>'Exhibit G state'!T76+'Exhibit G Federal'!T47</f>
        <v>-18.8</v>
      </c>
      <c r="U77" s="261"/>
      <c r="V77" s="2131"/>
      <c r="W77" s="261"/>
      <c r="X77" s="2131"/>
      <c r="Y77" s="261"/>
      <c r="Z77" s="2131"/>
      <c r="AA77" s="261"/>
      <c r="AB77" s="250"/>
      <c r="AC77" s="1171">
        <f t="shared" si="3"/>
        <v>32.1</v>
      </c>
      <c r="AD77" s="261"/>
      <c r="AE77" s="250"/>
      <c r="AF77" s="516">
        <f>+'Exhibit G state'!AH76+'Exhibit G Federal'!AH47</f>
        <v>-16.899999999999999</v>
      </c>
      <c r="AG77" s="519"/>
      <c r="AH77" s="249"/>
      <c r="AI77" s="1171">
        <f t="shared" si="8"/>
        <v>49</v>
      </c>
      <c r="AJ77" s="248"/>
      <c r="AK77" s="2785">
        <f>ROUND(IF(AF77=0,1,AI77/ABS(AF77)),3)</f>
        <v>2.899</v>
      </c>
    </row>
    <row r="78" spans="1:37" ht="15" customHeight="1">
      <c r="A78" s="223"/>
      <c r="B78" s="1830" t="s">
        <v>1352</v>
      </c>
      <c r="C78" s="223"/>
      <c r="D78" s="1351">
        <f>'Exhibit G state'!D77+'Exhibit G Federal'!D48</f>
        <v>8.4</v>
      </c>
      <c r="E78" s="261"/>
      <c r="F78" s="1351">
        <f>'Exhibit G state'!F77+'Exhibit G Federal'!F48</f>
        <v>7.9</v>
      </c>
      <c r="G78" s="261"/>
      <c r="H78" s="1351">
        <f>'Exhibit G state'!H77+'Exhibit G Federal'!H48</f>
        <v>5.3</v>
      </c>
      <c r="J78" s="1351">
        <f>'Exhibit G state'!J77+'Exhibit G Federal'!J48</f>
        <v>2.7</v>
      </c>
      <c r="K78" s="261"/>
      <c r="L78" s="1327">
        <f>'Exhibit G state'!L77+'Exhibit G Federal'!L48</f>
        <v>7</v>
      </c>
      <c r="M78" s="1327"/>
      <c r="N78" s="1327">
        <f>'Exhibit G state'!N77+'Exhibit G Federal'!N48</f>
        <v>6.7</v>
      </c>
      <c r="O78" s="1327"/>
      <c r="P78" s="1327">
        <f>'Exhibit G state'!P77+'Exhibit G Federal'!P48</f>
        <v>6.8</v>
      </c>
      <c r="Q78" s="1327"/>
      <c r="R78" s="1327">
        <f>'Exhibit G state'!R77+'Exhibit G Federal'!R48</f>
        <v>2.2999999999999998</v>
      </c>
      <c r="S78" s="2131"/>
      <c r="T78" s="2131">
        <f>'Exhibit G state'!T77+'Exhibit G Federal'!T48</f>
        <v>5.9</v>
      </c>
      <c r="U78" s="261"/>
      <c r="V78" s="2131"/>
      <c r="W78" s="261"/>
      <c r="X78" s="2131"/>
      <c r="Y78" s="261"/>
      <c r="Z78" s="2131"/>
      <c r="AA78" s="261"/>
      <c r="AB78" s="250"/>
      <c r="AC78" s="1171">
        <f t="shared" si="3"/>
        <v>53</v>
      </c>
      <c r="AD78" s="261"/>
      <c r="AE78" s="250"/>
      <c r="AF78" s="516">
        <f>+'Exhibit G state'!AH77+'Exhibit G Federal'!AH48</f>
        <v>62.7</v>
      </c>
      <c r="AG78" s="519"/>
      <c r="AH78" s="249"/>
      <c r="AI78" s="1171">
        <f t="shared" si="8"/>
        <v>-9.6999999999999993</v>
      </c>
      <c r="AJ78" s="248"/>
      <c r="AK78" s="1864">
        <f>ROUND(IF(AF78=0,0,AI78/ABS(AF78)),3)</f>
        <v>-0.155</v>
      </c>
    </row>
    <row r="79" spans="1:37" ht="15" customHeight="1">
      <c r="A79" s="223"/>
      <c r="B79" s="1830" t="s">
        <v>1353</v>
      </c>
      <c r="C79" s="223"/>
      <c r="D79" s="1351">
        <f>'Exhibit G state'!D78+'Exhibit G Federal'!D49</f>
        <v>6.4</v>
      </c>
      <c r="E79" s="261"/>
      <c r="F79" s="1351">
        <f>'Exhibit G state'!F78+'Exhibit G Federal'!F49</f>
        <v>-2.1</v>
      </c>
      <c r="G79" s="261"/>
      <c r="H79" s="1351">
        <f>'Exhibit G state'!H78+'Exhibit G Federal'!H49</f>
        <v>0.5</v>
      </c>
      <c r="J79" s="1351">
        <f>'Exhibit G state'!J78+'Exhibit G Federal'!J49</f>
        <v>20.400000000000002</v>
      </c>
      <c r="K79" s="261"/>
      <c r="L79" s="1327">
        <f>'Exhibit G state'!L78+'Exhibit G Federal'!L49</f>
        <v>1</v>
      </c>
      <c r="M79" s="1327"/>
      <c r="N79" s="1327">
        <f>'Exhibit G state'!N78+'Exhibit G Federal'!N49</f>
        <v>0.7</v>
      </c>
      <c r="O79" s="1327"/>
      <c r="P79" s="1327">
        <f>'Exhibit G state'!P78+'Exhibit G Federal'!P49</f>
        <v>2.8400000000000003</v>
      </c>
      <c r="Q79" s="1327"/>
      <c r="R79" s="1327">
        <f>'Exhibit G state'!R78+'Exhibit G Federal'!R49</f>
        <v>1.6</v>
      </c>
      <c r="S79" s="2131"/>
      <c r="T79" s="2131">
        <f>'Exhibit G state'!T78+'Exhibit G Federal'!T49</f>
        <v>1.8</v>
      </c>
      <c r="U79" s="261"/>
      <c r="V79" s="2131"/>
      <c r="W79" s="261"/>
      <c r="X79" s="2131"/>
      <c r="Y79" s="261"/>
      <c r="Z79" s="2131"/>
      <c r="AA79" s="261"/>
      <c r="AB79" s="250"/>
      <c r="AC79" s="1171">
        <f t="shared" si="3"/>
        <v>33.1</v>
      </c>
      <c r="AD79" s="261"/>
      <c r="AE79" s="250"/>
      <c r="AF79" s="516">
        <f>+'Exhibit G state'!AH78+'Exhibit G Federal'!AH49</f>
        <v>24</v>
      </c>
      <c r="AG79" s="519"/>
      <c r="AH79" s="249"/>
      <c r="AI79" s="1171">
        <f t="shared" si="8"/>
        <v>9.1</v>
      </c>
      <c r="AJ79" s="248"/>
      <c r="AK79" s="2880">
        <f>ROUND(IF(AF79=0,0,AI79/ABS(AF79)),3)</f>
        <v>0.379</v>
      </c>
    </row>
    <row r="80" spans="1:37" ht="15" customHeight="1">
      <c r="A80" s="223"/>
      <c r="B80" s="1830" t="s">
        <v>1325</v>
      </c>
      <c r="C80" s="223"/>
      <c r="D80" s="1351">
        <f>'Exhibit G state'!D79+'Exhibit G Federal'!D50</f>
        <v>0.9</v>
      </c>
      <c r="E80" s="261"/>
      <c r="F80" s="1351">
        <f>'Exhibit G state'!F79+'Exhibit G Federal'!F50</f>
        <v>4.5</v>
      </c>
      <c r="G80" s="261"/>
      <c r="H80" s="1351">
        <f>'Exhibit G state'!H79+'Exhibit G Federal'!H50</f>
        <v>1.5</v>
      </c>
      <c r="J80" s="1351">
        <f>'Exhibit G state'!J79+'Exhibit G Federal'!J50</f>
        <v>0.7</v>
      </c>
      <c r="K80" s="261"/>
      <c r="L80" s="1327">
        <f>'Exhibit G state'!L79+'Exhibit G Federal'!L50</f>
        <v>1.2</v>
      </c>
      <c r="M80" s="1327"/>
      <c r="N80" s="1327">
        <f>'Exhibit G state'!N79+'Exhibit G Federal'!N50</f>
        <v>1.9</v>
      </c>
      <c r="O80" s="1327"/>
      <c r="P80" s="1327">
        <f>'Exhibit G state'!P79+'Exhibit G Federal'!P50</f>
        <v>0.9</v>
      </c>
      <c r="Q80" s="1327"/>
      <c r="R80" s="1327">
        <f>'Exhibit G state'!R79+'Exhibit G Federal'!R50</f>
        <v>1.6</v>
      </c>
      <c r="S80" s="2131"/>
      <c r="T80" s="2131">
        <f>'Exhibit G state'!T79+'Exhibit G Federal'!T50</f>
        <v>1.5</v>
      </c>
      <c r="U80" s="261"/>
      <c r="V80" s="2131"/>
      <c r="W80" s="261"/>
      <c r="X80" s="2131"/>
      <c r="Y80" s="261"/>
      <c r="Z80" s="2131"/>
      <c r="AA80" s="261"/>
      <c r="AB80" s="250"/>
      <c r="AC80" s="261">
        <f t="shared" si="3"/>
        <v>14.7</v>
      </c>
      <c r="AD80" s="261"/>
      <c r="AE80" s="250"/>
      <c r="AF80" s="516">
        <f>+'Exhibit G state'!AH79+'Exhibit G Federal'!AH50</f>
        <v>14.5</v>
      </c>
      <c r="AG80" s="519"/>
      <c r="AH80" s="249"/>
      <c r="AI80" s="1171">
        <f t="shared" si="8"/>
        <v>0.2</v>
      </c>
      <c r="AJ80" s="248"/>
      <c r="AK80" s="1864">
        <f>ROUND(IF(AF80=0,0,AI80/ABS(AF80)),3)</f>
        <v>1.4E-2</v>
      </c>
    </row>
    <row r="81" spans="1:44" ht="15" customHeight="1">
      <c r="A81" s="223"/>
      <c r="B81" s="1830" t="s">
        <v>1326</v>
      </c>
      <c r="C81" s="223"/>
      <c r="D81" s="1351">
        <f>'Exhibit G state'!D80+'Exhibit G Federal'!D51</f>
        <v>125.2</v>
      </c>
      <c r="E81" s="261"/>
      <c r="F81" s="1351">
        <f>'Exhibit G state'!F80+'Exhibit G Federal'!F51</f>
        <v>76.099999999999994</v>
      </c>
      <c r="G81" s="261"/>
      <c r="H81" s="1351">
        <f>'Exhibit G state'!H80+'Exhibit G Federal'!H51</f>
        <v>92.5</v>
      </c>
      <c r="J81" s="1351">
        <f>'Exhibit G state'!J80+'Exhibit G Federal'!J51</f>
        <v>92.9</v>
      </c>
      <c r="K81" s="261"/>
      <c r="L81" s="1327">
        <f>'Exhibit G state'!L80+'Exhibit G Federal'!L51</f>
        <v>203</v>
      </c>
      <c r="M81" s="1327"/>
      <c r="N81" s="1327">
        <f>'Exhibit G state'!N80+'Exhibit G Federal'!N51</f>
        <v>420.3</v>
      </c>
      <c r="O81" s="1327"/>
      <c r="P81" s="1327">
        <f>'Exhibit G state'!P80+'Exhibit G Federal'!P51</f>
        <v>225.4</v>
      </c>
      <c r="Q81" s="1327"/>
      <c r="R81" s="1327">
        <f>'Exhibit G state'!R80+'Exhibit G Federal'!R51</f>
        <v>129.19999999999999</v>
      </c>
      <c r="S81" s="2131"/>
      <c r="T81" s="2131">
        <f>'Exhibit G state'!T80+'Exhibit G Federal'!T51</f>
        <v>92.5</v>
      </c>
      <c r="U81" s="261"/>
      <c r="V81" s="2131"/>
      <c r="W81" s="261"/>
      <c r="X81" s="2131"/>
      <c r="Y81" s="261"/>
      <c r="Z81" s="2131"/>
      <c r="AA81" s="261"/>
      <c r="AB81" s="250"/>
      <c r="AC81" s="261">
        <f t="shared" si="3"/>
        <v>1457.1</v>
      </c>
      <c r="AD81" s="261"/>
      <c r="AE81" s="250"/>
      <c r="AF81" s="516">
        <f>+'Exhibit G state'!AH80+'Exhibit G Federal'!AH51</f>
        <v>1373.6</v>
      </c>
      <c r="AG81" s="519"/>
      <c r="AH81" s="249"/>
      <c r="AI81" s="1171">
        <f t="shared" si="8"/>
        <v>83.5</v>
      </c>
      <c r="AJ81" s="248"/>
      <c r="AK81" s="1864">
        <f>ROUND(IF(AF81=0,0,AI81/ABS(AF81)),3)</f>
        <v>6.0999999999999999E-2</v>
      </c>
    </row>
    <row r="82" spans="1:44" s="413" customFormat="1" ht="15" customHeight="1">
      <c r="A82" s="221"/>
      <c r="B82" s="589" t="s">
        <v>1582</v>
      </c>
      <c r="C82" s="221"/>
      <c r="D82" s="484">
        <f>ROUND(SUM(D44:D81),1)</f>
        <v>451.1</v>
      </c>
      <c r="E82" s="2101"/>
      <c r="F82" s="484">
        <f>ROUND(SUM(F44:F81),1)</f>
        <v>1603.7</v>
      </c>
      <c r="G82" s="2101"/>
      <c r="H82" s="484">
        <f>ROUND(SUM(H44:H81),1)</f>
        <v>1405.1</v>
      </c>
      <c r="I82"/>
      <c r="J82" s="484">
        <f>ROUND(SUM(J44:J81),1)</f>
        <v>1428.5</v>
      </c>
      <c r="K82" s="1886"/>
      <c r="L82" s="484">
        <f>ROUND(SUM(L44:L81),1)</f>
        <v>1274.9000000000001</v>
      </c>
      <c r="M82" s="1886"/>
      <c r="N82" s="484">
        <f>ROUND(SUM(N44:N81),1)</f>
        <v>1736.6</v>
      </c>
      <c r="O82" s="1886"/>
      <c r="P82" s="484">
        <f>ROUND(SUM(P44:P81),1)</f>
        <v>1395</v>
      </c>
      <c r="Q82" s="1886"/>
      <c r="R82" s="484">
        <f>ROUND(SUM(R44:R81),1)</f>
        <v>1184.4000000000001</v>
      </c>
      <c r="S82" s="1886"/>
      <c r="T82" s="484">
        <f>ROUND(SUM(T44:T81),1)</f>
        <v>1557.1</v>
      </c>
      <c r="U82" s="1886"/>
      <c r="V82" s="484">
        <f>ROUND(SUM(V44:V81),1)</f>
        <v>0</v>
      </c>
      <c r="W82" s="1886"/>
      <c r="X82" s="484">
        <f>ROUND(SUM(X44:X81),1)</f>
        <v>0</v>
      </c>
      <c r="Y82" s="1886"/>
      <c r="Z82" s="484">
        <f>ROUND(SUM(Z44:Z81),1)</f>
        <v>0</v>
      </c>
      <c r="AA82" s="1886"/>
      <c r="AB82" s="259"/>
      <c r="AC82" s="484">
        <f>ROUND(SUM(AC44:AC81),1)</f>
        <v>12036.4</v>
      </c>
      <c r="AD82" s="1886"/>
      <c r="AE82" s="259"/>
      <c r="AF82" s="484">
        <f>ROUND(SUM(AF44:AF81),1)</f>
        <v>12058.1</v>
      </c>
      <c r="AG82" s="522"/>
      <c r="AH82" s="273"/>
      <c r="AI82" s="484">
        <f>ROUND(SUM(AI44:AI81),1)</f>
        <v>-21.7</v>
      </c>
      <c r="AJ82" s="1017"/>
      <c r="AK82" s="2102">
        <f>ROUND(SUM(+AI82/AF82),3)</f>
        <v>-2E-3</v>
      </c>
    </row>
    <row r="83" spans="1:44" ht="15" customHeight="1">
      <c r="A83" s="223"/>
      <c r="B83" s="1720"/>
      <c r="C83" s="223"/>
      <c r="D83" s="1171"/>
      <c r="E83" s="1173"/>
      <c r="F83" s="261"/>
      <c r="G83" s="1173"/>
      <c r="H83" s="261"/>
      <c r="J83" s="261"/>
      <c r="K83" s="261"/>
      <c r="L83" s="261"/>
      <c r="M83" s="261"/>
      <c r="N83" s="274"/>
      <c r="O83" s="261"/>
      <c r="P83" s="274"/>
      <c r="Q83" s="261"/>
      <c r="R83" s="274"/>
      <c r="S83" s="261"/>
      <c r="T83" s="274"/>
      <c r="U83" s="261"/>
      <c r="V83" s="274"/>
      <c r="W83" s="261"/>
      <c r="X83" s="274"/>
      <c r="Y83" s="261"/>
      <c r="Z83" s="518"/>
      <c r="AA83" s="261"/>
      <c r="AB83" s="250"/>
      <c r="AC83" s="261"/>
      <c r="AD83" s="261"/>
      <c r="AE83" s="250"/>
      <c r="AF83" s="261"/>
      <c r="AG83" s="515"/>
      <c r="AH83" s="249"/>
      <c r="AI83" s="1171"/>
      <c r="AJ83" s="248"/>
      <c r="AK83" s="1932"/>
    </row>
    <row r="84" spans="1:44" ht="15" customHeight="1">
      <c r="A84" s="223"/>
      <c r="B84" s="520" t="s">
        <v>155</v>
      </c>
      <c r="C84" s="223"/>
      <c r="D84" s="1327">
        <f>+'Exhibit G state'!D83+'Exhibit G Federal'!D54</f>
        <v>1629</v>
      </c>
      <c r="E84" s="261"/>
      <c r="F84" s="1327">
        <f>+'Exhibit G state'!F83+'Exhibit G Federal'!F54</f>
        <v>4578.6000000000004</v>
      </c>
      <c r="G84" s="261"/>
      <c r="H84" s="1327">
        <f>+'Exhibit G state'!H83+'Exhibit G Federal'!H54</f>
        <v>4431.8</v>
      </c>
      <c r="J84" s="1327">
        <f>+'Exhibit G state'!J83+'Exhibit G Federal'!J54</f>
        <v>3672.7</v>
      </c>
      <c r="K84" s="1327"/>
      <c r="L84" s="1327">
        <f>+'Exhibit G state'!L83+'Exhibit G Federal'!L54</f>
        <v>4237.6000000000004</v>
      </c>
      <c r="M84" s="1327"/>
      <c r="N84" s="1327">
        <f>+'Exhibit G state'!N83+'Exhibit G Federal'!N54</f>
        <v>4052.1</v>
      </c>
      <c r="O84" s="1327"/>
      <c r="P84" s="1327">
        <f>+'Exhibit G state'!P83+'Exhibit G Federal'!P54</f>
        <v>3293.9</v>
      </c>
      <c r="Q84" s="1327"/>
      <c r="R84" s="1327">
        <f>+'Exhibit G state'!R83+'Exhibit G Federal'!R54</f>
        <v>4394.4000000000005</v>
      </c>
      <c r="S84" s="2131">
        <f>+'Exhibit G state'!S83+'Exhibit G Federal'!S54</f>
        <v>0</v>
      </c>
      <c r="T84" s="2131">
        <f>+'Exhibit G state'!T83+'Exhibit G Federal'!T54</f>
        <v>5196.3</v>
      </c>
      <c r="U84" s="261"/>
      <c r="V84" s="2131"/>
      <c r="W84" s="261"/>
      <c r="X84" s="2131"/>
      <c r="Y84" s="261"/>
      <c r="Z84" s="2131"/>
      <c r="AA84" s="261"/>
      <c r="AB84" s="250"/>
      <c r="AC84" s="261">
        <f t="shared" si="3"/>
        <v>35486.400000000001</v>
      </c>
      <c r="AD84" s="261"/>
      <c r="AE84" s="250"/>
      <c r="AF84" s="516">
        <f>'Exhibit G state'!AH83+'Exhibit G Federal'!AH54</f>
        <v>33364</v>
      </c>
      <c r="AG84" s="515"/>
      <c r="AH84" s="249"/>
      <c r="AI84" s="1908">
        <f>ROUND(SUM(+AC84-AF84),1)</f>
        <v>2122.4</v>
      </c>
      <c r="AJ84" s="1003"/>
      <c r="AK84" s="1864">
        <f>ROUND(IF(AF84=0,0,AI84/ABS(AF84)),3)</f>
        <v>6.4000000000000001E-2</v>
      </c>
    </row>
    <row r="85" spans="1:44" ht="15" customHeight="1">
      <c r="A85" s="223"/>
      <c r="B85" s="223"/>
      <c r="C85" s="223"/>
      <c r="D85" s="289"/>
      <c r="E85" s="261"/>
      <c r="F85" s="289"/>
      <c r="G85" s="261"/>
      <c r="H85" s="289"/>
      <c r="J85" s="289"/>
      <c r="K85" s="261"/>
      <c r="L85" s="289"/>
      <c r="M85" s="261"/>
      <c r="N85" s="289"/>
      <c r="O85" s="261"/>
      <c r="P85" s="289"/>
      <c r="Q85" s="261"/>
      <c r="R85" s="289"/>
      <c r="S85" s="261"/>
      <c r="T85" s="289"/>
      <c r="U85" s="261"/>
      <c r="V85" s="289"/>
      <c r="W85" s="261"/>
      <c r="X85" s="289"/>
      <c r="Y85" s="261"/>
      <c r="Z85" s="289"/>
      <c r="AA85" s="261"/>
      <c r="AB85" s="250"/>
      <c r="AC85" s="289"/>
      <c r="AD85" s="261"/>
      <c r="AE85" s="250"/>
      <c r="AF85" s="289"/>
      <c r="AG85" s="515"/>
      <c r="AH85" s="249"/>
      <c r="AI85" s="2742"/>
      <c r="AK85" s="2747"/>
    </row>
    <row r="86" spans="1:44" ht="15" customHeight="1">
      <c r="A86" s="223"/>
      <c r="B86" s="221" t="s">
        <v>156</v>
      </c>
      <c r="C86" s="223"/>
      <c r="D86" s="1886">
        <f>ROUND(SUM(D84+D82+D40),1)</f>
        <v>2479.6999999999998</v>
      </c>
      <c r="E86" s="257"/>
      <c r="F86" s="1886">
        <f>ROUND(SUM(F84+F82+F40),1)</f>
        <v>6460.1</v>
      </c>
      <c r="G86" s="257"/>
      <c r="H86" s="1886">
        <f>ROUND(SUM(H84+H82+H40),1)</f>
        <v>6801</v>
      </c>
      <c r="J86" s="1886">
        <f>ROUND(SUM(J84+J82+J40),1)</f>
        <v>5452.2</v>
      </c>
      <c r="K86" s="257"/>
      <c r="L86" s="1886">
        <f>ROUND(SUM(L84+L82+L40),1)</f>
        <v>5831.3</v>
      </c>
      <c r="M86" s="257"/>
      <c r="N86" s="1886">
        <f>ROUND(SUM(N84+N82+N40),1)</f>
        <v>6485.4</v>
      </c>
      <c r="O86" s="257"/>
      <c r="P86" s="1886">
        <f>ROUND(SUM(P84+P82+P40),1)</f>
        <v>5012.8</v>
      </c>
      <c r="Q86" s="257"/>
      <c r="R86" s="1886">
        <f>ROUND(SUM(R84+R82+R40),1)</f>
        <v>5921.5</v>
      </c>
      <c r="S86" s="257"/>
      <c r="T86" s="1886">
        <f>ROUND(SUM(T84+T82+T40),1)</f>
        <v>7401.9</v>
      </c>
      <c r="U86" s="257"/>
      <c r="V86" s="1886">
        <f>ROUND(SUM(V84+V82+V40),1)</f>
        <v>0</v>
      </c>
      <c r="W86" s="257"/>
      <c r="X86" s="1886">
        <f>ROUND(SUM(X84+X82+X40),1)</f>
        <v>0</v>
      </c>
      <c r="Y86" s="257"/>
      <c r="Z86" s="1886">
        <f>ROUND(SUM(Z84+Z82+Z40),1)</f>
        <v>0</v>
      </c>
      <c r="AA86" s="257"/>
      <c r="AB86" s="259"/>
      <c r="AC86" s="1886">
        <f>ROUND(SUM(AC84+AC82+AC40),1)</f>
        <v>51845.9</v>
      </c>
      <c r="AD86" s="257"/>
      <c r="AE86" s="259"/>
      <c r="AF86" s="1886">
        <f>ROUND(SUM(AF84+AF82+AF40),1)</f>
        <v>49746.5</v>
      </c>
      <c r="AG86" s="522"/>
      <c r="AH86" s="273"/>
      <c r="AI86" s="271">
        <f>ROUND(SUM(AI84+AI82+AI40),1)</f>
        <v>2099.4</v>
      </c>
      <c r="AJ86" s="524"/>
      <c r="AK86" s="1935">
        <f>ROUND(SUM(+AI86/AF86),3)</f>
        <v>4.2000000000000003E-2</v>
      </c>
    </row>
    <row r="87" spans="1:44" ht="15" customHeight="1">
      <c r="A87" s="223"/>
      <c r="B87" s="223"/>
      <c r="C87" s="223"/>
      <c r="D87" s="289"/>
      <c r="E87" s="261"/>
      <c r="F87" s="289"/>
      <c r="G87" s="261"/>
      <c r="H87" s="289"/>
      <c r="J87" s="289"/>
      <c r="K87" s="261"/>
      <c r="L87" s="289"/>
      <c r="M87" s="261"/>
      <c r="N87" s="289"/>
      <c r="O87" s="261"/>
      <c r="P87" s="289"/>
      <c r="Q87" s="261"/>
      <c r="R87" s="289"/>
      <c r="S87" s="261"/>
      <c r="T87" s="289"/>
      <c r="U87" s="261"/>
      <c r="V87" s="289"/>
      <c r="W87" s="261"/>
      <c r="X87" s="289"/>
      <c r="Y87" s="261"/>
      <c r="Z87" s="289"/>
      <c r="AA87" s="261"/>
      <c r="AB87" s="250"/>
      <c r="AC87" s="289"/>
      <c r="AD87" s="261"/>
      <c r="AE87" s="250"/>
      <c r="AF87" s="289"/>
      <c r="AG87" s="515"/>
      <c r="AH87" s="249"/>
      <c r="AI87" s="1171"/>
      <c r="AK87" s="1932"/>
    </row>
    <row r="88" spans="1:44" ht="15" customHeight="1">
      <c r="A88" s="223"/>
      <c r="B88" s="376" t="s">
        <v>24</v>
      </c>
      <c r="C88" s="223"/>
      <c r="D88" s="261"/>
      <c r="E88" s="261"/>
      <c r="F88" s="261"/>
      <c r="G88" s="261"/>
      <c r="H88" s="261"/>
      <c r="J88" s="261"/>
      <c r="K88" s="261"/>
      <c r="L88" s="261"/>
      <c r="M88" s="261"/>
      <c r="N88" s="261"/>
      <c r="O88" s="261"/>
      <c r="P88" s="261"/>
      <c r="Q88" s="261"/>
      <c r="R88" s="261"/>
      <c r="S88" s="261"/>
      <c r="T88" s="261"/>
      <c r="U88" s="261"/>
      <c r="V88" s="261"/>
      <c r="W88" s="261"/>
      <c r="X88" s="261"/>
      <c r="Y88" s="261"/>
      <c r="Z88" s="261"/>
      <c r="AA88" s="261"/>
      <c r="AB88" s="250"/>
      <c r="AC88" s="261"/>
      <c r="AD88" s="1635"/>
      <c r="AE88" s="1632"/>
      <c r="AF88" s="261"/>
      <c r="AG88" s="515"/>
      <c r="AH88" s="249"/>
      <c r="AI88" s="1171"/>
      <c r="AK88" s="1932"/>
    </row>
    <row r="89" spans="1:44" ht="15" customHeight="1">
      <c r="A89" s="223"/>
      <c r="B89" s="1358" t="s">
        <v>157</v>
      </c>
      <c r="C89" s="223"/>
      <c r="D89" s="261"/>
      <c r="E89" s="261"/>
      <c r="F89" s="274"/>
      <c r="G89" s="261"/>
      <c r="H89" s="319"/>
      <c r="J89" s="319"/>
      <c r="K89" s="261"/>
      <c r="L89" s="319"/>
      <c r="M89" s="261"/>
      <c r="N89" s="274"/>
      <c r="O89" s="261"/>
      <c r="P89" s="274"/>
      <c r="Q89" s="261"/>
      <c r="R89" s="274"/>
      <c r="S89" s="261"/>
      <c r="T89" s="274"/>
      <c r="U89" s="261"/>
      <c r="V89" s="274"/>
      <c r="W89" s="261"/>
      <c r="X89" s="261"/>
      <c r="Y89" s="261"/>
      <c r="Z89" s="518"/>
      <c r="AA89" s="261"/>
      <c r="AB89" s="250"/>
      <c r="AC89" s="261"/>
      <c r="AD89" s="261"/>
      <c r="AE89" s="250"/>
      <c r="AF89" s="319"/>
      <c r="AG89" s="515"/>
      <c r="AH89" s="249"/>
      <c r="AI89" s="1171"/>
      <c r="AK89" s="1268"/>
    </row>
    <row r="90" spans="1:44" ht="15" customHeight="1">
      <c r="A90" s="223"/>
      <c r="B90" s="382" t="s">
        <v>26</v>
      </c>
      <c r="C90" s="223"/>
      <c r="D90" s="1327">
        <f>+'Exhibit G state'!D89+'Exhibit G Federal'!D60</f>
        <v>324.20000000000005</v>
      </c>
      <c r="E90" s="261"/>
      <c r="F90" s="1327">
        <f>+'Exhibit G state'!F89+'Exhibit G Federal'!F60</f>
        <v>445.40000000000003</v>
      </c>
      <c r="G90" s="261"/>
      <c r="H90" s="1327">
        <f>+'Exhibit G state'!H89+'Exhibit G Federal'!H60</f>
        <v>970.90000000000009</v>
      </c>
      <c r="J90" s="1327">
        <f>+'Exhibit G state'!J89+'Exhibit G Federal'!J60</f>
        <v>227.5</v>
      </c>
      <c r="K90" s="1327"/>
      <c r="L90" s="1327">
        <f>+'Exhibit G state'!L89+'Exhibit G Federal'!L60</f>
        <v>144.9</v>
      </c>
      <c r="M90" s="1327"/>
      <c r="N90" s="1327">
        <f>+'Exhibit G state'!N89+'Exhibit G Federal'!N60</f>
        <v>2596.4</v>
      </c>
      <c r="O90" s="1327"/>
      <c r="P90" s="1327">
        <f>+'Exhibit G state'!P89+'Exhibit G Federal'!P60</f>
        <v>202.9</v>
      </c>
      <c r="Q90" s="1327"/>
      <c r="R90" s="1327">
        <f>+'Exhibit G state'!R89+'Exhibit G Federal'!R60</f>
        <v>885.1</v>
      </c>
      <c r="S90" s="2131"/>
      <c r="T90" s="2131">
        <f>+'Exhibit G state'!T89+'Exhibit G Federal'!T60</f>
        <v>578.20000000000005</v>
      </c>
      <c r="U90" s="261"/>
      <c r="V90" s="2131"/>
      <c r="W90" s="261"/>
      <c r="X90" s="2131"/>
      <c r="Y90" s="261"/>
      <c r="Z90" s="2131"/>
      <c r="AA90" s="261"/>
      <c r="AB90" s="250"/>
      <c r="AC90" s="261">
        <f>ROUND(SUM(D90:Z90),1)</f>
        <v>6375.5</v>
      </c>
      <c r="AD90" s="261"/>
      <c r="AE90" s="250"/>
      <c r="AF90" s="262">
        <f>'Exhibit G state'!AH89+'Exhibit G Federal'!AH60</f>
        <v>5931.6</v>
      </c>
      <c r="AG90" s="515"/>
      <c r="AH90" s="249"/>
      <c r="AI90" s="1171">
        <f>ROUND(SUM(+AC90-AF90),1)</f>
        <v>443.9</v>
      </c>
      <c r="AJ90" s="1003"/>
      <c r="AK90" s="1864">
        <f>ROUND(IF(AF90=0,0,AI90/ABS(AF90)),3)</f>
        <v>7.4999999999999997E-2</v>
      </c>
      <c r="AQ90" s="342"/>
      <c r="AR90" s="475"/>
    </row>
    <row r="91" spans="1:44" ht="15" customHeight="1">
      <c r="A91" s="223"/>
      <c r="B91" s="382" t="s">
        <v>27</v>
      </c>
      <c r="C91" s="223"/>
      <c r="D91" s="1327">
        <f>+'Exhibit G state'!D90+'Exhibit G Federal'!D61</f>
        <v>0.3</v>
      </c>
      <c r="E91" s="261"/>
      <c r="F91" s="1327">
        <f>+'Exhibit G state'!F90+'Exhibit G Federal'!F61</f>
        <v>1</v>
      </c>
      <c r="G91" s="261"/>
      <c r="H91" s="1327">
        <f>+'Exhibit G state'!H90+'Exhibit G Federal'!H61</f>
        <v>0.5</v>
      </c>
      <c r="J91" s="1327">
        <f>+'Exhibit G state'!J90+'Exhibit G Federal'!J61</f>
        <v>0.5</v>
      </c>
      <c r="K91" s="261"/>
      <c r="L91" s="1327">
        <f>+'Exhibit G state'!L90+'Exhibit G Federal'!L61</f>
        <v>0.89999999999999991</v>
      </c>
      <c r="M91" s="1327"/>
      <c r="N91" s="1327">
        <f>+'Exhibit G state'!N90+'Exhibit G Federal'!N61</f>
        <v>0.2</v>
      </c>
      <c r="O91" s="1327"/>
      <c r="P91" s="1327">
        <f>+'Exhibit G state'!P90+'Exhibit G Federal'!P61</f>
        <v>0</v>
      </c>
      <c r="Q91" s="1327"/>
      <c r="R91" s="1327">
        <f>+'Exhibit G state'!R90+'Exhibit G Federal'!R61</f>
        <v>0.1</v>
      </c>
      <c r="S91" s="2131"/>
      <c r="T91" s="2131">
        <f>+'Exhibit G state'!T90+'Exhibit G Federal'!T61</f>
        <v>2.1</v>
      </c>
      <c r="U91" s="261"/>
      <c r="V91" s="2131"/>
      <c r="W91" s="261"/>
      <c r="X91" s="2131"/>
      <c r="Y91" s="261"/>
      <c r="Z91" s="2131"/>
      <c r="AA91" s="261"/>
      <c r="AB91" s="250"/>
      <c r="AC91" s="261">
        <f>ROUND(SUM(D91:Z91),1)</f>
        <v>5.6</v>
      </c>
      <c r="AD91" s="261"/>
      <c r="AE91" s="250"/>
      <c r="AF91" s="262">
        <f>'Exhibit G state'!AH90+'Exhibit G Federal'!AH61</f>
        <v>3.7</v>
      </c>
      <c r="AG91" s="515"/>
      <c r="AH91" s="249"/>
      <c r="AI91" s="1171">
        <f>ROUND(SUM(+AC91-AF91),1)</f>
        <v>1.9</v>
      </c>
      <c r="AJ91" s="1003"/>
      <c r="AK91" s="1864">
        <f>ROUND(IF(AF91=0,0,AI91/ABS(AF91)),3)</f>
        <v>0.51400000000000001</v>
      </c>
      <c r="AQ91" s="475"/>
      <c r="AR91" s="475"/>
    </row>
    <row r="92" spans="1:44" ht="15" customHeight="1">
      <c r="A92" s="223"/>
      <c r="B92" s="382" t="s">
        <v>28</v>
      </c>
      <c r="C92" s="223"/>
      <c r="D92" s="1327">
        <f>+'Exhibit G state'!D91+'Exhibit G Federal'!D62</f>
        <v>12.700000000000001</v>
      </c>
      <c r="E92" s="261"/>
      <c r="F92" s="1327">
        <f>+'Exhibit G state'!F91+'Exhibit G Federal'!F62</f>
        <v>27.2</v>
      </c>
      <c r="G92" s="261"/>
      <c r="H92" s="1327">
        <f>+'Exhibit G state'!H91+'Exhibit G Federal'!H62</f>
        <v>6.1000000000000005</v>
      </c>
      <c r="J92" s="1327">
        <f>+'Exhibit G state'!J91+'Exhibit G Federal'!J62</f>
        <v>22.400000000000002</v>
      </c>
      <c r="K92" s="261"/>
      <c r="L92" s="1327">
        <f>+'Exhibit G state'!L91+'Exhibit G Federal'!L62</f>
        <v>16.7</v>
      </c>
      <c r="M92" s="1327"/>
      <c r="N92" s="1327">
        <f>+'Exhibit G state'!N91+'Exhibit G Federal'!N62</f>
        <v>14.4</v>
      </c>
      <c r="O92" s="1327"/>
      <c r="P92" s="1327">
        <f>+'Exhibit G state'!P91+'Exhibit G Federal'!P62</f>
        <v>3.3</v>
      </c>
      <c r="Q92" s="1327"/>
      <c r="R92" s="1327">
        <f>+'Exhibit G state'!R91+'Exhibit G Federal'!R62</f>
        <v>37.199999999999996</v>
      </c>
      <c r="S92" s="2131"/>
      <c r="T92" s="2131">
        <f>+'Exhibit G state'!T91+'Exhibit G Federal'!T62</f>
        <v>16.900000000000002</v>
      </c>
      <c r="U92" s="261"/>
      <c r="V92" s="2131"/>
      <c r="W92" s="261"/>
      <c r="X92" s="2131"/>
      <c r="Y92" s="261"/>
      <c r="Z92" s="2131"/>
      <c r="AA92" s="261"/>
      <c r="AB92" s="250"/>
      <c r="AC92" s="261">
        <f>ROUND(SUM(D92:Z92),1)</f>
        <v>156.9</v>
      </c>
      <c r="AD92" s="261"/>
      <c r="AE92" s="250"/>
      <c r="AF92" s="262">
        <f>'Exhibit G state'!AH91+'Exhibit G Federal'!AH62</f>
        <v>201.1</v>
      </c>
      <c r="AG92" s="515"/>
      <c r="AH92" s="249"/>
      <c r="AI92" s="1171">
        <f>ROUND(SUM(+AC92-AF92),1)</f>
        <v>-44.2</v>
      </c>
      <c r="AJ92" s="1003"/>
      <c r="AK92" s="1864">
        <f>ROUND(IF(AF92=0,0,AI92/ABS(AF92)),3)</f>
        <v>-0.22</v>
      </c>
      <c r="AQ92" s="475"/>
      <c r="AR92" s="475"/>
    </row>
    <row r="93" spans="1:44" ht="15" customHeight="1">
      <c r="A93" s="223"/>
      <c r="B93" s="382" t="s">
        <v>29</v>
      </c>
      <c r="C93" s="223"/>
      <c r="D93" s="249"/>
      <c r="E93" s="261"/>
      <c r="F93" s="249"/>
      <c r="G93" s="261"/>
      <c r="H93" s="249"/>
      <c r="J93" s="1327"/>
      <c r="K93" s="261"/>
      <c r="L93" s="1327"/>
      <c r="M93" s="261"/>
      <c r="N93" s="249"/>
      <c r="O93" s="261"/>
      <c r="P93" s="261"/>
      <c r="Q93" s="261"/>
      <c r="R93" s="261"/>
      <c r="S93" s="261"/>
      <c r="T93" s="249"/>
      <c r="U93" s="261"/>
      <c r="V93" s="249"/>
      <c r="W93" s="261"/>
      <c r="X93" s="2131"/>
      <c r="Y93" s="261"/>
      <c r="Z93" s="2131"/>
      <c r="AA93" s="261"/>
      <c r="AB93" s="250"/>
      <c r="AC93" s="261"/>
      <c r="AD93" s="261"/>
      <c r="AE93" s="250"/>
      <c r="AF93" s="262"/>
      <c r="AG93" s="515"/>
      <c r="AH93" s="249"/>
      <c r="AI93" s="1171" t="s">
        <v>16</v>
      </c>
      <c r="AJ93" s="1267" t="s">
        <v>16</v>
      </c>
      <c r="AK93" s="1268" t="s">
        <v>16</v>
      </c>
      <c r="AQ93" s="342"/>
      <c r="AR93" s="342"/>
    </row>
    <row r="94" spans="1:44" ht="15" customHeight="1">
      <c r="A94" s="223"/>
      <c r="B94" s="1721" t="s">
        <v>30</v>
      </c>
      <c r="C94" s="223"/>
      <c r="D94" s="1327">
        <f>+'Exhibit G state'!D93+'Exhibit G Federal'!D64</f>
        <v>1967.5</v>
      </c>
      <c r="E94" s="261"/>
      <c r="F94" s="1327">
        <f>+'Exhibit G state'!F93+'Exhibit G Federal'!F64</f>
        <v>2871.6000000000004</v>
      </c>
      <c r="G94" s="261"/>
      <c r="H94" s="1327">
        <f>+'Exhibit G state'!H93+'Exhibit G Federal'!H64</f>
        <v>3362.3</v>
      </c>
      <c r="J94" s="1327">
        <f>+'Exhibit G state'!J93+'Exhibit G Federal'!J64</f>
        <v>3317</v>
      </c>
      <c r="K94" s="261"/>
      <c r="L94" s="1327">
        <f>+'Exhibit G state'!L93+'Exhibit G Federal'!L64</f>
        <v>2537</v>
      </c>
      <c r="M94" s="1327"/>
      <c r="N94" s="1327">
        <f>+'Exhibit G state'!N93+'Exhibit G Federal'!N64</f>
        <v>3333.9</v>
      </c>
      <c r="O94" s="1327"/>
      <c r="P94" s="1327">
        <f>+'Exhibit G state'!P93+'Exhibit G Federal'!P64</f>
        <v>2485.1</v>
      </c>
      <c r="Q94" s="1327"/>
      <c r="R94" s="1327">
        <f>+'Exhibit G state'!R93+'Exhibit G Federal'!R64</f>
        <v>3101.9</v>
      </c>
      <c r="S94" s="2131"/>
      <c r="T94" s="2131">
        <f>+'Exhibit G state'!T93+'Exhibit G Federal'!T64</f>
        <v>3137.6</v>
      </c>
      <c r="U94" s="261"/>
      <c r="V94" s="2131"/>
      <c r="W94" s="261"/>
      <c r="X94" s="2131"/>
      <c r="Y94" s="261"/>
      <c r="Z94" s="2131"/>
      <c r="AA94" s="261"/>
      <c r="AB94" s="250"/>
      <c r="AC94" s="261">
        <f t="shared" ref="AC94:AC99" si="9">ROUND(SUM(D94:Z94),1)</f>
        <v>26113.9</v>
      </c>
      <c r="AD94" s="261"/>
      <c r="AE94" s="250"/>
      <c r="AF94" s="262">
        <f>'Exhibit G state'!AH93+'Exhibit G Federal'!AH64</f>
        <v>25356.600000000002</v>
      </c>
      <c r="AG94" s="515"/>
      <c r="AH94" s="249"/>
      <c r="AI94" s="1171">
        <f t="shared" ref="AI94:AI99" si="10">ROUND(SUM(+AC94-AF94),1)</f>
        <v>757.3</v>
      </c>
      <c r="AJ94" s="1003"/>
      <c r="AK94" s="1864">
        <f t="shared" ref="AK94:AK99" si="11">ROUND(IF(AF94=0,0,AI94/ABS(AF94)),3)</f>
        <v>0.03</v>
      </c>
      <c r="AQ94" s="342"/>
      <c r="AR94" s="342"/>
    </row>
    <row r="95" spans="1:44" ht="15" customHeight="1">
      <c r="A95" s="223"/>
      <c r="B95" s="382" t="s">
        <v>31</v>
      </c>
      <c r="C95" s="223"/>
      <c r="D95" s="1327">
        <f>+'Exhibit G state'!D94+'Exhibit G Federal'!D65</f>
        <v>204.39999999999998</v>
      </c>
      <c r="E95" s="261"/>
      <c r="F95" s="1327">
        <f>+'Exhibit G state'!F94+'Exhibit G Federal'!F65</f>
        <v>187.6</v>
      </c>
      <c r="G95" s="261"/>
      <c r="H95" s="1327">
        <f>+'Exhibit G state'!H94+'Exhibit G Federal'!H65</f>
        <v>673.8</v>
      </c>
      <c r="J95" s="1327">
        <f>+'Exhibit G state'!J94+'Exhibit G Federal'!J65</f>
        <v>544.6</v>
      </c>
      <c r="K95" s="261"/>
      <c r="L95" s="1327">
        <f>+'Exhibit G state'!L94+'Exhibit G Federal'!L65</f>
        <v>622.1</v>
      </c>
      <c r="M95" s="1327"/>
      <c r="N95" s="1327">
        <f>+'Exhibit G state'!N94+'Exhibit G Federal'!N65</f>
        <v>603.1</v>
      </c>
      <c r="O95" s="1327"/>
      <c r="P95" s="1327">
        <f>+'Exhibit G state'!P94+'Exhibit G Federal'!P65</f>
        <v>133.9</v>
      </c>
      <c r="Q95" s="1327"/>
      <c r="R95" s="1327">
        <f>+'Exhibit G state'!R94+'Exhibit G Federal'!R65</f>
        <v>194.89999999999998</v>
      </c>
      <c r="S95" s="2131"/>
      <c r="T95" s="2131">
        <f>+'Exhibit G state'!T94+'Exhibit G Federal'!T65</f>
        <v>509.7</v>
      </c>
      <c r="U95" s="261"/>
      <c r="V95" s="2131"/>
      <c r="W95" s="261"/>
      <c r="X95" s="2131"/>
      <c r="Y95" s="261"/>
      <c r="Z95" s="2131"/>
      <c r="AA95" s="261"/>
      <c r="AB95" s="250"/>
      <c r="AC95" s="261">
        <f t="shared" si="9"/>
        <v>3674.1</v>
      </c>
      <c r="AD95" s="261"/>
      <c r="AE95" s="250"/>
      <c r="AF95" s="262">
        <f>'Exhibit G state'!AH94+'Exhibit G Federal'!AH65</f>
        <v>3025.1</v>
      </c>
      <c r="AG95" s="515"/>
      <c r="AH95" s="249"/>
      <c r="AI95" s="1171">
        <f t="shared" si="10"/>
        <v>649</v>
      </c>
      <c r="AJ95" s="1003"/>
      <c r="AK95" s="1864">
        <f t="shared" si="11"/>
        <v>0.215</v>
      </c>
      <c r="AQ95" s="342"/>
      <c r="AR95" s="342"/>
    </row>
    <row r="96" spans="1:44" ht="15" customHeight="1">
      <c r="A96" s="223"/>
      <c r="B96" s="382" t="s">
        <v>32</v>
      </c>
      <c r="C96" s="223"/>
      <c r="D96" s="1327">
        <f>+'Exhibit G state'!D95+'Exhibit G Federal'!D66</f>
        <v>168</v>
      </c>
      <c r="E96" s="261"/>
      <c r="F96" s="1327">
        <f>+'Exhibit G state'!F95+'Exhibit G Federal'!F66</f>
        <v>111.3</v>
      </c>
      <c r="G96" s="261"/>
      <c r="H96" s="1327">
        <f>+'Exhibit G state'!H95+'Exhibit G Federal'!H66</f>
        <v>61.2</v>
      </c>
      <c r="J96" s="1327">
        <f>+'Exhibit G state'!J95+'Exhibit G Federal'!J66</f>
        <v>108.39999999999999</v>
      </c>
      <c r="K96" s="261"/>
      <c r="L96" s="1327">
        <f>+'Exhibit G state'!L95+'Exhibit G Federal'!L66</f>
        <v>162</v>
      </c>
      <c r="M96" s="1327"/>
      <c r="N96" s="1327">
        <f>+'Exhibit G state'!N95+'Exhibit G Federal'!N66</f>
        <v>219.1</v>
      </c>
      <c r="O96" s="1327"/>
      <c r="P96" s="1327">
        <f>+'Exhibit G state'!P95+'Exhibit G Federal'!P66</f>
        <v>138.69999999999999</v>
      </c>
      <c r="Q96" s="1327"/>
      <c r="R96" s="1327">
        <f>+'Exhibit G state'!R95+'Exhibit G Federal'!R66</f>
        <v>124.8</v>
      </c>
      <c r="S96" s="2131"/>
      <c r="T96" s="2131">
        <f>+'Exhibit G state'!T95+'Exhibit G Federal'!T66</f>
        <v>388.6</v>
      </c>
      <c r="U96" s="261"/>
      <c r="V96" s="2131"/>
      <c r="W96" s="261"/>
      <c r="X96" s="2131"/>
      <c r="Y96" s="261"/>
      <c r="Z96" s="2131"/>
      <c r="AA96" s="261"/>
      <c r="AB96" s="250"/>
      <c r="AC96" s="261">
        <f t="shared" si="9"/>
        <v>1482.1</v>
      </c>
      <c r="AD96" s="261"/>
      <c r="AE96" s="250"/>
      <c r="AF96" s="262">
        <f>'Exhibit G state'!AH95+'Exhibit G Federal'!AH66</f>
        <v>2106.1999999999998</v>
      </c>
      <c r="AG96" s="515"/>
      <c r="AH96" s="249"/>
      <c r="AI96" s="1171">
        <f t="shared" si="10"/>
        <v>-624.1</v>
      </c>
      <c r="AJ96" s="1003"/>
      <c r="AK96" s="1864">
        <f t="shared" si="11"/>
        <v>-0.29599999999999999</v>
      </c>
      <c r="AQ96" s="342"/>
      <c r="AR96" s="342"/>
    </row>
    <row r="97" spans="1:45" ht="15" customHeight="1">
      <c r="A97" s="223"/>
      <c r="B97" s="382" t="s">
        <v>33</v>
      </c>
      <c r="C97" s="223"/>
      <c r="D97" s="1327">
        <f>+'Exhibit G state'!D96+'Exhibit G Federal'!D67</f>
        <v>235.1</v>
      </c>
      <c r="E97" s="261"/>
      <c r="F97" s="1327">
        <f>+'Exhibit G state'!F96+'Exhibit G Federal'!F67</f>
        <v>327.3</v>
      </c>
      <c r="G97" s="261"/>
      <c r="H97" s="1327">
        <f>+'Exhibit G state'!H96+'Exhibit G Federal'!H67</f>
        <v>451.29999999999995</v>
      </c>
      <c r="J97" s="1327">
        <f>+'Exhibit G state'!J96+'Exhibit G Federal'!J67</f>
        <v>273.5</v>
      </c>
      <c r="K97" s="261"/>
      <c r="L97" s="1327">
        <f>+'Exhibit G state'!L96+'Exhibit G Federal'!L67</f>
        <v>792.4</v>
      </c>
      <c r="M97" s="1327"/>
      <c r="N97" s="1327">
        <f>+'Exhibit G state'!N96+'Exhibit G Federal'!N67</f>
        <v>526.30000000000007</v>
      </c>
      <c r="O97" s="1327"/>
      <c r="P97" s="1327">
        <f>+'Exhibit G state'!P96+'Exhibit G Federal'!P67</f>
        <v>226.2</v>
      </c>
      <c r="Q97" s="1327"/>
      <c r="R97" s="1327">
        <f>+'Exhibit G state'!R96+'Exhibit G Federal'!R67</f>
        <v>220.5</v>
      </c>
      <c r="S97" s="2131"/>
      <c r="T97" s="2131">
        <f>+'Exhibit G state'!T96+'Exhibit G Federal'!T67</f>
        <v>559.9</v>
      </c>
      <c r="U97" s="261"/>
      <c r="V97" s="2131"/>
      <c r="W97" s="261"/>
      <c r="X97" s="2131"/>
      <c r="Y97" s="261"/>
      <c r="Z97" s="2131"/>
      <c r="AA97" s="261"/>
      <c r="AB97" s="250"/>
      <c r="AC97" s="261">
        <f t="shared" si="9"/>
        <v>3612.5</v>
      </c>
      <c r="AD97" s="261"/>
      <c r="AE97" s="250"/>
      <c r="AF97" s="262">
        <f>'Exhibit G state'!AH96+'Exhibit G Federal'!AH67</f>
        <v>3418.2999999999997</v>
      </c>
      <c r="AG97" s="515"/>
      <c r="AH97" s="249"/>
      <c r="AI97" s="1171">
        <f t="shared" si="10"/>
        <v>194.2</v>
      </c>
      <c r="AJ97" s="1003"/>
      <c r="AK97" s="1864">
        <f t="shared" si="11"/>
        <v>5.7000000000000002E-2</v>
      </c>
      <c r="AQ97" s="342"/>
      <c r="AR97" s="342"/>
    </row>
    <row r="98" spans="1:45" ht="15" customHeight="1">
      <c r="A98" s="223"/>
      <c r="B98" s="382" t="s">
        <v>34</v>
      </c>
      <c r="C98" s="223"/>
      <c r="D98" s="1327">
        <f>+'Exhibit G state'!D97+'Exhibit G Federal'!D68</f>
        <v>2.2999999999999998</v>
      </c>
      <c r="E98" s="261"/>
      <c r="F98" s="1327">
        <f>+'Exhibit G state'!F97+'Exhibit G Federal'!F68</f>
        <v>2.2000000000000002</v>
      </c>
      <c r="G98" s="261"/>
      <c r="H98" s="1327">
        <f>+'Exhibit G state'!H97+'Exhibit G Federal'!H68</f>
        <v>4</v>
      </c>
      <c r="J98" s="1327">
        <f>+'Exhibit G state'!J97+'Exhibit G Federal'!J68</f>
        <v>1</v>
      </c>
      <c r="K98" s="261"/>
      <c r="L98" s="1327">
        <f>+'Exhibit G state'!L97+'Exhibit G Federal'!L68</f>
        <v>1.5</v>
      </c>
      <c r="M98" s="1327"/>
      <c r="N98" s="1327">
        <f>+'Exhibit G state'!N97+'Exhibit G Federal'!N68</f>
        <v>74.100000000000009</v>
      </c>
      <c r="O98" s="1327"/>
      <c r="P98" s="1327">
        <f>+'Exhibit G state'!P97+'Exhibit G Federal'!P68</f>
        <v>0.2</v>
      </c>
      <c r="Q98" s="1327"/>
      <c r="R98" s="1327">
        <f>+'Exhibit G state'!R97+'Exhibit G Federal'!R68</f>
        <v>2.6</v>
      </c>
      <c r="S98" s="2131"/>
      <c r="T98" s="2131">
        <f>+'Exhibit G state'!T97+'Exhibit G Federal'!T68</f>
        <v>1.8</v>
      </c>
      <c r="U98" s="261"/>
      <c r="V98" s="2131"/>
      <c r="W98" s="261"/>
      <c r="X98" s="2131"/>
      <c r="Y98" s="261"/>
      <c r="Z98" s="2131"/>
      <c r="AA98" s="261"/>
      <c r="AB98" s="250"/>
      <c r="AC98" s="261">
        <f t="shared" si="9"/>
        <v>89.7</v>
      </c>
      <c r="AD98" s="261"/>
      <c r="AE98" s="250"/>
      <c r="AF98" s="262">
        <f>'Exhibit G state'!AH97+'Exhibit G Federal'!AH68</f>
        <v>216.8</v>
      </c>
      <c r="AG98" s="515"/>
      <c r="AH98" s="249"/>
      <c r="AI98" s="1171">
        <f t="shared" si="10"/>
        <v>-127.1</v>
      </c>
      <c r="AJ98" s="1003"/>
      <c r="AK98" s="1864">
        <f t="shared" si="11"/>
        <v>-0.58599999999999997</v>
      </c>
      <c r="AQ98" s="475"/>
      <c r="AR98" s="475"/>
    </row>
    <row r="99" spans="1:45" ht="15" customHeight="1">
      <c r="A99" s="223"/>
      <c r="B99" s="382" t="s">
        <v>35</v>
      </c>
      <c r="C99" s="223"/>
      <c r="D99" s="1327">
        <f>+'Exhibit G state'!D98+'Exhibit G Federal'!D69</f>
        <v>127.5</v>
      </c>
      <c r="E99" s="261"/>
      <c r="F99" s="1327">
        <f>+'Exhibit G state'!F98+'Exhibit G Federal'!F69</f>
        <v>473.59999999999997</v>
      </c>
      <c r="G99" s="261"/>
      <c r="H99" s="1327">
        <f>+'Exhibit G state'!H98+'Exhibit G Federal'!H69</f>
        <v>456.6</v>
      </c>
      <c r="J99" s="1327">
        <f>+'Exhibit G state'!J98+'Exhibit G Federal'!J69</f>
        <v>316.70000000000005</v>
      </c>
      <c r="K99" s="261"/>
      <c r="L99" s="1327">
        <f>+'Exhibit G state'!L98+'Exhibit G Federal'!L69</f>
        <v>436.5</v>
      </c>
      <c r="M99" s="1327"/>
      <c r="N99" s="1327">
        <f>+'Exhibit G state'!N98+'Exhibit G Federal'!N69</f>
        <v>404.3</v>
      </c>
      <c r="O99" s="1327"/>
      <c r="P99" s="1327">
        <f>+'Exhibit G state'!P98+'Exhibit G Federal'!P69</f>
        <v>352.3</v>
      </c>
      <c r="Q99" s="1327"/>
      <c r="R99" s="1327">
        <f>+'Exhibit G state'!R98+'Exhibit G Federal'!R69</f>
        <v>566.5</v>
      </c>
      <c r="S99" s="2131"/>
      <c r="T99" s="2131">
        <f>+'Exhibit G state'!T98+'Exhibit G Federal'!T69</f>
        <v>856.7</v>
      </c>
      <c r="U99" s="261"/>
      <c r="V99" s="2131"/>
      <c r="W99" s="261"/>
      <c r="X99" s="2131"/>
      <c r="Y99" s="261"/>
      <c r="Z99" s="2131"/>
      <c r="AA99" s="261"/>
      <c r="AB99" s="250"/>
      <c r="AC99" s="249">
        <f t="shared" si="9"/>
        <v>3990.7</v>
      </c>
      <c r="AD99" s="261"/>
      <c r="AE99" s="250"/>
      <c r="AF99" s="262">
        <f>'Exhibit G state'!AH98+'Exhibit G Federal'!AH69</f>
        <v>4028.9</v>
      </c>
      <c r="AG99" s="515"/>
      <c r="AH99" s="249"/>
      <c r="AI99" s="1908">
        <f t="shared" si="10"/>
        <v>-38.200000000000003</v>
      </c>
      <c r="AJ99" s="1003"/>
      <c r="AK99" s="2820">
        <f t="shared" si="11"/>
        <v>-8.9999999999999993E-3</v>
      </c>
      <c r="AL99" s="2878"/>
      <c r="AQ99" s="318"/>
      <c r="AR99" s="318"/>
      <c r="AS99" s="229"/>
    </row>
    <row r="100" spans="1:45" ht="15" customHeight="1">
      <c r="A100" s="223"/>
      <c r="B100" s="221" t="s">
        <v>1475</v>
      </c>
      <c r="C100" s="223"/>
      <c r="D100" s="256">
        <f>ROUND(SUM(D90:D99),1)</f>
        <v>3042</v>
      </c>
      <c r="E100" s="257"/>
      <c r="F100" s="256">
        <f>ROUND(SUM(F90:F99),1)</f>
        <v>4447.2</v>
      </c>
      <c r="G100" s="257"/>
      <c r="H100" s="256">
        <f>ROUND(SUM(H90:H99),1)</f>
        <v>5986.7</v>
      </c>
      <c r="J100" s="256">
        <f>ROUND(SUM(J90:J99),1)</f>
        <v>4811.6000000000004</v>
      </c>
      <c r="K100" s="257"/>
      <c r="L100" s="256">
        <f>ROUND(SUM(L90:L99),1)</f>
        <v>4714</v>
      </c>
      <c r="M100" s="257"/>
      <c r="N100" s="256">
        <f>ROUND(SUM(N90:N99),1)</f>
        <v>7771.8</v>
      </c>
      <c r="O100" s="257"/>
      <c r="P100" s="256">
        <f>ROUND(SUM(P90:P99),1)</f>
        <v>3542.6</v>
      </c>
      <c r="Q100" s="257"/>
      <c r="R100" s="256">
        <f>ROUND(SUM(R90:R99),1)</f>
        <v>5133.6000000000004</v>
      </c>
      <c r="S100" s="257"/>
      <c r="T100" s="256">
        <f>ROUND(SUM(T90:T99),1)</f>
        <v>6051.5</v>
      </c>
      <c r="U100" s="257"/>
      <c r="V100" s="256">
        <f>ROUND(SUM(V90:V99),1)</f>
        <v>0</v>
      </c>
      <c r="W100" s="257"/>
      <c r="X100" s="256">
        <f>ROUND(SUM(X90:X99),1)</f>
        <v>0</v>
      </c>
      <c r="Y100" s="257"/>
      <c r="Z100" s="256">
        <f>ROUND(SUM(Z90:Z99),1)</f>
        <v>0</v>
      </c>
      <c r="AA100" s="257"/>
      <c r="AB100" s="259"/>
      <c r="AC100" s="256">
        <f>ROUND(SUM(AC90:AC99),1)</f>
        <v>45501</v>
      </c>
      <c r="AD100" s="257"/>
      <c r="AE100" s="259"/>
      <c r="AF100" s="527">
        <f>ROUND(SUM(AF90:AF99),1)</f>
        <v>44288.3</v>
      </c>
      <c r="AG100" s="522"/>
      <c r="AH100" s="273"/>
      <c r="AI100" s="256">
        <f>ROUND(SUM(AI90:AI99),1)</f>
        <v>1212.7</v>
      </c>
      <c r="AJ100" s="369"/>
      <c r="AK100" s="1935">
        <f>ROUND(SUM(+AI100/AF100),3)</f>
        <v>2.7E-2</v>
      </c>
      <c r="AQ100" s="229"/>
      <c r="AR100" s="318"/>
      <c r="AS100" s="229"/>
    </row>
    <row r="101" spans="1:45" ht="15" customHeight="1">
      <c r="A101" s="223"/>
      <c r="B101" s="223" t="s">
        <v>176</v>
      </c>
      <c r="C101" s="223"/>
      <c r="D101" s="261"/>
      <c r="E101" s="261"/>
      <c r="F101" s="261"/>
      <c r="G101" s="261"/>
      <c r="H101" s="261"/>
      <c r="J101" s="261"/>
      <c r="K101" s="261"/>
      <c r="L101" s="261"/>
      <c r="M101" s="261"/>
      <c r="N101" s="261"/>
      <c r="O101" s="261"/>
      <c r="P101" s="261"/>
      <c r="Q101" s="261"/>
      <c r="R101" s="261"/>
      <c r="S101" s="261"/>
      <c r="T101" s="261"/>
      <c r="U101" s="261"/>
      <c r="V101" s="261"/>
      <c r="W101" s="261"/>
      <c r="X101" s="261"/>
      <c r="Y101" s="261"/>
      <c r="Z101" s="319"/>
      <c r="AA101" s="261"/>
      <c r="AB101" s="250"/>
      <c r="AC101" s="261"/>
      <c r="AD101" s="261"/>
      <c r="AE101" s="250"/>
      <c r="AF101" s="261"/>
      <c r="AG101" s="515"/>
      <c r="AH101" s="249"/>
      <c r="AI101" s="1171"/>
      <c r="AK101" s="1932"/>
      <c r="AR101" s="342"/>
    </row>
    <row r="102" spans="1:45" ht="15" customHeight="1">
      <c r="A102" s="223"/>
      <c r="B102" s="223" t="s">
        <v>159</v>
      </c>
      <c r="C102" s="223"/>
      <c r="D102" s="1327">
        <f>+'Exhibit G state'!D101+'Exhibit G Federal'!D72</f>
        <v>683.5</v>
      </c>
      <c r="E102" s="261"/>
      <c r="F102" s="1327">
        <f>+'Exhibit G state'!F101+'Exhibit G Federal'!F72</f>
        <v>580.20000000000005</v>
      </c>
      <c r="G102" s="261"/>
      <c r="H102" s="1327">
        <f>+'Exhibit G state'!H101+'Exhibit G Federal'!H72</f>
        <v>567.1</v>
      </c>
      <c r="J102" s="1327">
        <f>+'Exhibit G state'!J101+'Exhibit G Federal'!J72</f>
        <v>741.6</v>
      </c>
      <c r="K102" s="1327"/>
      <c r="L102" s="1327">
        <f>+'Exhibit G state'!L101+'Exhibit G Federal'!L72</f>
        <v>560.30000000000007</v>
      </c>
      <c r="M102" s="1327"/>
      <c r="N102" s="1327">
        <f>+'Exhibit G state'!N101+'Exhibit G Federal'!N72</f>
        <v>570.70000000000005</v>
      </c>
      <c r="O102" s="1327"/>
      <c r="P102" s="1327">
        <f>+'Exhibit G state'!P101+'Exhibit G Federal'!P72</f>
        <v>665.2</v>
      </c>
      <c r="Q102" s="1327"/>
      <c r="R102" s="1327">
        <f>+'Exhibit G state'!R101+'Exhibit G Federal'!R72</f>
        <v>576.9</v>
      </c>
      <c r="S102" s="2131"/>
      <c r="T102" s="2131">
        <f>+'Exhibit G state'!T101+'Exhibit G Federal'!T72</f>
        <v>778.9</v>
      </c>
      <c r="U102" s="261"/>
      <c r="V102" s="2131"/>
      <c r="W102" s="261"/>
      <c r="X102" s="2131"/>
      <c r="Y102" s="261"/>
      <c r="Z102" s="2131"/>
      <c r="AA102" s="261"/>
      <c r="AB102" s="250"/>
      <c r="AC102" s="261">
        <f>ROUND(SUM(D102:Z102),1)</f>
        <v>5724.4</v>
      </c>
      <c r="AD102" s="261"/>
      <c r="AE102" s="250"/>
      <c r="AF102" s="261">
        <f>'Exhibit G state'!AH101+'Exhibit G Federal'!AH72</f>
        <v>5661.6</v>
      </c>
      <c r="AG102" s="515"/>
      <c r="AH102" s="249"/>
      <c r="AI102" s="1171">
        <f>ROUND(SUM(+AC102-AF102),1)</f>
        <v>62.8</v>
      </c>
      <c r="AJ102" s="248"/>
      <c r="AK102" s="1864">
        <f>ROUND(IF(AF102=0,0,AI102/ABS(AF102)),3)</f>
        <v>1.0999999999999999E-2</v>
      </c>
    </row>
    <row r="103" spans="1:45" ht="15" customHeight="1">
      <c r="A103" s="223"/>
      <c r="B103" s="223" t="s">
        <v>177</v>
      </c>
      <c r="C103" s="223"/>
      <c r="D103" s="1327">
        <f>+'Exhibit G state'!D102+'Exhibit G Federal'!D73</f>
        <v>280.39999999999998</v>
      </c>
      <c r="E103" s="261"/>
      <c r="F103" s="1327">
        <f>+'Exhibit G state'!F102+'Exhibit G Federal'!F73</f>
        <v>326.39999999999998</v>
      </c>
      <c r="G103" s="261"/>
      <c r="H103" s="1327">
        <f>+'Exhibit G state'!H102+'Exhibit G Federal'!H73</f>
        <v>467.5</v>
      </c>
      <c r="J103" s="1327">
        <f>+'Exhibit G state'!J102+'Exhibit G Federal'!J73</f>
        <v>300.89999999999998</v>
      </c>
      <c r="K103" s="261"/>
      <c r="L103" s="1327">
        <f>+'Exhibit G state'!L102+'Exhibit G Federal'!L73</f>
        <v>444.9</v>
      </c>
      <c r="M103" s="1327"/>
      <c r="N103" s="1327">
        <f>+'Exhibit G state'!N102+'Exhibit G Federal'!N73</f>
        <v>557.70000000000005</v>
      </c>
      <c r="O103" s="1327"/>
      <c r="P103" s="1327">
        <f>+'Exhibit G state'!P102+'Exhibit G Federal'!P73</f>
        <v>186.8</v>
      </c>
      <c r="Q103" s="1327"/>
      <c r="R103" s="1327">
        <f>+'Exhibit G state'!R102+'Exhibit G Federal'!R73</f>
        <v>378.79999999999995</v>
      </c>
      <c r="S103" s="2131"/>
      <c r="T103" s="2131">
        <f>+'Exhibit G state'!T102+'Exhibit G Federal'!T73</f>
        <v>480.79999999999995</v>
      </c>
      <c r="U103" s="261"/>
      <c r="V103" s="2131"/>
      <c r="W103" s="261"/>
      <c r="X103" s="2131"/>
      <c r="Y103" s="261"/>
      <c r="Z103" s="2131"/>
      <c r="AA103" s="261"/>
      <c r="AB103" s="250"/>
      <c r="AC103" s="261">
        <f>ROUND(SUM(D103:Z103),1)</f>
        <v>3424.2</v>
      </c>
      <c r="AD103" s="261"/>
      <c r="AE103" s="250"/>
      <c r="AF103" s="261">
        <f>'Exhibit G state'!AH102+'Exhibit G Federal'!AH73</f>
        <v>3538.9</v>
      </c>
      <c r="AG103" s="515"/>
      <c r="AH103" s="249"/>
      <c r="AI103" s="1171">
        <f>ROUND(SUM(+AC103-AF103),1)</f>
        <v>-114.7</v>
      </c>
      <c r="AJ103" s="248"/>
      <c r="AK103" s="1864">
        <f>ROUND(IF(AF103=0,0,AI103/ABS(AF103)),3)</f>
        <v>-3.2000000000000001E-2</v>
      </c>
    </row>
    <row r="104" spans="1:45" ht="15" customHeight="1">
      <c r="A104" s="223"/>
      <c r="B104" s="223" t="s">
        <v>178</v>
      </c>
      <c r="C104" s="223"/>
      <c r="D104" s="1327">
        <f>+'Exhibit G state'!D103+'Exhibit G Federal'!D74</f>
        <v>51.400000000000006</v>
      </c>
      <c r="E104" s="261"/>
      <c r="F104" s="1327">
        <f>+'Exhibit G state'!F103+'Exhibit G Federal'!F74</f>
        <v>239.60000000000002</v>
      </c>
      <c r="G104" s="261"/>
      <c r="H104" s="1327">
        <f>+'Exhibit G state'!H103+'Exhibit G Federal'!H74</f>
        <v>195.9</v>
      </c>
      <c r="J104" s="1327">
        <f>+'Exhibit G state'!J103+'Exhibit G Federal'!J74</f>
        <v>45.6</v>
      </c>
      <c r="K104" s="261"/>
      <c r="L104" s="1327">
        <f>+'Exhibit G state'!L103+'Exhibit G Federal'!L74</f>
        <v>459.90000000000003</v>
      </c>
      <c r="M104" s="1327"/>
      <c r="N104" s="1327">
        <f>+'Exhibit G state'!N103+'Exhibit G Federal'!N74</f>
        <v>100.8</v>
      </c>
      <c r="O104" s="1327"/>
      <c r="P104" s="1327">
        <f>+'Exhibit G state'!P103+'Exhibit G Federal'!P74</f>
        <v>11.7</v>
      </c>
      <c r="Q104" s="1327"/>
      <c r="R104" s="1327">
        <f>+'Exhibit G state'!R103+'Exhibit G Federal'!R74</f>
        <v>69.400000000000006</v>
      </c>
      <c r="S104" s="2131"/>
      <c r="T104" s="2131">
        <f>+'Exhibit G state'!T103+'Exhibit G Federal'!T74</f>
        <v>500</v>
      </c>
      <c r="U104" s="261"/>
      <c r="V104" s="2131"/>
      <c r="W104" s="261"/>
      <c r="X104" s="2131"/>
      <c r="Y104" s="261"/>
      <c r="Z104" s="2131"/>
      <c r="AA104" s="261"/>
      <c r="AB104" s="250"/>
      <c r="AC104" s="261">
        <f>ROUND(SUM(D104:Z104),1)</f>
        <v>1674.3</v>
      </c>
      <c r="AD104" s="261"/>
      <c r="AE104" s="250"/>
      <c r="AF104" s="261">
        <f>'Exhibit G state'!AH103+'Exhibit G Federal'!AH74</f>
        <v>1682.3</v>
      </c>
      <c r="AG104" s="515"/>
      <c r="AH104" s="249"/>
      <c r="AI104" s="1171">
        <f>ROUND(SUM(+AC104-AF104),1)</f>
        <v>-8</v>
      </c>
      <c r="AJ104" s="248"/>
      <c r="AK104" s="1864">
        <f>ROUND(IF(AF104=0,0,AI104/ABS(AF104)),3)</f>
        <v>-5.0000000000000001E-3</v>
      </c>
    </row>
    <row r="105" spans="1:45" ht="15" customHeight="1">
      <c r="A105" s="223"/>
      <c r="B105" s="223" t="s">
        <v>179</v>
      </c>
      <c r="C105" s="223"/>
      <c r="D105" s="1327">
        <f>+'Exhibit G state'!D104+'Exhibit G Federal'!D75</f>
        <v>0</v>
      </c>
      <c r="E105" s="261"/>
      <c r="F105" s="1327">
        <f>+'Exhibit G state'!F104+'Exhibit G Federal'!F75</f>
        <v>0.2</v>
      </c>
      <c r="G105" s="261"/>
      <c r="H105" s="1327">
        <f>+'Exhibit G state'!H104+'Exhibit G Federal'!H75</f>
        <v>0</v>
      </c>
      <c r="J105" s="1327">
        <f>+'Exhibit G state'!J104+'Exhibit G Federal'!J75</f>
        <v>0.1</v>
      </c>
      <c r="K105" s="261"/>
      <c r="L105" s="1327">
        <f>+'Exhibit G state'!L104+'Exhibit G Federal'!L75</f>
        <v>0</v>
      </c>
      <c r="M105" s="1327"/>
      <c r="N105" s="1327">
        <f>+'Exhibit G state'!N104+'Exhibit G Federal'!N75</f>
        <v>0.3</v>
      </c>
      <c r="O105" s="1327"/>
      <c r="P105" s="1327">
        <f>+'Exhibit G state'!P104+'Exhibit G Federal'!P75</f>
        <v>0</v>
      </c>
      <c r="Q105" s="1327"/>
      <c r="R105" s="1327">
        <f>+'Exhibit G state'!R104+'Exhibit G Federal'!R75</f>
        <v>0</v>
      </c>
      <c r="S105" s="2131"/>
      <c r="T105" s="2131">
        <f>+'Exhibit G state'!T104+'Exhibit G Federal'!T75</f>
        <v>0.3</v>
      </c>
      <c r="U105" s="261"/>
      <c r="V105" s="2131"/>
      <c r="W105" s="261"/>
      <c r="X105" s="2131"/>
      <c r="Y105" s="261"/>
      <c r="Z105" s="2131"/>
      <c r="AA105" s="261"/>
      <c r="AB105" s="250"/>
      <c r="AC105" s="261">
        <f>ROUND(SUM(D105:Z105),1)</f>
        <v>0.9</v>
      </c>
      <c r="AD105" s="261"/>
      <c r="AE105" s="250"/>
      <c r="AF105" s="261">
        <f>'Exhibit G state'!AH104+'Exhibit G Federal'!AH75</f>
        <v>1.1000000000000001</v>
      </c>
      <c r="AG105" s="515"/>
      <c r="AH105" s="249"/>
      <c r="AI105" s="1908">
        <f>ROUND(SUM(+AC105-AF105),1)</f>
        <v>-0.2</v>
      </c>
      <c r="AJ105" s="1003"/>
      <c r="AK105" s="1864">
        <f>ROUND(IF(AF105=0,0,AI105/ABS(AF105)),3)</f>
        <v>-0.182</v>
      </c>
    </row>
    <row r="106" spans="1:45" ht="15" customHeight="1">
      <c r="A106" s="223"/>
      <c r="B106" s="223"/>
      <c r="C106" s="223"/>
      <c r="D106" s="289"/>
      <c r="E106" s="261"/>
      <c r="F106" s="289"/>
      <c r="G106" s="261"/>
      <c r="H106" s="289"/>
      <c r="J106" s="289"/>
      <c r="K106" s="261"/>
      <c r="L106" s="289"/>
      <c r="M106" s="261"/>
      <c r="N106" s="289"/>
      <c r="O106" s="261"/>
      <c r="P106" s="289"/>
      <c r="Q106" s="261"/>
      <c r="R106" s="289"/>
      <c r="S106" s="261"/>
      <c r="T106" s="289"/>
      <c r="U106" s="261"/>
      <c r="V106" s="289"/>
      <c r="W106" s="261"/>
      <c r="X106" s="289"/>
      <c r="Y106" s="261"/>
      <c r="Z106" s="289"/>
      <c r="AA106" s="261"/>
      <c r="AB106" s="250"/>
      <c r="AC106" s="289"/>
      <c r="AD106" s="261"/>
      <c r="AE106" s="250"/>
      <c r="AF106" s="289"/>
      <c r="AG106" s="515"/>
      <c r="AH106" s="249"/>
      <c r="AI106" s="2742"/>
      <c r="AK106" s="2747"/>
    </row>
    <row r="107" spans="1:45" ht="15" customHeight="1">
      <c r="A107" s="223"/>
      <c r="B107" s="221" t="s">
        <v>162</v>
      </c>
      <c r="C107" s="223"/>
      <c r="D107" s="257">
        <f>ROUND(SUM(D100:D105),1)</f>
        <v>4057.3</v>
      </c>
      <c r="E107" s="257"/>
      <c r="F107" s="257">
        <f>ROUND(SUM(F100:F105),1)</f>
        <v>5593.6</v>
      </c>
      <c r="G107" s="257"/>
      <c r="H107" s="257">
        <f>ROUND(SUM(H100:H105),1)</f>
        <v>7217.2</v>
      </c>
      <c r="J107" s="1886">
        <f>ROUND(SUM(J100:J105),1)</f>
        <v>5899.8</v>
      </c>
      <c r="K107" s="257"/>
      <c r="L107" s="1886">
        <f>ROUND(SUM(L100:L105),1)</f>
        <v>6179.1</v>
      </c>
      <c r="M107" s="257"/>
      <c r="N107" s="257">
        <f>ROUND(SUM(N100:N105),1)</f>
        <v>9001.2999999999993</v>
      </c>
      <c r="O107" s="257"/>
      <c r="P107" s="257">
        <f>ROUND(SUM(P100:P105),1)</f>
        <v>4406.3</v>
      </c>
      <c r="Q107" s="257"/>
      <c r="R107" s="257">
        <f>ROUND(SUM(R100:R105),1)</f>
        <v>6158.7</v>
      </c>
      <c r="S107" s="257"/>
      <c r="T107" s="257">
        <f>ROUND(SUM(T100:T105),1)</f>
        <v>7811.5</v>
      </c>
      <c r="U107" s="257"/>
      <c r="V107" s="257">
        <f>ROUND(SUM(V100:V105),1)</f>
        <v>0</v>
      </c>
      <c r="W107" s="257"/>
      <c r="X107" s="257">
        <f>ROUND(SUM(X100:X105),1)</f>
        <v>0</v>
      </c>
      <c r="Y107" s="257"/>
      <c r="Z107" s="257">
        <f>ROUND(SUM(Z100:Z105),1)</f>
        <v>0</v>
      </c>
      <c r="AA107" s="257"/>
      <c r="AB107" s="259"/>
      <c r="AC107" s="257">
        <f>ROUND(SUM(AC100:AC105),1)</f>
        <v>56324.800000000003</v>
      </c>
      <c r="AD107" s="257"/>
      <c r="AE107" s="259"/>
      <c r="AF107" s="257">
        <f>ROUND(SUM(AF100:AF105),1)</f>
        <v>55172.2</v>
      </c>
      <c r="AG107" s="522"/>
      <c r="AH107" s="273"/>
      <c r="AI107" s="271">
        <f>ROUND(SUM(AI100:AI105),1)</f>
        <v>1152.5999999999999</v>
      </c>
      <c r="AJ107" s="414"/>
      <c r="AK107" s="1935">
        <f>ROUND(SUM(+AI107/AF107),3)</f>
        <v>2.1000000000000001E-2</v>
      </c>
    </row>
    <row r="108" spans="1:45" ht="15" customHeight="1">
      <c r="A108" s="223"/>
      <c r="B108" s="223"/>
      <c r="C108" s="223"/>
      <c r="D108" s="289"/>
      <c r="E108" s="261"/>
      <c r="F108" s="289"/>
      <c r="G108" s="261"/>
      <c r="H108" s="289"/>
      <c r="J108" s="289"/>
      <c r="K108" s="261"/>
      <c r="L108" s="289"/>
      <c r="M108" s="261"/>
      <c r="N108" s="289"/>
      <c r="O108" s="261"/>
      <c r="P108" s="289"/>
      <c r="Q108" s="261"/>
      <c r="R108" s="289"/>
      <c r="S108" s="261"/>
      <c r="T108" s="289"/>
      <c r="U108" s="261"/>
      <c r="V108" s="289"/>
      <c r="W108" s="261"/>
      <c r="X108" s="289"/>
      <c r="Y108" s="261"/>
      <c r="Z108" s="289"/>
      <c r="AA108" s="261"/>
      <c r="AB108" s="250"/>
      <c r="AC108" s="289"/>
      <c r="AD108" s="261"/>
      <c r="AE108" s="250"/>
      <c r="AF108" s="289"/>
      <c r="AG108" s="515"/>
      <c r="AH108" s="249"/>
      <c r="AI108" s="1171"/>
      <c r="AK108" s="1932"/>
    </row>
    <row r="109" spans="1:45" ht="15" customHeight="1">
      <c r="A109" s="223"/>
      <c r="B109" s="221" t="s">
        <v>163</v>
      </c>
      <c r="C109" s="223"/>
      <c r="D109" s="261"/>
      <c r="E109" s="261"/>
      <c r="F109" s="261"/>
      <c r="G109" s="261"/>
      <c r="H109" s="261"/>
      <c r="J109" s="261"/>
      <c r="K109" s="261"/>
      <c r="L109" s="261"/>
      <c r="M109" s="261"/>
      <c r="N109" s="261"/>
      <c r="O109" s="261"/>
      <c r="P109" s="261"/>
      <c r="Q109" s="261"/>
      <c r="R109" s="261"/>
      <c r="S109" s="261"/>
      <c r="T109" s="261"/>
      <c r="U109" s="261"/>
      <c r="V109" s="261"/>
      <c r="W109" s="261"/>
      <c r="X109" s="261"/>
      <c r="Y109" s="261"/>
      <c r="Z109" s="261"/>
      <c r="AA109" s="261"/>
      <c r="AB109" s="250"/>
      <c r="AC109" s="261" t="s">
        <v>164</v>
      </c>
      <c r="AD109" s="1633"/>
      <c r="AE109" s="1634"/>
      <c r="AF109" s="261"/>
      <c r="AG109" s="529"/>
      <c r="AH109" s="530"/>
      <c r="AI109" s="1171"/>
      <c r="AK109" s="1932"/>
    </row>
    <row r="110" spans="1:45" ht="15" customHeight="1">
      <c r="A110" s="223"/>
      <c r="B110" s="221" t="s">
        <v>46</v>
      </c>
      <c r="C110" s="223"/>
      <c r="D110" s="257">
        <f>ROUND(SUM(D86-D107),1)</f>
        <v>-1577.6</v>
      </c>
      <c r="E110" s="257"/>
      <c r="F110" s="257">
        <f>ROUND(SUM(F86-F107),1)</f>
        <v>866.5</v>
      </c>
      <c r="G110" s="257"/>
      <c r="H110" s="257">
        <f>ROUND(SUM(H86-H107),1)</f>
        <v>-416.2</v>
      </c>
      <c r="J110" s="1886">
        <f>ROUND(SUM(J86-J107),1)</f>
        <v>-447.6</v>
      </c>
      <c r="K110" s="257"/>
      <c r="L110" s="1886">
        <f>ROUND(SUM(L86-L107),1)</f>
        <v>-347.8</v>
      </c>
      <c r="M110" s="257"/>
      <c r="N110" s="257">
        <f>ROUND(SUM(N86-N107),1)</f>
        <v>-2515.9</v>
      </c>
      <c r="O110" s="257"/>
      <c r="P110" s="257">
        <f>ROUND(SUM(P86-P107),1)</f>
        <v>606.5</v>
      </c>
      <c r="Q110" s="257"/>
      <c r="R110" s="257">
        <f>ROUND(SUM(R86-R107),1)</f>
        <v>-237.2</v>
      </c>
      <c r="S110" s="257"/>
      <c r="T110" s="257">
        <f>ROUND(SUM(T86-T107),1)</f>
        <v>-409.6</v>
      </c>
      <c r="U110" s="257"/>
      <c r="V110" s="257">
        <f>ROUND(SUM(V86-V107),1)</f>
        <v>0</v>
      </c>
      <c r="W110" s="257"/>
      <c r="X110" s="257">
        <f>ROUND(SUM(X86-X107),1)</f>
        <v>0</v>
      </c>
      <c r="Y110" s="257"/>
      <c r="Z110" s="257">
        <f>ROUND(SUM(Z86-Z107),1)</f>
        <v>0</v>
      </c>
      <c r="AA110" s="257"/>
      <c r="AB110" s="259"/>
      <c r="AC110" s="257">
        <f>ROUND(SUM(AC86-AC107),1)</f>
        <v>-4478.8999999999996</v>
      </c>
      <c r="AD110" s="257"/>
      <c r="AE110" s="259"/>
      <c r="AF110" s="257">
        <f>ROUND(SUM(AF86-AF107),1)</f>
        <v>-5425.7</v>
      </c>
      <c r="AG110" s="522"/>
      <c r="AH110" s="273"/>
      <c r="AI110" s="1738">
        <f>ROUND(SUM(AI86-AI107),1)</f>
        <v>946.8</v>
      </c>
      <c r="AJ110" s="413"/>
      <c r="AK110" s="1935">
        <f>ROUND(SUM(+AI110/ABS(AF110)),3)</f>
        <v>0.17499999999999999</v>
      </c>
    </row>
    <row r="111" spans="1:45" ht="15" customHeight="1">
      <c r="A111" s="223"/>
      <c r="B111" s="223"/>
      <c r="C111" s="223"/>
      <c r="D111" s="289"/>
      <c r="E111" s="261"/>
      <c r="F111" s="289"/>
      <c r="G111" s="261"/>
      <c r="H111" s="289"/>
      <c r="J111" s="289"/>
      <c r="K111" s="261"/>
      <c r="L111" s="289"/>
      <c r="M111" s="261"/>
      <c r="N111" s="289"/>
      <c r="O111" s="261"/>
      <c r="P111" s="289"/>
      <c r="Q111" s="261"/>
      <c r="R111" s="289"/>
      <c r="S111" s="261"/>
      <c r="T111" s="289"/>
      <c r="U111" s="261"/>
      <c r="V111" s="289"/>
      <c r="W111" s="261"/>
      <c r="X111" s="289"/>
      <c r="Y111" s="261"/>
      <c r="Z111" s="289"/>
      <c r="AA111" s="261"/>
      <c r="AB111" s="250"/>
      <c r="AC111" s="289"/>
      <c r="AD111" s="261"/>
      <c r="AE111" s="250"/>
      <c r="AF111" s="289"/>
      <c r="AG111" s="515"/>
      <c r="AH111" s="249"/>
      <c r="AI111" s="1171"/>
      <c r="AK111" s="1932"/>
    </row>
    <row r="112" spans="1:45" ht="15" customHeight="1">
      <c r="A112" s="223"/>
      <c r="B112" s="221" t="s">
        <v>47</v>
      </c>
      <c r="C112" s="223"/>
      <c r="D112" s="261"/>
      <c r="E112" s="261"/>
      <c r="F112" s="261"/>
      <c r="G112" s="261"/>
      <c r="H112" s="261"/>
      <c r="J112" s="261"/>
      <c r="K112" s="261"/>
      <c r="L112" s="261"/>
      <c r="M112" s="261"/>
      <c r="N112" s="261"/>
      <c r="O112" s="261"/>
      <c r="P112" s="261"/>
      <c r="Q112" s="261"/>
      <c r="R112" s="261"/>
      <c r="S112" s="261"/>
      <c r="T112" s="261"/>
      <c r="U112" s="261"/>
      <c r="V112" s="261"/>
      <c r="W112" s="261"/>
      <c r="X112" s="261"/>
      <c r="Y112" s="261"/>
      <c r="Z112" s="261"/>
      <c r="AA112" s="261"/>
      <c r="AB112" s="250"/>
      <c r="AC112" s="261"/>
      <c r="AD112" s="261"/>
      <c r="AE112" s="250"/>
      <c r="AF112" s="261"/>
      <c r="AG112" s="515"/>
      <c r="AH112" s="249"/>
      <c r="AI112" s="1171"/>
      <c r="AK112" s="1932"/>
    </row>
    <row r="113" spans="1:48" ht="15" customHeight="1">
      <c r="A113" s="223"/>
      <c r="B113" s="223" t="s">
        <v>180</v>
      </c>
      <c r="C113" s="223"/>
      <c r="D113" s="1327">
        <v>1783</v>
      </c>
      <c r="E113" s="261"/>
      <c r="F113" s="1327">
        <v>846.1</v>
      </c>
      <c r="G113" s="261"/>
      <c r="H113" s="1327">
        <v>452.4</v>
      </c>
      <c r="J113" s="1327">
        <v>884.6</v>
      </c>
      <c r="K113" s="1327"/>
      <c r="L113" s="1327">
        <v>861.1</v>
      </c>
      <c r="M113" s="1327"/>
      <c r="N113" s="1327">
        <v>428.5</v>
      </c>
      <c r="O113" s="261"/>
      <c r="P113" s="274">
        <v>729.3</v>
      </c>
      <c r="Q113" s="261"/>
      <c r="R113" s="274">
        <v>833.9</v>
      </c>
      <c r="S113" s="261"/>
      <c r="T113" s="274">
        <v>387.5</v>
      </c>
      <c r="U113" s="261"/>
      <c r="V113" s="274"/>
      <c r="W113" s="261"/>
      <c r="X113" s="274"/>
      <c r="Y113" s="261"/>
      <c r="Z113" s="516"/>
      <c r="AA113" s="261"/>
      <c r="AB113" s="250"/>
      <c r="AC113" s="261">
        <f>ROUND(SUM(D113:Z113),1)</f>
        <v>7206.4</v>
      </c>
      <c r="AD113" s="261"/>
      <c r="AE113" s="250"/>
      <c r="AF113" s="261">
        <f>'Exhibit G state'!AH112+'Exhibit G Federal'!AH83</f>
        <v>5877</v>
      </c>
      <c r="AG113" s="515"/>
      <c r="AH113" s="249"/>
      <c r="AI113" s="1908">
        <f>ROUND(SUM(+AC113-AF113),1)</f>
        <v>1329.4</v>
      </c>
      <c r="AJ113" s="1003"/>
      <c r="AK113" s="1864">
        <f>ROUND(IF(AF113=0,0,AI113/ABS(AF113)),3)</f>
        <v>0.22600000000000001</v>
      </c>
    </row>
    <row r="114" spans="1:48" ht="15" customHeight="1">
      <c r="A114" s="223"/>
      <c r="B114" s="223" t="s">
        <v>181</v>
      </c>
      <c r="C114" s="223"/>
      <c r="D114" s="1327">
        <v>-166.8</v>
      </c>
      <c r="E114" s="261"/>
      <c r="F114" s="274">
        <v>-307.89999999999998</v>
      </c>
      <c r="G114" s="261"/>
      <c r="H114" s="274">
        <v>-130.80000000000001</v>
      </c>
      <c r="J114" s="1327">
        <v>-265.39999999999998</v>
      </c>
      <c r="K114" s="1327"/>
      <c r="L114" s="1327">
        <v>-26.9</v>
      </c>
      <c r="M114" s="1327"/>
      <c r="N114" s="1327">
        <v>-299.10000000000002</v>
      </c>
      <c r="O114" s="261"/>
      <c r="P114" s="275">
        <v>-172.5</v>
      </c>
      <c r="Q114" s="261"/>
      <c r="R114" s="274">
        <v>-57.1</v>
      </c>
      <c r="S114" s="261"/>
      <c r="T114" s="274">
        <v>-228</v>
      </c>
      <c r="U114" s="261"/>
      <c r="V114" s="274"/>
      <c r="W114" s="261"/>
      <c r="X114" s="274"/>
      <c r="Y114" s="261"/>
      <c r="Z114" s="516"/>
      <c r="AA114" s="261"/>
      <c r="AB114" s="250"/>
      <c r="AC114" s="261">
        <f>ROUND(SUM(D114:Z114),1)</f>
        <v>-1654.5</v>
      </c>
      <c r="AD114" s="261"/>
      <c r="AE114" s="250"/>
      <c r="AF114" s="319">
        <f>'Exhibit G state'!AH113+'Exhibit G Federal'!AH84</f>
        <v>-1655.6</v>
      </c>
      <c r="AG114" s="515"/>
      <c r="AH114" s="249"/>
      <c r="AI114" s="1908">
        <f>ROUND(SUM(+AC114-AF114)*-1,1)</f>
        <v>-1.1000000000000001</v>
      </c>
      <c r="AJ114" s="1003"/>
      <c r="AK114" s="1864">
        <f>ROUND(IF(AF114=0,0,AI114/ABS(AF114)),3)</f>
        <v>-1E-3</v>
      </c>
    </row>
    <row r="115" spans="1:48" ht="15" customHeight="1">
      <c r="A115" s="223"/>
      <c r="B115" s="223"/>
      <c r="C115" s="223"/>
      <c r="D115" s="289"/>
      <c r="E115" s="261"/>
      <c r="F115" s="289"/>
      <c r="G115" s="261"/>
      <c r="H115" s="289"/>
      <c r="J115" s="289"/>
      <c r="K115" s="261"/>
      <c r="L115" s="289"/>
      <c r="M115" s="261"/>
      <c r="N115" s="289"/>
      <c r="O115" s="261"/>
      <c r="P115" s="289"/>
      <c r="Q115" s="261"/>
      <c r="R115" s="289"/>
      <c r="S115" s="261"/>
      <c r="T115" s="289"/>
      <c r="U115" s="261"/>
      <c r="V115" s="289"/>
      <c r="W115" s="261"/>
      <c r="X115" s="289"/>
      <c r="Y115" s="261"/>
      <c r="Z115" s="289"/>
      <c r="AA115" s="261"/>
      <c r="AB115" s="250"/>
      <c r="AC115" s="289"/>
      <c r="AD115" s="261"/>
      <c r="AE115" s="250"/>
      <c r="AF115" s="289"/>
      <c r="AG115" s="515"/>
      <c r="AH115" s="249"/>
      <c r="AI115" s="2742"/>
      <c r="AK115" s="2747"/>
    </row>
    <row r="116" spans="1:48" ht="15" customHeight="1">
      <c r="A116" s="223"/>
      <c r="B116" s="221" t="s">
        <v>1476</v>
      </c>
      <c r="C116" s="223"/>
      <c r="D116" s="257">
        <f>ROUND(SUM(D113:D114),1)</f>
        <v>1616.2</v>
      </c>
      <c r="E116" s="257"/>
      <c r="F116" s="257">
        <f>ROUND(SUM(F113:F114),1)</f>
        <v>538.20000000000005</v>
      </c>
      <c r="G116" s="257"/>
      <c r="H116" s="257">
        <f>ROUND(SUM(H113:H114),1)</f>
        <v>321.60000000000002</v>
      </c>
      <c r="J116" s="1886">
        <f>ROUND(SUM(J113:J114),1)</f>
        <v>619.20000000000005</v>
      </c>
      <c r="K116" s="257"/>
      <c r="L116" s="1886">
        <f>ROUND(SUM(L113:L114),1)</f>
        <v>834.2</v>
      </c>
      <c r="M116" s="257"/>
      <c r="N116" s="257">
        <f>ROUND(SUM(N113:N114),1)</f>
        <v>129.4</v>
      </c>
      <c r="O116" s="257"/>
      <c r="P116" s="257">
        <f>ROUND(SUM(P113:P114),1)</f>
        <v>556.79999999999995</v>
      </c>
      <c r="Q116" s="257"/>
      <c r="R116" s="257">
        <f>ROUND(SUM(R113:R114),1)</f>
        <v>776.8</v>
      </c>
      <c r="S116" s="257"/>
      <c r="T116" s="257">
        <f>ROUND(SUM(T113:T114),1)</f>
        <v>159.5</v>
      </c>
      <c r="U116" s="257"/>
      <c r="V116" s="257">
        <f>ROUND(SUM(V113:V114),1)</f>
        <v>0</v>
      </c>
      <c r="W116" s="257"/>
      <c r="X116" s="257">
        <f>ROUND(SUM(X113:X114),1)</f>
        <v>0</v>
      </c>
      <c r="Y116" s="257"/>
      <c r="Z116" s="257">
        <f>ROUND(SUM(Z113:Z114),1)</f>
        <v>0</v>
      </c>
      <c r="AA116" s="257"/>
      <c r="AB116" s="259"/>
      <c r="AC116" s="257">
        <f>ROUND(SUM(AC113:AC114),1)</f>
        <v>5551.9</v>
      </c>
      <c r="AD116" s="257"/>
      <c r="AE116" s="259"/>
      <c r="AF116" s="257">
        <f>ROUND(SUM(AF113:AF114),1)</f>
        <v>4221.3999999999996</v>
      </c>
      <c r="AG116" s="522"/>
      <c r="AH116" s="273"/>
      <c r="AI116" s="271">
        <f>ROUND(SUM(AC116-AF116),1)</f>
        <v>1330.5</v>
      </c>
      <c r="AJ116" s="369"/>
      <c r="AK116" s="1935">
        <f>ROUND(SUM(+AI116/AF116),3)</f>
        <v>0.315</v>
      </c>
    </row>
    <row r="117" spans="1:48" ht="15" customHeight="1">
      <c r="A117" s="223"/>
      <c r="B117" s="223"/>
      <c r="C117" s="223"/>
      <c r="D117" s="289"/>
      <c r="E117" s="261"/>
      <c r="F117" s="289"/>
      <c r="G117" s="261"/>
      <c r="H117" s="289"/>
      <c r="J117" s="289"/>
      <c r="K117" s="261"/>
      <c r="L117" s="289"/>
      <c r="M117" s="261"/>
      <c r="N117" s="289"/>
      <c r="O117" s="261"/>
      <c r="P117" s="289"/>
      <c r="Q117" s="261"/>
      <c r="R117" s="289"/>
      <c r="S117" s="261"/>
      <c r="T117" s="289"/>
      <c r="U117" s="261"/>
      <c r="V117" s="289"/>
      <c r="W117" s="261"/>
      <c r="X117" s="289"/>
      <c r="Y117" s="261"/>
      <c r="Z117" s="289"/>
      <c r="AA117" s="261"/>
      <c r="AB117" s="250"/>
      <c r="AC117" s="289"/>
      <c r="AD117" s="261"/>
      <c r="AE117" s="250"/>
      <c r="AF117" s="289"/>
      <c r="AG117" s="515"/>
      <c r="AH117" s="249"/>
      <c r="AI117" s="1171"/>
      <c r="AK117" s="1932"/>
    </row>
    <row r="118" spans="1:48" ht="15" customHeight="1">
      <c r="A118" s="223"/>
      <c r="B118" s="221" t="s">
        <v>172</v>
      </c>
      <c r="C118" s="223"/>
      <c r="D118" s="261"/>
      <c r="E118" s="261"/>
      <c r="F118" s="261"/>
      <c r="G118" s="261"/>
      <c r="H118" s="261"/>
      <c r="J118" s="261"/>
      <c r="K118" s="261"/>
      <c r="L118" s="261"/>
      <c r="M118" s="261"/>
      <c r="N118" s="261"/>
      <c r="O118" s="261"/>
      <c r="P118" s="261"/>
      <c r="Q118" s="261"/>
      <c r="R118" s="261"/>
      <c r="S118" s="261"/>
      <c r="T118" s="261"/>
      <c r="U118" s="261"/>
      <c r="V118" s="261"/>
      <c r="W118" s="261"/>
      <c r="X118" s="261"/>
      <c r="Y118" s="261"/>
      <c r="Z118" s="261"/>
      <c r="AA118" s="261"/>
      <c r="AB118" s="250"/>
      <c r="AC118" s="261"/>
      <c r="AD118" s="261"/>
      <c r="AE118" s="250"/>
      <c r="AF118" s="261"/>
      <c r="AG118" s="515"/>
      <c r="AH118" s="249"/>
      <c r="AI118" s="1171"/>
      <c r="AK118" s="1932"/>
    </row>
    <row r="119" spans="1:48" ht="15" customHeight="1">
      <c r="A119" s="223"/>
      <c r="B119" s="221" t="s">
        <v>173</v>
      </c>
      <c r="C119" s="223"/>
      <c r="D119" s="261"/>
      <c r="E119" s="261"/>
      <c r="F119" s="261"/>
      <c r="G119" s="261"/>
      <c r="H119" s="261"/>
      <c r="J119" s="261"/>
      <c r="K119" s="261"/>
      <c r="L119" s="261"/>
      <c r="M119" s="261"/>
      <c r="N119" s="261"/>
      <c r="O119" s="261"/>
      <c r="P119" s="261"/>
      <c r="Q119" s="261"/>
      <c r="R119" s="261"/>
      <c r="S119" s="261"/>
      <c r="T119" s="261"/>
      <c r="U119" s="261"/>
      <c r="V119" s="261"/>
      <c r="W119" s="261"/>
      <c r="X119" s="261"/>
      <c r="Y119" s="261"/>
      <c r="Z119" s="261"/>
      <c r="AA119" s="261"/>
      <c r="AB119" s="250"/>
      <c r="AC119" s="261"/>
      <c r="AD119" s="261"/>
      <c r="AE119" s="250"/>
      <c r="AF119" s="261"/>
      <c r="AG119" s="515"/>
      <c r="AH119" s="249"/>
      <c r="AI119" s="1171"/>
      <c r="AK119" s="1932"/>
    </row>
    <row r="120" spans="1:48" ht="15" customHeight="1">
      <c r="A120" s="223"/>
      <c r="B120" s="221" t="s">
        <v>1477</v>
      </c>
      <c r="C120" s="223"/>
      <c r="D120" s="257">
        <f>ROUND(SUM(D110+D116),1)</f>
        <v>38.6</v>
      </c>
      <c r="E120" s="257"/>
      <c r="F120" s="257">
        <f>ROUND(SUM(F110+F116),1)</f>
        <v>1404.7</v>
      </c>
      <c r="G120" s="257"/>
      <c r="H120" s="257">
        <f>ROUND(SUM(H110+H116),1)</f>
        <v>-94.6</v>
      </c>
      <c r="J120" s="1886">
        <f>ROUND(SUM(J110+J116),1)</f>
        <v>171.6</v>
      </c>
      <c r="K120" s="257"/>
      <c r="L120" s="1886">
        <f>ROUND(SUM(L110+L116),1)</f>
        <v>486.4</v>
      </c>
      <c r="M120" s="257"/>
      <c r="N120" s="257">
        <f>ROUND(SUM(N110+N116),1)</f>
        <v>-2386.5</v>
      </c>
      <c r="O120" s="257"/>
      <c r="P120" s="257">
        <f>ROUND(SUM(P110+P116),1)</f>
        <v>1163.3</v>
      </c>
      <c r="Q120" s="261"/>
      <c r="R120" s="257">
        <f>ROUND(SUM(R110+R116),1)</f>
        <v>539.6</v>
      </c>
      <c r="S120" s="257"/>
      <c r="T120" s="257">
        <f>ROUND(SUM(T110+T116),1)</f>
        <v>-250.1</v>
      </c>
      <c r="U120" s="257"/>
      <c r="V120" s="257">
        <f>ROUND(SUM(V110+V116),1)</f>
        <v>0</v>
      </c>
      <c r="W120" s="257"/>
      <c r="X120" s="257">
        <f>ROUND(SUM(X110+X116),1)</f>
        <v>0</v>
      </c>
      <c r="Y120" s="257"/>
      <c r="Z120" s="257">
        <f>ROUND(SUM(Z110+Z116),1)</f>
        <v>0</v>
      </c>
      <c r="AA120" s="257"/>
      <c r="AB120" s="259"/>
      <c r="AC120" s="257">
        <f>ROUND(SUM(AC110+AC116),1)</f>
        <v>1073</v>
      </c>
      <c r="AD120" s="257"/>
      <c r="AE120" s="259"/>
      <c r="AF120" s="257">
        <f>ROUND(SUM(AF110+AF116),1)</f>
        <v>-1204.3</v>
      </c>
      <c r="AG120" s="522"/>
      <c r="AH120" s="273"/>
      <c r="AI120" s="271">
        <f>ROUND(SUM(AC120-AF120),1)</f>
        <v>2277.3000000000002</v>
      </c>
      <c r="AJ120" s="413"/>
      <c r="AK120" s="1935">
        <f>ROUND(SUM(AI120/ABS(AF120)),3)</f>
        <v>1.891</v>
      </c>
    </row>
    <row r="121" spans="1:48" ht="15" customHeight="1">
      <c r="A121" s="223"/>
      <c r="B121" s="223"/>
      <c r="C121" s="223"/>
      <c r="D121" s="235"/>
      <c r="F121" s="235"/>
      <c r="H121" s="235"/>
      <c r="J121" s="235"/>
      <c r="L121" s="235"/>
      <c r="N121" s="235"/>
      <c r="P121" s="235"/>
      <c r="R121" s="235"/>
      <c r="T121" s="235"/>
      <c r="V121" s="235"/>
      <c r="X121" s="235"/>
      <c r="Z121" s="235"/>
      <c r="AB121" s="416"/>
      <c r="AC121" s="235"/>
      <c r="AE121" s="416"/>
      <c r="AF121" s="235"/>
      <c r="AG121" s="514"/>
      <c r="AH121" s="229"/>
      <c r="AI121" s="1882"/>
      <c r="AK121" s="1932"/>
    </row>
    <row r="122" spans="1:48" ht="15" customHeight="1" thickBot="1">
      <c r="A122" s="223"/>
      <c r="B122" s="221" t="s">
        <v>1478</v>
      </c>
      <c r="C122" s="223"/>
      <c r="D122" s="295">
        <f>ROUND(SUM(D14+D120),1)</f>
        <v>2700.4</v>
      </c>
      <c r="E122" s="295"/>
      <c r="F122" s="295">
        <f>ROUND(SUM(F14+F120),1)</f>
        <v>4105.1000000000004</v>
      </c>
      <c r="G122" s="295"/>
      <c r="H122" s="295">
        <f>ROUND(SUM(H14+H120),1)</f>
        <v>4010.5</v>
      </c>
      <c r="J122" s="295">
        <f>ROUND(SUM(J14+J120),1)</f>
        <v>4182.1000000000004</v>
      </c>
      <c r="K122" s="295"/>
      <c r="L122" s="295">
        <f>ROUND(SUM(L14+L120),1)</f>
        <v>4668.5</v>
      </c>
      <c r="M122" s="295"/>
      <c r="N122" s="295">
        <f>ROUND(SUM(N14+N120),1)</f>
        <v>2282</v>
      </c>
      <c r="O122" s="295"/>
      <c r="P122" s="295">
        <f>ROUND(SUM(P14+P120),1)</f>
        <v>3445.3</v>
      </c>
      <c r="Q122" s="295"/>
      <c r="R122" s="295">
        <f>ROUND(SUM(R14+R120),1)</f>
        <v>3984.9</v>
      </c>
      <c r="S122" s="295"/>
      <c r="T122" s="295">
        <f>ROUND(SUM(T14+T120),1)</f>
        <v>3734.8</v>
      </c>
      <c r="U122" s="295"/>
      <c r="V122" s="295">
        <f>ROUND(SUM(V14+V120),1)</f>
        <v>0</v>
      </c>
      <c r="W122" s="295"/>
      <c r="X122" s="295">
        <f>ROUND(SUM(X14+X120),1)</f>
        <v>0</v>
      </c>
      <c r="Y122" s="295"/>
      <c r="Z122" s="295">
        <f>ROUND(SUM(Z14+Z120),1)</f>
        <v>0</v>
      </c>
      <c r="AA122" s="295"/>
      <c r="AB122" s="296"/>
      <c r="AC122" s="295">
        <f>ROUND(SUM(AC14+AC120),1)</f>
        <v>3734.8</v>
      </c>
      <c r="AD122" s="295"/>
      <c r="AE122" s="296"/>
      <c r="AF122" s="503">
        <f>ROUND(SUM(AF14+AF120),1)</f>
        <v>1158.5999999999999</v>
      </c>
      <c r="AG122" s="511"/>
      <c r="AH122" s="424"/>
      <c r="AI122" s="503">
        <f>ROUND(SUM(AC122-AF122),1)</f>
        <v>2576.1999999999998</v>
      </c>
      <c r="AJ122" s="385"/>
      <c r="AK122" s="531">
        <f>ROUND(SUM(+AI122/AF122),3)</f>
        <v>2.2240000000000002</v>
      </c>
      <c r="AL122" s="506"/>
      <c r="AM122" s="506"/>
      <c r="AN122" s="506"/>
      <c r="AO122" s="506"/>
      <c r="AP122" s="506"/>
      <c r="AQ122" s="506"/>
      <c r="AR122" s="506"/>
      <c r="AS122" s="506"/>
      <c r="AT122" s="506"/>
      <c r="AU122" s="506"/>
      <c r="AV122" s="506"/>
    </row>
    <row r="123" spans="1:48" ht="15" customHeight="1" thickTop="1">
      <c r="A123" s="223"/>
      <c r="B123" s="223"/>
      <c r="C123" s="223"/>
      <c r="D123" s="532"/>
      <c r="E123" s="506"/>
      <c r="F123" s="532"/>
      <c r="G123" s="506"/>
      <c r="H123" s="532"/>
      <c r="J123" s="532"/>
      <c r="K123" s="506"/>
      <c r="L123" s="532"/>
      <c r="M123" s="506"/>
      <c r="N123" s="532"/>
      <c r="O123" s="506"/>
      <c r="P123" s="532"/>
      <c r="Q123" s="506"/>
      <c r="R123" s="532"/>
      <c r="S123" s="506"/>
      <c r="T123" s="532"/>
      <c r="U123" s="506"/>
      <c r="V123" s="532"/>
      <c r="W123" s="506"/>
      <c r="X123" s="532"/>
      <c r="Y123" s="506"/>
      <c r="Z123" s="532"/>
      <c r="AA123" s="506"/>
      <c r="AB123" s="506"/>
      <c r="AC123" s="532"/>
      <c r="AD123" s="506"/>
      <c r="AE123" s="506"/>
      <c r="AF123" s="533"/>
      <c r="AG123" s="533"/>
      <c r="AH123" s="506"/>
      <c r="AI123" s="2743"/>
      <c r="AJ123" s="506"/>
      <c r="AK123" s="1932"/>
      <c r="AL123" s="506"/>
      <c r="AM123" s="506"/>
      <c r="AN123" s="506"/>
      <c r="AO123" s="506"/>
      <c r="AP123" s="506"/>
      <c r="AQ123" s="506"/>
      <c r="AR123" s="506"/>
      <c r="AS123" s="506"/>
      <c r="AT123" s="506"/>
      <c r="AU123" s="506"/>
      <c r="AV123" s="506"/>
    </row>
    <row r="124" spans="1:48" ht="15" customHeight="1">
      <c r="A124" s="223"/>
      <c r="B124" s="223"/>
      <c r="C124" s="223"/>
      <c r="D124" s="533"/>
      <c r="E124" s="533"/>
      <c r="F124" s="533"/>
      <c r="G124" s="533"/>
      <c r="H124" s="533"/>
      <c r="J124" s="533"/>
      <c r="K124" s="533"/>
      <c r="L124" s="533"/>
      <c r="M124" s="533"/>
      <c r="N124" s="533"/>
      <c r="O124" s="533"/>
      <c r="P124" s="533"/>
      <c r="Q124" s="533"/>
      <c r="R124" s="533"/>
      <c r="S124" s="533"/>
      <c r="T124" s="533"/>
      <c r="U124" s="533"/>
      <c r="V124" s="533"/>
      <c r="W124" s="533"/>
      <c r="X124" s="533"/>
      <c r="Y124" s="533"/>
      <c r="Z124" s="533"/>
      <c r="AA124" s="533"/>
      <c r="AB124" s="533"/>
      <c r="AC124" s="533"/>
      <c r="AD124" s="533"/>
      <c r="AE124" s="533"/>
      <c r="AF124" s="533"/>
      <c r="AG124" s="533"/>
      <c r="AH124" s="506"/>
      <c r="AI124" s="2743"/>
      <c r="AJ124" s="506"/>
      <c r="AK124" s="1932"/>
      <c r="AL124" s="506"/>
      <c r="AM124" s="506"/>
      <c r="AN124" s="506"/>
      <c r="AO124" s="506"/>
      <c r="AP124" s="506"/>
      <c r="AQ124" s="506"/>
      <c r="AR124" s="506"/>
      <c r="AS124" s="506"/>
      <c r="AT124" s="506"/>
      <c r="AU124" s="506"/>
      <c r="AV124" s="506"/>
    </row>
    <row r="125" spans="1:48" ht="15" customHeight="1">
      <c r="A125" s="498"/>
      <c r="D125" s="506"/>
      <c r="E125" s="506"/>
      <c r="F125" s="506"/>
      <c r="G125" s="506"/>
      <c r="H125" s="506"/>
      <c r="J125" s="506"/>
      <c r="K125" s="506"/>
      <c r="L125" s="506"/>
      <c r="M125" s="506"/>
      <c r="N125" s="506"/>
      <c r="O125" s="506"/>
      <c r="P125" s="506"/>
      <c r="Q125" s="506"/>
      <c r="R125" s="506"/>
      <c r="S125" s="506"/>
      <c r="T125" s="506"/>
      <c r="U125" s="506"/>
      <c r="V125" s="506"/>
      <c r="W125" s="506"/>
      <c r="X125" s="506"/>
      <c r="Y125" s="506"/>
      <c r="Z125" s="506"/>
      <c r="AA125" s="506"/>
      <c r="AB125" s="506"/>
      <c r="AC125" s="506"/>
      <c r="AD125" s="506"/>
      <c r="AE125" s="506"/>
      <c r="AF125" s="506"/>
      <c r="AG125" s="506"/>
      <c r="AH125" s="506"/>
      <c r="AI125" s="2743"/>
      <c r="AJ125" s="506"/>
      <c r="AK125" s="1932"/>
      <c r="AL125" s="506"/>
      <c r="AM125" s="506"/>
      <c r="AN125" s="506"/>
      <c r="AO125" s="506"/>
      <c r="AP125" s="506"/>
      <c r="AQ125" s="506"/>
      <c r="AR125" s="506"/>
      <c r="AS125" s="506"/>
      <c r="AT125" s="506"/>
      <c r="AU125" s="506"/>
      <c r="AV125" s="506"/>
    </row>
    <row r="126" spans="1:48" ht="15" customHeight="1">
      <c r="D126" s="506"/>
      <c r="E126" s="506"/>
      <c r="F126" s="506"/>
      <c r="G126" s="506"/>
      <c r="H126" s="506"/>
      <c r="J126" s="506"/>
      <c r="K126" s="506"/>
      <c r="L126" s="506"/>
      <c r="M126" s="506"/>
      <c r="N126" s="506"/>
      <c r="O126" s="506"/>
      <c r="P126" s="506"/>
      <c r="Q126" s="506"/>
      <c r="R126" s="506"/>
      <c r="S126" s="506"/>
      <c r="T126" s="506"/>
      <c r="U126" s="506"/>
      <c r="V126" s="506"/>
      <c r="W126" s="506"/>
      <c r="X126" s="506"/>
      <c r="Y126" s="506"/>
      <c r="Z126" s="506"/>
      <c r="AA126" s="506"/>
      <c r="AB126" s="506"/>
      <c r="AC126" s="506"/>
      <c r="AD126" s="506"/>
      <c r="AE126" s="506"/>
      <c r="AF126" s="506"/>
      <c r="AG126" s="506"/>
      <c r="AH126" s="506"/>
      <c r="AI126" s="2743"/>
      <c r="AJ126" s="506"/>
      <c r="AK126" s="1932"/>
      <c r="AL126" s="506"/>
      <c r="AM126" s="506"/>
      <c r="AN126" s="506"/>
      <c r="AO126" s="506"/>
      <c r="AP126" s="506"/>
      <c r="AQ126" s="506"/>
      <c r="AR126" s="506"/>
      <c r="AS126" s="506"/>
      <c r="AT126" s="506"/>
      <c r="AU126" s="506"/>
      <c r="AV126" s="506"/>
    </row>
    <row r="127" spans="1:48" ht="15" customHeight="1">
      <c r="AI127" s="1882"/>
      <c r="AK127" s="1932"/>
    </row>
    <row r="128" spans="1:48" ht="15" customHeight="1">
      <c r="AI128" s="1882"/>
      <c r="AK128" s="1932"/>
    </row>
    <row r="129" spans="35:37" ht="15" customHeight="1">
      <c r="AI129" s="1882"/>
      <c r="AK129" s="1932"/>
    </row>
    <row r="130" spans="35:37" ht="15" customHeight="1">
      <c r="AI130" s="1882"/>
      <c r="AK130" s="1932"/>
    </row>
    <row r="131" spans="35:37" ht="15" customHeight="1">
      <c r="AI131" s="1882"/>
      <c r="AK131" s="1932"/>
    </row>
    <row r="132" spans="35:37" ht="15" customHeight="1">
      <c r="AI132" s="1882"/>
      <c r="AK132" s="1932"/>
    </row>
    <row r="133" spans="35:37" ht="15" customHeight="1">
      <c r="AI133" s="1882"/>
      <c r="AK133" s="1932"/>
    </row>
    <row r="134" spans="35:37" ht="15" customHeight="1">
      <c r="AI134" s="1882"/>
      <c r="AK134" s="1932"/>
    </row>
    <row r="135" spans="35:37" ht="15" customHeight="1">
      <c r="AI135" s="1882"/>
      <c r="AK135" s="1932"/>
    </row>
    <row r="136" spans="35:37" ht="15" customHeight="1">
      <c r="AI136" s="1882"/>
      <c r="AK136" s="1932"/>
    </row>
    <row r="137" spans="35:37" ht="15" customHeight="1">
      <c r="AI137" s="1882"/>
      <c r="AK137" s="1932"/>
    </row>
    <row r="138" spans="35:37" ht="15" customHeight="1">
      <c r="AI138" s="1882"/>
      <c r="AK138" s="1932"/>
    </row>
    <row r="139" spans="35:37" ht="15" customHeight="1">
      <c r="AI139" s="1882"/>
      <c r="AK139" s="1932"/>
    </row>
    <row r="140" spans="35:37" ht="15" customHeight="1">
      <c r="AI140" s="1882"/>
      <c r="AK140" s="1932"/>
    </row>
    <row r="141" spans="35:37" ht="15" customHeight="1">
      <c r="AI141" s="1882"/>
      <c r="AK141" s="1932"/>
    </row>
    <row r="142" spans="35:37" ht="15" customHeight="1">
      <c r="AI142" s="1882"/>
      <c r="AK142" s="1932"/>
    </row>
    <row r="143" spans="35:37" ht="15" customHeight="1">
      <c r="AI143" s="1882"/>
      <c r="AK143" s="1932"/>
    </row>
    <row r="144" spans="35:37" ht="15" customHeight="1">
      <c r="AI144" s="1882"/>
      <c r="AK144" s="1932"/>
    </row>
    <row r="145" spans="35:37" ht="15" customHeight="1">
      <c r="AI145" s="1882"/>
      <c r="AK145" s="1932"/>
    </row>
    <row r="146" spans="35:37" ht="15" customHeight="1">
      <c r="AI146" s="1882"/>
      <c r="AK146" s="1932"/>
    </row>
    <row r="147" spans="35:37" ht="15" customHeight="1">
      <c r="AI147" s="1882"/>
      <c r="AK147" s="1932"/>
    </row>
    <row r="148" spans="35:37" ht="15" customHeight="1">
      <c r="AI148" s="1882"/>
      <c r="AK148" s="1932"/>
    </row>
    <row r="149" spans="35:37" ht="15" customHeight="1">
      <c r="AI149" s="1882"/>
      <c r="AK149" s="1932"/>
    </row>
    <row r="150" spans="35:37" ht="15" customHeight="1">
      <c r="AI150" s="1882"/>
      <c r="AK150" s="1932"/>
    </row>
    <row r="151" spans="35:37" ht="15" customHeight="1">
      <c r="AI151" s="1882"/>
      <c r="AK151" s="1932"/>
    </row>
    <row r="152" spans="35:37" ht="15" customHeight="1">
      <c r="AI152" s="1882"/>
      <c r="AK152" s="1932"/>
    </row>
    <row r="153" spans="35:37" ht="15" customHeight="1">
      <c r="AI153" s="1882"/>
      <c r="AK153" s="1932"/>
    </row>
    <row r="154" spans="35:37" ht="15" customHeight="1">
      <c r="AI154" s="1882"/>
      <c r="AK154" s="1932"/>
    </row>
    <row r="155" spans="35:37" ht="15" customHeight="1">
      <c r="AI155" s="1882"/>
      <c r="AK155" s="1932"/>
    </row>
    <row r="156" spans="35:37" ht="15" customHeight="1">
      <c r="AI156" s="1882"/>
      <c r="AK156" s="1932"/>
    </row>
    <row r="157" spans="35:37" ht="15" customHeight="1">
      <c r="AI157" s="1882"/>
      <c r="AK157" s="1932"/>
    </row>
    <row r="158" spans="35:37" ht="15" customHeight="1">
      <c r="AI158" s="1882"/>
      <c r="AK158" s="1932"/>
    </row>
    <row r="159" spans="35:37" ht="15" customHeight="1">
      <c r="AI159" s="1882"/>
      <c r="AK159" s="1932"/>
    </row>
    <row r="160" spans="35:37" ht="15" customHeight="1">
      <c r="AI160" s="1882"/>
      <c r="AK160" s="1932"/>
    </row>
    <row r="161" spans="35:37" ht="15" customHeight="1">
      <c r="AI161" s="1882"/>
      <c r="AK161" s="1932"/>
    </row>
    <row r="162" spans="35:37" ht="15" customHeight="1">
      <c r="AI162" s="1882"/>
      <c r="AK162" s="1932"/>
    </row>
    <row r="163" spans="35:37" ht="15" customHeight="1">
      <c r="AI163" s="1882"/>
      <c r="AK163" s="1932"/>
    </row>
    <row r="164" spans="35:37" ht="15" customHeight="1">
      <c r="AI164" s="1882"/>
      <c r="AK164" s="1932"/>
    </row>
    <row r="165" spans="35:37" ht="15" customHeight="1">
      <c r="AI165" s="1882"/>
      <c r="AK165" s="1932"/>
    </row>
    <row r="166" spans="35:37" ht="15" customHeight="1">
      <c r="AI166" s="1882"/>
      <c r="AK166" s="1932"/>
    </row>
    <row r="167" spans="35:37" ht="15" customHeight="1">
      <c r="AI167" s="1882"/>
      <c r="AK167" s="1932"/>
    </row>
    <row r="168" spans="35:37" ht="15" customHeight="1">
      <c r="AI168" s="1882"/>
      <c r="AK168" s="1932"/>
    </row>
    <row r="169" spans="35:37" ht="15" customHeight="1"/>
    <row r="170" spans="35:37" ht="15" customHeight="1"/>
    <row r="171" spans="35:37" ht="15" customHeight="1"/>
    <row r="172" spans="35:37" ht="15" customHeight="1"/>
    <row r="173" spans="35:37" ht="15" customHeight="1"/>
    <row r="174" spans="35:37"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40" firstPageNumber="23" orientation="landscape" useFirstPageNumber="1" r:id="rId2"/>
  <headerFooter scaleWithDoc="0" alignWithMargins="0">
    <oddFooter>&amp;C&amp;8&amp;P</oddFooter>
  </headerFooter>
  <rowBreaks count="1" manualBreakCount="1">
    <brk id="81" min="1" max="36" man="1"/>
  </rowBreaks>
  <ignoredErrors>
    <ignoredError sqref="AK87:AK89 AK101 AK108:AK109 AK111:AK112 AK117:AK119 AK121 AK123 AK20 AK38:AK43 AK85 AK106 AK115 AK28:AK29 AK35:AK36 AK21:AK27 AK37 AK30:AK34 AK45 AK50 AK58 AK63 AK70 AK82:AK83 AK44 AK84 AK71:AK73 AK64:AK69 AK59:AK62 AK52:AK57 AK46:AK49 AK78:AK81 AK93 AK90:AK92 AK94:AK98 AK102:AK105 AK113:AK114" unlockedFormula="1"/>
    <ignoredError sqref="AK74:AK77" formula="1"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showOutlineSymbol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80" bestFit="1" customWidth="1"/>
    <col min="5" max="5" width="1.6328125" style="2" customWidth="1"/>
    <col min="6" max="6" width="13.453125" style="2" customWidth="1"/>
    <col min="7" max="7" width="2.08984375" style="2" customWidth="1"/>
    <col min="8" max="8" width="12.6328125" style="1180" bestFit="1" customWidth="1"/>
    <col min="9" max="9" width="1.90625" style="2" customWidth="1"/>
    <col min="10" max="10" width="13.6328125" style="2" customWidth="1"/>
    <col min="11" max="11" width="1.90625" style="2" customWidth="1"/>
    <col min="12" max="12" width="11.6328125" style="1180"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80" bestFit="1" customWidth="1"/>
    <col min="23" max="23" width="1.90625" style="2" customWidth="1"/>
    <col min="24" max="24" width="13.6328125" style="2" customWidth="1"/>
    <col min="25" max="25" width="1.08984375" style="2" customWidth="1"/>
    <col min="26" max="27" width="1.36328125" style="2" customWidth="1"/>
    <col min="28" max="28" width="12.08984375" style="1180"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84" t="s">
        <v>1217</v>
      </c>
    </row>
    <row r="2" spans="1:38" ht="15">
      <c r="A2" s="1184"/>
    </row>
    <row r="3" spans="1:38" ht="21">
      <c r="A3" s="2383" t="s">
        <v>0</v>
      </c>
      <c r="B3" s="2384"/>
      <c r="C3" s="2384"/>
      <c r="D3" s="2384"/>
      <c r="E3" s="2384"/>
      <c r="F3" s="2384"/>
      <c r="G3" s="2384"/>
      <c r="H3" s="2384"/>
      <c r="I3" s="2384"/>
      <c r="J3" s="2384"/>
      <c r="K3" s="2384"/>
      <c r="L3" s="2384"/>
      <c r="M3" s="2384"/>
      <c r="N3" s="2384"/>
      <c r="O3" s="2384"/>
      <c r="P3" s="2384"/>
      <c r="Q3" s="2384"/>
      <c r="R3" s="2384"/>
      <c r="S3" s="2384"/>
      <c r="T3" s="2384"/>
      <c r="U3" s="2384"/>
      <c r="V3" s="2384"/>
      <c r="W3" s="2384"/>
      <c r="X3" s="2384"/>
      <c r="Y3" s="2384"/>
      <c r="Z3" s="2384"/>
      <c r="AA3" s="2384"/>
      <c r="AB3" s="2384"/>
      <c r="AC3" s="2384"/>
      <c r="AD3" s="2384"/>
      <c r="AE3" s="2384"/>
      <c r="AF3" s="2384"/>
      <c r="AG3" s="2384"/>
      <c r="AH3" s="2384"/>
      <c r="AI3" s="9" t="s">
        <v>2</v>
      </c>
      <c r="AJ3" s="1"/>
    </row>
    <row r="4" spans="1:38" ht="21">
      <c r="A4" s="3548" t="s">
        <v>1</v>
      </c>
      <c r="B4" s="3549"/>
      <c r="C4" s="3549"/>
      <c r="D4" s="3549"/>
      <c r="E4" s="3549"/>
      <c r="F4" s="3549"/>
      <c r="G4" s="3549"/>
      <c r="H4" s="3549"/>
      <c r="I4" s="3549"/>
      <c r="J4" s="3549"/>
      <c r="K4" s="3549"/>
      <c r="L4" s="3549"/>
      <c r="M4" s="3549"/>
      <c r="N4" s="3549"/>
      <c r="O4" s="3549"/>
      <c r="P4" s="3549"/>
      <c r="Q4" s="3549"/>
      <c r="R4" s="3549"/>
      <c r="S4" s="3549"/>
      <c r="T4" s="3549"/>
      <c r="U4" s="3549"/>
      <c r="V4" s="3549"/>
      <c r="W4" s="3549"/>
      <c r="X4" s="3549"/>
      <c r="Y4" s="3549"/>
      <c r="Z4" s="3549"/>
      <c r="AA4" s="3549"/>
      <c r="AB4" s="3549"/>
      <c r="AC4" s="3549"/>
      <c r="AD4" s="3549"/>
      <c r="AE4" s="3549"/>
      <c r="AF4" s="3549"/>
      <c r="AG4" s="3549"/>
      <c r="AH4" s="3549"/>
      <c r="AI4" s="3549"/>
      <c r="AJ4" s="1"/>
    </row>
    <row r="5" spans="1:38" ht="21">
      <c r="A5" s="3548" t="s">
        <v>1110</v>
      </c>
      <c r="B5" s="3550"/>
      <c r="C5" s="3550"/>
      <c r="D5" s="3550"/>
      <c r="E5" s="3550"/>
      <c r="F5" s="3550"/>
      <c r="G5" s="3550"/>
      <c r="H5" s="3550"/>
      <c r="I5" s="3550"/>
      <c r="J5" s="3550"/>
      <c r="K5" s="3550"/>
      <c r="L5" s="3550"/>
      <c r="M5" s="3550"/>
      <c r="N5" s="3550"/>
      <c r="O5" s="3550"/>
      <c r="P5" s="3550"/>
      <c r="Q5" s="3550"/>
      <c r="R5" s="3550"/>
      <c r="S5" s="3550"/>
      <c r="T5" s="3550"/>
      <c r="U5" s="3550"/>
      <c r="V5" s="3550"/>
      <c r="W5" s="3550"/>
      <c r="X5" s="3550"/>
      <c r="Y5" s="3550"/>
      <c r="Z5" s="3550"/>
      <c r="AA5" s="3550"/>
      <c r="AB5" s="3550"/>
      <c r="AC5" s="3550"/>
      <c r="AD5" s="3550"/>
      <c r="AE5" s="3549"/>
      <c r="AF5" s="3549"/>
      <c r="AG5" s="3549"/>
      <c r="AH5" s="3549"/>
      <c r="AI5" s="3549"/>
      <c r="AJ5" s="1"/>
    </row>
    <row r="6" spans="1:38" ht="18" customHeight="1">
      <c r="A6" s="3548" t="s">
        <v>1103</v>
      </c>
      <c r="B6" s="3549"/>
      <c r="C6" s="3549"/>
      <c r="D6" s="3549"/>
      <c r="E6" s="3549"/>
      <c r="F6" s="3549"/>
      <c r="G6" s="3549"/>
      <c r="H6" s="3549"/>
      <c r="I6" s="3549"/>
      <c r="J6" s="3549"/>
      <c r="K6" s="3549"/>
      <c r="L6" s="3549"/>
      <c r="M6" s="3549"/>
      <c r="N6" s="3549"/>
      <c r="O6" s="3549"/>
      <c r="P6" s="3549"/>
      <c r="Q6" s="3549"/>
      <c r="R6" s="3549"/>
      <c r="S6" s="3549"/>
      <c r="T6" s="3549"/>
      <c r="U6" s="3549"/>
      <c r="V6" s="3549"/>
      <c r="W6" s="3549"/>
      <c r="X6" s="3549"/>
      <c r="Y6" s="3549"/>
      <c r="Z6" s="3549"/>
      <c r="AA6" s="3549"/>
      <c r="AB6" s="3549"/>
      <c r="AC6" s="3549"/>
      <c r="AD6" s="3549"/>
      <c r="AE6" s="3549"/>
      <c r="AF6" s="3549"/>
      <c r="AG6" s="3549"/>
      <c r="AH6" s="3549"/>
      <c r="AI6" s="3549"/>
      <c r="AJ6" s="1"/>
    </row>
    <row r="7" spans="1:38" ht="15.6">
      <c r="A7" s="3"/>
      <c r="B7" s="3"/>
      <c r="C7" s="3"/>
      <c r="D7" s="1176"/>
      <c r="E7" s="3"/>
      <c r="F7" s="4"/>
      <c r="G7" s="3"/>
      <c r="H7" s="1181"/>
      <c r="I7" s="5"/>
      <c r="J7" s="6"/>
      <c r="K7" s="5"/>
      <c r="L7" s="1181"/>
      <c r="M7" s="3"/>
      <c r="N7" s="6"/>
      <c r="O7" s="5"/>
      <c r="P7" s="5"/>
      <c r="Q7" s="5"/>
      <c r="R7" s="6"/>
      <c r="S7" s="3"/>
      <c r="T7" s="3"/>
      <c r="U7" s="3"/>
      <c r="V7" s="1176"/>
      <c r="W7" s="3"/>
      <c r="X7" s="3"/>
      <c r="Y7" s="3"/>
      <c r="Z7" s="3"/>
      <c r="AA7" s="3"/>
      <c r="AB7" s="1176"/>
      <c r="AC7" s="3"/>
      <c r="AD7" s="7"/>
      <c r="AE7" s="7"/>
      <c r="AF7" s="8"/>
      <c r="AG7" s="8"/>
      <c r="AJ7" s="1"/>
      <c r="AK7" s="1"/>
      <c r="AL7" s="1"/>
    </row>
    <row r="8" spans="1:38" ht="15.9" customHeight="1">
      <c r="A8" s="5"/>
      <c r="B8" s="3"/>
      <c r="C8" s="3"/>
      <c r="D8" s="1181"/>
      <c r="E8" s="3"/>
      <c r="F8" s="4"/>
      <c r="G8" s="3"/>
      <c r="H8" s="1181"/>
      <c r="I8" s="5"/>
      <c r="J8" s="6"/>
      <c r="K8" s="5"/>
      <c r="L8" s="1181"/>
      <c r="M8" s="3"/>
      <c r="N8" s="6"/>
      <c r="O8" s="5"/>
      <c r="P8" s="5"/>
      <c r="Q8" s="5"/>
      <c r="R8" s="6"/>
      <c r="S8" s="3"/>
      <c r="T8" s="3"/>
      <c r="U8" s="3"/>
      <c r="V8" s="1176"/>
      <c r="W8" s="3"/>
      <c r="X8" s="3"/>
      <c r="Y8" s="3"/>
      <c r="Z8" s="3"/>
      <c r="AA8" s="3"/>
      <c r="AB8" s="1176"/>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84"/>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51" t="s">
        <v>1462</v>
      </c>
      <c r="W10" s="3552"/>
      <c r="X10" s="3552"/>
      <c r="Y10" s="3552"/>
      <c r="Z10" s="3552"/>
      <c r="AA10" s="3552"/>
      <c r="AB10" s="3552"/>
      <c r="AC10" s="3552"/>
      <c r="AD10" s="3552"/>
      <c r="AE10" s="3552"/>
      <c r="AF10" s="3552"/>
      <c r="AG10" s="3552"/>
      <c r="AH10" s="3552"/>
      <c r="AI10" s="3553"/>
      <c r="AJ10" s="19"/>
      <c r="AK10" s="1"/>
      <c r="AL10" s="1"/>
    </row>
    <row r="11" spans="1:38" ht="15.9" customHeight="1">
      <c r="A11" s="15"/>
      <c r="B11" s="15"/>
      <c r="C11" s="15"/>
      <c r="D11" s="20" t="s">
        <v>7</v>
      </c>
      <c r="E11" s="20"/>
      <c r="F11" s="21" t="s">
        <v>1660</v>
      </c>
      <c r="G11" s="11"/>
      <c r="H11" s="20" t="s">
        <v>7</v>
      </c>
      <c r="I11" s="20"/>
      <c r="J11" s="22" t="str">
        <f>F11</f>
        <v>9 MOS. ENDED</v>
      </c>
      <c r="K11" s="11"/>
      <c r="L11" s="20" t="s">
        <v>7</v>
      </c>
      <c r="M11" s="20"/>
      <c r="N11" s="22" t="str">
        <f>F11</f>
        <v>9 MOS. ENDED</v>
      </c>
      <c r="O11" s="11"/>
      <c r="P11" s="20" t="s">
        <v>7</v>
      </c>
      <c r="Q11" s="20"/>
      <c r="R11" s="22" t="str">
        <f>J11</f>
        <v>9 MOS. ENDED</v>
      </c>
      <c r="S11" s="11"/>
      <c r="T11" s="11"/>
      <c r="U11" s="1185"/>
      <c r="V11" s="20" t="s">
        <v>7</v>
      </c>
      <c r="W11" s="20"/>
      <c r="X11" s="20" t="str">
        <f>F11</f>
        <v>9 MOS. ENDED</v>
      </c>
      <c r="Y11" s="20"/>
      <c r="Z11" s="20"/>
      <c r="AA11" s="20"/>
      <c r="AB11" s="20" t="s">
        <v>7</v>
      </c>
      <c r="AC11" s="20"/>
      <c r="AD11" s="24" t="str">
        <f>F11</f>
        <v>9 MOS. ENDED</v>
      </c>
      <c r="AE11" s="24"/>
      <c r="AF11" s="20"/>
      <c r="AG11" s="20" t="s">
        <v>8</v>
      </c>
      <c r="AH11" s="1186"/>
      <c r="AI11" s="20" t="s">
        <v>9</v>
      </c>
      <c r="AJ11" s="1"/>
      <c r="AK11" s="1"/>
      <c r="AL11" s="1"/>
    </row>
    <row r="12" spans="1:38" ht="15.9" customHeight="1">
      <c r="A12" s="15"/>
      <c r="B12" s="15"/>
      <c r="C12" s="15"/>
      <c r="D12" s="25" t="s">
        <v>1659</v>
      </c>
      <c r="E12" s="11"/>
      <c r="F12" s="1848" t="s">
        <v>1661</v>
      </c>
      <c r="G12" s="11"/>
      <c r="H12" s="26" t="str">
        <f>D12</f>
        <v>DEC. 2015</v>
      </c>
      <c r="I12" s="11"/>
      <c r="J12" s="27" t="str">
        <f>F12</f>
        <v>DEC. 31, 2015</v>
      </c>
      <c r="K12" s="11"/>
      <c r="L12" s="26" t="str">
        <f>D12</f>
        <v>DEC. 2015</v>
      </c>
      <c r="M12" s="11"/>
      <c r="N12" s="27" t="str">
        <f>F12</f>
        <v>DEC. 31, 2015</v>
      </c>
      <c r="O12" s="11"/>
      <c r="P12" s="26" t="str">
        <f>D12</f>
        <v>DEC. 2015</v>
      </c>
      <c r="Q12" s="11"/>
      <c r="R12" s="27" t="str">
        <f>J12</f>
        <v>DEC. 31, 2015</v>
      </c>
      <c r="S12" s="11"/>
      <c r="T12" s="11"/>
      <c r="U12" s="1187"/>
      <c r="V12" s="26" t="str">
        <f>D12</f>
        <v>DEC. 2015</v>
      </c>
      <c r="W12" s="11"/>
      <c r="X12" s="26" t="str">
        <f>F12</f>
        <v>DEC. 31, 2015</v>
      </c>
      <c r="Y12" s="11"/>
      <c r="Z12" s="11"/>
      <c r="AA12" s="11"/>
      <c r="AB12" s="25" t="s">
        <v>1655</v>
      </c>
      <c r="AC12" s="11"/>
      <c r="AD12" s="25" t="s">
        <v>1656</v>
      </c>
      <c r="AE12" s="28"/>
      <c r="AF12" s="28"/>
      <c r="AG12" s="26" t="s">
        <v>13</v>
      </c>
      <c r="AH12" s="1184"/>
      <c r="AI12" s="25" t="s">
        <v>14</v>
      </c>
      <c r="AJ12" s="19"/>
      <c r="AK12" s="1"/>
      <c r="AL12" s="1"/>
    </row>
    <row r="13" spans="1:38" ht="15.9" customHeight="1">
      <c r="A13" s="14" t="s">
        <v>15</v>
      </c>
      <c r="B13" s="15"/>
      <c r="C13" s="15"/>
      <c r="D13" s="1177" t="s">
        <v>16</v>
      </c>
      <c r="E13" s="15"/>
      <c r="F13" s="30"/>
      <c r="G13" s="15"/>
      <c r="H13" s="1177" t="s">
        <v>16</v>
      </c>
      <c r="I13" s="15"/>
      <c r="J13" s="30"/>
      <c r="K13" s="15"/>
      <c r="L13" s="1177" t="s">
        <v>16</v>
      </c>
      <c r="M13" s="15"/>
      <c r="N13" s="30"/>
      <c r="O13" s="15"/>
      <c r="P13" s="1133" t="s">
        <v>16</v>
      </c>
      <c r="Q13" s="1134"/>
      <c r="R13" s="1135"/>
      <c r="S13" s="31"/>
      <c r="T13" s="31"/>
      <c r="U13" s="29"/>
      <c r="V13" s="1177"/>
      <c r="W13" s="15"/>
      <c r="X13" s="29"/>
      <c r="Y13" s="31"/>
      <c r="Z13" s="32"/>
      <c r="AA13" s="29"/>
      <c r="AB13" s="1177"/>
      <c r="AC13" s="15"/>
      <c r="AD13" s="33"/>
      <c r="AE13" s="33"/>
      <c r="AF13" s="34"/>
      <c r="AG13" s="29"/>
      <c r="AI13" s="19"/>
      <c r="AJ13" s="19"/>
      <c r="AK13" s="1"/>
      <c r="AL13" s="1"/>
    </row>
    <row r="14" spans="1:38" ht="18" customHeight="1">
      <c r="A14" s="15" t="s">
        <v>17</v>
      </c>
      <c r="B14" s="1879">
        <v>-6</v>
      </c>
      <c r="C14" s="15"/>
      <c r="D14" s="2662">
        <f>+'Exhibit F'!T28</f>
        <v>3621.7</v>
      </c>
      <c r="E14" s="37" t="s">
        <v>16</v>
      </c>
      <c r="F14" s="1209">
        <f>+'Exhibit F'!AC28</f>
        <v>24740.9</v>
      </c>
      <c r="G14" s="37"/>
      <c r="H14" s="2662">
        <f>'Exhibit G'!T18</f>
        <v>125</v>
      </c>
      <c r="I14" s="38"/>
      <c r="J14" s="1209">
        <f>'Exhibit G'!AC18</f>
        <v>774.5</v>
      </c>
      <c r="K14" s="37"/>
      <c r="L14" s="2797">
        <f>+'Exhibit H'!R16</f>
        <v>1248.9000000000001</v>
      </c>
      <c r="M14" s="1209"/>
      <c r="N14" s="1209">
        <f>+'Exhibit H'!AA16</f>
        <v>8505.1</v>
      </c>
      <c r="O14" s="1209"/>
      <c r="P14" s="1272">
        <v>0</v>
      </c>
      <c r="Q14" s="1273"/>
      <c r="R14" s="1272">
        <v>0</v>
      </c>
      <c r="S14" s="1459"/>
      <c r="T14" s="1459"/>
      <c r="U14" s="1460"/>
      <c r="V14" s="2662">
        <f t="shared" ref="V14:V19" si="0">ROUND(SUM(D14)+SUM(H14)+SUM(L14)+SUM(P14),1)</f>
        <v>4995.6000000000004</v>
      </c>
      <c r="W14" s="1458" t="s">
        <v>16</v>
      </c>
      <c r="X14" s="1458">
        <f t="shared" ref="X14:X19" si="1">ROUND(SUM(F14)+SUM(J14)+SUM(N14)+SUM(R14),1)</f>
        <v>34020.5</v>
      </c>
      <c r="Y14" s="39"/>
      <c r="Z14" s="41"/>
      <c r="AA14" s="40"/>
      <c r="AB14" s="1201">
        <v>4963.7</v>
      </c>
      <c r="AC14" s="37"/>
      <c r="AD14" s="2801">
        <f>ROUND(+'Exhibit F'!AF28+'Exhibit G'!AF18+'Exhibit H'!AD16,1)</f>
        <v>30174.1</v>
      </c>
      <c r="AE14" s="42"/>
      <c r="AF14" s="43"/>
      <c r="AG14" s="37">
        <f t="shared" ref="AG14:AG19" si="2">ROUND(SUM(X14-AD14),1)</f>
        <v>3846.4</v>
      </c>
      <c r="AH14" s="44"/>
      <c r="AI14" s="45">
        <f t="shared" ref="AI14:AI19" si="3">ROUND(SUM((+X14-AD14)/ABS(AD14)),3)</f>
        <v>0.127</v>
      </c>
      <c r="AJ14" s="1846"/>
      <c r="AK14" s="1"/>
      <c r="AL14" s="1"/>
    </row>
    <row r="15" spans="1:38" ht="18" customHeight="1">
      <c r="A15" s="15" t="s">
        <v>18</v>
      </c>
      <c r="B15" s="46" t="s">
        <v>16</v>
      </c>
      <c r="C15" s="15"/>
      <c r="D15" s="1138">
        <f>+'Exhibit F'!T37</f>
        <v>644.70000000000005</v>
      </c>
      <c r="E15" s="47"/>
      <c r="F15" s="48">
        <f>+'Exhibit F'!AC37</f>
        <v>5170.5</v>
      </c>
      <c r="G15" s="47"/>
      <c r="H15" s="1138">
        <f>'Exhibit G'!T28</f>
        <v>181.4</v>
      </c>
      <c r="I15" s="47"/>
      <c r="J15" s="48">
        <f>+'Exhibit G'!AC28</f>
        <v>1582.5</v>
      </c>
      <c r="K15" s="47"/>
      <c r="L15" s="2796">
        <f>'Exhibit H'!R20</f>
        <v>594.4</v>
      </c>
      <c r="M15" s="48"/>
      <c r="N15" s="48">
        <f>+'Exhibit H'!AA20</f>
        <v>4719.3</v>
      </c>
      <c r="O15" s="48"/>
      <c r="P15" s="2796">
        <f>' Exhbit I '!U23</f>
        <v>68.400000000000006</v>
      </c>
      <c r="Q15" s="1137"/>
      <c r="R15" s="1136">
        <f>+' Exhbit I '!AD23</f>
        <v>488.5</v>
      </c>
      <c r="S15" s="50"/>
      <c r="T15" s="50"/>
      <c r="U15" s="51"/>
      <c r="V15" s="1137">
        <f t="shared" si="0"/>
        <v>1488.9</v>
      </c>
      <c r="W15" s="47" t="s">
        <v>16</v>
      </c>
      <c r="X15" s="47">
        <f t="shared" si="1"/>
        <v>11960.8</v>
      </c>
      <c r="Y15" s="50"/>
      <c r="Z15" s="52"/>
      <c r="AA15" s="51"/>
      <c r="AB15" s="1147">
        <v>1529.3</v>
      </c>
      <c r="AC15" s="53"/>
      <c r="AD15" s="33">
        <f>ROUND(+' Exhbit I '!AG23+'Exhibit G'!AF28+'Exhibit H'!AD20+'Exhibit F'!AF37,1)</f>
        <v>11765.9</v>
      </c>
      <c r="AE15" s="54"/>
      <c r="AF15" s="55"/>
      <c r="AG15" s="47">
        <f t="shared" si="2"/>
        <v>194.9</v>
      </c>
      <c r="AI15" s="45">
        <f t="shared" si="3"/>
        <v>1.7000000000000001E-2</v>
      </c>
      <c r="AJ15" s="29"/>
      <c r="AK15" s="1"/>
      <c r="AL15" s="1"/>
    </row>
    <row r="16" spans="1:38" ht="18" customHeight="1">
      <c r="A16" s="15" t="s">
        <v>19</v>
      </c>
      <c r="B16" s="56"/>
      <c r="C16" s="15"/>
      <c r="D16" s="1138">
        <f>+'Exhibit F'!T44</f>
        <v>1084.3</v>
      </c>
      <c r="E16" s="47"/>
      <c r="F16" s="48">
        <f>+'Exhibit F'!AC44</f>
        <v>3885.4</v>
      </c>
      <c r="G16" s="47"/>
      <c r="H16" s="1138">
        <f>'Exhibit G'!T35</f>
        <v>230.7</v>
      </c>
      <c r="I16" s="47"/>
      <c r="J16" s="48">
        <f>'Exhibit G'!AC35</f>
        <v>1076.5999999999999</v>
      </c>
      <c r="K16" s="47"/>
      <c r="L16" s="1144">
        <v>0</v>
      </c>
      <c r="M16" s="48"/>
      <c r="N16" s="58">
        <v>0</v>
      </c>
      <c r="O16" s="48"/>
      <c r="P16" s="2796">
        <f>' Exhbit I '!U28</f>
        <v>52.5</v>
      </c>
      <c r="Q16" s="1137"/>
      <c r="R16" s="1136">
        <f>' Exhbit I '!AD28</f>
        <v>479.6</v>
      </c>
      <c r="S16" s="50"/>
      <c r="T16" s="50"/>
      <c r="U16" s="51"/>
      <c r="V16" s="1137">
        <f t="shared" si="0"/>
        <v>1367.5</v>
      </c>
      <c r="W16" s="47" t="s">
        <v>16</v>
      </c>
      <c r="X16" s="47">
        <f t="shared" si="1"/>
        <v>5441.6</v>
      </c>
      <c r="Y16" s="50"/>
      <c r="Z16" s="52"/>
      <c r="AA16" s="51"/>
      <c r="AB16" s="1147">
        <v>1178.7</v>
      </c>
      <c r="AC16" s="53"/>
      <c r="AD16" s="33">
        <f>ROUND(+'Exhibit G'!AF35+' Exhbit I '!AG28+'Exhibit F'!AF44,1)</f>
        <v>5288.5</v>
      </c>
      <c r="AE16" s="54"/>
      <c r="AF16" s="55"/>
      <c r="AG16" s="47">
        <f t="shared" si="2"/>
        <v>153.1</v>
      </c>
      <c r="AI16" s="45">
        <f t="shared" si="3"/>
        <v>2.9000000000000001E-2</v>
      </c>
      <c r="AJ16" s="29"/>
      <c r="AK16" s="1"/>
      <c r="AL16" s="1"/>
    </row>
    <row r="17" spans="1:38" ht="18" customHeight="1">
      <c r="A17" s="15" t="s">
        <v>20</v>
      </c>
      <c r="B17" s="36"/>
      <c r="C17" s="15"/>
      <c r="D17" s="1138">
        <f>+'Exhibit F'!T52</f>
        <v>75.099999999999994</v>
      </c>
      <c r="E17" s="47"/>
      <c r="F17" s="48">
        <f>+'Exhibit F'!AC52</f>
        <v>1255</v>
      </c>
      <c r="G17" s="47"/>
      <c r="H17" s="1138">
        <f>'Exhibit G'!T37</f>
        <v>111.4</v>
      </c>
      <c r="I17" s="47"/>
      <c r="J17" s="47">
        <f>'Exhibit G'!AC38</f>
        <v>889.5</v>
      </c>
      <c r="K17" s="47"/>
      <c r="L17" s="2796">
        <f>'Exhibit H'!R23</f>
        <v>84.3</v>
      </c>
      <c r="M17" s="48"/>
      <c r="N17" s="48">
        <f>+'Exhibit H'!AA23</f>
        <v>783</v>
      </c>
      <c r="O17" s="48"/>
      <c r="P17" s="2796">
        <f>' Exhbit I '!U31</f>
        <v>11.9</v>
      </c>
      <c r="Q17" s="1137"/>
      <c r="R17" s="1136">
        <f>' Exhbit I '!AD31</f>
        <v>83.4</v>
      </c>
      <c r="S17" s="50"/>
      <c r="T17" s="50"/>
      <c r="U17" s="51"/>
      <c r="V17" s="1137">
        <f t="shared" si="0"/>
        <v>282.7</v>
      </c>
      <c r="W17" s="47" t="s">
        <v>16</v>
      </c>
      <c r="X17" s="47">
        <f t="shared" si="1"/>
        <v>3010.9</v>
      </c>
      <c r="Y17" s="50"/>
      <c r="Z17" s="52"/>
      <c r="AA17" s="51"/>
      <c r="AB17" s="1137">
        <v>300.5</v>
      </c>
      <c r="AC17" s="47"/>
      <c r="AD17" s="54">
        <f>ROUND(+'Exhibit F'!AF52+'Exhibit G'!AF38+'Exhibit H'!AD23+' Exhbit I '!AG31,1)</f>
        <v>2511.9</v>
      </c>
      <c r="AE17" s="54"/>
      <c r="AF17" s="55"/>
      <c r="AG17" s="47">
        <f t="shared" si="2"/>
        <v>499</v>
      </c>
      <c r="AI17" s="45">
        <f t="shared" si="3"/>
        <v>0.19900000000000001</v>
      </c>
      <c r="AJ17" s="33"/>
      <c r="AK17" s="1"/>
      <c r="AL17" s="1"/>
    </row>
    <row r="18" spans="1:38" ht="18" customHeight="1">
      <c r="A18" s="15" t="s">
        <v>21</v>
      </c>
      <c r="B18" s="59">
        <v>-5</v>
      </c>
      <c r="C18" s="15"/>
      <c r="D18" s="1138">
        <f>+'Exhibit F'!T89</f>
        <v>256</v>
      </c>
      <c r="E18" s="47"/>
      <c r="F18" s="48">
        <f>+'Exhibit F'!AC89</f>
        <v>4849.3999999999996</v>
      </c>
      <c r="G18" s="47"/>
      <c r="H18" s="1138">
        <f>'Exhibit G'!T82</f>
        <v>1557.1</v>
      </c>
      <c r="I18" s="47"/>
      <c r="J18" s="48">
        <f>+'Exhibit G'!AC82</f>
        <v>12036.4</v>
      </c>
      <c r="K18" s="47"/>
      <c r="L18" s="2796">
        <f>+'Exhibit H'!R43</f>
        <v>34.6</v>
      </c>
      <c r="M18" s="48"/>
      <c r="N18" s="48">
        <f>+'Exhibit H'!AA43</f>
        <v>356.3</v>
      </c>
      <c r="O18" s="48"/>
      <c r="P18" s="2796">
        <f>+' Exhbit I '!U61</f>
        <v>770.6</v>
      </c>
      <c r="Q18" s="1137"/>
      <c r="R18" s="1138">
        <f>+' Exhbit I '!AD61</f>
        <v>2965.2</v>
      </c>
      <c r="S18" s="50"/>
      <c r="T18" s="50"/>
      <c r="U18" s="51"/>
      <c r="V18" s="1137">
        <f t="shared" si="0"/>
        <v>2618.3000000000002</v>
      </c>
      <c r="W18" s="47" t="s">
        <v>16</v>
      </c>
      <c r="X18" s="47">
        <f t="shared" si="1"/>
        <v>20207.3</v>
      </c>
      <c r="Y18" s="50"/>
      <c r="Z18" s="52"/>
      <c r="AA18" s="51"/>
      <c r="AB18" s="1147">
        <v>1976.4</v>
      </c>
      <c r="AC18" s="53"/>
      <c r="AD18" s="54">
        <f>ROUND('Exhibit F'!AF89+'Exhibit G'!AF82+'Exhibit H'!AD43+' Exhbit I '!AG61,1)</f>
        <v>21414.7</v>
      </c>
      <c r="AE18" s="54"/>
      <c r="AF18" s="55"/>
      <c r="AG18" s="47">
        <f t="shared" si="2"/>
        <v>-1207.4000000000001</v>
      </c>
      <c r="AI18" s="45">
        <f t="shared" si="3"/>
        <v>-5.6000000000000001E-2</v>
      </c>
      <c r="AJ18" s="29"/>
      <c r="AK18" s="1"/>
      <c r="AL18" s="1"/>
    </row>
    <row r="19" spans="1:38" ht="18" customHeight="1">
      <c r="A19" s="15" t="s">
        <v>22</v>
      </c>
      <c r="B19" s="59">
        <v>-5</v>
      </c>
      <c r="C19" s="15"/>
      <c r="D19" s="1138">
        <f>+'Exhibit F'!T91</f>
        <v>0.1</v>
      </c>
      <c r="E19" s="51"/>
      <c r="F19" s="48">
        <f>+'Exhibit F'!AC91</f>
        <v>0.3</v>
      </c>
      <c r="G19" s="47"/>
      <c r="H19" s="1138">
        <f>'Exhibit G'!T84</f>
        <v>5196.3</v>
      </c>
      <c r="I19" s="47"/>
      <c r="J19" s="48">
        <f>+'Exhibit G'!AC84</f>
        <v>35486.400000000001</v>
      </c>
      <c r="K19" s="47"/>
      <c r="L19" s="2796">
        <f>+'Exhibit H'!R45</f>
        <v>0</v>
      </c>
      <c r="M19" s="74"/>
      <c r="N19" s="48">
        <f>+'Exhibit H'!AA45</f>
        <v>36.5</v>
      </c>
      <c r="O19" s="48"/>
      <c r="P19" s="2796">
        <f>+' Exhbit I '!U63</f>
        <v>213.6</v>
      </c>
      <c r="Q19" s="1137"/>
      <c r="R19" s="1138">
        <f>+' Exhbit I '!AD63</f>
        <v>1709.3</v>
      </c>
      <c r="S19" s="50"/>
      <c r="T19" s="50"/>
      <c r="U19" s="51"/>
      <c r="V19" s="1139">
        <f t="shared" si="0"/>
        <v>5410</v>
      </c>
      <c r="W19" s="47" t="s">
        <v>16</v>
      </c>
      <c r="X19" s="51">
        <f t="shared" si="1"/>
        <v>37232.5</v>
      </c>
      <c r="Y19" s="50"/>
      <c r="Z19" s="52"/>
      <c r="AA19" s="51"/>
      <c r="AB19" s="1137">
        <v>4869.2</v>
      </c>
      <c r="AC19" s="47"/>
      <c r="AD19" s="54">
        <f>ROUND(+'Exhibit F'!AF91+'Exhibit G'!AF84+'Exhibit H'!AD45+' Exhbit I '!AG63,1)</f>
        <v>34873.4</v>
      </c>
      <c r="AE19" s="54"/>
      <c r="AF19" s="55"/>
      <c r="AG19" s="47">
        <f t="shared" si="2"/>
        <v>2359.1</v>
      </c>
      <c r="AI19" s="45">
        <f t="shared" si="3"/>
        <v>6.8000000000000005E-2</v>
      </c>
      <c r="AJ19" s="29"/>
      <c r="AK19" s="1"/>
      <c r="AL19" s="1"/>
    </row>
    <row r="20" spans="1:38" ht="18" customHeight="1">
      <c r="A20" s="14" t="s">
        <v>23</v>
      </c>
      <c r="B20" s="15"/>
      <c r="C20" s="15"/>
      <c r="D20" s="62">
        <f>ROUND(SUM(D14:D19),1)</f>
        <v>5681.9</v>
      </c>
      <c r="E20" s="61"/>
      <c r="F20" s="62">
        <f>ROUND(SUM(F14:F19),1)</f>
        <v>39901.5</v>
      </c>
      <c r="G20" s="63"/>
      <c r="H20" s="65">
        <f>ROUND(SUM(H14:H19),1)</f>
        <v>7401.9</v>
      </c>
      <c r="I20" s="63"/>
      <c r="J20" s="65">
        <f>ROUND(SUM(J14:J19),1)</f>
        <v>51845.9</v>
      </c>
      <c r="K20" s="63"/>
      <c r="L20" s="65">
        <f>ROUND(SUM(L14:L19),1)</f>
        <v>1962.2</v>
      </c>
      <c r="M20" s="2667"/>
      <c r="N20" s="65">
        <f>ROUND(SUM(N14:N19),1)</f>
        <v>14400.2</v>
      </c>
      <c r="O20" s="2667"/>
      <c r="P20" s="65">
        <f>ROUND(SUM(P14:P19),1)</f>
        <v>1117</v>
      </c>
      <c r="Q20" s="63"/>
      <c r="R20" s="65">
        <f>ROUND(SUM(R14:R19),1)</f>
        <v>5726</v>
      </c>
      <c r="S20" s="66"/>
      <c r="T20" s="66"/>
      <c r="U20" s="67"/>
      <c r="V20" s="64">
        <f>ROUND(SUM(V14:V19),1)</f>
        <v>16163</v>
      </c>
      <c r="W20" s="63"/>
      <c r="X20" s="64">
        <f>ROUND(SUM(X14:X19),1)</f>
        <v>111873.60000000001</v>
      </c>
      <c r="Y20" s="66"/>
      <c r="Z20" s="68"/>
      <c r="AA20" s="67"/>
      <c r="AB20" s="64">
        <f>ROUND(SUM(AB14:AB19),1)</f>
        <v>14817.8</v>
      </c>
      <c r="AC20" s="63"/>
      <c r="AD20" s="64">
        <f>ROUND(SUM(AD14:AD19),1)</f>
        <v>106028.5</v>
      </c>
      <c r="AE20" s="69"/>
      <c r="AF20" s="70"/>
      <c r="AG20" s="64">
        <f>ROUND(SUM(AG14:AG19),1)</f>
        <v>5845.1</v>
      </c>
      <c r="AH20" s="71"/>
      <c r="AI20" s="72">
        <f>(+X20-AD20)/ABS(AD20)</f>
        <v>5.512763077851715E-2</v>
      </c>
      <c r="AJ20" s="73"/>
      <c r="AK20" s="1"/>
      <c r="AL20" s="1"/>
    </row>
    <row r="21" spans="1:38" ht="15.9" customHeight="1">
      <c r="A21" s="14"/>
      <c r="B21" s="15"/>
      <c r="C21" s="15"/>
      <c r="D21" s="1140"/>
      <c r="E21" s="51"/>
      <c r="F21" s="74"/>
      <c r="G21" s="47"/>
      <c r="H21" s="1140"/>
      <c r="I21" s="47"/>
      <c r="J21" s="74"/>
      <c r="K21" s="47"/>
      <c r="L21" s="1140"/>
      <c r="M21" s="48"/>
      <c r="N21" s="74"/>
      <c r="O21" s="48"/>
      <c r="P21" s="1140"/>
      <c r="Q21" s="1137"/>
      <c r="R21" s="1140"/>
      <c r="S21" s="50"/>
      <c r="T21" s="50"/>
      <c r="U21" s="51"/>
      <c r="V21" s="1139"/>
      <c r="W21" s="47"/>
      <c r="X21" s="51"/>
      <c r="Y21" s="50"/>
      <c r="Z21" s="52"/>
      <c r="AA21" s="51"/>
      <c r="AB21" s="1139"/>
      <c r="AC21" s="47"/>
      <c r="AD21" s="54"/>
      <c r="AE21" s="54"/>
      <c r="AF21" s="55"/>
      <c r="AG21" s="51"/>
      <c r="AI21" s="19"/>
      <c r="AJ21" s="29"/>
      <c r="AK21" s="1"/>
      <c r="AL21" s="1"/>
    </row>
    <row r="22" spans="1:38" ht="15.9" customHeight="1">
      <c r="A22" s="14" t="s">
        <v>24</v>
      </c>
      <c r="B22" s="15"/>
      <c r="C22" s="15"/>
      <c r="D22" s="1138"/>
      <c r="E22" s="47"/>
      <c r="F22" s="48"/>
      <c r="G22" s="47"/>
      <c r="H22" s="1138"/>
      <c r="I22" s="47"/>
      <c r="J22" s="48"/>
      <c r="K22" s="47"/>
      <c r="L22" s="1138"/>
      <c r="M22" s="48"/>
      <c r="N22" s="48"/>
      <c r="O22" s="48"/>
      <c r="P22" s="1138"/>
      <c r="Q22" s="1137"/>
      <c r="R22" s="1138"/>
      <c r="S22" s="50"/>
      <c r="T22" s="50"/>
      <c r="U22" s="51"/>
      <c r="V22" s="1137"/>
      <c r="W22" s="47"/>
      <c r="X22" s="47"/>
      <c r="Y22" s="50"/>
      <c r="Z22" s="52"/>
      <c r="AA22" s="51"/>
      <c r="AB22" s="1137"/>
      <c r="AC22" s="47"/>
      <c r="AD22" s="54"/>
      <c r="AE22" s="54"/>
      <c r="AF22" s="55"/>
      <c r="AG22" s="47"/>
      <c r="AI22" s="19"/>
      <c r="AJ22" s="29"/>
      <c r="AK22" s="1"/>
      <c r="AL22" s="1"/>
    </row>
    <row r="23" spans="1:38" ht="15.9" customHeight="1">
      <c r="A23" s="15" t="s">
        <v>25</v>
      </c>
      <c r="B23" s="36" t="s">
        <v>1195</v>
      </c>
      <c r="C23" s="15"/>
      <c r="D23" s="1144" t="s">
        <v>16</v>
      </c>
      <c r="E23" s="47"/>
      <c r="F23" s="58" t="s">
        <v>16</v>
      </c>
      <c r="G23" s="47"/>
      <c r="H23" s="1142"/>
      <c r="I23" s="47"/>
      <c r="J23" s="75"/>
      <c r="K23" s="47"/>
      <c r="L23" s="1142"/>
      <c r="M23" s="48"/>
      <c r="N23" s="75"/>
      <c r="O23" s="48"/>
      <c r="P23" s="1142"/>
      <c r="Q23" s="1137"/>
      <c r="R23" s="1142"/>
      <c r="S23" s="50"/>
      <c r="T23" s="50"/>
      <c r="U23" s="51"/>
      <c r="V23" s="1141"/>
      <c r="W23" s="47"/>
      <c r="X23" s="60"/>
      <c r="Y23" s="50"/>
      <c r="Z23" s="52"/>
      <c r="AA23" s="51"/>
      <c r="AB23" s="1141"/>
      <c r="AC23" s="47"/>
      <c r="AD23" s="60"/>
      <c r="AE23" s="54"/>
      <c r="AF23" s="55"/>
      <c r="AG23" s="60"/>
      <c r="AI23" s="76"/>
      <c r="AJ23" s="29"/>
      <c r="AK23" s="1"/>
      <c r="AL23" s="1"/>
    </row>
    <row r="24" spans="1:38" ht="18" customHeight="1">
      <c r="A24" s="1722" t="s">
        <v>26</v>
      </c>
      <c r="B24" s="15"/>
      <c r="C24" s="15"/>
      <c r="D24" s="2674">
        <f>+'Exhibit F'!T97</f>
        <v>1878.8</v>
      </c>
      <c r="E24" s="47"/>
      <c r="F24" s="48">
        <f>+'Exhibit F'!AC97</f>
        <v>14983.1</v>
      </c>
      <c r="G24" s="47"/>
      <c r="H24" s="2796">
        <f>'Exhibit G'!T90</f>
        <v>578.20000000000005</v>
      </c>
      <c r="I24" s="47"/>
      <c r="J24" s="48">
        <f>+'Exhibit G'!AC90</f>
        <v>6375.5</v>
      </c>
      <c r="K24" s="47"/>
      <c r="L24" s="2665">
        <v>0</v>
      </c>
      <c r="M24" s="74"/>
      <c r="N24" s="78">
        <v>0</v>
      </c>
      <c r="O24" s="48"/>
      <c r="P24" s="2796">
        <f>' Exhbit I '!U69</f>
        <v>0</v>
      </c>
      <c r="Q24" s="1136"/>
      <c r="R24" s="1138">
        <f>+' Exhbit I '!AD69</f>
        <v>13.8</v>
      </c>
      <c r="S24" s="50"/>
      <c r="T24" s="50"/>
      <c r="U24" s="51"/>
      <c r="V24" s="1137">
        <f>ROUND(SUM(D24)+SUM(H24)+SUM(L24)+SUM(P24),1)</f>
        <v>2457</v>
      </c>
      <c r="W24" s="47" t="s">
        <v>16</v>
      </c>
      <c r="X24" s="47">
        <f>ROUND(SUM(F24)+SUM(J24)+SUM(N24)+SUM(R24),1)</f>
        <v>21372.400000000001</v>
      </c>
      <c r="Y24" s="50"/>
      <c r="Z24" s="52"/>
      <c r="AA24" s="51"/>
      <c r="AB24" s="1137">
        <v>2499</v>
      </c>
      <c r="AC24" s="47"/>
      <c r="AD24" s="54">
        <f>ROUND(+'Exhibit F'!AF97+'Exhibit G'!AF90+'Exhibit H'!L49+' Exhbit I '!AG69,1)</f>
        <v>20356.400000000001</v>
      </c>
      <c r="AE24" s="79"/>
      <c r="AF24" s="80"/>
      <c r="AG24" s="47">
        <f>ROUND(SUM(X24-AD24),1)</f>
        <v>1016</v>
      </c>
      <c r="AI24" s="45">
        <f>ROUND(SUM((+X24-AD24)/ABS(AD24)),3)</f>
        <v>0.05</v>
      </c>
      <c r="AJ24" s="29"/>
      <c r="AK24" s="1"/>
      <c r="AL24" s="1"/>
    </row>
    <row r="25" spans="1:38" ht="18" customHeight="1">
      <c r="A25" s="1722" t="s">
        <v>27</v>
      </c>
      <c r="B25" s="81"/>
      <c r="C25" s="15"/>
      <c r="D25" s="2674">
        <f>+'Exhibit F'!T98</f>
        <v>0.7</v>
      </c>
      <c r="E25" s="47"/>
      <c r="F25" s="48">
        <f>+'Exhibit F'!AC98</f>
        <v>4.0999999999999996</v>
      </c>
      <c r="G25" s="47"/>
      <c r="H25" s="2796">
        <f>'Exhibit G'!T91</f>
        <v>2.1</v>
      </c>
      <c r="I25" s="47"/>
      <c r="J25" s="48">
        <f>+'Exhibit G'!AC91</f>
        <v>5.6</v>
      </c>
      <c r="K25" s="47"/>
      <c r="L25" s="2665">
        <v>0</v>
      </c>
      <c r="M25" s="74"/>
      <c r="N25" s="78">
        <v>0</v>
      </c>
      <c r="O25" s="48"/>
      <c r="P25" s="2796">
        <f>' Exhbit I '!U70</f>
        <v>6</v>
      </c>
      <c r="Q25" s="1136"/>
      <c r="R25" s="1138">
        <f>+' Exhbit I '!AD70</f>
        <v>236.2</v>
      </c>
      <c r="S25" s="50"/>
      <c r="T25" s="50"/>
      <c r="U25" s="51"/>
      <c r="V25" s="1137">
        <f t="shared" ref="V25:V32" si="4">ROUND(SUM(D25)+SUM(H25)+SUM(L25)+SUM(P25),1)</f>
        <v>8.8000000000000007</v>
      </c>
      <c r="W25" s="47" t="s">
        <v>16</v>
      </c>
      <c r="X25" s="47">
        <f t="shared" ref="X25:X32" si="5">ROUND(SUM(F25)+SUM(J25)+SUM(N25)+SUM(R25),1)</f>
        <v>245.9</v>
      </c>
      <c r="Y25" s="50"/>
      <c r="Z25" s="52"/>
      <c r="AA25" s="51"/>
      <c r="AB25" s="1202">
        <v>17.3</v>
      </c>
      <c r="AC25" s="49" t="s">
        <v>16</v>
      </c>
      <c r="AD25" s="54">
        <f>ROUND(+'Exhibit F'!AF98+'Exhibit G'!AF91+'Exhibit H'!N49+' Exhbit I '!AG70,1)</f>
        <v>71.099999999999994</v>
      </c>
      <c r="AE25" s="51"/>
      <c r="AF25" s="55"/>
      <c r="AG25" s="47">
        <f t="shared" ref="AG25:AG33" si="6">ROUND(SUM(X25-AD25),1)</f>
        <v>174.8</v>
      </c>
      <c r="AI25" s="45">
        <f t="shared" ref="AI25:AI32" si="7">ROUND(SUM((+X25-AD25)/ABS(AD25)),3)</f>
        <v>2.4590000000000001</v>
      </c>
      <c r="AJ25" s="29"/>
      <c r="AK25" s="1"/>
      <c r="AL25" s="1"/>
    </row>
    <row r="26" spans="1:38" ht="18" customHeight="1">
      <c r="A26" s="1722" t="s">
        <v>28</v>
      </c>
      <c r="B26" s="82"/>
      <c r="C26" s="15"/>
      <c r="D26" s="2674">
        <f>+'Exhibit F'!T99</f>
        <v>195.2</v>
      </c>
      <c r="E26" s="47"/>
      <c r="F26" s="48">
        <f>+'Exhibit F'!AC99</f>
        <v>925.7</v>
      </c>
      <c r="G26" s="47"/>
      <c r="H26" s="2796">
        <f>'Exhibit G'!T92</f>
        <v>16.900000000000002</v>
      </c>
      <c r="I26" s="47"/>
      <c r="J26" s="48">
        <f>+'Exhibit G'!AC92</f>
        <v>156.9</v>
      </c>
      <c r="K26" s="47"/>
      <c r="L26" s="2665">
        <v>0</v>
      </c>
      <c r="M26" s="74"/>
      <c r="N26" s="78">
        <v>0</v>
      </c>
      <c r="O26" s="48"/>
      <c r="P26" s="2796">
        <f>' Exhbit I '!U71</f>
        <v>35.299999999999997</v>
      </c>
      <c r="Q26" s="1136"/>
      <c r="R26" s="1138">
        <f>+' Exhbit I '!AD71</f>
        <v>87.6</v>
      </c>
      <c r="S26" s="50"/>
      <c r="T26" s="50"/>
      <c r="U26" s="51"/>
      <c r="V26" s="1137">
        <f t="shared" si="4"/>
        <v>247.4</v>
      </c>
      <c r="W26" s="47" t="s">
        <v>16</v>
      </c>
      <c r="X26" s="47">
        <f t="shared" si="5"/>
        <v>1170.2</v>
      </c>
      <c r="Y26" s="50"/>
      <c r="Z26" s="52"/>
      <c r="AA26" s="51"/>
      <c r="AB26" s="1137">
        <v>265.60000000000002</v>
      </c>
      <c r="AC26" s="47" t="s">
        <v>16</v>
      </c>
      <c r="AD26" s="54">
        <f>ROUND(+'Exhibit F'!AF99+'Exhibit G'!AF92+'Exhibit H'!J49+' Exhbit I '!AG71,1)</f>
        <v>1212</v>
      </c>
      <c r="AE26" s="51"/>
      <c r="AF26" s="55"/>
      <c r="AG26" s="47">
        <f t="shared" si="6"/>
        <v>-41.8</v>
      </c>
      <c r="AI26" s="45">
        <f t="shared" si="7"/>
        <v>-3.4000000000000002E-2</v>
      </c>
      <c r="AJ26" s="29"/>
      <c r="AK26" s="1"/>
      <c r="AL26" s="1"/>
    </row>
    <row r="27" spans="1:38" ht="18" customHeight="1">
      <c r="A27" s="1722" t="s">
        <v>29</v>
      </c>
      <c r="B27" s="36"/>
      <c r="C27" s="15"/>
      <c r="D27" s="1138"/>
      <c r="E27" s="47"/>
      <c r="F27" s="48"/>
      <c r="G27" s="47"/>
      <c r="H27" s="2796"/>
      <c r="I27" s="47"/>
      <c r="J27" s="48" t="s">
        <v>16</v>
      </c>
      <c r="K27" s="47"/>
      <c r="L27" s="2793" t="s">
        <v>16</v>
      </c>
      <c r="M27" s="74"/>
      <c r="N27" s="84" t="s">
        <v>16</v>
      </c>
      <c r="O27" s="48"/>
      <c r="P27" s="2796"/>
      <c r="Q27" s="1136"/>
      <c r="R27" s="1138"/>
      <c r="S27" s="50"/>
      <c r="T27" s="50"/>
      <c r="U27" s="51"/>
      <c r="V27" s="1137" t="s">
        <v>16</v>
      </c>
      <c r="W27" s="47"/>
      <c r="X27" s="1137" t="s">
        <v>16</v>
      </c>
      <c r="Y27" s="50"/>
      <c r="Z27" s="52"/>
      <c r="AA27" s="51"/>
      <c r="AB27" s="1137"/>
      <c r="AC27" s="47"/>
      <c r="AD27" s="47"/>
      <c r="AE27" s="51"/>
      <c r="AF27" s="55"/>
      <c r="AG27" s="47"/>
      <c r="AI27" s="1864" t="s">
        <v>16</v>
      </c>
      <c r="AJ27" s="29"/>
      <c r="AK27" s="1"/>
      <c r="AL27" s="1"/>
    </row>
    <row r="28" spans="1:38" ht="18" customHeight="1">
      <c r="A28" s="1723" t="s">
        <v>30</v>
      </c>
      <c r="B28" s="46">
        <v>-5</v>
      </c>
      <c r="C28" s="15"/>
      <c r="D28" s="2674">
        <f>+'Exhibit F'!T101</f>
        <v>1516.8</v>
      </c>
      <c r="E28" s="47"/>
      <c r="F28" s="48">
        <f>+'Exhibit F'!AC101</f>
        <v>10381.9</v>
      </c>
      <c r="G28" s="47"/>
      <c r="H28" s="2796">
        <f>'Exhibit G'!T94</f>
        <v>3137.6</v>
      </c>
      <c r="I28" s="47"/>
      <c r="J28" s="48">
        <f>+'Exhibit G'!AC94</f>
        <v>26113.9</v>
      </c>
      <c r="K28" s="47"/>
      <c r="L28" s="2665">
        <v>0</v>
      </c>
      <c r="M28" s="74"/>
      <c r="N28" s="78">
        <v>0</v>
      </c>
      <c r="O28" s="48"/>
      <c r="P28" s="2796">
        <f>' Exhbit I '!U73</f>
        <v>0</v>
      </c>
      <c r="Q28" s="1136"/>
      <c r="R28" s="1142">
        <f>+' Exhbit I '!AD73</f>
        <v>0</v>
      </c>
      <c r="S28" s="50"/>
      <c r="T28" s="50"/>
      <c r="U28" s="51"/>
      <c r="V28" s="1137">
        <f t="shared" si="4"/>
        <v>4654.3999999999996</v>
      </c>
      <c r="W28" s="47" t="s">
        <v>16</v>
      </c>
      <c r="X28" s="47">
        <f t="shared" si="5"/>
        <v>36495.800000000003</v>
      </c>
      <c r="Y28" s="50"/>
      <c r="Z28" s="52"/>
      <c r="AA28" s="51"/>
      <c r="AB28" s="1137">
        <v>4533.8</v>
      </c>
      <c r="AC28" s="47" t="s">
        <v>16</v>
      </c>
      <c r="AD28" s="47">
        <f>ROUND(+'Exhibit F'!AF101+'Exhibit G'!AF94+'Exhibit H'!F49+' Exhbit I '!AG73,1)</f>
        <v>34975.199999999997</v>
      </c>
      <c r="AE28" s="51"/>
      <c r="AF28" s="55"/>
      <c r="AG28" s="47">
        <f t="shared" si="6"/>
        <v>1520.6</v>
      </c>
      <c r="AI28" s="45">
        <f t="shared" si="7"/>
        <v>4.2999999999999997E-2</v>
      </c>
      <c r="AJ28" s="29"/>
      <c r="AK28" s="3409"/>
      <c r="AL28" s="1"/>
    </row>
    <row r="29" spans="1:38" ht="18" customHeight="1">
      <c r="A29" s="1722" t="s">
        <v>31</v>
      </c>
      <c r="B29" s="46"/>
      <c r="C29" s="15"/>
      <c r="D29" s="2674">
        <f>+'Exhibit F'!T102</f>
        <v>80.900000000000006</v>
      </c>
      <c r="E29" s="47"/>
      <c r="F29" s="48">
        <f>+'Exhibit F'!AC102</f>
        <v>643.6</v>
      </c>
      <c r="G29" s="47"/>
      <c r="H29" s="2796">
        <f>'Exhibit G'!T95</f>
        <v>509.7</v>
      </c>
      <c r="I29" s="47"/>
      <c r="J29" s="48">
        <f>+'Exhibit G'!AC95</f>
        <v>3674.1</v>
      </c>
      <c r="K29" s="47"/>
      <c r="L29" s="2665">
        <v>0</v>
      </c>
      <c r="M29" s="74"/>
      <c r="N29" s="78">
        <v>0</v>
      </c>
      <c r="O29" s="48"/>
      <c r="P29" s="2796">
        <f>' Exhbit I '!U74</f>
        <v>9.3000000000000007</v>
      </c>
      <c r="Q29" s="1136"/>
      <c r="R29" s="1138">
        <f>+' Exhbit I '!AD74</f>
        <v>104.2</v>
      </c>
      <c r="S29" s="50"/>
      <c r="T29" s="50"/>
      <c r="U29" s="51"/>
      <c r="V29" s="1137">
        <f t="shared" si="4"/>
        <v>599.9</v>
      </c>
      <c r="W29" s="47" t="s">
        <v>16</v>
      </c>
      <c r="X29" s="47">
        <f t="shared" si="5"/>
        <v>4421.8999999999996</v>
      </c>
      <c r="Y29" s="50"/>
      <c r="Z29" s="52"/>
      <c r="AA29" s="51"/>
      <c r="AB29" s="1137">
        <v>556.79999999999995</v>
      </c>
      <c r="AC29" s="47" t="s">
        <v>16</v>
      </c>
      <c r="AD29" s="47">
        <f>ROUND(+'Exhibit F'!AF102+'Exhibit G'!AF95+' Exhbit I '!AG74,1)</f>
        <v>3703.9</v>
      </c>
      <c r="AE29" s="51"/>
      <c r="AF29" s="55"/>
      <c r="AG29" s="47">
        <f t="shared" si="6"/>
        <v>718</v>
      </c>
      <c r="AI29" s="45">
        <f t="shared" si="7"/>
        <v>0.19400000000000001</v>
      </c>
      <c r="AJ29" s="29"/>
      <c r="AK29" s="1"/>
      <c r="AL29" s="1"/>
    </row>
    <row r="30" spans="1:38" ht="18" customHeight="1">
      <c r="A30" s="1722" t="s">
        <v>32</v>
      </c>
      <c r="B30" s="36"/>
      <c r="C30" s="15"/>
      <c r="D30" s="2674">
        <f>+'Exhibit F'!T103</f>
        <v>33.799999999999997</v>
      </c>
      <c r="E30" s="47"/>
      <c r="F30" s="48">
        <f>+'Exhibit F'!AC103</f>
        <v>154.9</v>
      </c>
      <c r="G30" s="47"/>
      <c r="H30" s="2796">
        <f>'Exhibit G'!T96</f>
        <v>388.6</v>
      </c>
      <c r="I30" s="47"/>
      <c r="J30" s="48">
        <f>+'Exhibit G'!AC96</f>
        <v>1482.1</v>
      </c>
      <c r="K30" s="47"/>
      <c r="L30" s="2665">
        <v>0</v>
      </c>
      <c r="M30" s="74"/>
      <c r="N30" s="78">
        <v>0</v>
      </c>
      <c r="O30" s="48"/>
      <c r="P30" s="2796">
        <f>' Exhbit I '!U75</f>
        <v>0.3</v>
      </c>
      <c r="Q30" s="1136"/>
      <c r="R30" s="1142">
        <f>+' Exhbit I '!AD75</f>
        <v>50.2</v>
      </c>
      <c r="S30" s="50"/>
      <c r="T30" s="50"/>
      <c r="U30" s="51"/>
      <c r="V30" s="1137">
        <f t="shared" si="4"/>
        <v>422.7</v>
      </c>
      <c r="W30" s="47" t="s">
        <v>16</v>
      </c>
      <c r="X30" s="47">
        <f t="shared" si="5"/>
        <v>1687.2</v>
      </c>
      <c r="Y30" s="50"/>
      <c r="Z30" s="52"/>
      <c r="AA30" s="51"/>
      <c r="AB30" s="1137">
        <v>218.8</v>
      </c>
      <c r="AC30" s="47" t="s">
        <v>16</v>
      </c>
      <c r="AD30" s="47">
        <f>ROUND(+'Exhibit F'!AF103+'Exhibit G'!AF96+' Exhbit I '!AG75,1)</f>
        <v>2232</v>
      </c>
      <c r="AE30" s="51"/>
      <c r="AF30" s="55"/>
      <c r="AG30" s="47">
        <f t="shared" si="6"/>
        <v>-544.79999999999995</v>
      </c>
      <c r="AI30" s="45">
        <f t="shared" si="7"/>
        <v>-0.24399999999999999</v>
      </c>
      <c r="AJ30" s="29"/>
      <c r="AK30" s="1"/>
      <c r="AL30" s="1"/>
    </row>
    <row r="31" spans="1:38" ht="18" customHeight="1">
      <c r="A31" s="1722" t="s">
        <v>33</v>
      </c>
      <c r="B31" s="15"/>
      <c r="C31" s="15"/>
      <c r="D31" s="2674">
        <f>+'Exhibit F'!T104</f>
        <v>361.5</v>
      </c>
      <c r="E31" s="47"/>
      <c r="F31" s="48">
        <f>+'Exhibit F'!AC104</f>
        <v>2170.3000000000002</v>
      </c>
      <c r="G31" s="47"/>
      <c r="H31" s="2796">
        <f>'Exhibit G'!T97</f>
        <v>559.9</v>
      </c>
      <c r="I31" s="47"/>
      <c r="J31" s="48">
        <f>+'Exhibit G'!AC97</f>
        <v>3612.5</v>
      </c>
      <c r="K31" s="47"/>
      <c r="L31" s="2665">
        <v>0</v>
      </c>
      <c r="M31" s="74"/>
      <c r="N31" s="78">
        <v>0</v>
      </c>
      <c r="O31" s="48"/>
      <c r="P31" s="2796">
        <f>' Exhbit I '!U76</f>
        <v>0</v>
      </c>
      <c r="Q31" s="1136"/>
      <c r="R31" s="1138">
        <f>+' Exhbit I '!AD76</f>
        <v>72.099999999999994</v>
      </c>
      <c r="S31" s="50"/>
      <c r="T31" s="50"/>
      <c r="U31" s="51"/>
      <c r="V31" s="1137">
        <f t="shared" si="4"/>
        <v>921.4</v>
      </c>
      <c r="W31" s="47" t="s">
        <v>16</v>
      </c>
      <c r="X31" s="47">
        <f t="shared" si="5"/>
        <v>5854.9</v>
      </c>
      <c r="Y31" s="50"/>
      <c r="Z31" s="52"/>
      <c r="AA31" s="51"/>
      <c r="AB31" s="1137">
        <v>782.8</v>
      </c>
      <c r="AC31" s="47" t="s">
        <v>16</v>
      </c>
      <c r="AD31" s="47">
        <f>ROUND(+'Exhibit F'!AF104+'Exhibit G'!AF97+' Exhbit I '!AG76,1)</f>
        <v>5489.1</v>
      </c>
      <c r="AE31" s="51"/>
      <c r="AF31" s="55"/>
      <c r="AG31" s="47">
        <f t="shared" si="6"/>
        <v>365.8</v>
      </c>
      <c r="AI31" s="45">
        <f t="shared" si="7"/>
        <v>6.7000000000000004E-2</v>
      </c>
      <c r="AJ31" s="29"/>
      <c r="AK31" s="1"/>
      <c r="AL31" s="1"/>
    </row>
    <row r="32" spans="1:38" ht="18" customHeight="1">
      <c r="A32" s="1722" t="s">
        <v>34</v>
      </c>
      <c r="B32" s="36"/>
      <c r="C32" s="15"/>
      <c r="D32" s="2674">
        <f>+'Exhibit F'!T105</f>
        <v>9.1999999999999993</v>
      </c>
      <c r="E32" s="47"/>
      <c r="F32" s="48">
        <f>+'Exhibit F'!AC105</f>
        <v>45.5</v>
      </c>
      <c r="G32" s="47"/>
      <c r="H32" s="2796">
        <f>'Exhibit G'!T98</f>
        <v>1.8</v>
      </c>
      <c r="I32" s="47"/>
      <c r="J32" s="48">
        <f>+'Exhibit G'!AC98</f>
        <v>89.7</v>
      </c>
      <c r="K32" s="47"/>
      <c r="L32" s="2665">
        <v>0</v>
      </c>
      <c r="M32" s="74" t="s">
        <v>16</v>
      </c>
      <c r="N32" s="78">
        <v>0</v>
      </c>
      <c r="O32" s="48"/>
      <c r="P32" s="2796">
        <f>' Exhbit I '!U77</f>
        <v>26.9</v>
      </c>
      <c r="Q32" s="1136"/>
      <c r="R32" s="1138">
        <f>+' Exhbit I '!AD77</f>
        <v>487.4</v>
      </c>
      <c r="S32" s="50"/>
      <c r="T32" s="50"/>
      <c r="U32" s="51"/>
      <c r="V32" s="1137">
        <f t="shared" si="4"/>
        <v>37.9</v>
      </c>
      <c r="W32" s="47" t="s">
        <v>16</v>
      </c>
      <c r="X32" s="47">
        <f t="shared" si="5"/>
        <v>622.6</v>
      </c>
      <c r="Y32" s="50"/>
      <c r="Z32" s="52"/>
      <c r="AA32" s="51"/>
      <c r="AB32" s="1137">
        <v>110</v>
      </c>
      <c r="AC32" s="47" t="s">
        <v>16</v>
      </c>
      <c r="AD32" s="47">
        <f>ROUND(+'Exhibit F'!AF105+'Exhibit G'!AF98+' Exhbit I '!AG77,1)</f>
        <v>481.7</v>
      </c>
      <c r="AE32" s="51"/>
      <c r="AF32" s="55"/>
      <c r="AG32" s="47">
        <f t="shared" si="6"/>
        <v>140.9</v>
      </c>
      <c r="AI32" s="45">
        <f t="shared" si="7"/>
        <v>0.29299999999999998</v>
      </c>
      <c r="AJ32" s="29"/>
      <c r="AK32" s="1"/>
      <c r="AL32" s="1"/>
    </row>
    <row r="33" spans="1:38" ht="18" customHeight="1">
      <c r="A33" s="1722" t="s">
        <v>35</v>
      </c>
      <c r="B33" s="15"/>
      <c r="C33" s="15"/>
      <c r="D33" s="2674">
        <f>+'Exhibit F'!T106</f>
        <v>14.7</v>
      </c>
      <c r="E33" s="47"/>
      <c r="F33" s="48">
        <f>+'Exhibit F'!AC106</f>
        <v>96.7</v>
      </c>
      <c r="G33" s="47"/>
      <c r="H33" s="2796">
        <f>'Exhibit G'!T99</f>
        <v>856.7</v>
      </c>
      <c r="I33" s="47"/>
      <c r="J33" s="48">
        <f>+'Exhibit G'!AC99</f>
        <v>3990.7</v>
      </c>
      <c r="K33" s="47"/>
      <c r="L33" s="2665">
        <v>0</v>
      </c>
      <c r="M33" s="74"/>
      <c r="N33" s="78">
        <v>0</v>
      </c>
      <c r="O33" s="48"/>
      <c r="P33" s="2796">
        <f>' Exhbit I '!U78</f>
        <v>266.89999999999998</v>
      </c>
      <c r="Q33" s="1136"/>
      <c r="R33" s="1138">
        <f>+' Exhbit I '!AD78</f>
        <v>713.6</v>
      </c>
      <c r="S33" s="50"/>
      <c r="T33" s="50"/>
      <c r="U33" s="51"/>
      <c r="V33" s="1137">
        <f>ROUND(SUM(D33)+SUM(H33)+SUM(L33)+SUM(P33),1)</f>
        <v>1138.3</v>
      </c>
      <c r="W33" s="47" t="s">
        <v>16</v>
      </c>
      <c r="X33" s="47">
        <f>ROUND(SUM(F33)+SUM(J33)+SUM(N33)+SUM(R33),1)</f>
        <v>4801</v>
      </c>
      <c r="Y33" s="50"/>
      <c r="Z33" s="52"/>
      <c r="AA33" s="51"/>
      <c r="AB33" s="1137">
        <v>1161.0999999999999</v>
      </c>
      <c r="AC33" s="47" t="s">
        <v>16</v>
      </c>
      <c r="AD33" s="48">
        <f>ROUND(+'Exhibit F'!AF106+'Exhibit G'!AF99+' Exhbit I '!AG78,1)</f>
        <v>4899.2</v>
      </c>
      <c r="AE33" s="51"/>
      <c r="AF33" s="55"/>
      <c r="AG33" s="47">
        <f t="shared" si="6"/>
        <v>-98.2</v>
      </c>
      <c r="AI33" s="45">
        <f>ROUND(SUM((+X33-AD33)/ABS(AD33)),3)</f>
        <v>-0.02</v>
      </c>
      <c r="AJ33" s="29"/>
      <c r="AK33" s="1"/>
      <c r="AL33" s="1"/>
    </row>
    <row r="34" spans="1:38" ht="18" customHeight="1">
      <c r="A34" s="14" t="s">
        <v>36</v>
      </c>
      <c r="B34" s="15"/>
      <c r="C34" s="15"/>
      <c r="D34" s="65">
        <f>ROUND(SUM(D24:D33),1)</f>
        <v>4091.6</v>
      </c>
      <c r="E34" s="67"/>
      <c r="F34" s="65">
        <f>ROUND(SUM(F24:F33),1)</f>
        <v>29405.8</v>
      </c>
      <c r="G34" s="63"/>
      <c r="H34" s="65">
        <f>ROUND(SUM(H24:H33),1)</f>
        <v>6051.5</v>
      </c>
      <c r="I34" s="63"/>
      <c r="J34" s="65">
        <f>ROUND(SUM(J24:J33),1)</f>
        <v>45501</v>
      </c>
      <c r="K34" s="63"/>
      <c r="L34" s="2798">
        <f>ROUND(SUM(L24:L33),1)</f>
        <v>0</v>
      </c>
      <c r="M34" s="2667"/>
      <c r="N34" s="2798">
        <f>ROUND(SUM(N24:N33),1)</f>
        <v>0</v>
      </c>
      <c r="O34" s="2667"/>
      <c r="P34" s="62">
        <f>ROUND(SUM(P24:P33),1)</f>
        <v>344.7</v>
      </c>
      <c r="Q34" s="63"/>
      <c r="R34" s="62">
        <f>ROUND(SUM(R24:R33),1)</f>
        <v>1765.1</v>
      </c>
      <c r="S34" s="66"/>
      <c r="T34" s="66"/>
      <c r="U34" s="67"/>
      <c r="V34" s="64">
        <f>ROUND(SUM(V24:V33),1)</f>
        <v>10487.8</v>
      </c>
      <c r="W34" s="63"/>
      <c r="X34" s="64">
        <f>ROUND(SUM(X24:X33),1)</f>
        <v>76671.899999999994</v>
      </c>
      <c r="Y34" s="66"/>
      <c r="Z34" s="68"/>
      <c r="AA34" s="67"/>
      <c r="AB34" s="64">
        <f>ROUND(SUM(AB23:AB33),1)</f>
        <v>10145.200000000001</v>
      </c>
      <c r="AC34" s="63"/>
      <c r="AD34" s="64">
        <f>ROUND(SUM(AD23:AD33),1)</f>
        <v>73420.600000000006</v>
      </c>
      <c r="AE34" s="69"/>
      <c r="AF34" s="70"/>
      <c r="AG34" s="64">
        <f>ROUND(SUM(AG24:AG33),1)</f>
        <v>3251.3</v>
      </c>
      <c r="AH34" s="71"/>
      <c r="AI34" s="72">
        <f>ROUND(SUM((+X34-AD34)/ABS(AD34)),3)</f>
        <v>4.3999999999999997E-2</v>
      </c>
      <c r="AJ34" s="18"/>
      <c r="AK34" s="1"/>
      <c r="AL34" s="1"/>
    </row>
    <row r="35" spans="1:38" ht="18" customHeight="1">
      <c r="A35" s="15" t="s">
        <v>37</v>
      </c>
      <c r="B35" s="82"/>
      <c r="C35" s="15"/>
      <c r="D35" s="1138"/>
      <c r="E35" s="47"/>
      <c r="F35" s="48"/>
      <c r="G35" s="47"/>
      <c r="H35" s="1138"/>
      <c r="I35" s="47"/>
      <c r="J35" s="48"/>
      <c r="K35" s="47"/>
      <c r="L35" s="1138"/>
      <c r="M35" s="48"/>
      <c r="N35" s="48"/>
      <c r="O35" s="48"/>
      <c r="P35" s="1138"/>
      <c r="Q35" s="1137"/>
      <c r="R35" s="1138"/>
      <c r="S35" s="50"/>
      <c r="T35" s="50"/>
      <c r="U35" s="51"/>
      <c r="V35" s="1137"/>
      <c r="W35" s="47"/>
      <c r="X35" s="47"/>
      <c r="Y35" s="50"/>
      <c r="Z35" s="52"/>
      <c r="AA35" s="51"/>
      <c r="AB35" s="1137"/>
      <c r="AC35" s="47"/>
      <c r="AD35" s="54"/>
      <c r="AE35" s="54"/>
      <c r="AF35" s="55"/>
      <c r="AG35" s="47"/>
      <c r="AI35" s="19"/>
      <c r="AJ35" s="29"/>
      <c r="AK35" s="1"/>
      <c r="AL35" s="1"/>
    </row>
    <row r="36" spans="1:38" ht="18" customHeight="1">
      <c r="A36" s="15" t="s">
        <v>38</v>
      </c>
      <c r="B36" s="81"/>
      <c r="C36" s="15"/>
      <c r="D36" s="1138">
        <f>+'Exhibit F'!T109</f>
        <v>628.79999999999995</v>
      </c>
      <c r="E36" s="47"/>
      <c r="F36" s="48">
        <f>+'Exhibit F'!AC109</f>
        <v>4664.5</v>
      </c>
      <c r="G36" s="47"/>
      <c r="H36" s="2796">
        <f>'Exhibit G'!T102</f>
        <v>778.9</v>
      </c>
      <c r="I36" s="47"/>
      <c r="J36" s="48">
        <f>+'Exhibit G'!AC102</f>
        <v>5724.4</v>
      </c>
      <c r="K36" s="47"/>
      <c r="L36" s="1144">
        <v>0</v>
      </c>
      <c r="M36" s="48"/>
      <c r="N36" s="58">
        <v>0</v>
      </c>
      <c r="O36" s="48"/>
      <c r="P36" s="1144">
        <f>' Exhbit I '!U81</f>
        <v>0</v>
      </c>
      <c r="Q36" s="1137"/>
      <c r="R36" s="1144">
        <f>+' Exhbit I '!AD81</f>
        <v>0</v>
      </c>
      <c r="S36" s="50"/>
      <c r="T36" s="50"/>
      <c r="U36" s="51"/>
      <c r="V36" s="1137">
        <f>ROUND(SUM(D36)+SUM(H36)+SUM(L36)+SUM(P36),1)</f>
        <v>1407.7</v>
      </c>
      <c r="W36" s="47" t="s">
        <v>16</v>
      </c>
      <c r="X36" s="47">
        <f>ROUND(SUM(F36)+SUM(J36)+SUM(N36)+SUM(R36),1)</f>
        <v>10388.9</v>
      </c>
      <c r="Y36" s="50"/>
      <c r="Z36" s="52"/>
      <c r="AA36" s="51"/>
      <c r="AB36" s="1137">
        <v>1371.7</v>
      </c>
      <c r="AC36" s="85"/>
      <c r="AD36" s="47">
        <f>ROUND(+'Exhibit F'!AF109+'Exhibit G'!AF102+' Exhbit I '!AG81,1)</f>
        <v>10156.700000000001</v>
      </c>
      <c r="AE36" s="51"/>
      <c r="AF36" s="55"/>
      <c r="AG36" s="47">
        <f>ROUND(SUM(X36-AD36),1)</f>
        <v>232.2</v>
      </c>
      <c r="AI36" s="45">
        <f>ROUND(SUM((+X36-AD36)/ABS(AD36)),3)</f>
        <v>2.3E-2</v>
      </c>
      <c r="AJ36" s="29"/>
      <c r="AK36" s="1"/>
      <c r="AL36" s="1"/>
    </row>
    <row r="37" spans="1:38" ht="18" customHeight="1">
      <c r="A37" s="15" t="s">
        <v>39</v>
      </c>
      <c r="B37" s="82"/>
      <c r="C37" s="15"/>
      <c r="D37" s="1138">
        <f>+'Exhibit F'!T110</f>
        <v>138.4</v>
      </c>
      <c r="E37" s="47"/>
      <c r="F37" s="48">
        <f>+'Exhibit F'!AC110</f>
        <v>1289.3</v>
      </c>
      <c r="G37" s="47"/>
      <c r="H37" s="2796">
        <f>'Exhibit G'!T103</f>
        <v>480.79999999999995</v>
      </c>
      <c r="I37" s="47"/>
      <c r="J37" s="48">
        <f>+'Exhibit G'!AC103</f>
        <v>3424.2</v>
      </c>
      <c r="K37" s="47"/>
      <c r="L37" s="2796">
        <f>+'Exhibit H'!R51</f>
        <v>1.4</v>
      </c>
      <c r="M37" s="48"/>
      <c r="N37" s="48">
        <f>+'Exhibit H'!AA51</f>
        <v>22.8</v>
      </c>
      <c r="O37" s="48" t="s">
        <v>16</v>
      </c>
      <c r="P37" s="1144">
        <f>' Exhbit I '!U82</f>
        <v>0</v>
      </c>
      <c r="Q37" s="1137"/>
      <c r="R37" s="1144">
        <f>+' Exhbit I '!AD82</f>
        <v>0</v>
      </c>
      <c r="S37" s="50"/>
      <c r="T37" s="50"/>
      <c r="U37" s="51"/>
      <c r="V37" s="1137">
        <f>ROUND(SUM(D37)+SUM(H37)+SUM(L37)+SUM(P37),1)</f>
        <v>620.6</v>
      </c>
      <c r="W37" s="47" t="s">
        <v>16</v>
      </c>
      <c r="X37" s="47">
        <f>ROUND(SUM(F37)+SUM(J37)+SUM(N37)+SUM(R37),1)</f>
        <v>4736.3</v>
      </c>
      <c r="Y37" s="50"/>
      <c r="Z37" s="52"/>
      <c r="AA37" s="51"/>
      <c r="AB37" s="1147">
        <v>557.6</v>
      </c>
      <c r="AC37" s="86"/>
      <c r="AD37" s="47">
        <f>ROUND(+'Exhibit F'!AF110+'Exhibit G'!AF103+' Exhbit I '!AG82+'Exhibit H'!AD51,1)</f>
        <v>4794.3999999999996</v>
      </c>
      <c r="AE37" s="51"/>
      <c r="AF37" s="55"/>
      <c r="AG37" s="47">
        <f>ROUND(SUM(X37-AD37),1)</f>
        <v>-58.1</v>
      </c>
      <c r="AI37" s="45">
        <f>ROUND(SUM((+X37-AD37)/ABS(AD37)),3)</f>
        <v>-1.2E-2</v>
      </c>
      <c r="AJ37" s="29"/>
      <c r="AK37" s="1"/>
      <c r="AL37" s="1"/>
    </row>
    <row r="38" spans="1:38" ht="18" customHeight="1">
      <c r="A38" s="15" t="s">
        <v>40</v>
      </c>
      <c r="B38" s="36"/>
      <c r="C38" s="15"/>
      <c r="D38" s="1138">
        <f>+'Exhibit F'!T111</f>
        <v>2.9</v>
      </c>
      <c r="E38" s="47"/>
      <c r="F38" s="48">
        <f>+'Exhibit F'!AC111</f>
        <v>4600.3999999999996</v>
      </c>
      <c r="G38" s="87"/>
      <c r="H38" s="2796">
        <f>'Exhibit G'!T104</f>
        <v>500</v>
      </c>
      <c r="I38" s="47"/>
      <c r="J38" s="48">
        <f>+'Exhibit G'!AC104</f>
        <v>1674.3</v>
      </c>
      <c r="K38" s="47"/>
      <c r="L38" s="1144">
        <v>0</v>
      </c>
      <c r="M38" s="48"/>
      <c r="N38" s="58">
        <v>0</v>
      </c>
      <c r="O38" s="48"/>
      <c r="P38" s="1144">
        <f>' Exhbit I '!U83</f>
        <v>0</v>
      </c>
      <c r="Q38" s="1137"/>
      <c r="R38" s="1144">
        <f>+' Exhbit I '!AD83</f>
        <v>0</v>
      </c>
      <c r="S38" s="50"/>
      <c r="T38" s="50"/>
      <c r="U38" s="51"/>
      <c r="V38" s="1137">
        <f>ROUND(SUM(D38)+SUM(H38)+SUM(L38)+SUM(P38),1)</f>
        <v>502.9</v>
      </c>
      <c r="W38" s="47" t="s">
        <v>16</v>
      </c>
      <c r="X38" s="47">
        <f>ROUND(SUM(F38)+SUM(J38)+SUM(N38)+SUM(R38),1)</f>
        <v>6274.7</v>
      </c>
      <c r="Y38" s="50"/>
      <c r="Z38" s="52"/>
      <c r="AA38" s="51"/>
      <c r="AB38" s="1147">
        <v>458.7</v>
      </c>
      <c r="AC38" s="53"/>
      <c r="AD38" s="47">
        <f>ROUND(+'Exhibit F'!AF111+'Exhibit G'!AF104+' Exhbit I '!AG83,1)</f>
        <v>6023.4</v>
      </c>
      <c r="AE38" s="51"/>
      <c r="AF38" s="55"/>
      <c r="AG38" s="47">
        <f>ROUND(SUM(X38-AD38),1)</f>
        <v>251.3</v>
      </c>
      <c r="AI38" s="45">
        <f>ROUND(SUM((+X38-AD38)/ABS(AD38)),3)</f>
        <v>4.2000000000000003E-2</v>
      </c>
      <c r="AJ38" s="29"/>
      <c r="AK38" s="1"/>
      <c r="AL38" s="1"/>
    </row>
    <row r="39" spans="1:38" ht="18" customHeight="1">
      <c r="A39" s="15" t="s">
        <v>41</v>
      </c>
      <c r="B39" s="15"/>
      <c r="C39" s="15"/>
      <c r="D39" s="1138"/>
      <c r="E39" s="47"/>
      <c r="F39" s="48"/>
      <c r="G39" s="47"/>
      <c r="H39" s="1138"/>
      <c r="I39" s="47"/>
      <c r="J39" s="88"/>
      <c r="K39" s="47"/>
      <c r="L39" s="1138"/>
      <c r="M39" s="48"/>
      <c r="N39" s="48"/>
      <c r="O39" s="48"/>
      <c r="P39" s="1144"/>
      <c r="Q39" s="1137"/>
      <c r="R39" s="1138"/>
      <c r="S39" s="50"/>
      <c r="T39" s="50"/>
      <c r="U39" s="51"/>
      <c r="V39" s="1137"/>
      <c r="W39" s="47"/>
      <c r="X39" s="47"/>
      <c r="Y39" s="50"/>
      <c r="Z39" s="52"/>
      <c r="AA39" s="51"/>
      <c r="AB39" s="1147"/>
      <c r="AC39" s="53"/>
      <c r="AD39" s="54"/>
      <c r="AE39" s="51"/>
      <c r="AF39" s="55"/>
      <c r="AG39" s="47"/>
      <c r="AI39" s="45"/>
      <c r="AJ39" s="29"/>
      <c r="AK39" s="1"/>
      <c r="AL39" s="1"/>
    </row>
    <row r="40" spans="1:38" ht="18" customHeight="1">
      <c r="A40" s="15" t="s">
        <v>42</v>
      </c>
      <c r="B40" s="36"/>
      <c r="C40" s="15"/>
      <c r="D40" s="1144">
        <v>0</v>
      </c>
      <c r="E40" s="47"/>
      <c r="F40" s="58">
        <v>0</v>
      </c>
      <c r="G40" s="47"/>
      <c r="H40" s="2796">
        <v>0</v>
      </c>
      <c r="I40" s="47"/>
      <c r="J40" s="58">
        <v>0</v>
      </c>
      <c r="K40" s="47"/>
      <c r="L40" s="1138">
        <f>+'Exhibit H'!R53</f>
        <v>315.60000000000002</v>
      </c>
      <c r="M40" s="48"/>
      <c r="N40" s="48">
        <f>+'Exhibit H'!AA53</f>
        <v>2111.3000000000002</v>
      </c>
      <c r="O40" s="48" t="s">
        <v>16</v>
      </c>
      <c r="P40" s="1144">
        <v>0</v>
      </c>
      <c r="Q40" s="1137"/>
      <c r="R40" s="1144">
        <v>0</v>
      </c>
      <c r="S40" s="50"/>
      <c r="T40" s="50"/>
      <c r="U40" s="51"/>
      <c r="V40" s="1137">
        <f>ROUND(SUM(D40)+SUM(H40)+SUM(L40)+SUM(P40),1)</f>
        <v>315.60000000000002</v>
      </c>
      <c r="W40" s="47" t="s">
        <v>16</v>
      </c>
      <c r="X40" s="47">
        <f>ROUND(SUM(F40)+SUM(J40)+SUM(N40)+SUM(R40),1)</f>
        <v>2111.3000000000002</v>
      </c>
      <c r="Y40" s="50"/>
      <c r="Z40" s="52"/>
      <c r="AA40" s="51"/>
      <c r="AB40" s="1147">
        <v>622.29999999999995</v>
      </c>
      <c r="AC40" s="53"/>
      <c r="AD40" s="54">
        <f>ROUND(+'Exhibit H'!AD53,1)</f>
        <v>2767.7</v>
      </c>
      <c r="AE40" s="51"/>
      <c r="AF40" s="55"/>
      <c r="AG40" s="47">
        <f>ROUND(SUM(X40-AD40),1)</f>
        <v>-656.4</v>
      </c>
      <c r="AI40" s="45">
        <f>ROUND(SUM((+X40-AD40)/ABS(AD40)),3)</f>
        <v>-0.23699999999999999</v>
      </c>
      <c r="AJ40" s="23"/>
      <c r="AK40" s="1"/>
      <c r="AL40" s="1"/>
    </row>
    <row r="41" spans="1:38" ht="18" customHeight="1">
      <c r="A41" s="15" t="s">
        <v>43</v>
      </c>
      <c r="B41" s="36" t="s">
        <v>1196</v>
      </c>
      <c r="C41" s="15"/>
      <c r="D41" s="2793">
        <v>0</v>
      </c>
      <c r="E41" s="47"/>
      <c r="F41" s="84">
        <v>0</v>
      </c>
      <c r="G41" s="47"/>
      <c r="H41" s="2796">
        <f>'Exhibit G'!T105</f>
        <v>0.3</v>
      </c>
      <c r="I41" s="47"/>
      <c r="J41" s="48">
        <f>+'Exhibit G'!AC105</f>
        <v>0.9</v>
      </c>
      <c r="K41" s="47"/>
      <c r="L41" s="2793">
        <v>0</v>
      </c>
      <c r="M41" s="48"/>
      <c r="N41" s="84">
        <v>0</v>
      </c>
      <c r="O41" s="48"/>
      <c r="P41" s="2796">
        <f>' Exhbit I '!U84</f>
        <v>693.5</v>
      </c>
      <c r="Q41" s="1137"/>
      <c r="R41" s="1145">
        <f>+' Exhbit I '!AD84</f>
        <v>4759.3</v>
      </c>
      <c r="S41" s="50"/>
      <c r="T41" s="50"/>
      <c r="U41" s="51"/>
      <c r="V41" s="1137">
        <f>ROUND(SUM(D41)+SUM(H41)+SUM(L41)+SUM(P41),1)</f>
        <v>693.8</v>
      </c>
      <c r="W41" s="47" t="s">
        <v>16</v>
      </c>
      <c r="X41" s="47">
        <f>ROUND(SUM(F41)+SUM(J41)+SUM(N41)+SUM(R41),1)</f>
        <v>4760.2</v>
      </c>
      <c r="Y41" s="50"/>
      <c r="Z41" s="52"/>
      <c r="AA41" s="51"/>
      <c r="AB41" s="1146">
        <v>535.6</v>
      </c>
      <c r="AC41" s="53"/>
      <c r="AD41" s="2800">
        <f>'Exhibit G state'!AH104+' Exhibit I State'!AI83+'Exhibit I Federal'!AI64</f>
        <v>4148.5999999999995</v>
      </c>
      <c r="AE41" s="51"/>
      <c r="AF41" s="55"/>
      <c r="AG41" s="47">
        <f>ROUND(SUM(X41-AD41),1)</f>
        <v>611.6</v>
      </c>
      <c r="AI41" s="45">
        <f>ROUND(SUM((+X41-AD41)/ABS(AD41)),3)</f>
        <v>0.14699999999999999</v>
      </c>
      <c r="AJ41" s="23"/>
      <c r="AK41" s="1"/>
      <c r="AL41" s="1"/>
    </row>
    <row r="42" spans="1:38" ht="18" customHeight="1">
      <c r="A42" s="14" t="s">
        <v>44</v>
      </c>
      <c r="B42" s="15"/>
      <c r="C42" s="15"/>
      <c r="D42" s="65">
        <f>ROUND(SUM(D34:D41),1)</f>
        <v>4861.7</v>
      </c>
      <c r="E42" s="63"/>
      <c r="F42" s="65">
        <f>ROUND(SUM(F34:F41),1)</f>
        <v>39960</v>
      </c>
      <c r="G42" s="63"/>
      <c r="H42" s="65">
        <f>ROUND(SUM(H34:H41),1)</f>
        <v>7811.5</v>
      </c>
      <c r="I42" s="63"/>
      <c r="J42" s="65">
        <f>ROUND(SUM(J34:J41),1)</f>
        <v>56324.800000000003</v>
      </c>
      <c r="K42" s="63"/>
      <c r="L42" s="65">
        <f>ROUND(SUM(L34:L41),1)</f>
        <v>317</v>
      </c>
      <c r="M42" s="2667"/>
      <c r="N42" s="65">
        <f>ROUND(SUM(N34:N41),1)</f>
        <v>2134.1</v>
      </c>
      <c r="O42" s="2667"/>
      <c r="P42" s="65">
        <f>ROUND(SUM(P34:P41),1)</f>
        <v>1038.2</v>
      </c>
      <c r="Q42" s="63"/>
      <c r="R42" s="65">
        <f>ROUND(SUM(R34:R41),1)</f>
        <v>6524.4</v>
      </c>
      <c r="S42" s="66"/>
      <c r="T42" s="66"/>
      <c r="U42" s="67"/>
      <c r="V42" s="64">
        <f>ROUND(SUM(V34:V41),1)</f>
        <v>14028.4</v>
      </c>
      <c r="W42" s="63"/>
      <c r="X42" s="64">
        <f>ROUND(SUM(X34:X41),1)</f>
        <v>104943.3</v>
      </c>
      <c r="Y42" s="66"/>
      <c r="Z42" s="68"/>
      <c r="AA42" s="67"/>
      <c r="AB42" s="64">
        <f>ROUND(SUM(AB34:AB41),1)</f>
        <v>13691.1</v>
      </c>
      <c r="AC42" s="63"/>
      <c r="AD42" s="64">
        <f>ROUND(SUM(AD34:AD41),1)</f>
        <v>101311.4</v>
      </c>
      <c r="AE42" s="69"/>
      <c r="AF42" s="70"/>
      <c r="AG42" s="64">
        <f>ROUND(SUM(AG34:AG41),1)</f>
        <v>3631.9</v>
      </c>
      <c r="AH42" s="71"/>
      <c r="AI42" s="72">
        <f>ROUND(SUM((+X42-AD42)/ABS(AD42)),3)</f>
        <v>3.5999999999999997E-2</v>
      </c>
      <c r="AJ42" s="18"/>
      <c r="AK42" s="1"/>
      <c r="AL42" s="1"/>
    </row>
    <row r="43" spans="1:38" ht="15.9" customHeight="1">
      <c r="A43" s="14"/>
      <c r="B43" s="15"/>
      <c r="C43" s="15"/>
      <c r="D43" s="1140"/>
      <c r="E43" s="47"/>
      <c r="F43" s="74"/>
      <c r="G43" s="47"/>
      <c r="H43" s="1140"/>
      <c r="I43" s="47"/>
      <c r="J43" s="74"/>
      <c r="K43" s="47"/>
      <c r="L43" s="1140"/>
      <c r="M43" s="48"/>
      <c r="N43" s="74"/>
      <c r="O43" s="48"/>
      <c r="P43" s="2799"/>
      <c r="Q43" s="1137"/>
      <c r="R43" s="1140"/>
      <c r="S43" s="50"/>
      <c r="T43" s="50"/>
      <c r="U43" s="51"/>
      <c r="V43" s="1139"/>
      <c r="W43" s="47"/>
      <c r="X43" s="51"/>
      <c r="Y43" s="50"/>
      <c r="Z43" s="52"/>
      <c r="AA43" s="51"/>
      <c r="AB43" s="1139" t="s">
        <v>16</v>
      </c>
      <c r="AC43" s="47"/>
      <c r="AD43" s="54"/>
      <c r="AE43" s="54"/>
      <c r="AF43" s="55"/>
      <c r="AG43" s="51"/>
      <c r="AI43" s="19"/>
      <c r="AJ43" s="29"/>
      <c r="AK43" s="1"/>
      <c r="AL43" s="1"/>
    </row>
    <row r="44" spans="1:38" ht="15.9" customHeight="1">
      <c r="A44" s="14" t="s">
        <v>45</v>
      </c>
      <c r="B44" s="14"/>
      <c r="C44" s="15"/>
      <c r="D44" s="1138"/>
      <c r="E44" s="47"/>
      <c r="F44" s="48"/>
      <c r="G44" s="47"/>
      <c r="H44" s="1138"/>
      <c r="I44" s="47"/>
      <c r="J44" s="48"/>
      <c r="K44" s="47"/>
      <c r="L44" s="1138"/>
      <c r="M44" s="48"/>
      <c r="N44" s="48"/>
      <c r="O44" s="48"/>
      <c r="P44" s="2796"/>
      <c r="Q44" s="1137"/>
      <c r="R44" s="1138"/>
      <c r="S44" s="50"/>
      <c r="T44" s="50"/>
      <c r="U44" s="51"/>
      <c r="V44" s="1137"/>
      <c r="W44" s="47"/>
      <c r="X44" s="47"/>
      <c r="Y44" s="50"/>
      <c r="Z44" s="52"/>
      <c r="AA44" s="51"/>
      <c r="AB44" s="1137"/>
      <c r="AC44" s="47"/>
      <c r="AD44" s="54"/>
      <c r="AE44" s="54"/>
      <c r="AF44" s="55"/>
      <c r="AG44" s="47"/>
      <c r="AI44" s="19"/>
      <c r="AJ44" s="29"/>
      <c r="AK44" s="1"/>
      <c r="AL44" s="1"/>
    </row>
    <row r="45" spans="1:38" ht="15.9" customHeight="1">
      <c r="A45" s="14" t="s">
        <v>46</v>
      </c>
      <c r="B45" s="14"/>
      <c r="C45" s="15"/>
      <c r="D45" s="91">
        <f>ROUND(SUM(D20-D42),1)</f>
        <v>820.2</v>
      </c>
      <c r="E45" s="63"/>
      <c r="F45" s="91">
        <f>ROUND(SUM(F20-F42),1)</f>
        <v>-58.5</v>
      </c>
      <c r="G45" s="63"/>
      <c r="H45" s="91">
        <f>ROUND(SUM(H20-H42),1)</f>
        <v>-409.6</v>
      </c>
      <c r="I45" s="63"/>
      <c r="J45" s="91">
        <f>ROUND(SUM(J20-J42),1)</f>
        <v>-4478.8999999999996</v>
      </c>
      <c r="K45" s="63"/>
      <c r="L45" s="91">
        <f>ROUND(SUM(L20-L42),1)</f>
        <v>1645.2</v>
      </c>
      <c r="M45" s="2667" t="s">
        <v>16</v>
      </c>
      <c r="N45" s="91">
        <f>ROUND(SUM(N20-N42),1)</f>
        <v>12266.1</v>
      </c>
      <c r="O45" s="2667" t="s">
        <v>16</v>
      </c>
      <c r="P45" s="92">
        <f>ROUND(SUM(P20-P42),1)</f>
        <v>78.8</v>
      </c>
      <c r="Q45" s="63" t="s">
        <v>16</v>
      </c>
      <c r="R45" s="92">
        <f>ROUND(SUM(R20-R42),1)</f>
        <v>-798.4</v>
      </c>
      <c r="S45" s="66"/>
      <c r="T45" s="66"/>
      <c r="U45" s="67"/>
      <c r="V45" s="90">
        <f>ROUND(SUM(V20-V42),1)</f>
        <v>2134.6</v>
      </c>
      <c r="W45" s="63" t="s">
        <v>16</v>
      </c>
      <c r="X45" s="90">
        <f>ROUND(SUM(X20-X42),1)</f>
        <v>6930.3</v>
      </c>
      <c r="Y45" s="66"/>
      <c r="Z45" s="68"/>
      <c r="AA45" s="67"/>
      <c r="AB45" s="90">
        <f>ROUND(SUM(AB20-AB42),1)</f>
        <v>1126.7</v>
      </c>
      <c r="AC45" s="63"/>
      <c r="AD45" s="93">
        <f>ROUND(SUM(AD20-AD42),1)</f>
        <v>4717.1000000000004</v>
      </c>
      <c r="AE45" s="69"/>
      <c r="AF45" s="70"/>
      <c r="AG45" s="90">
        <f>ROUND(SUM(X45-AD45),1)</f>
        <v>2213.1999999999998</v>
      </c>
      <c r="AH45" s="94"/>
      <c r="AI45" s="108">
        <f>ROUND(SUM((+X45-AD45)/ABS(AD45)),3)</f>
        <v>0.46899999999999997</v>
      </c>
      <c r="AJ45" s="18"/>
      <c r="AK45" s="1"/>
      <c r="AL45" s="1"/>
    </row>
    <row r="46" spans="1:38" ht="15.9" customHeight="1">
      <c r="A46" s="15"/>
      <c r="B46" s="15"/>
      <c r="C46" s="15"/>
      <c r="D46" s="1140"/>
      <c r="E46" s="47"/>
      <c r="F46" s="74"/>
      <c r="G46" s="47"/>
      <c r="H46" s="1140"/>
      <c r="I46" s="47"/>
      <c r="J46" s="74"/>
      <c r="K46" s="47"/>
      <c r="L46" s="1140"/>
      <c r="M46" s="48"/>
      <c r="N46" s="74"/>
      <c r="O46" s="48"/>
      <c r="P46" s="2799"/>
      <c r="Q46" s="1137"/>
      <c r="R46" s="1140"/>
      <c r="S46" s="50"/>
      <c r="T46" s="50"/>
      <c r="U46" s="51"/>
      <c r="V46" s="1139"/>
      <c r="W46" s="47"/>
      <c r="X46" s="51"/>
      <c r="Y46" s="50"/>
      <c r="Z46" s="52"/>
      <c r="AA46" s="51"/>
      <c r="AB46" s="1139"/>
      <c r="AC46" s="47"/>
      <c r="AD46" s="54"/>
      <c r="AE46" s="54"/>
      <c r="AF46" s="55"/>
      <c r="AG46" s="51"/>
      <c r="AI46" s="19"/>
      <c r="AJ46" s="29"/>
      <c r="AK46" s="1"/>
      <c r="AL46" s="1"/>
    </row>
    <row r="47" spans="1:38" ht="15.9" customHeight="1">
      <c r="A47" s="14" t="s">
        <v>47</v>
      </c>
      <c r="B47" s="14"/>
      <c r="C47" s="15"/>
      <c r="D47" s="1138"/>
      <c r="E47" s="47"/>
      <c r="F47" s="48"/>
      <c r="G47" s="47"/>
      <c r="H47" s="1138"/>
      <c r="I47" s="47"/>
      <c r="J47" s="48"/>
      <c r="K47" s="47"/>
      <c r="L47" s="1138"/>
      <c r="M47" s="48"/>
      <c r="N47" s="48"/>
      <c r="O47" s="48"/>
      <c r="P47" s="2796"/>
      <c r="Q47" s="1137"/>
      <c r="R47" s="1140"/>
      <c r="S47" s="50"/>
      <c r="T47" s="50"/>
      <c r="U47" s="51"/>
      <c r="V47" s="1137"/>
      <c r="W47" s="47"/>
      <c r="X47" s="53"/>
      <c r="Y47" s="50"/>
      <c r="Z47" s="52"/>
      <c r="AA47" s="51"/>
      <c r="AB47" s="1137"/>
      <c r="AC47" s="47"/>
      <c r="AD47" s="54"/>
      <c r="AE47" s="54"/>
      <c r="AF47" s="55"/>
      <c r="AG47" s="47"/>
      <c r="AI47" s="19"/>
      <c r="AJ47" s="29"/>
      <c r="AK47" s="1"/>
      <c r="AL47" s="1"/>
    </row>
    <row r="48" spans="1:38" ht="18" customHeight="1">
      <c r="A48" s="96" t="s">
        <v>48</v>
      </c>
      <c r="B48" s="15"/>
      <c r="C48" s="15"/>
      <c r="D48" s="2794">
        <v>0</v>
      </c>
      <c r="E48" s="47"/>
      <c r="F48" s="97">
        <v>0</v>
      </c>
      <c r="G48" s="47"/>
      <c r="H48" s="1144">
        <v>0</v>
      </c>
      <c r="I48" s="47"/>
      <c r="J48" s="58">
        <v>0</v>
      </c>
      <c r="K48" s="47"/>
      <c r="L48" s="1144">
        <v>0</v>
      </c>
      <c r="M48" s="74"/>
      <c r="N48" s="58">
        <v>0</v>
      </c>
      <c r="O48" s="74"/>
      <c r="P48" s="1144">
        <f>+' Exhbit I '!U92</f>
        <v>0</v>
      </c>
      <c r="Q48" s="1139"/>
      <c r="R48" s="1144">
        <f>' Exhbit I '!AD92</f>
        <v>0</v>
      </c>
      <c r="S48" s="50"/>
      <c r="T48" s="50"/>
      <c r="U48" s="51"/>
      <c r="V48" s="1137">
        <f>ROUND(SUM(D48)+SUM(H48)+SUM(L48)+SUM(P48),1)</f>
        <v>0</v>
      </c>
      <c r="W48" s="83"/>
      <c r="X48" s="47">
        <f>ROUND(SUM(F48)+SUM(J48)+SUM(N48)+SUM(R48),1)</f>
        <v>0</v>
      </c>
      <c r="Y48" s="50"/>
      <c r="Z48" s="52"/>
      <c r="AA48" s="51"/>
      <c r="AB48" s="1143">
        <v>0</v>
      </c>
      <c r="AC48" s="57"/>
      <c r="AD48" s="77">
        <f>+' Exhbit I '!AG92</f>
        <v>0</v>
      </c>
      <c r="AE48" s="83"/>
      <c r="AF48" s="98"/>
      <c r="AG48" s="51">
        <f>X48-AD48</f>
        <v>0</v>
      </c>
      <c r="AH48" s="99"/>
      <c r="AI48" s="2802">
        <f>ROUND(IF(AD48=0,0,AG48/ABS(AD48)),3)</f>
        <v>0</v>
      </c>
      <c r="AJ48" s="100"/>
      <c r="AK48" s="1"/>
      <c r="AL48" s="1"/>
    </row>
    <row r="49" spans="1:40" ht="18" customHeight="1">
      <c r="A49" s="96" t="s">
        <v>49</v>
      </c>
      <c r="B49" s="3222" t="s">
        <v>1546</v>
      </c>
      <c r="C49" s="96"/>
      <c r="D49" s="1148">
        <f>+'Exhibit F'!T120+'Exhibit F'!T121+'Exhibit F'!T122+'Exhibit F'!T123</f>
        <v>1923.8000000000002</v>
      </c>
      <c r="E49" s="47"/>
      <c r="F49" s="48">
        <f>+'Exhibit F'!AC120+'Exhibit F'!AC121+'Exhibit F'!AC122+'Exhibit F'!AC123</f>
        <v>13501.000000000002</v>
      </c>
      <c r="G49" s="53"/>
      <c r="H49" s="1148">
        <f>'Exhibit G'!T113</f>
        <v>387.5</v>
      </c>
      <c r="I49" s="53"/>
      <c r="J49" s="101">
        <f>+'Exhibit G'!AC113</f>
        <v>7206.4</v>
      </c>
      <c r="K49" s="54"/>
      <c r="L49" s="2795">
        <f>+'Exhibit H'!R62</f>
        <v>205.6</v>
      </c>
      <c r="M49" s="2800"/>
      <c r="N49" s="48">
        <f>+'Exhibit H'!AA62</f>
        <v>2256.6</v>
      </c>
      <c r="O49" s="2800"/>
      <c r="P49" s="1144">
        <f>' Exhbit I '!U93</f>
        <v>23.9</v>
      </c>
      <c r="Q49" s="1146"/>
      <c r="R49" s="1140">
        <f>+' Exhbit I '!AD93</f>
        <v>1345</v>
      </c>
      <c r="S49" s="102"/>
      <c r="T49" s="102"/>
      <c r="U49" s="54"/>
      <c r="V49" s="1137">
        <f>ROUND(SUM(D49)+SUM(H49)+SUM(L49)+SUM(P49),1)</f>
        <v>2540.8000000000002</v>
      </c>
      <c r="W49" s="53" t="s">
        <v>16</v>
      </c>
      <c r="X49" s="47">
        <f>ROUND(SUM(F49)+SUM(J49)+SUM(N49)+SUM(R49),1)</f>
        <v>24309</v>
      </c>
      <c r="Y49" s="102"/>
      <c r="Z49" s="103"/>
      <c r="AA49" s="54"/>
      <c r="AB49" s="1147">
        <v>3315.3</v>
      </c>
      <c r="AC49" s="53"/>
      <c r="AD49" s="54">
        <f>+'Exhibit F'!AF120+'Exhibit F'!AF121+'Exhibit F'!AF122+'Exhibit F'!AF123+'Exhibit G'!AF113+'Exhibit H'!AD62+' Exhbit I '!AG93</f>
        <v>21588.9</v>
      </c>
      <c r="AE49" s="54"/>
      <c r="AF49" s="55"/>
      <c r="AG49" s="51">
        <f>ROUND(SUM(X49-AD49),1)</f>
        <v>2720.1</v>
      </c>
      <c r="AH49" s="99"/>
      <c r="AI49" s="2802">
        <f>ROUND(SUM((+X49-AD49)/ABS(AD49)),3)</f>
        <v>0.126</v>
      </c>
      <c r="AJ49" s="29"/>
      <c r="AK49" s="1"/>
      <c r="AL49" s="1"/>
    </row>
    <row r="50" spans="1:40" ht="18" customHeight="1">
      <c r="A50" s="96" t="s">
        <v>50</v>
      </c>
      <c r="B50" s="3222" t="s">
        <v>1546</v>
      </c>
      <c r="C50" s="96"/>
      <c r="D50" s="2795">
        <f>+'Exhibit F'!T124+'Exhibit F'!T127+'Exhibit F'!T128+'Exhibit F'!T126</f>
        <v>-314.7</v>
      </c>
      <c r="E50" s="53"/>
      <c r="F50" s="48">
        <f>+'Exhibit F'!AC124+'Exhibit F'!AC127+'Exhibit F'!AC128+'Exhibit F'!AC126</f>
        <v>-8000.9</v>
      </c>
      <c r="G50" s="53"/>
      <c r="H50" s="1148">
        <f>'Exhibit G'!T114</f>
        <v>-228</v>
      </c>
      <c r="I50" s="53"/>
      <c r="J50" s="101">
        <f>+'Exhibit G'!AC114</f>
        <v>-1654.5</v>
      </c>
      <c r="K50" s="53"/>
      <c r="L50" s="2795">
        <f>+'Exhibit H'!R63</f>
        <v>-1968</v>
      </c>
      <c r="M50" s="2800"/>
      <c r="N50" s="48">
        <f>+'Exhibit H'!AA63</f>
        <v>-14048.1</v>
      </c>
      <c r="O50" s="2800"/>
      <c r="P50" s="1144">
        <f>' Exhbit I '!U94</f>
        <v>-34.799999999999997</v>
      </c>
      <c r="Q50" s="1147"/>
      <c r="R50" s="1140">
        <f>+' Exhbit I '!AD94</f>
        <v>-671.4</v>
      </c>
      <c r="S50" s="102"/>
      <c r="T50" s="102"/>
      <c r="U50" s="54"/>
      <c r="V50" s="1137">
        <f>ROUND(SUM(D50)+SUM(H50)+SUM(L50)+SUM(P50),1)</f>
        <v>-2545.5</v>
      </c>
      <c r="W50" s="104" t="s">
        <v>16</v>
      </c>
      <c r="X50" s="47">
        <f>ROUND(SUM(F50)+SUM(J50)+SUM(N50)+SUM(R50),1)</f>
        <v>-24374.9</v>
      </c>
      <c r="Y50" s="102"/>
      <c r="Z50" s="103"/>
      <c r="AA50" s="54"/>
      <c r="AB50" s="1146">
        <v>-3287.2</v>
      </c>
      <c r="AC50" s="53"/>
      <c r="AD50" s="54">
        <f>ROUND(+'Exhibit F'!AF124+'Exhibit F'!AF126+'Exhibit F'!AF127+'Exhibit F'!AF128+'Exhibit G'!AF114+'Exhibit H'!AD63+' Exhbit I '!AG94,1)</f>
        <v>-21641.8</v>
      </c>
      <c r="AE50" s="54"/>
      <c r="AF50" s="55"/>
      <c r="AG50" s="89">
        <f>ROUND(SUM(X50-AD50),1)*-1</f>
        <v>2733.1</v>
      </c>
      <c r="AI50" s="2803">
        <f>-ROUND(SUM((+X50-AD50)/ABS(AD50)),3)</f>
        <v>0.126</v>
      </c>
      <c r="AJ50" s="29"/>
      <c r="AK50" s="1"/>
      <c r="AL50" s="1"/>
    </row>
    <row r="51" spans="1:40" ht="18" customHeight="1">
      <c r="A51" s="14" t="s">
        <v>51</v>
      </c>
      <c r="B51" s="14"/>
      <c r="C51" s="15"/>
      <c r="D51" s="65">
        <f>ROUND(SUM(D48:D50),1)</f>
        <v>1609.1</v>
      </c>
      <c r="E51" s="47"/>
      <c r="F51" s="65">
        <f>ROUND(SUM(F48:F50),1)</f>
        <v>5500.1</v>
      </c>
      <c r="G51" s="63"/>
      <c r="H51" s="65">
        <f>ROUND(SUM(H48:H50),1)</f>
        <v>159.5</v>
      </c>
      <c r="I51" s="63"/>
      <c r="J51" s="65">
        <f>ROUND(SUM(J48:J50),1)</f>
        <v>5551.9</v>
      </c>
      <c r="K51" s="63"/>
      <c r="L51" s="65">
        <f>ROUND(SUM(L48:L50),1)</f>
        <v>-1762.4</v>
      </c>
      <c r="M51" s="2667"/>
      <c r="N51" s="65">
        <f>ROUND(SUM(N48:N50),1)</f>
        <v>-11791.5</v>
      </c>
      <c r="O51" s="2667"/>
      <c r="P51" s="62">
        <f>ROUND(SUM(P48:P50),1)</f>
        <v>-10.9</v>
      </c>
      <c r="Q51" s="63"/>
      <c r="R51" s="62">
        <f>ROUND(SUM(R48:R50),1)</f>
        <v>673.6</v>
      </c>
      <c r="S51" s="66"/>
      <c r="T51" s="66"/>
      <c r="U51" s="67"/>
      <c r="V51" s="3000">
        <f>ROUND(SUM(V48+V49+V50),1)</f>
        <v>-4.7</v>
      </c>
      <c r="W51" s="63"/>
      <c r="X51" s="3000">
        <f>ROUND(SUM(+X48+X49+X50),1)</f>
        <v>-65.900000000000006</v>
      </c>
      <c r="Y51" s="66"/>
      <c r="Z51" s="68"/>
      <c r="AA51" s="67"/>
      <c r="AB51" s="106">
        <f>ROUND(SUM(+AB49+AB50),1)</f>
        <v>28.1</v>
      </c>
      <c r="AC51" s="63"/>
      <c r="AD51" s="106">
        <f>ROUND(SUM(+AD49+AD50),1)</f>
        <v>-52.9</v>
      </c>
      <c r="AE51" s="107"/>
      <c r="AF51" s="70"/>
      <c r="AG51" s="62">
        <f>ROUND(SUM(+AG49-AG50+AG48),1)</f>
        <v>-13</v>
      </c>
      <c r="AH51" s="71"/>
      <c r="AI51" s="2804">
        <f>ROUND(SUM(-AG51/AD51),3)</f>
        <v>-0.246</v>
      </c>
      <c r="AJ51" s="18"/>
      <c r="AK51" s="1"/>
      <c r="AL51" s="1"/>
    </row>
    <row r="52" spans="1:40" ht="15.9" customHeight="1">
      <c r="A52" s="15"/>
      <c r="B52" s="15"/>
      <c r="C52" s="15"/>
      <c r="D52" s="1139"/>
      <c r="E52" s="47"/>
      <c r="F52" s="74"/>
      <c r="G52" s="47"/>
      <c r="H52" s="1140"/>
      <c r="I52" s="47"/>
      <c r="J52" s="74"/>
      <c r="K52" s="47"/>
      <c r="L52" s="1140"/>
      <c r="M52" s="48"/>
      <c r="N52" s="74"/>
      <c r="O52" s="48"/>
      <c r="P52" s="1140"/>
      <c r="Q52" s="1137"/>
      <c r="R52" s="1140"/>
      <c r="S52" s="50"/>
      <c r="T52" s="50"/>
      <c r="U52" s="51"/>
      <c r="V52" s="1139"/>
      <c r="W52" s="47"/>
      <c r="X52" s="51"/>
      <c r="Y52" s="50"/>
      <c r="Z52" s="52"/>
      <c r="AA52" s="51"/>
      <c r="AB52" s="1139"/>
      <c r="AC52" s="47"/>
      <c r="AD52" s="54"/>
      <c r="AE52" s="54"/>
      <c r="AF52" s="55"/>
      <c r="AG52" s="51"/>
      <c r="AI52" s="2805"/>
      <c r="AJ52" s="29"/>
      <c r="AK52" s="1"/>
      <c r="AL52" s="1"/>
    </row>
    <row r="53" spans="1:40" ht="18" customHeight="1">
      <c r="A53" s="13" t="s">
        <v>45</v>
      </c>
      <c r="B53" s="14"/>
      <c r="C53" s="15"/>
      <c r="D53" s="1137"/>
      <c r="E53" s="47"/>
      <c r="F53" s="48"/>
      <c r="G53" s="47"/>
      <c r="H53" s="1138"/>
      <c r="I53" s="47"/>
      <c r="J53" s="48"/>
      <c r="K53" s="47"/>
      <c r="L53" s="1138"/>
      <c r="M53" s="48"/>
      <c r="N53" s="48"/>
      <c r="O53" s="48"/>
      <c r="P53" s="1138"/>
      <c r="Q53" s="1137"/>
      <c r="R53" s="1138"/>
      <c r="S53" s="50"/>
      <c r="T53" s="50"/>
      <c r="U53" s="51"/>
      <c r="V53" s="1137"/>
      <c r="W53" s="47"/>
      <c r="X53" s="47"/>
      <c r="Y53" s="50"/>
      <c r="Z53" s="52"/>
      <c r="AA53" s="51"/>
      <c r="AB53" s="1137"/>
      <c r="AC53" s="47"/>
      <c r="AD53" s="54"/>
      <c r="AE53" s="54"/>
      <c r="AF53" s="55"/>
      <c r="AG53" s="47"/>
      <c r="AI53" s="2806"/>
      <c r="AJ53" s="29"/>
      <c r="AK53" s="1"/>
      <c r="AL53" s="1"/>
    </row>
    <row r="54" spans="1:40" ht="18" customHeight="1">
      <c r="A54" s="13" t="s">
        <v>52</v>
      </c>
      <c r="B54" s="13"/>
      <c r="C54" s="96"/>
      <c r="D54" s="1147"/>
      <c r="E54" s="47"/>
      <c r="F54" s="48"/>
      <c r="G54" s="47"/>
      <c r="H54" s="1138"/>
      <c r="I54" s="47"/>
      <c r="J54" s="48"/>
      <c r="K54" s="47"/>
      <c r="L54" s="1138"/>
      <c r="M54" s="48"/>
      <c r="N54" s="48"/>
      <c r="O54" s="48"/>
      <c r="P54" s="1138"/>
      <c r="Q54" s="1137"/>
      <c r="R54" s="1138"/>
      <c r="S54" s="50"/>
      <c r="T54" s="50"/>
      <c r="U54" s="51"/>
      <c r="V54" s="1137" t="s">
        <v>16</v>
      </c>
      <c r="W54" s="47"/>
      <c r="X54" s="47"/>
      <c r="Y54" s="50"/>
      <c r="Z54" s="52"/>
      <c r="AA54" s="51"/>
      <c r="AB54" s="1137"/>
      <c r="AC54" s="47"/>
      <c r="AD54" s="54"/>
      <c r="AE54" s="54"/>
      <c r="AF54" s="55"/>
      <c r="AG54" s="47"/>
      <c r="AI54" s="2805"/>
      <c r="AJ54" s="29"/>
      <c r="AK54" s="1"/>
      <c r="AL54" s="1"/>
    </row>
    <row r="55" spans="1:40" ht="18" customHeight="1">
      <c r="A55" s="13" t="s">
        <v>53</v>
      </c>
      <c r="B55" s="13"/>
      <c r="C55" s="96"/>
      <c r="D55" s="110">
        <f>ROUND(SUM(D45+D51),1)</f>
        <v>2429.3000000000002</v>
      </c>
      <c r="E55" s="110"/>
      <c r="F55" s="111">
        <f>ROUND(SUM(F45)+SUM(F51),1)</f>
        <v>5441.6</v>
      </c>
      <c r="G55" s="110"/>
      <c r="H55" s="111">
        <f>ROUND(SUM(H45+H51),1)</f>
        <v>-250.1</v>
      </c>
      <c r="I55" s="110"/>
      <c r="J55" s="111">
        <f>ROUND(SUM(J45)+SUM(J51),1)</f>
        <v>1073</v>
      </c>
      <c r="K55" s="110"/>
      <c r="L55" s="111">
        <f>ROUND(SUM(L45+L51),1)</f>
        <v>-117.2</v>
      </c>
      <c r="M55" s="111"/>
      <c r="N55" s="111">
        <f>ROUND(SUM(N45+N51),1)</f>
        <v>474.6</v>
      </c>
      <c r="O55" s="111"/>
      <c r="P55" s="111">
        <f>ROUND(SUM(P45+P51),1)</f>
        <v>67.900000000000006</v>
      </c>
      <c r="Q55" s="110"/>
      <c r="R55" s="111">
        <f>ROUND(SUM(R45+R51),1)</f>
        <v>-124.8</v>
      </c>
      <c r="S55" s="112"/>
      <c r="T55" s="112"/>
      <c r="U55" s="69"/>
      <c r="V55" s="110">
        <f>ROUND(SUM(V45)+SUM(V51),1)</f>
        <v>2129.9</v>
      </c>
      <c r="W55" s="110"/>
      <c r="X55" s="110">
        <f>ROUND(SUM(X45)+SUM(X51),1)</f>
        <v>6864.4</v>
      </c>
      <c r="Y55" s="112"/>
      <c r="Z55" s="113"/>
      <c r="AA55" s="69"/>
      <c r="AB55" s="110">
        <f>ROUND(SUM(AB45)+SUM(AB51),1)</f>
        <v>1154.8</v>
      </c>
      <c r="AC55" s="110"/>
      <c r="AD55" s="110">
        <f>ROUND(SUM(AD45)+SUM(AD51),1)</f>
        <v>4664.2</v>
      </c>
      <c r="AE55" s="69"/>
      <c r="AF55" s="70"/>
      <c r="AG55" s="67">
        <f>ROUND(SUM(+AG45+AG51),1)</f>
        <v>2200.1999999999998</v>
      </c>
      <c r="AH55" s="71"/>
      <c r="AI55" s="2915">
        <f>ROUND(SUM((+X55-AD55)/ABS(AD55)),3)</f>
        <v>0.47199999999999998</v>
      </c>
      <c r="AJ55" s="115"/>
      <c r="AK55" s="116"/>
      <c r="AL55" s="1"/>
    </row>
    <row r="56" spans="1:40" ht="15.9" customHeight="1">
      <c r="A56" s="14"/>
      <c r="B56" s="14"/>
      <c r="C56" s="15"/>
      <c r="D56" s="1137"/>
      <c r="E56" s="47"/>
      <c r="F56" s="74"/>
      <c r="G56" s="47"/>
      <c r="H56" s="1138"/>
      <c r="I56" s="47"/>
      <c r="J56" s="48"/>
      <c r="K56" s="47"/>
      <c r="L56" s="1148"/>
      <c r="M56" s="101"/>
      <c r="N56" s="101"/>
      <c r="O56" s="101"/>
      <c r="P56" s="2795"/>
      <c r="Q56" s="1137"/>
      <c r="R56" s="1148"/>
      <c r="S56" s="50"/>
      <c r="T56" s="50"/>
      <c r="U56" s="51"/>
      <c r="V56" s="1137"/>
      <c r="W56" s="47"/>
      <c r="X56" s="47"/>
      <c r="Y56" s="102"/>
      <c r="Z56" s="103"/>
      <c r="AA56" s="54"/>
      <c r="AB56" s="1147"/>
      <c r="AC56" s="53"/>
      <c r="AD56" s="54"/>
      <c r="AE56" s="54"/>
      <c r="AF56" s="55"/>
      <c r="AG56" s="47"/>
      <c r="AI56" s="19"/>
      <c r="AJ56" s="29"/>
      <c r="AK56" s="1"/>
      <c r="AL56" s="1"/>
    </row>
    <row r="57" spans="1:40" ht="18" customHeight="1">
      <c r="A57" s="1726" t="s">
        <v>54</v>
      </c>
      <c r="B57" s="36" t="s">
        <v>1197</v>
      </c>
      <c r="C57" s="15"/>
      <c r="D57" s="90">
        <v>10311.799999999999</v>
      </c>
      <c r="E57" s="63"/>
      <c r="F57" s="91">
        <f>+'Exhibit F'!AC14</f>
        <v>7299.5</v>
      </c>
      <c r="G57" s="63"/>
      <c r="H57" s="91">
        <v>3984.9</v>
      </c>
      <c r="I57" s="63"/>
      <c r="J57" s="91">
        <f>'Exhibit G'!AC14</f>
        <v>2661.8</v>
      </c>
      <c r="K57" s="63"/>
      <c r="L57" s="91">
        <f>'Exhibit H'!R12</f>
        <v>710.5</v>
      </c>
      <c r="M57" s="2667"/>
      <c r="N57" s="91">
        <f>+'Exhibit H'!AA12</f>
        <v>118.7</v>
      </c>
      <c r="O57" s="2666"/>
      <c r="P57" s="92">
        <f>+' Exhbit I '!U15</f>
        <v>-917.1</v>
      </c>
      <c r="Q57" s="67"/>
      <c r="R57" s="91">
        <f>+' Exhbit I '!AD15</f>
        <v>-724.4</v>
      </c>
      <c r="S57" s="66"/>
      <c r="T57" s="66"/>
      <c r="U57" s="67"/>
      <c r="V57" s="90">
        <f>ROUND(SUM(D57+H57+L57+P57),1)</f>
        <v>14090.1</v>
      </c>
      <c r="W57" s="63" t="s">
        <v>16</v>
      </c>
      <c r="X57" s="90">
        <f>ROUND(SUM(F57+J57+N57+R57),1)</f>
        <v>9355.6</v>
      </c>
      <c r="Y57" s="66"/>
      <c r="Z57" s="68"/>
      <c r="AA57" s="67"/>
      <c r="AB57" s="90">
        <v>7543.9</v>
      </c>
      <c r="AC57" s="63"/>
      <c r="AD57" s="93">
        <v>4034.5</v>
      </c>
      <c r="AE57" s="69"/>
      <c r="AF57" s="70"/>
      <c r="AG57" s="90">
        <f>ROUND(SUM(X57-AD57),1)</f>
        <v>5321.1</v>
      </c>
      <c r="AH57" s="71"/>
      <c r="AI57" s="95">
        <f>ROUND(SUM((+X57-AD57)/ABS(AD57)),3)</f>
        <v>1.319</v>
      </c>
      <c r="AJ57" s="18"/>
      <c r="AK57" s="1"/>
      <c r="AL57" s="1"/>
    </row>
    <row r="58" spans="1:40" ht="15.9" customHeight="1">
      <c r="A58" s="96"/>
      <c r="B58" s="15"/>
      <c r="C58" s="15"/>
      <c r="D58" s="1146"/>
      <c r="E58" s="47"/>
      <c r="F58" s="74"/>
      <c r="G58" s="47"/>
      <c r="H58" s="1139"/>
      <c r="I58" s="47"/>
      <c r="J58" s="74"/>
      <c r="K58" s="47"/>
      <c r="L58" s="1146"/>
      <c r="M58" s="47"/>
      <c r="N58" s="74"/>
      <c r="O58" s="47"/>
      <c r="P58" s="1139"/>
      <c r="Q58" s="1137"/>
      <c r="R58" s="1140"/>
      <c r="S58" s="50"/>
      <c r="T58" s="50"/>
      <c r="U58" s="51"/>
      <c r="V58" s="1139"/>
      <c r="W58" s="47"/>
      <c r="X58" s="51"/>
      <c r="Y58" s="50"/>
      <c r="Z58" s="52"/>
      <c r="AA58" s="51"/>
      <c r="AB58" s="1139"/>
      <c r="AC58" s="47"/>
      <c r="AD58" s="54"/>
      <c r="AE58" s="54"/>
      <c r="AF58" s="55"/>
      <c r="AG58" s="51"/>
      <c r="AI58" s="19"/>
      <c r="AJ58" s="29"/>
      <c r="AK58" s="1"/>
      <c r="AL58" s="1"/>
    </row>
    <row r="59" spans="1:40" ht="18" customHeight="1" thickBot="1">
      <c r="A59" s="1727" t="s">
        <v>55</v>
      </c>
      <c r="B59" s="117"/>
      <c r="C59" s="118"/>
      <c r="D59" s="119">
        <f>ROUND(SUM(D55+D57),1)</f>
        <v>12741.1</v>
      </c>
      <c r="E59" s="120"/>
      <c r="F59" s="121">
        <f>ROUND(SUM(F55+F57),1)</f>
        <v>12741.1</v>
      </c>
      <c r="G59" s="120"/>
      <c r="H59" s="119">
        <f>ROUND(SUM(H55+H57),1)</f>
        <v>3734.8</v>
      </c>
      <c r="I59" s="120"/>
      <c r="J59" s="121">
        <f>ROUND(SUM(J55)+SUM(J57),1)</f>
        <v>3734.8</v>
      </c>
      <c r="K59" s="120"/>
      <c r="L59" s="119">
        <f>ROUND(SUM(L55+L57),1)</f>
        <v>593.29999999999995</v>
      </c>
      <c r="M59" s="120"/>
      <c r="N59" s="121">
        <f>ROUND(SUM(N55+N57),1)</f>
        <v>593.29999999999995</v>
      </c>
      <c r="O59" s="120"/>
      <c r="P59" s="119">
        <f>ROUND(SUM(P55+P57),1)</f>
        <v>-849.2</v>
      </c>
      <c r="Q59" s="120"/>
      <c r="R59" s="121">
        <f>ROUND(SUM(R55+R57),1)</f>
        <v>-849.2</v>
      </c>
      <c r="S59" s="122"/>
      <c r="T59" s="122"/>
      <c r="U59" s="123"/>
      <c r="V59" s="119">
        <f>ROUND(SUM(V55+V57),1)</f>
        <v>16220</v>
      </c>
      <c r="W59" s="120"/>
      <c r="X59" s="119">
        <f>ROUND(SUM(X55+X57),1)</f>
        <v>16220</v>
      </c>
      <c r="Y59" s="122"/>
      <c r="Z59" s="124"/>
      <c r="AA59" s="123"/>
      <c r="AB59" s="119">
        <f>ROUND(SUM(AB55+AB57),1)</f>
        <v>8698.7000000000007</v>
      </c>
      <c r="AC59" s="120"/>
      <c r="AD59" s="119">
        <f>ROUND(SUM(AD55+AD57),1)</f>
        <v>8698.7000000000007</v>
      </c>
      <c r="AE59" s="123"/>
      <c r="AF59" s="125"/>
      <c r="AG59" s="126">
        <f>ROUND(SUM(AG55+AG57),1)</f>
        <v>7521.3</v>
      </c>
      <c r="AH59" s="71"/>
      <c r="AI59" s="127">
        <f>ROUND(SUM((+X59-AD59)/ABS(AD59)),3)</f>
        <v>0.86499999999999999</v>
      </c>
      <c r="AJ59" s="128"/>
      <c r="AK59" s="116"/>
      <c r="AL59" s="116"/>
      <c r="AM59" s="129"/>
      <c r="AN59" s="71"/>
    </row>
    <row r="60" spans="1:40" ht="15.6" thickTop="1">
      <c r="A60" s="130"/>
      <c r="B60" s="130"/>
      <c r="C60" s="130"/>
      <c r="D60" s="1178"/>
      <c r="E60" s="131"/>
      <c r="F60" s="131"/>
      <c r="G60" s="131"/>
      <c r="H60" s="1178"/>
      <c r="I60" s="131"/>
      <c r="J60" s="131"/>
      <c r="K60" s="131"/>
      <c r="L60" s="1178"/>
      <c r="M60" s="131"/>
      <c r="N60" s="131"/>
      <c r="O60" s="131"/>
      <c r="P60" s="131"/>
      <c r="Q60" s="131"/>
      <c r="R60" s="131"/>
      <c r="S60" s="131"/>
      <c r="T60" s="131"/>
      <c r="U60" s="131"/>
      <c r="V60" s="1178"/>
      <c r="W60" s="131"/>
      <c r="X60" s="131"/>
      <c r="Y60" s="131"/>
      <c r="Z60" s="131"/>
      <c r="AA60" s="131"/>
      <c r="AB60" s="1178"/>
      <c r="AC60" s="132"/>
      <c r="AD60" s="133"/>
      <c r="AE60" s="133"/>
      <c r="AF60" s="131"/>
      <c r="AG60" s="131"/>
      <c r="AI60" s="134"/>
      <c r="AJ60" s="19"/>
      <c r="AK60" s="1"/>
      <c r="AL60" s="1"/>
    </row>
    <row r="61" spans="1:40" ht="15.6">
      <c r="A61" s="135"/>
      <c r="B61" s="94"/>
      <c r="C61" s="94"/>
      <c r="D61" s="1179"/>
      <c r="E61" s="99"/>
      <c r="F61" s="99"/>
      <c r="G61" s="99"/>
      <c r="H61" s="1179"/>
      <c r="I61" s="99"/>
      <c r="J61" s="99"/>
      <c r="K61" s="99"/>
      <c r="L61" s="1179"/>
      <c r="M61" s="99"/>
      <c r="N61" s="99"/>
      <c r="O61" s="99"/>
      <c r="P61" s="135" t="s">
        <v>16</v>
      </c>
      <c r="Q61" s="99"/>
      <c r="R61" s="99"/>
      <c r="S61" s="99"/>
      <c r="T61" s="99"/>
      <c r="U61" s="99"/>
      <c r="V61" s="1179"/>
      <c r="W61" s="99"/>
      <c r="X61" s="99"/>
      <c r="Y61" s="99"/>
      <c r="Z61" s="99"/>
      <c r="AA61" s="99"/>
      <c r="AB61" s="1179"/>
      <c r="AC61" s="99"/>
      <c r="AI61" s="134"/>
      <c r="AJ61" s="19"/>
      <c r="AK61" s="1"/>
      <c r="AL61" s="1"/>
    </row>
    <row r="62" spans="1:40" ht="15">
      <c r="A62" s="99"/>
      <c r="B62" s="99"/>
      <c r="C62" s="99"/>
      <c r="D62" s="1179"/>
      <c r="E62" s="99"/>
      <c r="F62" s="99"/>
      <c r="G62" s="99"/>
      <c r="H62" s="1179"/>
      <c r="I62" s="99"/>
      <c r="J62" s="99"/>
      <c r="K62" s="99"/>
      <c r="L62" s="1179"/>
      <c r="M62" s="99"/>
      <c r="N62" s="99"/>
      <c r="O62" s="99"/>
      <c r="P62" s="99" t="s">
        <v>16</v>
      </c>
      <c r="Q62" s="99"/>
      <c r="R62" s="99"/>
      <c r="S62" s="99"/>
      <c r="T62" s="99"/>
      <c r="U62" s="99"/>
      <c r="V62" s="1179"/>
      <c r="W62" s="99"/>
      <c r="X62" s="99"/>
      <c r="Y62" s="99"/>
      <c r="Z62" s="99"/>
      <c r="AA62" s="99"/>
      <c r="AB62" s="1179"/>
      <c r="AC62" s="99"/>
      <c r="AD62" s="2999"/>
      <c r="AI62" s="134"/>
      <c r="AJ62" s="19"/>
      <c r="AK62" s="1"/>
      <c r="AL62" s="1"/>
    </row>
    <row r="63" spans="1:40" ht="15">
      <c r="A63" s="99"/>
      <c r="B63" s="99"/>
      <c r="C63" s="99"/>
      <c r="D63" s="1179"/>
      <c r="E63" s="99"/>
      <c r="F63" s="99"/>
      <c r="G63" s="99"/>
      <c r="H63" s="1179"/>
      <c r="I63" s="99"/>
      <c r="J63" s="99"/>
      <c r="K63" s="99"/>
      <c r="L63" s="1179"/>
      <c r="M63" s="99"/>
      <c r="N63" s="99"/>
      <c r="O63" s="99"/>
      <c r="P63" s="99" t="s">
        <v>16</v>
      </c>
      <c r="Q63" s="99"/>
      <c r="R63" s="99"/>
      <c r="S63" s="99"/>
      <c r="T63" s="99"/>
      <c r="U63" s="99"/>
      <c r="V63" s="1179"/>
      <c r="W63" s="99"/>
      <c r="X63" s="99"/>
      <c r="Y63" s="99"/>
      <c r="Z63" s="99"/>
      <c r="AA63" s="99"/>
      <c r="AB63" s="1179"/>
      <c r="AC63" s="99"/>
      <c r="AI63" s="137"/>
      <c r="AJ63" s="19"/>
      <c r="AK63" s="1"/>
      <c r="AL63" s="1"/>
    </row>
    <row r="64" spans="1:40" ht="15.6">
      <c r="A64" s="138"/>
      <c r="B64" s="99"/>
      <c r="C64" s="99"/>
      <c r="D64" s="1179"/>
      <c r="E64" s="99"/>
      <c r="F64" s="99"/>
      <c r="G64" s="99"/>
      <c r="H64" s="1179"/>
      <c r="I64" s="99"/>
      <c r="J64" s="99"/>
      <c r="K64" s="99"/>
      <c r="L64" s="1179"/>
      <c r="M64" s="99"/>
      <c r="N64" s="99"/>
      <c r="O64" s="99"/>
      <c r="P64" s="99"/>
      <c r="Q64" s="99"/>
      <c r="R64" s="99"/>
      <c r="S64" s="99"/>
      <c r="T64" s="99"/>
      <c r="U64" s="99"/>
      <c r="V64" s="1179"/>
      <c r="W64" s="99"/>
      <c r="X64" s="99"/>
      <c r="Y64" s="99"/>
      <c r="Z64" s="99"/>
      <c r="AA64" s="99"/>
      <c r="AB64" s="1179"/>
      <c r="AC64" s="99"/>
      <c r="AI64" s="137"/>
      <c r="AJ64" s="1"/>
      <c r="AK64" s="1"/>
      <c r="AL64" s="1"/>
    </row>
    <row r="65" spans="1:38" ht="15.6">
      <c r="A65" s="138"/>
      <c r="B65" s="99"/>
      <c r="C65" s="99"/>
      <c r="D65" s="1179"/>
      <c r="E65" s="99"/>
      <c r="F65" s="99"/>
      <c r="G65" s="99"/>
      <c r="H65" s="1179"/>
      <c r="I65" s="99"/>
      <c r="J65" s="99"/>
      <c r="K65" s="99"/>
      <c r="L65" s="1179"/>
      <c r="M65" s="99"/>
      <c r="N65" s="99"/>
      <c r="O65" s="99"/>
      <c r="P65" s="99"/>
      <c r="Q65" s="99"/>
      <c r="R65" s="99"/>
      <c r="S65" s="99"/>
      <c r="T65" s="99"/>
      <c r="U65" s="99"/>
      <c r="V65" s="1179"/>
      <c r="W65" s="99"/>
      <c r="X65" s="99"/>
      <c r="Y65" s="99"/>
      <c r="Z65" s="99"/>
      <c r="AA65" s="99"/>
      <c r="AB65" s="1179"/>
      <c r="AC65" s="99"/>
      <c r="AI65" s="137"/>
      <c r="AJ65" s="1" t="s">
        <v>16</v>
      </c>
      <c r="AK65" s="1"/>
      <c r="AL65" s="1"/>
    </row>
    <row r="66" spans="1:38" ht="15.6">
      <c r="A66" s="139"/>
      <c r="B66" s="140"/>
      <c r="C66" s="135"/>
      <c r="D66" s="1182"/>
      <c r="E66" s="35"/>
      <c r="F66" s="35"/>
      <c r="G66" s="35"/>
      <c r="H66" s="1182"/>
      <c r="I66" s="35"/>
      <c r="J66" s="35"/>
      <c r="K66" s="35"/>
      <c r="L66" s="1182"/>
      <c r="M66" s="99"/>
      <c r="N66" s="99"/>
      <c r="O66" s="99"/>
      <c r="P66" s="99"/>
      <c r="Q66" s="99"/>
      <c r="R66" s="99"/>
      <c r="S66" s="99"/>
      <c r="T66" s="99"/>
      <c r="U66" s="99"/>
      <c r="V66" s="1179"/>
      <c r="W66" s="99"/>
      <c r="X66" s="99"/>
      <c r="Y66" s="99"/>
      <c r="Z66" s="99"/>
      <c r="AA66" s="99"/>
      <c r="AB66" s="1179"/>
      <c r="AC66" s="99"/>
      <c r="AI66" s="137"/>
      <c r="AJ66" s="1"/>
      <c r="AK66" s="1"/>
      <c r="AL66" s="1"/>
    </row>
    <row r="67" spans="1:38" ht="15">
      <c r="A67" s="19"/>
      <c r="B67" s="19"/>
      <c r="C67" s="19"/>
      <c r="D67" s="1183"/>
      <c r="E67" s="19"/>
      <c r="F67" s="19"/>
      <c r="G67" s="19"/>
      <c r="H67" s="1183"/>
      <c r="I67" s="19"/>
      <c r="J67" s="19"/>
      <c r="K67" s="19"/>
      <c r="L67" s="1183"/>
      <c r="M67" s="99"/>
      <c r="N67" s="99"/>
      <c r="O67" s="99"/>
      <c r="P67" s="99"/>
      <c r="Q67" s="99"/>
      <c r="R67" s="99"/>
      <c r="S67" s="99"/>
      <c r="T67" s="99"/>
      <c r="U67" s="99"/>
      <c r="V67" s="1179"/>
      <c r="W67" s="99"/>
      <c r="X67" s="99"/>
      <c r="Y67" s="99"/>
      <c r="Z67" s="99"/>
      <c r="AA67" s="99"/>
      <c r="AB67" s="1179"/>
      <c r="AC67" s="99"/>
      <c r="AI67" s="137"/>
      <c r="AJ67" s="1"/>
      <c r="AK67" s="1"/>
      <c r="AL67" s="1"/>
    </row>
    <row r="68" spans="1:38" ht="15">
      <c r="A68" s="19"/>
      <c r="B68" s="19"/>
      <c r="C68" s="19"/>
      <c r="D68" s="1183"/>
      <c r="E68" s="19"/>
      <c r="F68" s="19"/>
      <c r="G68" s="19"/>
      <c r="H68" s="1183"/>
      <c r="I68" s="19"/>
      <c r="J68" s="19"/>
      <c r="K68" s="19"/>
      <c r="L68" s="1183"/>
      <c r="M68" s="99"/>
      <c r="N68" s="99"/>
      <c r="O68" s="99"/>
      <c r="P68" s="99"/>
      <c r="Q68" s="99"/>
      <c r="R68" s="99"/>
      <c r="S68" s="99"/>
      <c r="T68" s="99"/>
      <c r="U68" s="99"/>
      <c r="V68" s="1179"/>
      <c r="W68" s="99"/>
      <c r="X68" s="99"/>
      <c r="Y68" s="99"/>
      <c r="Z68" s="99"/>
      <c r="AA68" s="99"/>
      <c r="AB68" s="1179"/>
      <c r="AC68" s="99"/>
      <c r="AI68" s="137"/>
      <c r="AJ68" s="1"/>
      <c r="AK68" s="1"/>
      <c r="AL68" s="1"/>
    </row>
    <row r="69" spans="1:38" ht="15">
      <c r="A69" s="19"/>
      <c r="B69" s="19"/>
      <c r="C69" s="19"/>
      <c r="D69" s="1183"/>
      <c r="E69" s="19"/>
      <c r="F69" s="19"/>
      <c r="G69" s="19"/>
      <c r="H69" s="1183"/>
      <c r="I69" s="19"/>
      <c r="J69" s="19"/>
      <c r="K69" s="19"/>
      <c r="L69" s="1183"/>
      <c r="M69" s="99"/>
      <c r="N69" s="99"/>
      <c r="O69" s="99"/>
      <c r="P69" s="99"/>
      <c r="Q69" s="99"/>
      <c r="R69" s="99"/>
      <c r="S69" s="99"/>
      <c r="T69" s="99"/>
      <c r="U69" s="99"/>
      <c r="V69" s="1179"/>
      <c r="W69" s="99"/>
      <c r="X69" s="99"/>
      <c r="Y69" s="99"/>
      <c r="Z69" s="99"/>
      <c r="AA69" s="99"/>
      <c r="AB69" s="1179"/>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70"/>
  <sheetViews>
    <sheetView showGridLines="0" showOutlineSymbols="0" zoomScale="70" zoomScaleNormal="60" workbookViewId="0"/>
  </sheetViews>
  <sheetFormatPr defaultColWidth="8.90625" defaultRowHeight="13.2"/>
  <cols>
    <col min="1" max="1" width="1.6328125" style="457" customWidth="1"/>
    <col min="2" max="2" width="40.90625" style="457" customWidth="1"/>
    <col min="3" max="3" width="1.6328125" style="457" customWidth="1"/>
    <col min="4" max="4" width="12.36328125" style="457" customWidth="1"/>
    <col min="5" max="5" width="1.6328125" style="457" customWidth="1"/>
    <col min="6" max="6" width="12" style="457" customWidth="1"/>
    <col min="7" max="7" width="1.6328125" style="457" customWidth="1"/>
    <col min="8" max="8" width="13.1796875" style="457" customWidth="1"/>
    <col min="9" max="9" width="1.6328125" style="457" customWidth="1"/>
    <col min="10" max="10" width="13.1796875" style="457" customWidth="1"/>
    <col min="11" max="11" width="1.6328125" style="457" customWidth="1"/>
    <col min="12" max="12" width="13.1796875" style="457" customWidth="1"/>
    <col min="13" max="13" width="1.6328125" style="457" customWidth="1"/>
    <col min="14" max="14" width="14" style="457" customWidth="1"/>
    <col min="15" max="15" width="1.6328125" style="457" customWidth="1"/>
    <col min="16" max="16" width="11.90625" style="457" customWidth="1"/>
    <col min="17" max="17" width="1.6328125" style="457" customWidth="1"/>
    <col min="18" max="18" width="11.54296875" style="457" customWidth="1"/>
    <col min="19" max="19" width="1.6328125" style="457" customWidth="1"/>
    <col min="20" max="20" width="12.08984375" style="457" customWidth="1"/>
    <col min="21" max="21" width="1.6328125" style="457" customWidth="1"/>
    <col min="22" max="22" width="13" style="457" customWidth="1"/>
    <col min="23" max="23" width="1.6328125" style="457" customWidth="1"/>
    <col min="24" max="24" width="11.1796875" style="457" customWidth="1"/>
    <col min="25" max="25" width="1.6328125" style="457" customWidth="1"/>
    <col min="26" max="26" width="9.08984375" style="457" customWidth="1"/>
    <col min="27" max="27" width="1.36328125" style="457" customWidth="1"/>
    <col min="28" max="28" width="13.1796875" style="457" customWidth="1"/>
    <col min="29" max="30" width="1.6328125" style="457" customWidth="1"/>
    <col min="31" max="31" width="11.81640625" style="457" customWidth="1"/>
    <col min="32" max="33" width="1.453125" style="457" customWidth="1"/>
    <col min="34" max="34" width="12.6328125" style="457" bestFit="1" customWidth="1"/>
    <col min="35" max="35" width="1.54296875" style="457" customWidth="1"/>
    <col min="36" max="36" width="0.90625" style="457" customWidth="1"/>
    <col min="37" max="37" width="14.90625" style="457" customWidth="1"/>
    <col min="38" max="38" width="0.6328125" style="457" customWidth="1"/>
    <col min="39" max="39" width="12.08984375" style="457" customWidth="1"/>
    <col min="40" max="16384" width="8.90625" style="457"/>
  </cols>
  <sheetData>
    <row r="1" spans="1:41" ht="15">
      <c r="B1" s="1184" t="s">
        <v>1217</v>
      </c>
    </row>
    <row r="2" spans="1:41" ht="15.6">
      <c r="A2" s="456"/>
      <c r="M2" s="221"/>
      <c r="N2" s="221"/>
      <c r="O2" s="501"/>
    </row>
    <row r="3" spans="1:41" ht="20.25" customHeight="1">
      <c r="A3" s="456"/>
      <c r="B3" s="461" t="s">
        <v>0</v>
      </c>
      <c r="M3" s="221"/>
      <c r="N3" s="221"/>
      <c r="O3" s="501"/>
      <c r="AG3" s="534"/>
      <c r="AH3" s="534"/>
      <c r="AI3" s="534"/>
      <c r="AJ3" s="534"/>
      <c r="AK3" s="534"/>
      <c r="AL3" s="534"/>
      <c r="AM3" s="741" t="s">
        <v>175</v>
      </c>
    </row>
    <row r="4" spans="1:41" ht="17.399999999999999">
      <c r="A4" s="456"/>
      <c r="B4" s="461" t="s">
        <v>182</v>
      </c>
      <c r="L4" s="221"/>
      <c r="M4" s="221"/>
      <c r="O4" s="501"/>
    </row>
    <row r="5" spans="1:41" ht="17.399999999999999">
      <c r="A5" s="456"/>
      <c r="B5" s="642" t="s">
        <v>1242</v>
      </c>
      <c r="L5" s="501"/>
      <c r="M5" s="501"/>
      <c r="O5" s="501"/>
      <c r="X5" s="535"/>
    </row>
    <row r="6" spans="1:41" ht="21">
      <c r="A6" s="456"/>
      <c r="B6" s="642" t="s">
        <v>1522</v>
      </c>
      <c r="L6" s="501"/>
      <c r="M6" s="501"/>
      <c r="O6" s="501"/>
      <c r="AM6" s="507"/>
    </row>
    <row r="7" spans="1:41" ht="17.399999999999999">
      <c r="A7" s="456"/>
      <c r="B7" s="461" t="s">
        <v>1103</v>
      </c>
      <c r="AJ7" s="353"/>
      <c r="AK7" s="353"/>
      <c r="AL7" s="353"/>
      <c r="AM7" s="353"/>
    </row>
    <row r="8" spans="1:41" ht="13.5" customHeight="1">
      <c r="A8" s="456"/>
      <c r="L8" s="501"/>
      <c r="M8" s="501"/>
      <c r="N8" s="501"/>
      <c r="O8" s="501"/>
      <c r="AD8" s="353"/>
      <c r="AE8" s="501"/>
      <c r="AF8" s="501"/>
      <c r="AG8" s="353"/>
      <c r="AH8" s="353"/>
      <c r="AI8" s="353"/>
      <c r="AJ8" s="501"/>
      <c r="AK8" s="501"/>
      <c r="AL8" s="501"/>
      <c r="AM8" s="501"/>
    </row>
    <row r="9" spans="1:41" ht="20.25" customHeight="1">
      <c r="A9" s="456"/>
      <c r="L9" s="501"/>
      <c r="M9" s="501"/>
      <c r="N9" s="501"/>
      <c r="O9" s="501"/>
      <c r="AD9" s="536"/>
      <c r="AE9" s="537"/>
      <c r="AF9" s="537"/>
      <c r="AG9" s="3574" t="str">
        <f>+'Exhibit G'!AF10</f>
        <v>9 Months Ended December 31</v>
      </c>
      <c r="AH9" s="3575"/>
      <c r="AI9" s="3575"/>
      <c r="AJ9" s="3575"/>
      <c r="AK9" s="3575"/>
      <c r="AL9" s="536"/>
      <c r="AM9" s="536"/>
    </row>
    <row r="10" spans="1:41" ht="21">
      <c r="A10" s="456"/>
      <c r="B10" s="538"/>
      <c r="D10" s="1524"/>
      <c r="E10" s="1524"/>
      <c r="F10" s="1524"/>
      <c r="G10" s="1524"/>
      <c r="H10" s="1524"/>
      <c r="I10" s="1524"/>
      <c r="J10" s="1524"/>
      <c r="K10" s="1524"/>
      <c r="L10" s="1525"/>
      <c r="M10" s="1525"/>
      <c r="N10" s="1525"/>
      <c r="O10" s="1525"/>
      <c r="P10" s="1524"/>
      <c r="Q10" s="1524"/>
      <c r="R10" s="1524"/>
      <c r="S10" s="1524"/>
      <c r="T10" s="1524"/>
      <c r="U10" s="1524"/>
      <c r="V10" s="1524"/>
      <c r="W10" s="1524"/>
      <c r="X10" s="1524"/>
      <c r="Y10" s="1524"/>
      <c r="Z10" s="1524"/>
      <c r="AA10" s="1524"/>
      <c r="AB10" s="1519" t="s">
        <v>1453</v>
      </c>
      <c r="AC10" s="1524"/>
      <c r="AD10" s="1524"/>
      <c r="AE10" s="1524"/>
      <c r="AF10" s="1524"/>
      <c r="AG10" s="1524"/>
      <c r="AH10" s="1524"/>
      <c r="AI10" s="1524"/>
      <c r="AJ10" s="1524"/>
      <c r="AK10" s="1524"/>
      <c r="AL10" s="1524"/>
      <c r="AM10" s="1524"/>
      <c r="AN10" s="1524"/>
      <c r="AO10" s="1524"/>
    </row>
    <row r="11" spans="1:41" ht="13.5" customHeight="1">
      <c r="A11" s="456"/>
      <c r="B11" s="222"/>
      <c r="C11" s="222"/>
      <c r="D11" s="1512">
        <v>2015</v>
      </c>
      <c r="E11" s="221"/>
      <c r="F11" s="221"/>
      <c r="G11" s="221"/>
      <c r="H11" s="221"/>
      <c r="I11" s="221"/>
      <c r="J11" s="221"/>
      <c r="K11" s="221"/>
      <c r="L11" s="221"/>
      <c r="M11" s="221"/>
      <c r="N11" s="221"/>
      <c r="O11" s="221"/>
      <c r="P11" s="221"/>
      <c r="Q11" s="221"/>
      <c r="R11" s="221"/>
      <c r="S11" s="221"/>
      <c r="T11" s="221"/>
      <c r="U11" s="221"/>
      <c r="V11" s="1512">
        <v>2016</v>
      </c>
      <c r="W11" s="221"/>
      <c r="X11" s="221"/>
      <c r="Y11" s="221"/>
      <c r="Z11" s="221"/>
      <c r="AA11" s="221"/>
      <c r="AB11" s="1519" t="s">
        <v>1454</v>
      </c>
      <c r="AC11" s="221"/>
      <c r="AD11" s="221"/>
      <c r="AE11" s="414"/>
      <c r="AF11" s="414"/>
      <c r="AG11" s="414"/>
      <c r="AH11" s="414"/>
      <c r="AI11" s="414"/>
      <c r="AJ11" s="413"/>
      <c r="AK11" s="1519" t="s">
        <v>8</v>
      </c>
      <c r="AL11" s="1519"/>
      <c r="AM11" s="1519" t="s">
        <v>9</v>
      </c>
      <c r="AN11" s="1524"/>
      <c r="AO11" s="1524"/>
    </row>
    <row r="12" spans="1:41" ht="15.6">
      <c r="A12" s="456"/>
      <c r="B12" s="222"/>
      <c r="C12" s="222"/>
      <c r="D12" s="2086" t="s">
        <v>129</v>
      </c>
      <c r="E12" s="221"/>
      <c r="F12" s="2086" t="s">
        <v>130</v>
      </c>
      <c r="G12" s="221"/>
      <c r="H12" s="2086" t="s">
        <v>131</v>
      </c>
      <c r="I12" s="221"/>
      <c r="J12" s="2086" t="s">
        <v>132</v>
      </c>
      <c r="K12" s="221"/>
      <c r="L12" s="2086" t="s">
        <v>133</v>
      </c>
      <c r="M12" s="221"/>
      <c r="N12" s="2086" t="s">
        <v>134</v>
      </c>
      <c r="O12" s="221"/>
      <c r="P12" s="2086" t="s">
        <v>135</v>
      </c>
      <c r="Q12" s="221"/>
      <c r="R12" s="2086" t="s">
        <v>136</v>
      </c>
      <c r="S12" s="221"/>
      <c r="T12" s="2086" t="s">
        <v>137</v>
      </c>
      <c r="U12" s="221"/>
      <c r="V12" s="2086" t="s">
        <v>154</v>
      </c>
      <c r="W12" s="221"/>
      <c r="X12" s="2086" t="s">
        <v>139</v>
      </c>
      <c r="Y12" s="221"/>
      <c r="Z12" s="2086" t="s">
        <v>140</v>
      </c>
      <c r="AA12" s="1526"/>
      <c r="AB12" s="2093" t="s">
        <v>1455</v>
      </c>
      <c r="AC12" s="221"/>
      <c r="AD12" s="221"/>
      <c r="AE12" s="2092">
        <v>2015</v>
      </c>
      <c r="AF12" s="1512"/>
      <c r="AG12" s="1498" t="s">
        <v>16</v>
      </c>
      <c r="AH12" s="2092">
        <v>2014</v>
      </c>
      <c r="AI12" s="1497"/>
      <c r="AJ12" s="413"/>
      <c r="AK12" s="2093" t="s">
        <v>13</v>
      </c>
      <c r="AL12" s="1517"/>
      <c r="AM12" s="2093" t="s">
        <v>14</v>
      </c>
      <c r="AN12" s="1524"/>
      <c r="AO12" s="1524"/>
    </row>
    <row r="13" spans="1:41" s="2091" customFormat="1" ht="15.6">
      <c r="A13" s="2089"/>
      <c r="B13" s="229"/>
      <c r="C13" s="229"/>
      <c r="D13" s="1526"/>
      <c r="E13" s="478"/>
      <c r="F13" s="1526"/>
      <c r="G13" s="478"/>
      <c r="H13" s="1526"/>
      <c r="I13" s="478"/>
      <c r="J13" s="1526"/>
      <c r="K13" s="478"/>
      <c r="L13" s="1526"/>
      <c r="M13" s="478"/>
      <c r="N13" s="1526"/>
      <c r="O13" s="478"/>
      <c r="P13" s="1526"/>
      <c r="Q13" s="478"/>
      <c r="R13" s="1526"/>
      <c r="S13" s="478"/>
      <c r="T13" s="1526"/>
      <c r="U13" s="478"/>
      <c r="V13" s="1526"/>
      <c r="W13" s="478"/>
      <c r="X13" s="1526"/>
      <c r="Y13" s="478"/>
      <c r="Z13" s="1526"/>
      <c r="AA13" s="1526"/>
      <c r="AB13" s="1526"/>
      <c r="AC13" s="478"/>
      <c r="AD13" s="478"/>
      <c r="AE13" s="1497"/>
      <c r="AF13" s="1497"/>
      <c r="AG13" s="1526"/>
      <c r="AH13" s="1497"/>
      <c r="AI13" s="1497"/>
      <c r="AJ13" s="414"/>
      <c r="AK13" s="1517"/>
      <c r="AL13" s="1517"/>
      <c r="AM13" s="1517"/>
      <c r="AN13" s="2090"/>
      <c r="AO13" s="2090"/>
    </row>
    <row r="14" spans="1:41" ht="15" customHeight="1">
      <c r="A14" s="353"/>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88"/>
      <c r="AE14" s="229"/>
      <c r="AF14" s="222"/>
      <c r="AG14" s="539"/>
      <c r="AH14" s="222"/>
      <c r="AI14" s="229"/>
      <c r="AJ14" s="510"/>
      <c r="AK14" s="222"/>
      <c r="AL14" s="222"/>
      <c r="AM14" s="222"/>
    </row>
    <row r="15" spans="1:41" ht="15" customHeight="1">
      <c r="A15" s="353"/>
      <c r="B15" s="490" t="s">
        <v>1359</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9"/>
      <c r="AE15" s="229"/>
      <c r="AF15" s="222"/>
      <c r="AG15" s="539"/>
      <c r="AH15" s="222"/>
      <c r="AI15" s="514"/>
      <c r="AJ15" s="229"/>
      <c r="AK15" s="222"/>
      <c r="AL15" s="222"/>
      <c r="AM15" s="222"/>
    </row>
    <row r="16" spans="1:41" s="1524" customFormat="1" ht="15" customHeight="1">
      <c r="A16" s="2100"/>
      <c r="B16" s="2385" t="s">
        <v>1364</v>
      </c>
      <c r="C16" s="221"/>
      <c r="D16" s="2401">
        <v>3.1</v>
      </c>
      <c r="E16" s="1252"/>
      <c r="F16" s="2401">
        <v>0</v>
      </c>
      <c r="G16" s="1252"/>
      <c r="H16" s="2401">
        <v>431.2</v>
      </c>
      <c r="I16" s="1252"/>
      <c r="J16" s="2401">
        <v>0</v>
      </c>
      <c r="K16" s="1252"/>
      <c r="L16" s="2401">
        <v>0</v>
      </c>
      <c r="M16" s="1252"/>
      <c r="N16" s="2401">
        <v>189.6</v>
      </c>
      <c r="O16" s="1252"/>
      <c r="P16" s="2401">
        <v>0</v>
      </c>
      <c r="Q16" s="1252"/>
      <c r="R16" s="2401">
        <v>25.6</v>
      </c>
      <c r="S16" s="1252"/>
      <c r="T16" s="1254">
        <v>125</v>
      </c>
      <c r="U16" s="1252"/>
      <c r="V16" s="1254"/>
      <c r="W16" s="1252"/>
      <c r="X16" s="1254"/>
      <c r="Y16" s="1252"/>
      <c r="Z16" s="1254"/>
      <c r="AA16" s="1254"/>
      <c r="AB16" s="2401">
        <v>0</v>
      </c>
      <c r="AC16" s="1252"/>
      <c r="AD16" s="2786"/>
      <c r="AE16" s="1975">
        <f>ROUND(SUM(D16:AB16),1)</f>
        <v>774.5</v>
      </c>
      <c r="AF16" s="1254"/>
      <c r="AG16" s="2402"/>
      <c r="AH16" s="1252">
        <v>781.3</v>
      </c>
      <c r="AI16" s="2403"/>
      <c r="AJ16" s="1975"/>
      <c r="AK16" s="1252">
        <f>ROUND(SUM(+AE16-AH16),1)</f>
        <v>-6.8</v>
      </c>
      <c r="AL16" s="1171"/>
      <c r="AM16" s="2808">
        <f>ROUND(IF(AH16=0,1,AK16/ABS(AH16)),3)</f>
        <v>-8.9999999999999993E-3</v>
      </c>
    </row>
    <row r="17" spans="1:39" s="1524" customFormat="1" ht="15" customHeight="1">
      <c r="A17" s="2100"/>
      <c r="B17" s="2385"/>
      <c r="C17" s="221"/>
      <c r="D17" s="2400"/>
      <c r="E17" s="295"/>
      <c r="F17" s="2400"/>
      <c r="G17" s="295"/>
      <c r="H17" s="2401"/>
      <c r="I17" s="295"/>
      <c r="J17" s="2400"/>
      <c r="K17" s="295"/>
      <c r="L17" s="2400"/>
      <c r="M17" s="295"/>
      <c r="N17" s="2400"/>
      <c r="O17" s="295"/>
      <c r="P17" s="295"/>
      <c r="Q17" s="295"/>
      <c r="R17" s="295"/>
      <c r="S17" s="295"/>
      <c r="T17" s="384"/>
      <c r="U17" s="295"/>
      <c r="V17" s="384"/>
      <c r="W17" s="295"/>
      <c r="X17" s="384"/>
      <c r="Y17" s="295"/>
      <c r="Z17" s="384"/>
      <c r="AA17" s="384"/>
      <c r="AB17" s="2400"/>
      <c r="AC17" s="295"/>
      <c r="AD17" s="546"/>
      <c r="AE17" s="424"/>
      <c r="AF17" s="1254"/>
      <c r="AG17" s="2701"/>
      <c r="AH17" s="295"/>
      <c r="AI17" s="2403"/>
      <c r="AJ17" s="1975"/>
      <c r="AK17" s="295"/>
      <c r="AL17" s="1886"/>
      <c r="AM17" s="2698"/>
    </row>
    <row r="18" spans="1:39" s="1524" customFormat="1" ht="6" customHeight="1">
      <c r="A18" s="2100"/>
      <c r="B18" s="2385"/>
      <c r="C18" s="221"/>
      <c r="D18" s="2400"/>
      <c r="E18" s="295"/>
      <c r="F18" s="2400"/>
      <c r="G18" s="295"/>
      <c r="H18" s="2401"/>
      <c r="I18" s="295"/>
      <c r="J18" s="2400"/>
      <c r="K18" s="295"/>
      <c r="L18" s="2400"/>
      <c r="M18" s="295"/>
      <c r="N18" s="2400"/>
      <c r="O18" s="295"/>
      <c r="P18" s="295"/>
      <c r="Q18" s="295"/>
      <c r="R18" s="295"/>
      <c r="S18" s="295"/>
      <c r="T18" s="384"/>
      <c r="U18" s="295"/>
      <c r="V18" s="384"/>
      <c r="W18" s="295"/>
      <c r="X18" s="384"/>
      <c r="Y18" s="295"/>
      <c r="Z18" s="384"/>
      <c r="AA18" s="384"/>
      <c r="AB18" s="2400"/>
      <c r="AC18" s="295"/>
      <c r="AD18" s="546"/>
      <c r="AE18" s="424"/>
      <c r="AF18" s="1254"/>
      <c r="AG18" s="2701"/>
      <c r="AH18" s="295"/>
      <c r="AI18" s="2403"/>
      <c r="AJ18" s="1975"/>
      <c r="AK18" s="295"/>
      <c r="AL18" s="1886"/>
      <c r="AM18" s="2698"/>
    </row>
    <row r="19" spans="1:39" ht="15" customHeight="1">
      <c r="A19" s="353"/>
      <c r="B19" s="2385" t="s">
        <v>1430</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202"/>
      <c r="AC19" s="261"/>
      <c r="AD19" s="252"/>
      <c r="AE19" s="249"/>
      <c r="AF19" s="261"/>
      <c r="AG19" s="1632"/>
      <c r="AH19" s="261"/>
      <c r="AI19" s="515"/>
      <c r="AJ19" s="249"/>
      <c r="AK19" s="1171"/>
      <c r="AL19" s="1882"/>
      <c r="AM19" s="2754"/>
    </row>
    <row r="20" spans="1:39" ht="15" customHeight="1">
      <c r="A20" s="353"/>
      <c r="B20" s="2118" t="s">
        <v>1379</v>
      </c>
      <c r="C20" s="223"/>
      <c r="D20" s="2121">
        <v>91</v>
      </c>
      <c r="E20" s="2122"/>
      <c r="F20" s="2121">
        <v>65.2</v>
      </c>
      <c r="G20" s="2122"/>
      <c r="H20" s="2121">
        <v>86.4</v>
      </c>
      <c r="I20" s="2122"/>
      <c r="J20" s="2122">
        <v>71.3</v>
      </c>
      <c r="K20" s="2122"/>
      <c r="L20" s="1136">
        <v>66.3</v>
      </c>
      <c r="M20" s="2122"/>
      <c r="N20" s="1202">
        <v>97.7</v>
      </c>
      <c r="O20" s="2122"/>
      <c r="P20" s="1202">
        <v>58.8</v>
      </c>
      <c r="Q20" s="2122"/>
      <c r="R20" s="2122">
        <v>67.599999999999994</v>
      </c>
      <c r="S20" s="2122"/>
      <c r="T20" s="2122">
        <v>78.3</v>
      </c>
      <c r="U20" s="2122"/>
      <c r="V20" s="2122"/>
      <c r="W20" s="2122"/>
      <c r="X20" s="2122"/>
      <c r="Y20" s="2122"/>
      <c r="Z20" s="2122"/>
      <c r="AA20" s="2122"/>
      <c r="AB20" s="1202">
        <v>0</v>
      </c>
      <c r="AC20" s="2122"/>
      <c r="AD20" s="2123"/>
      <c r="AE20" s="2124">
        <f>ROUND(SUM(D20:AB20),1)</f>
        <v>682.6</v>
      </c>
      <c r="AF20" s="2125"/>
      <c r="AG20" s="2126"/>
      <c r="AH20" s="2640">
        <v>673.7</v>
      </c>
      <c r="AI20" s="515"/>
      <c r="AJ20" s="249"/>
      <c r="AK20" s="1171">
        <f t="shared" ref="AK20:AK26" si="0">ROUND(SUM(+AE20-AH20),1)</f>
        <v>8.9</v>
      </c>
      <c r="AL20" s="1882"/>
      <c r="AM20" s="2718">
        <f t="shared" ref="AM20:AM27" si="1">ROUND(IF(AH20=0,0,AK20/ABS(AH20)),3)</f>
        <v>1.2999999999999999E-2</v>
      </c>
    </row>
    <row r="21" spans="1:39" ht="15" customHeight="1">
      <c r="A21" s="353"/>
      <c r="B21" s="2118" t="s">
        <v>1380</v>
      </c>
      <c r="C21" s="223"/>
      <c r="D21" s="2121">
        <v>1.5</v>
      </c>
      <c r="E21" s="2122"/>
      <c r="F21" s="2121">
        <v>0.2</v>
      </c>
      <c r="G21" s="2122"/>
      <c r="H21" s="2121">
        <v>10.6</v>
      </c>
      <c r="I21" s="2122"/>
      <c r="J21" s="2122">
        <v>0.1</v>
      </c>
      <c r="K21" s="2122"/>
      <c r="L21" s="1202">
        <v>0</v>
      </c>
      <c r="M21" s="2122"/>
      <c r="N21" s="1202">
        <v>14.7</v>
      </c>
      <c r="O21" s="2122"/>
      <c r="P21" s="1202">
        <v>0.3</v>
      </c>
      <c r="Q21" s="2122"/>
      <c r="R21" s="2122">
        <v>0</v>
      </c>
      <c r="S21" s="2122"/>
      <c r="T21" s="2122">
        <v>11.8</v>
      </c>
      <c r="U21" s="2122"/>
      <c r="V21" s="2122"/>
      <c r="W21" s="2122"/>
      <c r="X21" s="2122"/>
      <c r="Y21" s="2122"/>
      <c r="Z21" s="2122"/>
      <c r="AA21" s="2122"/>
      <c r="AB21" s="1202">
        <v>0</v>
      </c>
      <c r="AC21" s="2122"/>
      <c r="AD21" s="2123"/>
      <c r="AE21" s="2124">
        <f t="shared" ref="AE21:AE26" si="2">ROUND(SUM(D21:AB21),1)</f>
        <v>39.200000000000003</v>
      </c>
      <c r="AF21" s="2125"/>
      <c r="AG21" s="2126"/>
      <c r="AH21" s="2635">
        <v>37.5</v>
      </c>
      <c r="AI21" s="515"/>
      <c r="AJ21" s="249"/>
      <c r="AK21" s="1171">
        <f t="shared" si="0"/>
        <v>1.7</v>
      </c>
      <c r="AL21" s="1882"/>
      <c r="AM21" s="2718">
        <f t="shared" si="1"/>
        <v>4.4999999999999998E-2</v>
      </c>
    </row>
    <row r="22" spans="1:39" ht="15" customHeight="1">
      <c r="A22" s="353"/>
      <c r="B22" s="2118" t="s">
        <v>1381</v>
      </c>
      <c r="C22" s="223"/>
      <c r="D22" s="2121">
        <v>83.2</v>
      </c>
      <c r="E22" s="2122"/>
      <c r="F22" s="2121">
        <v>72.2</v>
      </c>
      <c r="G22" s="2122"/>
      <c r="H22" s="2121">
        <v>89.6</v>
      </c>
      <c r="I22" s="2122"/>
      <c r="J22" s="2122">
        <v>85.7</v>
      </c>
      <c r="K22" s="2122"/>
      <c r="L22" s="1202">
        <v>76.400000000000006</v>
      </c>
      <c r="M22" s="2122"/>
      <c r="N22" s="1202">
        <v>85.1</v>
      </c>
      <c r="O22" s="2122"/>
      <c r="P22" s="1202">
        <v>81.099999999999994</v>
      </c>
      <c r="Q22" s="2122"/>
      <c r="R22" s="2122">
        <v>70.5</v>
      </c>
      <c r="S22" s="2122"/>
      <c r="T22" s="2122">
        <v>83</v>
      </c>
      <c r="U22" s="2122"/>
      <c r="V22" s="2122"/>
      <c r="W22" s="2122"/>
      <c r="X22" s="2122"/>
      <c r="Y22" s="2122"/>
      <c r="Z22" s="2122"/>
      <c r="AA22" s="2122"/>
      <c r="AB22" s="1202">
        <v>0</v>
      </c>
      <c r="AC22" s="2122"/>
      <c r="AD22" s="2123"/>
      <c r="AE22" s="2124">
        <f t="shared" si="2"/>
        <v>726.8</v>
      </c>
      <c r="AF22" s="2125"/>
      <c r="AG22" s="2126"/>
      <c r="AH22" s="2635">
        <v>761.6</v>
      </c>
      <c r="AI22" s="515"/>
      <c r="AJ22" s="249"/>
      <c r="AK22" s="1171">
        <f t="shared" si="0"/>
        <v>-34.799999999999997</v>
      </c>
      <c r="AL22" s="1882"/>
      <c r="AM22" s="2718">
        <f t="shared" si="1"/>
        <v>-4.5999999999999999E-2</v>
      </c>
    </row>
    <row r="23" spans="1:39" ht="15" customHeight="1">
      <c r="A23" s="353"/>
      <c r="B23" s="2118" t="s">
        <v>1382</v>
      </c>
      <c r="C23" s="223"/>
      <c r="D23" s="2121">
        <v>8.6999999999999993</v>
      </c>
      <c r="E23" s="2122"/>
      <c r="F23" s="2121">
        <v>8.6</v>
      </c>
      <c r="G23" s="2122"/>
      <c r="H23" s="2121">
        <v>8.4</v>
      </c>
      <c r="I23" s="2122"/>
      <c r="J23" s="2122">
        <v>9.1</v>
      </c>
      <c r="K23" s="2122"/>
      <c r="L23" s="1136">
        <v>10</v>
      </c>
      <c r="M23" s="2122"/>
      <c r="N23" s="1202">
        <v>7.9</v>
      </c>
      <c r="O23" s="2122"/>
      <c r="P23" s="1202">
        <v>9</v>
      </c>
      <c r="Q23" s="2122"/>
      <c r="R23" s="2122">
        <v>8.5</v>
      </c>
      <c r="S23" s="2122"/>
      <c r="T23" s="2122">
        <v>8.1999999999999993</v>
      </c>
      <c r="U23" s="2122"/>
      <c r="V23" s="2122"/>
      <c r="W23" s="2122"/>
      <c r="X23" s="2122"/>
      <c r="Y23" s="2122"/>
      <c r="Z23" s="2122"/>
      <c r="AA23" s="2122"/>
      <c r="AB23" s="1202">
        <v>0</v>
      </c>
      <c r="AC23" s="2122"/>
      <c r="AD23" s="2123"/>
      <c r="AE23" s="2124">
        <f t="shared" si="2"/>
        <v>78.400000000000006</v>
      </c>
      <c r="AF23" s="2125"/>
      <c r="AG23" s="2126"/>
      <c r="AH23" s="2640">
        <v>78</v>
      </c>
      <c r="AI23" s="515"/>
      <c r="AJ23" s="249"/>
      <c r="AK23" s="1171">
        <f t="shared" si="0"/>
        <v>0.4</v>
      </c>
      <c r="AL23" s="1882"/>
      <c r="AM23" s="2718">
        <f t="shared" si="1"/>
        <v>5.0000000000000001E-3</v>
      </c>
    </row>
    <row r="24" spans="1:39" ht="15" customHeight="1">
      <c r="A24" s="353"/>
      <c r="B24" s="2118" t="s">
        <v>1383</v>
      </c>
      <c r="C24" s="223"/>
      <c r="D24" s="2121">
        <v>0</v>
      </c>
      <c r="E24" s="2122"/>
      <c r="F24" s="2121">
        <v>0</v>
      </c>
      <c r="G24" s="2122"/>
      <c r="H24" s="2121">
        <v>0</v>
      </c>
      <c r="I24" s="2122"/>
      <c r="J24" s="2122">
        <v>0</v>
      </c>
      <c r="K24" s="2122"/>
      <c r="L24" s="1202">
        <v>0</v>
      </c>
      <c r="M24" s="2122"/>
      <c r="N24" s="1202">
        <v>0</v>
      </c>
      <c r="O24" s="2122"/>
      <c r="P24" s="1202">
        <v>0</v>
      </c>
      <c r="Q24" s="2122"/>
      <c r="R24" s="2122">
        <v>0</v>
      </c>
      <c r="S24" s="2122"/>
      <c r="T24" s="2122">
        <v>0</v>
      </c>
      <c r="U24" s="2122"/>
      <c r="V24" s="2122"/>
      <c r="W24" s="2122"/>
      <c r="X24" s="2122"/>
      <c r="Y24" s="2122"/>
      <c r="Z24" s="2122"/>
      <c r="AA24" s="2122"/>
      <c r="AB24" s="1202">
        <v>0</v>
      </c>
      <c r="AC24" s="2122"/>
      <c r="AD24" s="2123"/>
      <c r="AE24" s="2124">
        <f t="shared" si="2"/>
        <v>0</v>
      </c>
      <c r="AF24" s="2125"/>
      <c r="AG24" s="2126"/>
      <c r="AH24" s="2637">
        <v>0</v>
      </c>
      <c r="AI24" s="515"/>
      <c r="AJ24" s="249"/>
      <c r="AK24" s="1171">
        <f t="shared" si="0"/>
        <v>0</v>
      </c>
      <c r="AL24" s="1882"/>
      <c r="AM24" s="2718">
        <f t="shared" si="1"/>
        <v>0</v>
      </c>
    </row>
    <row r="25" spans="1:39" ht="15" customHeight="1">
      <c r="A25" s="353"/>
      <c r="B25" s="2118" t="s">
        <v>1384</v>
      </c>
      <c r="C25" s="223"/>
      <c r="D25" s="2121">
        <v>0</v>
      </c>
      <c r="E25" s="2122"/>
      <c r="F25" s="2121">
        <v>0</v>
      </c>
      <c r="G25" s="2122"/>
      <c r="H25" s="2121">
        <v>0</v>
      </c>
      <c r="I25" s="2122"/>
      <c r="J25" s="2122">
        <v>0</v>
      </c>
      <c r="K25" s="2122"/>
      <c r="L25" s="1202">
        <v>0</v>
      </c>
      <c r="M25" s="2122"/>
      <c r="N25" s="1202">
        <v>0</v>
      </c>
      <c r="O25" s="2122"/>
      <c r="P25" s="1202">
        <v>0</v>
      </c>
      <c r="Q25" s="2122"/>
      <c r="R25" s="2122">
        <v>0</v>
      </c>
      <c r="S25" s="2122"/>
      <c r="T25" s="2122">
        <v>0</v>
      </c>
      <c r="U25" s="2122"/>
      <c r="V25" s="2122"/>
      <c r="W25" s="2122"/>
      <c r="X25" s="2122"/>
      <c r="Y25" s="2122"/>
      <c r="Z25" s="2122"/>
      <c r="AA25" s="2122"/>
      <c r="AB25" s="1202">
        <v>0</v>
      </c>
      <c r="AC25" s="2122"/>
      <c r="AD25" s="2123"/>
      <c r="AE25" s="2124">
        <f t="shared" si="2"/>
        <v>0</v>
      </c>
      <c r="AF25" s="2125"/>
      <c r="AG25" s="2126"/>
      <c r="AH25" s="2637">
        <v>0</v>
      </c>
      <c r="AI25" s="515"/>
      <c r="AJ25" s="249"/>
      <c r="AK25" s="1171">
        <f t="shared" si="0"/>
        <v>0</v>
      </c>
      <c r="AL25" s="1882"/>
      <c r="AM25" s="2718">
        <f t="shared" si="1"/>
        <v>0</v>
      </c>
    </row>
    <row r="26" spans="1:39" ht="15" customHeight="1">
      <c r="A26" s="353"/>
      <c r="B26" s="2120" t="s">
        <v>1385</v>
      </c>
      <c r="C26" s="223"/>
      <c r="D26" s="2121">
        <v>19.2</v>
      </c>
      <c r="E26" s="2122"/>
      <c r="F26" s="2121">
        <v>0.6</v>
      </c>
      <c r="G26" s="2122"/>
      <c r="H26" s="2121">
        <v>0.4</v>
      </c>
      <c r="I26" s="2122"/>
      <c r="J26" s="2122">
        <v>18.100000000000001</v>
      </c>
      <c r="K26" s="2122"/>
      <c r="L26" s="1202">
        <v>0.3</v>
      </c>
      <c r="M26" s="2122"/>
      <c r="N26" s="1202">
        <v>0.1</v>
      </c>
      <c r="O26" s="2122"/>
      <c r="P26" s="1202">
        <v>16.2</v>
      </c>
      <c r="Q26" s="2122"/>
      <c r="R26" s="2122">
        <v>0.5</v>
      </c>
      <c r="S26" s="2122"/>
      <c r="T26" s="2122">
        <v>0.1</v>
      </c>
      <c r="U26" s="2122"/>
      <c r="V26" s="2122"/>
      <c r="W26" s="2122"/>
      <c r="X26" s="2122"/>
      <c r="Y26" s="2122"/>
      <c r="Z26" s="2122"/>
      <c r="AA26" s="2122"/>
      <c r="AB26" s="1202">
        <v>0</v>
      </c>
      <c r="AC26" s="2122"/>
      <c r="AD26" s="2123"/>
      <c r="AE26" s="2124">
        <f t="shared" si="2"/>
        <v>55.5</v>
      </c>
      <c r="AF26" s="2125"/>
      <c r="AG26" s="2126"/>
      <c r="AH26" s="2635">
        <v>62.6</v>
      </c>
      <c r="AI26" s="515"/>
      <c r="AJ26" s="249"/>
      <c r="AK26" s="1171">
        <f t="shared" si="0"/>
        <v>-7.1</v>
      </c>
      <c r="AL26" s="1882"/>
      <c r="AM26" s="2718">
        <f t="shared" si="1"/>
        <v>-0.113</v>
      </c>
    </row>
    <row r="27" spans="1:39" s="1524" customFormat="1" ht="15" customHeight="1">
      <c r="A27" s="2100"/>
      <c r="B27" s="2119" t="s">
        <v>1583</v>
      </c>
      <c r="C27" s="221"/>
      <c r="D27" s="256">
        <f>ROUND(SUM(D20:D26),1)</f>
        <v>203.6</v>
      </c>
      <c r="E27" s="1886"/>
      <c r="F27" s="256">
        <f>ROUND(SUM(F20:F26),1)</f>
        <v>146.80000000000001</v>
      </c>
      <c r="G27" s="1886"/>
      <c r="H27" s="256">
        <f>ROUND(SUM(H20:H26),1)</f>
        <v>195.4</v>
      </c>
      <c r="I27" s="1886"/>
      <c r="J27" s="256">
        <f>ROUND(SUM(J20:J26),1)</f>
        <v>184.3</v>
      </c>
      <c r="K27" s="1886"/>
      <c r="L27" s="256">
        <f>ROUND(SUM(L20:L26),1)</f>
        <v>153</v>
      </c>
      <c r="M27" s="1886"/>
      <c r="N27" s="256">
        <f>ROUND(SUM(N20:N26),1)</f>
        <v>205.5</v>
      </c>
      <c r="O27" s="1886"/>
      <c r="P27" s="256">
        <f>ROUND(SUM(P20:P26),1)</f>
        <v>165.4</v>
      </c>
      <c r="Q27" s="1886"/>
      <c r="R27" s="256">
        <f>ROUND(SUM(R20:R26),1)</f>
        <v>147.1</v>
      </c>
      <c r="S27" s="1886"/>
      <c r="T27" s="256">
        <f>ROUND(SUM(T20:T26),1)</f>
        <v>181.4</v>
      </c>
      <c r="U27" s="1886"/>
      <c r="V27" s="256">
        <f>ROUND(SUM(V20:V26),1)</f>
        <v>0</v>
      </c>
      <c r="W27" s="1886"/>
      <c r="X27" s="256">
        <f>ROUND(SUM(X20:X26),1)</f>
        <v>0</v>
      </c>
      <c r="Y27" s="1886"/>
      <c r="Z27" s="256">
        <f>ROUND(SUM(Z20:Z26),1)</f>
        <v>0</v>
      </c>
      <c r="AA27" s="273"/>
      <c r="AB27" s="256">
        <f>ROUND(SUM(AB20:AB26),1)</f>
        <v>0</v>
      </c>
      <c r="AC27" s="1886"/>
      <c r="AD27" s="745"/>
      <c r="AE27" s="256">
        <f>ROUND(SUM(AE20:AE26),1)</f>
        <v>1582.5</v>
      </c>
      <c r="AF27" s="1886"/>
      <c r="AG27" s="1924"/>
      <c r="AH27" s="256">
        <f>ROUND(SUM(AH20:AH26),1)</f>
        <v>1613.4</v>
      </c>
      <c r="AI27" s="522"/>
      <c r="AJ27" s="273"/>
      <c r="AK27" s="256">
        <f>ROUND(SUM(AK20:AK26),1)</f>
        <v>-30.9</v>
      </c>
      <c r="AL27" s="413"/>
      <c r="AM27" s="2073">
        <f t="shared" si="1"/>
        <v>-1.9E-2</v>
      </c>
    </row>
    <row r="28" spans="1:39" ht="15" customHeight="1">
      <c r="A28" s="353"/>
      <c r="B28" s="2385" t="s">
        <v>1365</v>
      </c>
      <c r="C28" s="223"/>
      <c r="D28" s="261"/>
      <c r="E28" s="261"/>
      <c r="F28" s="261"/>
      <c r="G28" s="261"/>
      <c r="H28" s="261"/>
      <c r="I28" s="261"/>
      <c r="J28" s="261"/>
      <c r="K28" s="261"/>
      <c r="L28" s="261"/>
      <c r="M28" s="261"/>
      <c r="N28" s="261"/>
      <c r="O28" s="261"/>
      <c r="P28" s="261"/>
      <c r="Q28" s="261"/>
      <c r="R28" s="261"/>
      <c r="S28" s="261"/>
      <c r="T28" s="261"/>
      <c r="U28" s="261"/>
      <c r="V28" s="261"/>
      <c r="W28" s="261"/>
      <c r="X28" s="261"/>
      <c r="Y28" s="261"/>
      <c r="Z28" s="261"/>
      <c r="AA28" s="261"/>
      <c r="AB28" s="261"/>
      <c r="AC28" s="261"/>
      <c r="AD28" s="252"/>
      <c r="AE28" s="249"/>
      <c r="AF28" s="261"/>
      <c r="AG28" s="1632"/>
      <c r="AH28" s="261"/>
      <c r="AI28" s="515"/>
      <c r="AJ28" s="249"/>
      <c r="AK28" s="1171"/>
      <c r="AL28" s="1882"/>
      <c r="AM28" s="1882"/>
    </row>
    <row r="29" spans="1:39" ht="15" customHeight="1">
      <c r="A29" s="353"/>
      <c r="B29" s="2118" t="s">
        <v>1387</v>
      </c>
      <c r="C29" s="223"/>
      <c r="D29" s="2121">
        <v>11.5</v>
      </c>
      <c r="E29" s="2122"/>
      <c r="F29" s="2121">
        <v>3.5</v>
      </c>
      <c r="G29" s="2122"/>
      <c r="H29" s="2121">
        <v>136.4</v>
      </c>
      <c r="I29" s="261"/>
      <c r="J29" s="261">
        <v>11.9</v>
      </c>
      <c r="K29" s="261"/>
      <c r="L29" s="1136">
        <v>18</v>
      </c>
      <c r="M29" s="261"/>
      <c r="N29" s="1202">
        <v>102</v>
      </c>
      <c r="O29" s="261"/>
      <c r="P29" s="1202">
        <v>23.4</v>
      </c>
      <c r="Q29" s="261"/>
      <c r="R29" s="2122">
        <v>36.6</v>
      </c>
      <c r="S29" s="261"/>
      <c r="T29" s="261">
        <v>148.4</v>
      </c>
      <c r="U29" s="261"/>
      <c r="V29" s="261"/>
      <c r="W29" s="261"/>
      <c r="X29" s="261"/>
      <c r="Y29" s="261"/>
      <c r="Z29" s="1171"/>
      <c r="AA29" s="261"/>
      <c r="AB29" s="1202">
        <v>0</v>
      </c>
      <c r="AC29" s="261"/>
      <c r="AD29" s="252"/>
      <c r="AE29" s="2124">
        <f>ROUND(SUM(D29:AB29),1)</f>
        <v>491.7</v>
      </c>
      <c r="AF29" s="261"/>
      <c r="AG29" s="1632"/>
      <c r="AH29" s="85">
        <v>314.2</v>
      </c>
      <c r="AI29" s="515"/>
      <c r="AJ29" s="249"/>
      <c r="AK29" s="1171">
        <f>ROUND(SUM(+AE29-AH29),1)</f>
        <v>177.5</v>
      </c>
      <c r="AL29" s="1882"/>
      <c r="AM29" s="2718">
        <f t="shared" ref="AM29:AM34" si="3">ROUND(IF(AH29=0,0,AK29/ABS(AH29)),3)</f>
        <v>0.56499999999999995</v>
      </c>
    </row>
    <row r="30" spans="1:39" ht="15" customHeight="1">
      <c r="A30" s="353"/>
      <c r="B30" s="2118" t="s">
        <v>1388</v>
      </c>
      <c r="C30" s="223"/>
      <c r="D30" s="2121">
        <v>1.7</v>
      </c>
      <c r="E30" s="2122"/>
      <c r="F30" s="2121">
        <v>0.5</v>
      </c>
      <c r="G30" s="2122"/>
      <c r="H30" s="2121">
        <v>28.2</v>
      </c>
      <c r="I30" s="261"/>
      <c r="J30" s="261">
        <v>0.5</v>
      </c>
      <c r="K30" s="261"/>
      <c r="L30" s="1136">
        <v>2.2999999999999998</v>
      </c>
      <c r="M30" s="261"/>
      <c r="N30" s="1202">
        <v>30.1</v>
      </c>
      <c r="O30" s="261"/>
      <c r="P30" s="1202">
        <v>2.7</v>
      </c>
      <c r="Q30" s="261"/>
      <c r="R30" s="2122">
        <v>4.7</v>
      </c>
      <c r="S30" s="261"/>
      <c r="T30" s="261">
        <v>29.6</v>
      </c>
      <c r="U30" s="261"/>
      <c r="V30" s="261"/>
      <c r="W30" s="261"/>
      <c r="X30" s="261"/>
      <c r="Y30" s="261"/>
      <c r="Z30" s="261"/>
      <c r="AA30" s="261"/>
      <c r="AB30" s="1202">
        <v>0</v>
      </c>
      <c r="AC30" s="261"/>
      <c r="AD30" s="252"/>
      <c r="AE30" s="2124">
        <f>ROUND(SUM(D30:AB30),1)</f>
        <v>100.3</v>
      </c>
      <c r="AF30" s="261"/>
      <c r="AG30" s="1632"/>
      <c r="AH30" s="85">
        <v>93</v>
      </c>
      <c r="AI30" s="515"/>
      <c r="AJ30" s="249"/>
      <c r="AK30" s="1171">
        <f>ROUND(SUM(+AE30-AH30),1)</f>
        <v>7.3</v>
      </c>
      <c r="AL30" s="1882"/>
      <c r="AM30" s="2718">
        <f t="shared" si="3"/>
        <v>7.8E-2</v>
      </c>
    </row>
    <row r="31" spans="1:39" ht="15" customHeight="1">
      <c r="A31" s="353"/>
      <c r="B31" s="2118" t="s">
        <v>1389</v>
      </c>
      <c r="C31" s="223"/>
      <c r="D31" s="2121">
        <v>-0.1</v>
      </c>
      <c r="E31" s="2122"/>
      <c r="F31" s="2121">
        <v>-0.1</v>
      </c>
      <c r="G31" s="2122"/>
      <c r="H31" s="2121">
        <v>32.4</v>
      </c>
      <c r="I31" s="261"/>
      <c r="J31" s="261">
        <v>3.4</v>
      </c>
      <c r="K31" s="261"/>
      <c r="L31" s="1136">
        <v>5.4</v>
      </c>
      <c r="M31" s="261"/>
      <c r="N31" s="1202">
        <v>30.7</v>
      </c>
      <c r="O31" s="261"/>
      <c r="P31" s="1202">
        <v>-0.7</v>
      </c>
      <c r="Q31" s="261"/>
      <c r="R31" s="2122">
        <v>0</v>
      </c>
      <c r="S31" s="261"/>
      <c r="T31" s="261">
        <v>28.6</v>
      </c>
      <c r="U31" s="261"/>
      <c r="V31" s="261"/>
      <c r="W31" s="261"/>
      <c r="X31" s="261"/>
      <c r="Y31" s="261"/>
      <c r="Z31" s="261"/>
      <c r="AA31" s="261"/>
      <c r="AB31" s="1202">
        <v>0</v>
      </c>
      <c r="AC31" s="261"/>
      <c r="AD31" s="252"/>
      <c r="AE31" s="2124">
        <f>ROUND(SUM(D31:AB31),1)</f>
        <v>99.6</v>
      </c>
      <c r="AF31" s="261"/>
      <c r="AG31" s="1632"/>
      <c r="AH31" s="2635">
        <v>95.8</v>
      </c>
      <c r="AI31" s="515"/>
      <c r="AJ31" s="249"/>
      <c r="AK31" s="1171">
        <f>ROUND(SUM(+AE31-AH31),1)</f>
        <v>3.8</v>
      </c>
      <c r="AL31" s="1882"/>
      <c r="AM31" s="2718">
        <f t="shared" si="3"/>
        <v>0.04</v>
      </c>
    </row>
    <row r="32" spans="1:39" ht="15" customHeight="1">
      <c r="A32" s="353"/>
      <c r="B32" s="2118" t="s">
        <v>1390</v>
      </c>
      <c r="C32" s="223"/>
      <c r="D32" s="2121">
        <v>6.6</v>
      </c>
      <c r="E32" s="2122"/>
      <c r="F32" s="2121">
        <v>-0.1</v>
      </c>
      <c r="G32" s="2122"/>
      <c r="H32" s="2121">
        <v>3.9</v>
      </c>
      <c r="I32" s="261"/>
      <c r="J32" s="261">
        <v>12.3</v>
      </c>
      <c r="K32" s="261"/>
      <c r="L32" s="1136">
        <v>8.6999999999999993</v>
      </c>
      <c r="M32" s="261"/>
      <c r="N32" s="1202">
        <v>-3</v>
      </c>
      <c r="O32" s="261"/>
      <c r="P32" s="1202">
        <v>2.8</v>
      </c>
      <c r="Q32" s="261"/>
      <c r="R32" s="2122">
        <v>-6.8</v>
      </c>
      <c r="S32" s="261"/>
      <c r="T32" s="261">
        <v>-16</v>
      </c>
      <c r="U32" s="261"/>
      <c r="V32" s="261"/>
      <c r="W32" s="261"/>
      <c r="X32" s="261"/>
      <c r="Y32" s="261"/>
      <c r="Z32" s="261"/>
      <c r="AA32" s="261"/>
      <c r="AB32" s="1202">
        <v>0</v>
      </c>
      <c r="AC32" s="261"/>
      <c r="AD32" s="252"/>
      <c r="AE32" s="2124">
        <f>ROUND(SUM(D32:AB32),1)</f>
        <v>8.4</v>
      </c>
      <c r="AF32" s="261"/>
      <c r="AG32" s="1632"/>
      <c r="AH32" s="85">
        <v>166.7</v>
      </c>
      <c r="AI32" s="515"/>
      <c r="AJ32" s="249"/>
      <c r="AK32" s="1171">
        <f>ROUND(SUM(+AE32-AH32),1)</f>
        <v>-158.30000000000001</v>
      </c>
      <c r="AL32" s="1882"/>
      <c r="AM32" s="2718">
        <f t="shared" si="3"/>
        <v>-0.95</v>
      </c>
    </row>
    <row r="33" spans="1:40" ht="15" customHeight="1">
      <c r="A33" s="353"/>
      <c r="B33" s="2118" t="s">
        <v>1391</v>
      </c>
      <c r="C33" s="223"/>
      <c r="D33" s="2121">
        <v>40.6</v>
      </c>
      <c r="E33" s="2122"/>
      <c r="F33" s="2121">
        <v>39.9</v>
      </c>
      <c r="G33" s="2122"/>
      <c r="H33" s="2121">
        <v>40.799999999999997</v>
      </c>
      <c r="I33" s="261"/>
      <c r="J33" s="319">
        <v>42.9</v>
      </c>
      <c r="K33" s="261"/>
      <c r="L33" s="1136">
        <v>46.3</v>
      </c>
      <c r="M33" s="261"/>
      <c r="N33" s="1202">
        <v>42.2</v>
      </c>
      <c r="O33" s="261"/>
      <c r="P33" s="1202">
        <v>43.1</v>
      </c>
      <c r="Q33" s="261"/>
      <c r="R33" s="2122">
        <v>40.700000000000003</v>
      </c>
      <c r="S33" s="261"/>
      <c r="T33" s="261">
        <v>40.1</v>
      </c>
      <c r="U33" s="261"/>
      <c r="V33" s="261"/>
      <c r="W33" s="261"/>
      <c r="X33" s="261"/>
      <c r="Y33" s="261"/>
      <c r="Z33" s="1171"/>
      <c r="AA33" s="261"/>
      <c r="AB33" s="1202">
        <v>0</v>
      </c>
      <c r="AC33" s="261"/>
      <c r="AD33" s="252"/>
      <c r="AE33" s="2124">
        <f>ROUND(SUM(D33:AB33),1)</f>
        <v>376.6</v>
      </c>
      <c r="AF33" s="261"/>
      <c r="AG33" s="1632"/>
      <c r="AH33" s="85">
        <v>392.3</v>
      </c>
      <c r="AI33" s="515"/>
      <c r="AJ33" s="249"/>
      <c r="AK33" s="1171">
        <f>ROUND(SUM(+AE33-AH33),1)</f>
        <v>-15.7</v>
      </c>
      <c r="AL33" s="1882"/>
      <c r="AM33" s="2718">
        <f t="shared" si="3"/>
        <v>-0.04</v>
      </c>
    </row>
    <row r="34" spans="1:40" s="1524" customFormat="1" ht="15" customHeight="1">
      <c r="A34" s="2100"/>
      <c r="B34" s="2119" t="s">
        <v>1587</v>
      </c>
      <c r="C34" s="221"/>
      <c r="D34" s="256">
        <f>ROUND(SUM(D29:D33),1)</f>
        <v>60.3</v>
      </c>
      <c r="E34" s="1886"/>
      <c r="F34" s="256">
        <f>ROUND(SUM(F29:F33),1)</f>
        <v>43.7</v>
      </c>
      <c r="G34" s="1886"/>
      <c r="H34" s="256">
        <f>ROUND(SUM(H29:H33),1)</f>
        <v>241.7</v>
      </c>
      <c r="I34" s="1886"/>
      <c r="J34" s="256">
        <f>ROUND(SUM(J29:J33),1)</f>
        <v>71</v>
      </c>
      <c r="K34" s="1886"/>
      <c r="L34" s="256">
        <f>ROUND(SUM(L29:L33),1)</f>
        <v>80.7</v>
      </c>
      <c r="M34" s="1886"/>
      <c r="N34" s="256">
        <f>ROUND(SUM(N29:N33),1)</f>
        <v>202</v>
      </c>
      <c r="O34" s="1886"/>
      <c r="P34" s="256">
        <f>ROUND(SUM(P29:P33),1)</f>
        <v>71.3</v>
      </c>
      <c r="Q34" s="1886"/>
      <c r="R34" s="256">
        <f>ROUND(SUM(R29:R33),1)</f>
        <v>75.2</v>
      </c>
      <c r="S34" s="1886"/>
      <c r="T34" s="256">
        <f>ROUND(SUM(T29:T33),1)</f>
        <v>230.7</v>
      </c>
      <c r="U34" s="1886"/>
      <c r="V34" s="256">
        <f>ROUND(SUM(V29:V33),1)</f>
        <v>0</v>
      </c>
      <c r="W34" s="1886"/>
      <c r="X34" s="256">
        <f>ROUND(SUM(X29:X33),1)</f>
        <v>0</v>
      </c>
      <c r="Y34" s="1886"/>
      <c r="Z34" s="256">
        <f>ROUND(SUM(Z29:Z33),1)</f>
        <v>0</v>
      </c>
      <c r="AA34" s="273"/>
      <c r="AB34" s="256">
        <f>ROUND(SUM(AB29:AB33),1)</f>
        <v>0</v>
      </c>
      <c r="AC34" s="1886"/>
      <c r="AD34" s="745"/>
      <c r="AE34" s="256">
        <f>ROUND(SUM(AE29:AE33),1)</f>
        <v>1076.5999999999999</v>
      </c>
      <c r="AF34" s="1886"/>
      <c r="AG34" s="1924"/>
      <c r="AH34" s="256">
        <f>ROUND(SUM(AH29:AH33),1)</f>
        <v>1062</v>
      </c>
      <c r="AI34" s="522"/>
      <c r="AJ34" s="273"/>
      <c r="AK34" s="256">
        <f>ROUND(SUM(AK29:AK33),1)</f>
        <v>14.6</v>
      </c>
      <c r="AL34" s="413"/>
      <c r="AM34" s="2755">
        <f t="shared" si="3"/>
        <v>1.4E-2</v>
      </c>
    </row>
    <row r="35" spans="1:40" ht="15" customHeight="1">
      <c r="A35" s="353"/>
      <c r="B35" s="2385" t="s">
        <v>1366</v>
      </c>
      <c r="C35" s="223"/>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52"/>
      <c r="AE35" s="249"/>
      <c r="AF35" s="261"/>
      <c r="AG35" s="1632"/>
      <c r="AH35" s="261"/>
      <c r="AI35" s="515"/>
      <c r="AJ35" s="249"/>
      <c r="AK35" s="1171"/>
      <c r="AL35" s="1882"/>
      <c r="AM35" s="1882"/>
    </row>
    <row r="36" spans="1:40" ht="15" customHeight="1">
      <c r="A36" s="353"/>
      <c r="B36" s="2120" t="s">
        <v>1399</v>
      </c>
      <c r="C36" s="223"/>
      <c r="D36" s="2121">
        <v>132.6</v>
      </c>
      <c r="E36" s="2122"/>
      <c r="F36" s="2121">
        <v>87.3</v>
      </c>
      <c r="G36" s="2122"/>
      <c r="H36" s="2121">
        <v>95.8</v>
      </c>
      <c r="I36" s="261"/>
      <c r="J36" s="261">
        <v>95.7</v>
      </c>
      <c r="K36" s="261"/>
      <c r="L36" s="1202">
        <v>85.1</v>
      </c>
      <c r="M36" s="261"/>
      <c r="N36" s="1202">
        <v>99.6</v>
      </c>
      <c r="O36" s="261"/>
      <c r="P36" s="1202">
        <v>87.2</v>
      </c>
      <c r="Q36" s="261"/>
      <c r="R36" s="2122">
        <v>94.8</v>
      </c>
      <c r="S36" s="261"/>
      <c r="T36" s="261">
        <v>111.4</v>
      </c>
      <c r="U36" s="261"/>
      <c r="V36" s="261"/>
      <c r="W36" s="261"/>
      <c r="X36" s="261"/>
      <c r="Y36" s="261"/>
      <c r="Z36" s="261"/>
      <c r="AA36" s="261"/>
      <c r="AB36" s="1202">
        <v>0</v>
      </c>
      <c r="AC36" s="261"/>
      <c r="AD36" s="252"/>
      <c r="AE36" s="2124">
        <f>ROUND(SUM(D36:AB36),1)</f>
        <v>889.5</v>
      </c>
      <c r="AF36" s="2129"/>
      <c r="AG36" s="2130"/>
      <c r="AH36" s="2635">
        <v>867.7</v>
      </c>
      <c r="AI36" s="515"/>
      <c r="AJ36" s="249"/>
      <c r="AK36" s="1171">
        <f>ROUND(SUM(+AE36-AH36),1)</f>
        <v>21.8</v>
      </c>
      <c r="AL36" s="1882"/>
      <c r="AM36" s="2817">
        <f>ROUND(IF(AH36=0,0,AK36/ABS(AH36)),3)</f>
        <v>2.5000000000000001E-2</v>
      </c>
    </row>
    <row r="37" spans="1:40" s="1524" customFormat="1" ht="15" customHeight="1">
      <c r="A37" s="2100"/>
      <c r="B37" s="2119" t="s">
        <v>1588</v>
      </c>
      <c r="C37" s="221"/>
      <c r="D37" s="256">
        <f>ROUND(SUM(D36:D36),1)</f>
        <v>132.6</v>
      </c>
      <c r="E37" s="1886"/>
      <c r="F37" s="256">
        <f>ROUND(SUM(F36:F36),1)</f>
        <v>87.3</v>
      </c>
      <c r="G37" s="1886"/>
      <c r="H37" s="256">
        <f>ROUND(SUM(H36:H36),1)</f>
        <v>95.8</v>
      </c>
      <c r="I37" s="1886"/>
      <c r="J37" s="256">
        <f>ROUND(SUM(J36:J36),1)</f>
        <v>95.7</v>
      </c>
      <c r="K37" s="1886"/>
      <c r="L37" s="256">
        <f>ROUND(SUM(L36:L36),1)</f>
        <v>85.1</v>
      </c>
      <c r="M37" s="1886"/>
      <c r="N37" s="256">
        <f>ROUND(SUM(N36:N36),1)</f>
        <v>99.6</v>
      </c>
      <c r="O37" s="1886"/>
      <c r="P37" s="256">
        <f>ROUND(SUM(P36:P36),1)</f>
        <v>87.2</v>
      </c>
      <c r="Q37" s="1886"/>
      <c r="R37" s="256">
        <f>ROUND(SUM(R36:R36),1)</f>
        <v>94.8</v>
      </c>
      <c r="S37" s="1886"/>
      <c r="T37" s="256">
        <f>ROUND(SUM(T36:T36),1)</f>
        <v>111.4</v>
      </c>
      <c r="U37" s="1886"/>
      <c r="V37" s="256">
        <f>ROUND(SUM(V36:V36),1)</f>
        <v>0</v>
      </c>
      <c r="W37" s="1886"/>
      <c r="X37" s="256">
        <f>ROUND(SUM(X36:X36),1)</f>
        <v>0</v>
      </c>
      <c r="Y37" s="1886"/>
      <c r="Z37" s="256">
        <f>ROUND(SUM(Z36:Z36),1)</f>
        <v>0</v>
      </c>
      <c r="AA37" s="273"/>
      <c r="AB37" s="256">
        <f>ROUND(SUM(AB36:AB36),1)</f>
        <v>0</v>
      </c>
      <c r="AC37" s="1886"/>
      <c r="AD37" s="745"/>
      <c r="AE37" s="256">
        <f>ROUND(SUM(AE36:AE36),1)</f>
        <v>889.5</v>
      </c>
      <c r="AF37" s="1886"/>
      <c r="AG37" s="1924"/>
      <c r="AH37" s="256">
        <f>ROUND(SUM(AH36:AH36),1)</f>
        <v>867.7</v>
      </c>
      <c r="AI37" s="522"/>
      <c r="AJ37" s="273"/>
      <c r="AK37" s="256">
        <f>ROUND(SUM(AK36:AK36),1)</f>
        <v>21.8</v>
      </c>
      <c r="AL37" s="413"/>
      <c r="AM37" s="2811">
        <f>ROUND(IF(AH37=0,0,AK37/ABS(AH37)),3)</f>
        <v>2.5000000000000001E-2</v>
      </c>
    </row>
    <row r="38" spans="1:40" ht="15" customHeight="1">
      <c r="A38" s="353"/>
      <c r="B38" s="2119"/>
      <c r="C38" s="223"/>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1632"/>
      <c r="AE38" s="249"/>
      <c r="AF38" s="261"/>
      <c r="AG38" s="1632"/>
      <c r="AH38" s="249"/>
      <c r="AI38" s="515"/>
      <c r="AJ38" s="249"/>
      <c r="AK38" s="1171"/>
      <c r="AL38" s="1882"/>
      <c r="AM38" s="2810"/>
    </row>
    <row r="39" spans="1:40" ht="15" customHeight="1">
      <c r="A39" s="353"/>
      <c r="B39" s="589" t="s">
        <v>1360</v>
      </c>
      <c r="C39" s="223"/>
      <c r="D39" s="2080">
        <f>ROUND(SUM(D16+D27+D34+D37),1)</f>
        <v>399.6</v>
      </c>
      <c r="E39" s="261"/>
      <c r="F39" s="2080">
        <f>ROUND(SUM(F16+F27+F34+F37),1)</f>
        <v>277.8</v>
      </c>
      <c r="G39" s="261"/>
      <c r="H39" s="2080">
        <f>ROUND(SUM(H16+H27+H34+H37),1)</f>
        <v>964.1</v>
      </c>
      <c r="I39" s="261"/>
      <c r="J39" s="2080">
        <f>ROUND(SUM(J16+J27+J34+J37),1)</f>
        <v>351</v>
      </c>
      <c r="K39" s="261"/>
      <c r="L39" s="2080">
        <f>ROUND(SUM(L16+L27+L34+L37),1)</f>
        <v>318.8</v>
      </c>
      <c r="M39" s="261"/>
      <c r="N39" s="2080">
        <f>ROUND(SUM(N16+N27+N34+N37),1)</f>
        <v>696.7</v>
      </c>
      <c r="O39" s="261"/>
      <c r="P39" s="2080">
        <f>ROUND(SUM(P16+P27+P34+P37),1)</f>
        <v>323.89999999999998</v>
      </c>
      <c r="Q39" s="261"/>
      <c r="R39" s="2080">
        <f>ROUND(SUM(R16+R27+R34+R37),1)</f>
        <v>342.7</v>
      </c>
      <c r="S39" s="261"/>
      <c r="T39" s="2080">
        <f>ROUND(SUM(T16+T27+T34+T37),1)</f>
        <v>648.5</v>
      </c>
      <c r="U39" s="261"/>
      <c r="V39" s="2080">
        <f>ROUND(SUM(V16+V27+V34+V37),1)</f>
        <v>0</v>
      </c>
      <c r="W39" s="261"/>
      <c r="X39" s="2080">
        <f>ROUND(SUM(X16+X27+X34+X37),1)</f>
        <v>0</v>
      </c>
      <c r="Y39" s="261"/>
      <c r="Z39" s="2080">
        <f>ROUND(SUM(Z16+Z27+Z34+Z37),1)</f>
        <v>0</v>
      </c>
      <c r="AA39" s="2083"/>
      <c r="AB39" s="2080">
        <f>ROUND(SUM(AB16+AB27+AB34+AB37),1)</f>
        <v>0</v>
      </c>
      <c r="AC39" s="261"/>
      <c r="AD39" s="250"/>
      <c r="AE39" s="2080">
        <f>ROUND(SUM(AE16+AE27+AE34+AE37),1)</f>
        <v>4323.1000000000004</v>
      </c>
      <c r="AF39" s="261"/>
      <c r="AG39" s="250"/>
      <c r="AH39" s="2703">
        <f>ROUND(SUM(AH16+AH27+AH34+AH37),1)</f>
        <v>4324.3999999999996</v>
      </c>
      <c r="AI39" s="519"/>
      <c r="AJ39" s="249"/>
      <c r="AK39" s="2080">
        <f>ROUND(SUM(AK16+AK27+AK34+AK37),1)</f>
        <v>-1.3</v>
      </c>
      <c r="AL39" s="1171"/>
      <c r="AM39" s="2824">
        <f>ROUND(IF(AH39=0,0,AK39/ABS(AH39)),3)</f>
        <v>0</v>
      </c>
      <c r="AN39" s="1600"/>
    </row>
    <row r="40" spans="1:40" ht="15" customHeight="1">
      <c r="A40" s="353"/>
      <c r="B40" s="223"/>
      <c r="C40" s="223"/>
      <c r="D40" s="274"/>
      <c r="E40" s="261"/>
      <c r="F40" s="274"/>
      <c r="G40" s="261"/>
      <c r="H40" s="261"/>
      <c r="I40" s="261"/>
      <c r="J40" s="274"/>
      <c r="K40" s="261"/>
      <c r="L40" s="274"/>
      <c r="M40" s="261"/>
      <c r="N40" s="274"/>
      <c r="O40" s="261"/>
      <c r="P40" s="274"/>
      <c r="Q40" s="261"/>
      <c r="R40" s="274"/>
      <c r="S40" s="261"/>
      <c r="T40" s="274"/>
      <c r="U40" s="261"/>
      <c r="V40" s="274"/>
      <c r="W40" s="261"/>
      <c r="X40" s="274"/>
      <c r="Y40" s="261"/>
      <c r="Z40" s="274"/>
      <c r="AA40" s="274"/>
      <c r="AB40" s="274"/>
      <c r="AC40" s="261"/>
      <c r="AD40" s="250"/>
      <c r="AE40" s="261"/>
      <c r="AF40" s="266"/>
      <c r="AG40" s="252"/>
      <c r="AH40" s="516"/>
      <c r="AI40" s="519"/>
      <c r="AJ40" s="249"/>
      <c r="AK40" s="1171"/>
      <c r="AL40" s="1171"/>
      <c r="AM40" s="2808"/>
      <c r="AN40" s="1600"/>
    </row>
    <row r="41" spans="1:40" ht="15" customHeight="1">
      <c r="A41" s="353"/>
      <c r="B41" s="490" t="s">
        <v>1294</v>
      </c>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1"/>
      <c r="AG41" s="252"/>
      <c r="AH41" s="261"/>
      <c r="AI41" s="515"/>
      <c r="AJ41" s="249"/>
      <c r="AK41" s="1171"/>
      <c r="AL41" s="1171"/>
      <c r="AM41" s="2808"/>
      <c r="AN41" s="1600"/>
    </row>
    <row r="42" spans="1:40" ht="15" customHeight="1">
      <c r="A42" s="353"/>
      <c r="B42" s="1830" t="s">
        <v>1422</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5"/>
      <c r="AJ42" s="249"/>
      <c r="AK42" s="1171"/>
      <c r="AL42" s="1171"/>
      <c r="AM42" s="2808"/>
      <c r="AN42" s="1600"/>
    </row>
    <row r="43" spans="1:40" ht="15" customHeight="1">
      <c r="A43" s="353"/>
      <c r="B43" s="1830" t="s">
        <v>1327</v>
      </c>
      <c r="C43" s="223"/>
      <c r="D43" s="319">
        <v>0.8</v>
      </c>
      <c r="E43" s="319"/>
      <c r="F43" s="319">
        <v>0.6</v>
      </c>
      <c r="G43" s="319"/>
      <c r="H43" s="319">
        <v>0.9</v>
      </c>
      <c r="I43" s="319"/>
      <c r="J43" s="319">
        <v>1.1000000000000001</v>
      </c>
      <c r="K43" s="261"/>
      <c r="L43" s="274">
        <v>0.9</v>
      </c>
      <c r="M43" s="261"/>
      <c r="N43" s="1202">
        <v>1</v>
      </c>
      <c r="O43" s="261"/>
      <c r="P43" s="1202">
        <v>0.8</v>
      </c>
      <c r="Q43" s="261"/>
      <c r="R43" s="2122">
        <v>0.8</v>
      </c>
      <c r="S43" s="261"/>
      <c r="T43" s="274">
        <v>1.2</v>
      </c>
      <c r="U43" s="261"/>
      <c r="V43" s="274"/>
      <c r="W43" s="261"/>
      <c r="X43" s="274"/>
      <c r="Y43" s="261"/>
      <c r="Z43" s="274"/>
      <c r="AA43" s="274"/>
      <c r="AB43" s="1202">
        <v>0</v>
      </c>
      <c r="AC43" s="261"/>
      <c r="AD43" s="250"/>
      <c r="AE43" s="319">
        <f>ROUND(SUM(D43:AB43),1)</f>
        <v>8.1</v>
      </c>
      <c r="AF43" s="261"/>
      <c r="AG43" s="252"/>
      <c r="AH43" s="261">
        <v>8.4</v>
      </c>
      <c r="AI43" s="515"/>
      <c r="AJ43" s="249"/>
      <c r="AK43" s="1171">
        <f t="shared" ref="AK43:AK80" si="4">ROUND(SUM(+AE43-AH43),1)</f>
        <v>-0.3</v>
      </c>
      <c r="AL43" s="1171"/>
      <c r="AM43" s="2808">
        <f>ROUND(IF(AH43=0,0,AK43/ABS(AH43)),3)</f>
        <v>-3.5999999999999997E-2</v>
      </c>
      <c r="AN43" s="1600"/>
    </row>
    <row r="44" spans="1:40" ht="15" customHeight="1">
      <c r="A44" s="353"/>
      <c r="B44" s="1830" t="s">
        <v>1423</v>
      </c>
      <c r="C44" s="223"/>
      <c r="D44" s="274"/>
      <c r="E44" s="261"/>
      <c r="F44" s="274"/>
      <c r="G44" s="261"/>
      <c r="H44" s="261"/>
      <c r="I44" s="261"/>
      <c r="J44" s="274"/>
      <c r="K44" s="261"/>
      <c r="L44" s="274"/>
      <c r="M44" s="261"/>
      <c r="N44" s="274"/>
      <c r="O44" s="261"/>
      <c r="P44" s="274"/>
      <c r="Q44" s="261"/>
      <c r="R44" s="274"/>
      <c r="S44" s="261"/>
      <c r="T44" s="274"/>
      <c r="U44" s="261"/>
      <c r="V44" s="274"/>
      <c r="W44" s="261"/>
      <c r="X44" s="274"/>
      <c r="Y44" s="261"/>
      <c r="Z44" s="274"/>
      <c r="AA44" s="274"/>
      <c r="AB44" s="274"/>
      <c r="AC44" s="261"/>
      <c r="AD44" s="250"/>
      <c r="AE44" s="261"/>
      <c r="AF44" s="261"/>
      <c r="AG44" s="252"/>
      <c r="AH44" s="261"/>
      <c r="AI44" s="515"/>
      <c r="AJ44" s="249"/>
      <c r="AK44" s="1171"/>
      <c r="AL44" s="1171"/>
      <c r="AM44" s="2808"/>
      <c r="AN44" s="1600"/>
    </row>
    <row r="45" spans="1:40" ht="15" customHeight="1">
      <c r="A45" s="353"/>
      <c r="B45" s="1830" t="s">
        <v>1329</v>
      </c>
      <c r="C45" s="223"/>
      <c r="D45" s="274">
        <v>75.7</v>
      </c>
      <c r="E45" s="261"/>
      <c r="F45" s="274">
        <v>11</v>
      </c>
      <c r="G45" s="261"/>
      <c r="H45" s="261">
        <v>101.3</v>
      </c>
      <c r="I45" s="261"/>
      <c r="J45" s="274">
        <v>23.4</v>
      </c>
      <c r="K45" s="261"/>
      <c r="L45" s="274">
        <v>23.9</v>
      </c>
      <c r="M45" s="261"/>
      <c r="N45" s="1202">
        <v>133.6</v>
      </c>
      <c r="O45" s="261"/>
      <c r="P45" s="1202">
        <v>13.7</v>
      </c>
      <c r="Q45" s="261"/>
      <c r="R45" s="2874">
        <v>29.6</v>
      </c>
      <c r="S45" s="261"/>
      <c r="T45" s="274">
        <v>184.1</v>
      </c>
      <c r="U45" s="261"/>
      <c r="V45" s="274"/>
      <c r="W45" s="261"/>
      <c r="X45" s="274"/>
      <c r="Y45" s="261"/>
      <c r="Z45" s="274"/>
      <c r="AA45" s="274"/>
      <c r="AB45" s="1202">
        <v>0</v>
      </c>
      <c r="AC45" s="261"/>
      <c r="AD45" s="250"/>
      <c r="AE45" s="261">
        <f>ROUND(SUM(D45:AB45),1)</f>
        <v>596.29999999999995</v>
      </c>
      <c r="AF45" s="261"/>
      <c r="AG45" s="252"/>
      <c r="AH45" s="261">
        <v>609.6</v>
      </c>
      <c r="AI45" s="515"/>
      <c r="AJ45" s="249"/>
      <c r="AK45" s="1171">
        <f t="shared" si="4"/>
        <v>-13.3</v>
      </c>
      <c r="AL45" s="1171"/>
      <c r="AM45" s="2808">
        <f>ROUND(IF(AH45=0,0,AK45/ABS(AH45)),3)</f>
        <v>-2.1999999999999999E-2</v>
      </c>
      <c r="AN45" s="1600"/>
    </row>
    <row r="46" spans="1:40" ht="15" customHeight="1">
      <c r="A46" s="353"/>
      <c r="B46" s="1830" t="s">
        <v>1330</v>
      </c>
      <c r="C46" s="223"/>
      <c r="D46" s="274">
        <v>371.1</v>
      </c>
      <c r="E46" s="261"/>
      <c r="F46" s="274">
        <v>425.4</v>
      </c>
      <c r="G46" s="261"/>
      <c r="H46" s="261">
        <v>489.3</v>
      </c>
      <c r="I46" s="261"/>
      <c r="J46" s="274">
        <v>470.2</v>
      </c>
      <c r="K46" s="261"/>
      <c r="L46" s="274">
        <v>425.4</v>
      </c>
      <c r="M46" s="261"/>
      <c r="N46" s="1202">
        <v>417.2</v>
      </c>
      <c r="O46" s="261"/>
      <c r="P46" s="1202">
        <v>429.4</v>
      </c>
      <c r="Q46" s="261"/>
      <c r="R46" s="2122">
        <v>447.6</v>
      </c>
      <c r="S46" s="261"/>
      <c r="T46" s="274">
        <v>396.5</v>
      </c>
      <c r="U46" s="261"/>
      <c r="V46" s="274"/>
      <c r="W46" s="261"/>
      <c r="X46" s="274"/>
      <c r="Y46" s="261"/>
      <c r="Z46" s="274"/>
      <c r="AA46" s="274"/>
      <c r="AB46" s="1202">
        <v>0</v>
      </c>
      <c r="AC46" s="261"/>
      <c r="AD46" s="250"/>
      <c r="AE46" s="261">
        <f>ROUND(SUM(D46:AB46),1)</f>
        <v>3872.1</v>
      </c>
      <c r="AF46" s="261"/>
      <c r="AG46" s="252"/>
      <c r="AH46" s="261">
        <v>3719.1</v>
      </c>
      <c r="AI46" s="515"/>
      <c r="AJ46" s="249"/>
      <c r="AK46" s="1171">
        <f t="shared" si="4"/>
        <v>153</v>
      </c>
      <c r="AL46" s="1171"/>
      <c r="AM46" s="2808">
        <f>ROUND(IF(AH46=0,0,AK46/ABS(AH46)),3)</f>
        <v>4.1000000000000002E-2</v>
      </c>
      <c r="AN46" s="1600"/>
    </row>
    <row r="47" spans="1:40" ht="15" customHeight="1">
      <c r="A47" s="353"/>
      <c r="B47" s="1830" t="s">
        <v>1331</v>
      </c>
      <c r="C47" s="223"/>
      <c r="D47" s="274">
        <v>0.7</v>
      </c>
      <c r="E47" s="261"/>
      <c r="F47" s="274">
        <v>-0.1</v>
      </c>
      <c r="G47" s="261"/>
      <c r="H47" s="261">
        <v>0.3</v>
      </c>
      <c r="I47" s="261"/>
      <c r="J47" s="274">
        <v>0</v>
      </c>
      <c r="K47" s="261"/>
      <c r="L47" s="274">
        <v>0.6</v>
      </c>
      <c r="M47" s="261"/>
      <c r="N47" s="1202">
        <v>40.6</v>
      </c>
      <c r="O47" s="261"/>
      <c r="P47" s="1202">
        <v>-10.8</v>
      </c>
      <c r="Q47" s="261"/>
      <c r="R47" s="2122">
        <v>-3.5</v>
      </c>
      <c r="S47" s="261"/>
      <c r="T47" s="274">
        <v>-1.2</v>
      </c>
      <c r="U47" s="261"/>
      <c r="V47" s="274"/>
      <c r="W47" s="261"/>
      <c r="X47" s="274"/>
      <c r="Y47" s="261"/>
      <c r="Z47" s="274"/>
      <c r="AA47" s="274"/>
      <c r="AB47" s="1202">
        <v>0</v>
      </c>
      <c r="AC47" s="261"/>
      <c r="AD47" s="250"/>
      <c r="AE47" s="261">
        <f>ROUND(SUM(D47:AB47),1)</f>
        <v>26.6</v>
      </c>
      <c r="AF47" s="261"/>
      <c r="AG47" s="252"/>
      <c r="AH47" s="261">
        <v>46.2</v>
      </c>
      <c r="AI47" s="515"/>
      <c r="AJ47" s="249"/>
      <c r="AK47" s="1171">
        <f t="shared" si="4"/>
        <v>-19.600000000000001</v>
      </c>
      <c r="AL47" s="1171"/>
      <c r="AM47" s="2808">
        <f>ROUND(IF(AH47=0,0,AK47/ABS(AH47)),3)</f>
        <v>-0.42399999999999999</v>
      </c>
      <c r="AN47" s="1600"/>
    </row>
    <row r="48" spans="1:40" ht="15" customHeight="1">
      <c r="A48" s="353"/>
      <c r="B48" s="1830" t="s">
        <v>1332</v>
      </c>
      <c r="C48" s="223"/>
      <c r="D48" s="274">
        <v>18.2</v>
      </c>
      <c r="E48" s="261"/>
      <c r="F48" s="274">
        <v>19.3</v>
      </c>
      <c r="G48" s="261"/>
      <c r="H48" s="261">
        <v>17.899999999999999</v>
      </c>
      <c r="I48" s="261"/>
      <c r="J48" s="274">
        <v>19</v>
      </c>
      <c r="K48" s="261"/>
      <c r="L48" s="274">
        <v>18.8</v>
      </c>
      <c r="M48" s="261"/>
      <c r="N48" s="1202">
        <v>17.899999999999999</v>
      </c>
      <c r="O48" s="261"/>
      <c r="P48" s="1202">
        <v>18.8</v>
      </c>
      <c r="Q48" s="261"/>
      <c r="R48" s="2122">
        <v>18</v>
      </c>
      <c r="S48" s="261"/>
      <c r="T48" s="274">
        <v>18.2</v>
      </c>
      <c r="U48" s="261"/>
      <c r="V48" s="274"/>
      <c r="W48" s="261"/>
      <c r="X48" s="274"/>
      <c r="Y48" s="261"/>
      <c r="Z48" s="274"/>
      <c r="AA48" s="274"/>
      <c r="AB48" s="1202">
        <v>0</v>
      </c>
      <c r="AC48" s="261"/>
      <c r="AD48" s="250"/>
      <c r="AE48" s="261">
        <f>ROUND(SUM(D48:AB48),1)</f>
        <v>166.1</v>
      </c>
      <c r="AF48" s="261"/>
      <c r="AG48" s="252"/>
      <c r="AH48" s="261">
        <v>154.69999999999999</v>
      </c>
      <c r="AI48" s="515"/>
      <c r="AJ48" s="249"/>
      <c r="AK48" s="1171">
        <f t="shared" si="4"/>
        <v>11.4</v>
      </c>
      <c r="AL48" s="1171"/>
      <c r="AM48" s="2808">
        <f>ROUND(IF(AH48=0,0,AK48/ABS(AH48)),3)</f>
        <v>7.3999999999999996E-2</v>
      </c>
      <c r="AN48" s="1600"/>
    </row>
    <row r="49" spans="1:40" ht="15" customHeight="1">
      <c r="A49" s="353"/>
      <c r="B49" s="1830" t="s">
        <v>1428</v>
      </c>
      <c r="C49" s="223"/>
      <c r="D49" s="274"/>
      <c r="E49" s="261"/>
      <c r="F49" s="274"/>
      <c r="G49" s="261"/>
      <c r="H49" s="261"/>
      <c r="I49" s="261"/>
      <c r="J49" s="274"/>
      <c r="K49" s="261"/>
      <c r="L49" s="274"/>
      <c r="M49" s="261"/>
      <c r="N49" s="274"/>
      <c r="O49" s="261"/>
      <c r="P49" s="274"/>
      <c r="Q49" s="261"/>
      <c r="R49" s="274"/>
      <c r="S49" s="261"/>
      <c r="T49" s="274"/>
      <c r="U49" s="261"/>
      <c r="V49" s="274"/>
      <c r="W49" s="261"/>
      <c r="X49" s="274"/>
      <c r="Y49" s="261"/>
      <c r="Z49" s="274"/>
      <c r="AA49" s="274"/>
      <c r="AB49" s="274"/>
      <c r="AC49" s="261"/>
      <c r="AD49" s="250"/>
      <c r="AE49" s="261"/>
      <c r="AF49" s="261"/>
      <c r="AG49" s="252"/>
      <c r="AH49" s="3529" t="s">
        <v>190</v>
      </c>
      <c r="AI49" s="515"/>
      <c r="AJ49" s="249"/>
      <c r="AK49" s="1171"/>
      <c r="AL49" s="1171"/>
      <c r="AM49" s="2808"/>
      <c r="AN49" s="1600"/>
    </row>
    <row r="50" spans="1:40" ht="15" customHeight="1">
      <c r="A50" s="353"/>
      <c r="B50" s="1830" t="s">
        <v>1674</v>
      </c>
      <c r="C50" s="223"/>
      <c r="D50" s="274">
        <v>0</v>
      </c>
      <c r="E50" s="261"/>
      <c r="F50" s="274">
        <v>0</v>
      </c>
      <c r="G50" s="261"/>
      <c r="H50" s="261">
        <v>0</v>
      </c>
      <c r="I50" s="261"/>
      <c r="J50" s="274">
        <v>0</v>
      </c>
      <c r="K50" s="261"/>
      <c r="L50" s="274">
        <v>0</v>
      </c>
      <c r="M50" s="261"/>
      <c r="N50" s="274">
        <v>0</v>
      </c>
      <c r="O50" s="261"/>
      <c r="P50" s="274">
        <v>0</v>
      </c>
      <c r="Q50" s="261"/>
      <c r="R50" s="274">
        <v>0</v>
      </c>
      <c r="S50" s="261"/>
      <c r="T50" s="274">
        <v>2.1</v>
      </c>
      <c r="U50" s="261"/>
      <c r="V50" s="274"/>
      <c r="W50" s="261"/>
      <c r="X50" s="274"/>
      <c r="Y50" s="261"/>
      <c r="Z50" s="274"/>
      <c r="AA50" s="274"/>
      <c r="AB50" s="274">
        <v>0</v>
      </c>
      <c r="AC50" s="261"/>
      <c r="AD50" s="250"/>
      <c r="AE50" s="261">
        <f>ROUND(SUM(D50:AB50),1)</f>
        <v>2.1</v>
      </c>
      <c r="AF50" s="261"/>
      <c r="AG50" s="252"/>
      <c r="AH50" s="3529">
        <v>0</v>
      </c>
      <c r="AI50" s="515"/>
      <c r="AJ50" s="249"/>
      <c r="AK50" s="3151">
        <f>ROUND(SUM(+AE50-AH50),1)</f>
        <v>2.1</v>
      </c>
      <c r="AL50" s="3151"/>
      <c r="AM50" s="2808">
        <f>ROUND(IF(AH50=0,1,AK50/ABS(AH50)),3)</f>
        <v>1</v>
      </c>
      <c r="AN50" s="1600"/>
    </row>
    <row r="51" spans="1:40" ht="15" customHeight="1">
      <c r="A51" s="353"/>
      <c r="B51" s="1830" t="s">
        <v>1333</v>
      </c>
      <c r="C51" s="223"/>
      <c r="D51" s="274">
        <v>70.5</v>
      </c>
      <c r="E51" s="261"/>
      <c r="F51" s="274">
        <v>53.4</v>
      </c>
      <c r="G51" s="261"/>
      <c r="H51" s="261">
        <v>94.4</v>
      </c>
      <c r="I51" s="261"/>
      <c r="J51" s="274">
        <v>47.7</v>
      </c>
      <c r="K51" s="261"/>
      <c r="L51" s="274">
        <v>76.099999999999994</v>
      </c>
      <c r="M51" s="261"/>
      <c r="N51" s="1202">
        <v>156.9</v>
      </c>
      <c r="O51" s="261"/>
      <c r="P51" s="1202">
        <v>89.4</v>
      </c>
      <c r="Q51" s="261"/>
      <c r="R51" s="2122">
        <v>75.099999999999994</v>
      </c>
      <c r="S51" s="261"/>
      <c r="T51" s="274">
        <v>106.8</v>
      </c>
      <c r="U51" s="261"/>
      <c r="V51" s="274"/>
      <c r="W51" s="261"/>
      <c r="X51" s="274"/>
      <c r="Y51" s="261"/>
      <c r="Z51" s="274"/>
      <c r="AA51" s="274"/>
      <c r="AB51" s="1202">
        <v>0</v>
      </c>
      <c r="AC51" s="261"/>
      <c r="AD51" s="250"/>
      <c r="AE51" s="319">
        <f t="shared" ref="AE51:AE56" si="5">ROUND(SUM(D51:AB51),1)</f>
        <v>770.3</v>
      </c>
      <c r="AF51" s="261"/>
      <c r="AG51" s="252"/>
      <c r="AH51" s="261">
        <v>811.7</v>
      </c>
      <c r="AI51" s="515"/>
      <c r="AJ51" s="249"/>
      <c r="AK51" s="1171">
        <f t="shared" si="4"/>
        <v>-41.4</v>
      </c>
      <c r="AL51" s="1171"/>
      <c r="AM51" s="2808">
        <f t="shared" ref="AM51:AM56" si="6">ROUND(IF(AH51=0,0,AK51/ABS(AH51)),3)</f>
        <v>-5.0999999999999997E-2</v>
      </c>
      <c r="AN51" s="1600"/>
    </row>
    <row r="52" spans="1:40" ht="15" customHeight="1">
      <c r="A52" s="353"/>
      <c r="B52" s="1830" t="s">
        <v>1334</v>
      </c>
      <c r="C52" s="223"/>
      <c r="D52" s="274">
        <v>4.4000000000000004</v>
      </c>
      <c r="E52" s="261"/>
      <c r="F52" s="274">
        <v>4.4000000000000004</v>
      </c>
      <c r="G52" s="261"/>
      <c r="H52" s="261">
        <v>4.2</v>
      </c>
      <c r="I52" s="261"/>
      <c r="J52" s="274">
        <v>4.7</v>
      </c>
      <c r="K52" s="261"/>
      <c r="L52" s="274">
        <v>5.4</v>
      </c>
      <c r="M52" s="261"/>
      <c r="N52" s="1202">
        <v>4.5999999999999996</v>
      </c>
      <c r="O52" s="261"/>
      <c r="P52" s="1202">
        <v>5.2</v>
      </c>
      <c r="Q52" s="261"/>
      <c r="R52" s="2122">
        <v>5.0999999999999996</v>
      </c>
      <c r="S52" s="261"/>
      <c r="T52" s="274">
        <v>4.2</v>
      </c>
      <c r="U52" s="261"/>
      <c r="V52" s="274"/>
      <c r="W52" s="261"/>
      <c r="X52" s="274"/>
      <c r="Y52" s="261"/>
      <c r="Z52" s="274"/>
      <c r="AA52" s="274"/>
      <c r="AB52" s="1202">
        <v>0</v>
      </c>
      <c r="AC52" s="261"/>
      <c r="AD52" s="250"/>
      <c r="AE52" s="261">
        <f t="shared" si="5"/>
        <v>42.2</v>
      </c>
      <c r="AF52" s="261"/>
      <c r="AG52" s="252"/>
      <c r="AH52" s="261">
        <v>16.100000000000001</v>
      </c>
      <c r="AI52" s="515"/>
      <c r="AJ52" s="249"/>
      <c r="AK52" s="1171">
        <f t="shared" si="4"/>
        <v>26.1</v>
      </c>
      <c r="AL52" s="1171"/>
      <c r="AM52" s="2808">
        <f t="shared" si="6"/>
        <v>1.621</v>
      </c>
      <c r="AN52" s="1600"/>
    </row>
    <row r="53" spans="1:40" ht="15" customHeight="1">
      <c r="A53" s="353"/>
      <c r="B53" s="1830" t="s">
        <v>1335</v>
      </c>
      <c r="C53" s="223"/>
      <c r="D53" s="274">
        <v>0</v>
      </c>
      <c r="E53" s="261"/>
      <c r="F53" s="274">
        <v>0.3</v>
      </c>
      <c r="G53" s="261"/>
      <c r="H53" s="261">
        <v>1.8</v>
      </c>
      <c r="I53" s="261"/>
      <c r="J53" s="274">
        <v>1</v>
      </c>
      <c r="K53" s="261"/>
      <c r="L53" s="274">
        <v>1.6</v>
      </c>
      <c r="M53" s="261"/>
      <c r="N53" s="1202">
        <v>0</v>
      </c>
      <c r="O53" s="261"/>
      <c r="P53" s="1202">
        <v>0</v>
      </c>
      <c r="Q53" s="261"/>
      <c r="R53" s="2122">
        <v>0.3</v>
      </c>
      <c r="S53" s="261"/>
      <c r="T53" s="274">
        <v>2.2000000000000002</v>
      </c>
      <c r="U53" s="261"/>
      <c r="V53" s="274"/>
      <c r="W53" s="261"/>
      <c r="X53" s="274"/>
      <c r="Y53" s="261"/>
      <c r="Z53" s="274"/>
      <c r="AA53" s="274"/>
      <c r="AB53" s="1202">
        <v>0</v>
      </c>
      <c r="AC53" s="261"/>
      <c r="AD53" s="250"/>
      <c r="AE53" s="261">
        <f t="shared" si="5"/>
        <v>7.2</v>
      </c>
      <c r="AF53" s="261"/>
      <c r="AG53" s="252"/>
      <c r="AH53" s="261">
        <v>6.8</v>
      </c>
      <c r="AI53" s="515"/>
      <c r="AJ53" s="249"/>
      <c r="AK53" s="1171">
        <f t="shared" si="4"/>
        <v>0.4</v>
      </c>
      <c r="AL53" s="1171"/>
      <c r="AM53" s="2808">
        <f t="shared" si="6"/>
        <v>5.8999999999999997E-2</v>
      </c>
      <c r="AN53" s="1600"/>
    </row>
    <row r="54" spans="1:40" ht="15" customHeight="1">
      <c r="A54" s="353"/>
      <c r="B54" s="1830" t="s">
        <v>1336</v>
      </c>
      <c r="C54" s="223"/>
      <c r="D54" s="274">
        <v>33.5</v>
      </c>
      <c r="E54" s="261"/>
      <c r="F54" s="274">
        <v>50</v>
      </c>
      <c r="G54" s="261"/>
      <c r="H54" s="261">
        <v>44.3</v>
      </c>
      <c r="I54" s="261"/>
      <c r="J54" s="274">
        <v>42.2</v>
      </c>
      <c r="K54" s="261"/>
      <c r="L54" s="274">
        <v>41.2</v>
      </c>
      <c r="M54" s="261"/>
      <c r="N54" s="1202">
        <v>42.8</v>
      </c>
      <c r="O54" s="261"/>
      <c r="P54" s="1202">
        <v>36.9</v>
      </c>
      <c r="Q54" s="261"/>
      <c r="R54" s="2122">
        <v>39.6</v>
      </c>
      <c r="S54" s="261"/>
      <c r="T54" s="274">
        <v>36.9</v>
      </c>
      <c r="U54" s="261"/>
      <c r="V54" s="274"/>
      <c r="W54" s="261"/>
      <c r="X54" s="274"/>
      <c r="Y54" s="261"/>
      <c r="Z54" s="274"/>
      <c r="AA54" s="274"/>
      <c r="AB54" s="1202">
        <v>0</v>
      </c>
      <c r="AC54" s="261"/>
      <c r="AD54" s="250"/>
      <c r="AE54" s="261">
        <f t="shared" si="5"/>
        <v>367.4</v>
      </c>
      <c r="AF54" s="261"/>
      <c r="AG54" s="252"/>
      <c r="AH54" s="261">
        <v>353.9</v>
      </c>
      <c r="AI54" s="515"/>
      <c r="AJ54" s="249"/>
      <c r="AK54" s="1171">
        <f t="shared" si="4"/>
        <v>13.5</v>
      </c>
      <c r="AL54" s="1171"/>
      <c r="AM54" s="2808">
        <f t="shared" si="6"/>
        <v>3.7999999999999999E-2</v>
      </c>
      <c r="AN54" s="1600"/>
    </row>
    <row r="55" spans="1:40" ht="15" customHeight="1">
      <c r="A55" s="353"/>
      <c r="B55" s="1830" t="s">
        <v>1337</v>
      </c>
      <c r="C55" s="223"/>
      <c r="D55" s="274">
        <v>15.4</v>
      </c>
      <c r="E55" s="261"/>
      <c r="F55" s="274">
        <v>24.1</v>
      </c>
      <c r="G55" s="261"/>
      <c r="H55" s="261">
        <v>25.4</v>
      </c>
      <c r="I55" s="261"/>
      <c r="J55" s="274">
        <v>34.299999999999997</v>
      </c>
      <c r="K55" s="261"/>
      <c r="L55" s="274">
        <v>24</v>
      </c>
      <c r="M55" s="261"/>
      <c r="N55" s="1202">
        <v>26.7</v>
      </c>
      <c r="O55" s="261"/>
      <c r="P55" s="1202">
        <v>28.6</v>
      </c>
      <c r="Q55" s="261"/>
      <c r="R55" s="2122">
        <v>13.7</v>
      </c>
      <c r="S55" s="261"/>
      <c r="T55" s="274">
        <v>10.5</v>
      </c>
      <c r="U55" s="261"/>
      <c r="V55" s="274"/>
      <c r="W55" s="261"/>
      <c r="X55" s="274"/>
      <c r="Y55" s="261"/>
      <c r="Z55" s="274"/>
      <c r="AA55" s="274"/>
      <c r="AB55" s="1202">
        <v>0</v>
      </c>
      <c r="AC55" s="261"/>
      <c r="AD55" s="250"/>
      <c r="AE55" s="261">
        <f t="shared" si="5"/>
        <v>202.7</v>
      </c>
      <c r="AF55" s="261"/>
      <c r="AG55" s="252"/>
      <c r="AH55" s="261">
        <v>190.2</v>
      </c>
      <c r="AI55" s="515"/>
      <c r="AJ55" s="249"/>
      <c r="AK55" s="1171">
        <f t="shared" si="4"/>
        <v>12.5</v>
      </c>
      <c r="AL55" s="1171"/>
      <c r="AM55" s="2808">
        <f t="shared" si="6"/>
        <v>6.6000000000000003E-2</v>
      </c>
      <c r="AN55" s="1600"/>
    </row>
    <row r="56" spans="1:40" ht="15" customHeight="1">
      <c r="A56" s="353"/>
      <c r="B56" s="1830" t="s">
        <v>1295</v>
      </c>
      <c r="C56" s="223"/>
      <c r="D56" s="274">
        <v>9.1</v>
      </c>
      <c r="E56" s="261"/>
      <c r="F56" s="274">
        <v>320.8</v>
      </c>
      <c r="G56" s="261"/>
      <c r="H56" s="261">
        <v>25.4</v>
      </c>
      <c r="I56" s="261"/>
      <c r="J56" s="274">
        <v>20.399999999999999</v>
      </c>
      <c r="K56" s="261"/>
      <c r="L56" s="274">
        <v>16</v>
      </c>
      <c r="M56" s="261"/>
      <c r="N56" s="1202">
        <v>2.2999999999999998</v>
      </c>
      <c r="O56" s="261"/>
      <c r="P56" s="1202">
        <v>2.6</v>
      </c>
      <c r="Q56" s="261"/>
      <c r="R56" s="2122">
        <v>6</v>
      </c>
      <c r="S56" s="261"/>
      <c r="T56" s="274">
        <v>21.6</v>
      </c>
      <c r="U56" s="261"/>
      <c r="V56" s="274"/>
      <c r="W56" s="261"/>
      <c r="X56" s="274"/>
      <c r="Y56" s="261"/>
      <c r="Z56" s="274"/>
      <c r="AA56" s="274"/>
      <c r="AB56" s="1202">
        <v>0</v>
      </c>
      <c r="AC56" s="261"/>
      <c r="AD56" s="250"/>
      <c r="AE56" s="261">
        <f t="shared" si="5"/>
        <v>424.2</v>
      </c>
      <c r="AF56" s="261"/>
      <c r="AG56" s="252"/>
      <c r="AH56" s="261">
        <v>33.6</v>
      </c>
      <c r="AI56" s="515"/>
      <c r="AJ56" s="249"/>
      <c r="AK56" s="1171">
        <f t="shared" si="4"/>
        <v>390.6</v>
      </c>
      <c r="AL56" s="1171"/>
      <c r="AM56" s="2880">
        <f t="shared" si="6"/>
        <v>11.625</v>
      </c>
      <c r="AN56" s="1600"/>
    </row>
    <row r="57" spans="1:40" ht="15" customHeight="1">
      <c r="A57" s="353"/>
      <c r="B57" s="1830" t="s">
        <v>1425</v>
      </c>
      <c r="C57" s="223"/>
      <c r="D57" s="274"/>
      <c r="E57" s="261"/>
      <c r="F57" s="274"/>
      <c r="G57" s="261"/>
      <c r="H57" s="261"/>
      <c r="I57" s="261"/>
      <c r="J57" s="274"/>
      <c r="K57" s="261"/>
      <c r="L57" s="274"/>
      <c r="M57" s="261"/>
      <c r="N57" s="274"/>
      <c r="O57" s="261"/>
      <c r="P57" s="274"/>
      <c r="Q57" s="261"/>
      <c r="R57" s="274"/>
      <c r="S57" s="261"/>
      <c r="T57" s="274"/>
      <c r="U57" s="261"/>
      <c r="V57" s="274"/>
      <c r="W57" s="261"/>
      <c r="X57" s="274"/>
      <c r="Y57" s="261"/>
      <c r="Z57" s="274"/>
      <c r="AA57" s="274"/>
      <c r="AB57" s="274"/>
      <c r="AC57" s="261"/>
      <c r="AD57" s="250"/>
      <c r="AE57" s="261"/>
      <c r="AF57" s="261"/>
      <c r="AG57" s="252"/>
      <c r="AH57" s="261"/>
      <c r="AI57" s="515"/>
      <c r="AJ57" s="249"/>
      <c r="AK57" s="1171"/>
      <c r="AL57" s="1171"/>
      <c r="AM57" s="2808"/>
      <c r="AN57" s="1600"/>
    </row>
    <row r="58" spans="1:40" ht="15" customHeight="1">
      <c r="A58" s="353"/>
      <c r="B58" s="1830" t="s">
        <v>1338</v>
      </c>
      <c r="C58" s="223"/>
      <c r="D58" s="274">
        <v>43.5</v>
      </c>
      <c r="E58" s="261"/>
      <c r="F58" s="274">
        <v>0.6</v>
      </c>
      <c r="G58" s="261"/>
      <c r="H58" s="261">
        <v>34.4</v>
      </c>
      <c r="I58" s="261"/>
      <c r="J58" s="320">
        <v>13.9</v>
      </c>
      <c r="K58" s="261"/>
      <c r="L58" s="274">
        <v>1</v>
      </c>
      <c r="M58" s="261"/>
      <c r="N58" s="1202">
        <v>39.6</v>
      </c>
      <c r="O58" s="261"/>
      <c r="P58" s="1202">
        <v>15.9</v>
      </c>
      <c r="Q58" s="261"/>
      <c r="R58" s="2122">
        <v>0.7</v>
      </c>
      <c r="S58" s="261"/>
      <c r="T58" s="274">
        <v>38.200000000000003</v>
      </c>
      <c r="U58" s="261"/>
      <c r="V58" s="274"/>
      <c r="W58" s="261"/>
      <c r="X58" s="274"/>
      <c r="Y58" s="261"/>
      <c r="Z58" s="274"/>
      <c r="AA58" s="274"/>
      <c r="AB58" s="1202">
        <v>0</v>
      </c>
      <c r="AC58" s="261"/>
      <c r="AD58" s="250"/>
      <c r="AE58" s="261">
        <f>ROUND(SUM(D58:AB58),1)</f>
        <v>187.8</v>
      </c>
      <c r="AF58" s="261"/>
      <c r="AG58" s="252"/>
      <c r="AH58" s="261">
        <v>148.4</v>
      </c>
      <c r="AI58" s="515"/>
      <c r="AJ58" s="249"/>
      <c r="AK58" s="1171">
        <f t="shared" si="4"/>
        <v>39.4</v>
      </c>
      <c r="AL58" s="1171"/>
      <c r="AM58" s="2880">
        <f>ROUND(IF(AH58=0,0,AK58/ABS(AH58)),3)</f>
        <v>0.26500000000000001</v>
      </c>
      <c r="AN58" s="1600"/>
    </row>
    <row r="59" spans="1:40" ht="15" customHeight="1">
      <c r="A59" s="353"/>
      <c r="B59" s="1830" t="s">
        <v>1339</v>
      </c>
      <c r="C59" s="223"/>
      <c r="D59" s="274">
        <v>226.4</v>
      </c>
      <c r="E59" s="261"/>
      <c r="F59" s="274">
        <v>191.2</v>
      </c>
      <c r="G59" s="261"/>
      <c r="H59" s="261">
        <v>188.5</v>
      </c>
      <c r="I59" s="261"/>
      <c r="J59" s="274">
        <v>220.2</v>
      </c>
      <c r="K59" s="261"/>
      <c r="L59" s="274">
        <v>170.1</v>
      </c>
      <c r="M59" s="261"/>
      <c r="N59" s="1202">
        <v>227.1</v>
      </c>
      <c r="O59" s="261"/>
      <c r="P59" s="1202">
        <v>178.4</v>
      </c>
      <c r="Q59" s="261"/>
      <c r="R59" s="2122">
        <v>178.7</v>
      </c>
      <c r="S59" s="261"/>
      <c r="T59" s="274">
        <v>228.1</v>
      </c>
      <c r="U59" s="261"/>
      <c r="V59" s="274"/>
      <c r="W59" s="261"/>
      <c r="X59" s="274"/>
      <c r="Y59" s="261"/>
      <c r="Z59" s="274"/>
      <c r="AA59" s="274"/>
      <c r="AB59" s="1202">
        <v>0</v>
      </c>
      <c r="AC59" s="261"/>
      <c r="AD59" s="250"/>
      <c r="AE59" s="261">
        <f>ROUND(SUM(D59:AB59),1)</f>
        <v>1808.7</v>
      </c>
      <c r="AF59" s="261"/>
      <c r="AG59" s="252"/>
      <c r="AH59" s="261">
        <v>1746.3</v>
      </c>
      <c r="AI59" s="515"/>
      <c r="AJ59" s="249"/>
      <c r="AK59" s="1171">
        <f t="shared" si="4"/>
        <v>62.4</v>
      </c>
      <c r="AL59" s="1171"/>
      <c r="AM59" s="2808">
        <f>ROUND(IF(AH59=0,0,AK59/ABS(AH59)),3)</f>
        <v>3.5999999999999997E-2</v>
      </c>
      <c r="AN59" s="1600"/>
    </row>
    <row r="60" spans="1:40" ht="15" customHeight="1">
      <c r="A60" s="353"/>
      <c r="B60" s="1830" t="s">
        <v>1340</v>
      </c>
      <c r="C60" s="223"/>
      <c r="D60" s="274">
        <v>94.5</v>
      </c>
      <c r="E60" s="261"/>
      <c r="F60" s="274">
        <v>73.400000000000006</v>
      </c>
      <c r="G60" s="261"/>
      <c r="H60" s="261">
        <v>72.900000000000006</v>
      </c>
      <c r="I60" s="261"/>
      <c r="J60" s="274">
        <v>90.1</v>
      </c>
      <c r="K60" s="261"/>
      <c r="L60" s="274">
        <v>72.3</v>
      </c>
      <c r="M60" s="261"/>
      <c r="N60" s="1202">
        <v>91</v>
      </c>
      <c r="O60" s="261"/>
      <c r="P60" s="1202">
        <v>68.900000000000006</v>
      </c>
      <c r="Q60" s="261"/>
      <c r="R60" s="2122">
        <v>70</v>
      </c>
      <c r="S60" s="261"/>
      <c r="T60" s="274">
        <v>87.8</v>
      </c>
      <c r="U60" s="261"/>
      <c r="V60" s="274"/>
      <c r="W60" s="261"/>
      <c r="X60" s="274"/>
      <c r="Y60" s="261"/>
      <c r="Z60" s="274"/>
      <c r="AA60" s="274"/>
      <c r="AB60" s="1202">
        <v>0</v>
      </c>
      <c r="AC60" s="261"/>
      <c r="AD60" s="250"/>
      <c r="AE60" s="261">
        <f>ROUND(SUM(D60:AB60),1)</f>
        <v>720.9</v>
      </c>
      <c r="AF60" s="261"/>
      <c r="AG60" s="252"/>
      <c r="AH60" s="261">
        <v>699.5</v>
      </c>
      <c r="AI60" s="515"/>
      <c r="AJ60" s="249"/>
      <c r="AK60" s="1171">
        <f t="shared" si="4"/>
        <v>21.4</v>
      </c>
      <c r="AL60" s="1171"/>
      <c r="AM60" s="2808">
        <f>ROUND(IF(AH60=0,0,AK60/ABS(AH60)),3)</f>
        <v>3.1E-2</v>
      </c>
      <c r="AN60" s="1600"/>
    </row>
    <row r="61" spans="1:40" ht="15" customHeight="1">
      <c r="A61" s="353"/>
      <c r="B61" s="1830" t="s">
        <v>1296</v>
      </c>
      <c r="C61" s="223"/>
      <c r="D61" s="274">
        <v>2.4</v>
      </c>
      <c r="E61" s="261"/>
      <c r="F61" s="274">
        <v>3.8</v>
      </c>
      <c r="G61" s="261"/>
      <c r="H61" s="261">
        <v>1.8</v>
      </c>
      <c r="I61" s="261"/>
      <c r="J61" s="274">
        <v>2.7</v>
      </c>
      <c r="K61" s="261"/>
      <c r="L61" s="274">
        <v>5.7</v>
      </c>
      <c r="M61" s="261"/>
      <c r="N61" s="1202">
        <v>2.4</v>
      </c>
      <c r="O61" s="261"/>
      <c r="P61" s="1202">
        <v>1.7</v>
      </c>
      <c r="Q61" s="261"/>
      <c r="R61" s="2122">
        <v>3</v>
      </c>
      <c r="S61" s="261"/>
      <c r="T61" s="274">
        <v>2.9</v>
      </c>
      <c r="U61" s="261"/>
      <c r="V61" s="274"/>
      <c r="W61" s="261"/>
      <c r="X61" s="274"/>
      <c r="Y61" s="261"/>
      <c r="Z61" s="274"/>
      <c r="AA61" s="274"/>
      <c r="AB61" s="1202">
        <v>0</v>
      </c>
      <c r="AC61" s="261"/>
      <c r="AD61" s="250"/>
      <c r="AE61" s="319">
        <f>ROUND(SUM(D61:AB61),1)</f>
        <v>26.4</v>
      </c>
      <c r="AF61" s="261"/>
      <c r="AG61" s="252"/>
      <c r="AH61" s="261">
        <v>20.100000000000001</v>
      </c>
      <c r="AI61" s="515"/>
      <c r="AJ61" s="249"/>
      <c r="AK61" s="1171">
        <f t="shared" si="4"/>
        <v>6.3</v>
      </c>
      <c r="AL61" s="1171"/>
      <c r="AM61" s="2808">
        <f>ROUND(IF(AH61=0,0,AK61/ABS(AH61)),3)</f>
        <v>0.313</v>
      </c>
      <c r="AN61" s="1600"/>
    </row>
    <row r="62" spans="1:40" ht="15" customHeight="1">
      <c r="A62" s="353"/>
      <c r="B62" s="1830" t="s">
        <v>1426</v>
      </c>
      <c r="C62" s="223"/>
      <c r="D62" s="274"/>
      <c r="E62" s="261"/>
      <c r="F62" s="274"/>
      <c r="G62" s="261"/>
      <c r="H62" s="261"/>
      <c r="I62" s="261"/>
      <c r="J62" s="274"/>
      <c r="K62" s="261"/>
      <c r="L62" s="274"/>
      <c r="M62" s="261"/>
      <c r="N62" s="274"/>
      <c r="O62" s="261"/>
      <c r="P62" s="274"/>
      <c r="Q62" s="261"/>
      <c r="R62" s="274"/>
      <c r="S62" s="261"/>
      <c r="T62" s="274"/>
      <c r="U62" s="261"/>
      <c r="V62" s="274"/>
      <c r="W62" s="261"/>
      <c r="X62" s="274"/>
      <c r="Y62" s="261"/>
      <c r="Z62" s="274"/>
      <c r="AA62" s="274"/>
      <c r="AB62" s="274"/>
      <c r="AC62" s="261"/>
      <c r="AD62" s="250"/>
      <c r="AE62" s="261"/>
      <c r="AF62" s="261"/>
      <c r="AG62" s="252"/>
      <c r="AH62" s="261"/>
      <c r="AI62" s="515"/>
      <c r="AJ62" s="249"/>
      <c r="AK62" s="1171"/>
      <c r="AL62" s="1171"/>
      <c r="AM62" s="2808"/>
      <c r="AN62" s="1600"/>
    </row>
    <row r="63" spans="1:40" ht="15" customHeight="1">
      <c r="A63" s="353"/>
      <c r="B63" s="1830" t="s">
        <v>1341</v>
      </c>
      <c r="C63" s="223"/>
      <c r="D63" s="274">
        <v>0</v>
      </c>
      <c r="E63" s="261"/>
      <c r="F63" s="274">
        <v>0</v>
      </c>
      <c r="G63" s="261"/>
      <c r="H63" s="261">
        <v>0</v>
      </c>
      <c r="I63" s="261"/>
      <c r="J63" s="274">
        <v>0</v>
      </c>
      <c r="K63" s="261"/>
      <c r="L63" s="274">
        <v>0</v>
      </c>
      <c r="M63" s="261"/>
      <c r="N63" s="1202">
        <v>0</v>
      </c>
      <c r="O63" s="261"/>
      <c r="P63" s="1202">
        <v>0</v>
      </c>
      <c r="Q63" s="261"/>
      <c r="R63" s="2122">
        <v>0</v>
      </c>
      <c r="S63" s="261"/>
      <c r="T63" s="274">
        <v>0</v>
      </c>
      <c r="U63" s="261"/>
      <c r="V63" s="274"/>
      <c r="W63" s="261"/>
      <c r="X63" s="274"/>
      <c r="Y63" s="261"/>
      <c r="Z63" s="274"/>
      <c r="AA63" s="274"/>
      <c r="AB63" s="1202">
        <v>0</v>
      </c>
      <c r="AC63" s="261"/>
      <c r="AD63" s="250"/>
      <c r="AE63" s="261">
        <f t="shared" ref="AE63:AE68" si="7">ROUND(SUM(D63:AB63),1)</f>
        <v>0</v>
      </c>
      <c r="AF63" s="261"/>
      <c r="AG63" s="252"/>
      <c r="AH63" s="261">
        <v>0</v>
      </c>
      <c r="AI63" s="515"/>
      <c r="AJ63" s="249"/>
      <c r="AK63" s="1171">
        <f t="shared" si="4"/>
        <v>0</v>
      </c>
      <c r="AL63" s="1171"/>
      <c r="AM63" s="2808">
        <f t="shared" ref="AM63:AM68" si="8">ROUND(IF(AH63=0,0,AK63/ABS(AH63)),3)</f>
        <v>0</v>
      </c>
      <c r="AN63" s="1600"/>
    </row>
    <row r="64" spans="1:40" ht="15" customHeight="1">
      <c r="A64" s="353"/>
      <c r="B64" s="1830" t="s">
        <v>1342</v>
      </c>
      <c r="C64" s="223"/>
      <c r="D64" s="274">
        <v>0</v>
      </c>
      <c r="E64" s="261"/>
      <c r="F64" s="274">
        <v>0</v>
      </c>
      <c r="G64" s="261"/>
      <c r="H64" s="261">
        <v>0</v>
      </c>
      <c r="I64" s="261"/>
      <c r="J64" s="274">
        <v>11</v>
      </c>
      <c r="K64" s="261"/>
      <c r="L64" s="274">
        <v>9.4</v>
      </c>
      <c r="M64" s="261"/>
      <c r="N64" s="1202">
        <v>0</v>
      </c>
      <c r="O64" s="261"/>
      <c r="P64" s="1202">
        <v>0</v>
      </c>
      <c r="Q64" s="261"/>
      <c r="R64" s="2122">
        <v>0</v>
      </c>
      <c r="S64" s="261"/>
      <c r="T64" s="274">
        <v>0</v>
      </c>
      <c r="U64" s="261"/>
      <c r="V64" s="274"/>
      <c r="W64" s="261"/>
      <c r="X64" s="274"/>
      <c r="Y64" s="261"/>
      <c r="Z64" s="274"/>
      <c r="AA64" s="274"/>
      <c r="AB64" s="1202">
        <v>0</v>
      </c>
      <c r="AC64" s="261"/>
      <c r="AD64" s="250"/>
      <c r="AE64" s="261">
        <f t="shared" si="7"/>
        <v>20.399999999999999</v>
      </c>
      <c r="AF64" s="261"/>
      <c r="AG64" s="252"/>
      <c r="AH64" s="261">
        <v>20.399999999999999</v>
      </c>
      <c r="AI64" s="515"/>
      <c r="AJ64" s="249"/>
      <c r="AK64" s="1171">
        <f t="shared" si="4"/>
        <v>0</v>
      </c>
      <c r="AL64" s="1171"/>
      <c r="AM64" s="2808">
        <f t="shared" si="8"/>
        <v>0</v>
      </c>
      <c r="AN64" s="1600"/>
    </row>
    <row r="65" spans="1:40" ht="15" customHeight="1">
      <c r="A65" s="353"/>
      <c r="B65" s="1830" t="s">
        <v>1343</v>
      </c>
      <c r="C65" s="223"/>
      <c r="D65" s="274">
        <v>0.2</v>
      </c>
      <c r="E65" s="261"/>
      <c r="F65" s="274">
        <v>5.7</v>
      </c>
      <c r="G65" s="261"/>
      <c r="H65" s="261">
        <v>1.3</v>
      </c>
      <c r="I65" s="261"/>
      <c r="J65" s="274">
        <v>0</v>
      </c>
      <c r="K65" s="261"/>
      <c r="L65" s="274">
        <v>0</v>
      </c>
      <c r="M65" s="261"/>
      <c r="N65" s="1202">
        <v>0</v>
      </c>
      <c r="O65" s="261"/>
      <c r="P65" s="1202">
        <v>0</v>
      </c>
      <c r="Q65" s="261"/>
      <c r="R65" s="2122">
        <v>0</v>
      </c>
      <c r="S65" s="261"/>
      <c r="T65" s="274">
        <v>0</v>
      </c>
      <c r="U65" s="261"/>
      <c r="V65" s="274"/>
      <c r="W65" s="261"/>
      <c r="X65" s="274"/>
      <c r="Y65" s="261"/>
      <c r="Z65" s="274"/>
      <c r="AA65" s="274"/>
      <c r="AB65" s="1202">
        <v>0</v>
      </c>
      <c r="AC65" s="261"/>
      <c r="AD65" s="250"/>
      <c r="AE65" s="261">
        <f t="shared" si="7"/>
        <v>7.2</v>
      </c>
      <c r="AF65" s="261"/>
      <c r="AG65" s="252"/>
      <c r="AH65" s="261">
        <v>7.2</v>
      </c>
      <c r="AI65" s="515"/>
      <c r="AJ65" s="249"/>
      <c r="AK65" s="1171">
        <f t="shared" si="4"/>
        <v>0</v>
      </c>
      <c r="AL65" s="1171"/>
      <c r="AM65" s="2808">
        <f t="shared" si="8"/>
        <v>0</v>
      </c>
      <c r="AN65" s="1600"/>
    </row>
    <row r="66" spans="1:40" ht="15" customHeight="1">
      <c r="A66" s="353"/>
      <c r="B66" s="1830" t="s">
        <v>1344</v>
      </c>
      <c r="C66" s="223"/>
      <c r="D66" s="274">
        <v>0.2</v>
      </c>
      <c r="E66" s="261"/>
      <c r="F66" s="274">
        <v>0.7</v>
      </c>
      <c r="G66" s="261"/>
      <c r="H66" s="261">
        <v>0</v>
      </c>
      <c r="I66" s="261"/>
      <c r="J66" s="274">
        <v>0.3</v>
      </c>
      <c r="K66" s="261"/>
      <c r="L66" s="274">
        <v>0.8</v>
      </c>
      <c r="M66" s="261"/>
      <c r="N66" s="1202">
        <v>0.1</v>
      </c>
      <c r="O66" s="261"/>
      <c r="P66" s="1202">
        <v>0.3</v>
      </c>
      <c r="Q66" s="261"/>
      <c r="R66" s="2122">
        <v>3.6</v>
      </c>
      <c r="S66" s="261"/>
      <c r="T66" s="274">
        <v>0</v>
      </c>
      <c r="U66" s="261"/>
      <c r="V66" s="274"/>
      <c r="W66" s="261"/>
      <c r="X66" s="274"/>
      <c r="Y66" s="261"/>
      <c r="Z66" s="274"/>
      <c r="AA66" s="274"/>
      <c r="AB66" s="1202">
        <v>0</v>
      </c>
      <c r="AC66" s="261"/>
      <c r="AD66" s="250"/>
      <c r="AE66" s="261">
        <f t="shared" si="7"/>
        <v>6</v>
      </c>
      <c r="AF66" s="261"/>
      <c r="AG66" s="252"/>
      <c r="AH66" s="261">
        <v>7</v>
      </c>
      <c r="AI66" s="515"/>
      <c r="AJ66" s="249"/>
      <c r="AK66" s="1171">
        <f t="shared" si="4"/>
        <v>-1</v>
      </c>
      <c r="AL66" s="1171"/>
      <c r="AM66" s="2808">
        <f t="shared" si="8"/>
        <v>-0.14299999999999999</v>
      </c>
      <c r="AN66" s="1600"/>
    </row>
    <row r="67" spans="1:40" ht="15" customHeight="1">
      <c r="A67" s="353"/>
      <c r="B67" s="1830" t="s">
        <v>1314</v>
      </c>
      <c r="C67" s="223"/>
      <c r="D67" s="274">
        <v>39.700000000000003</v>
      </c>
      <c r="E67" s="261"/>
      <c r="F67" s="274">
        <v>7.9</v>
      </c>
      <c r="G67" s="261"/>
      <c r="H67" s="261">
        <v>7.9</v>
      </c>
      <c r="I67" s="261"/>
      <c r="J67" s="274">
        <v>5.4</v>
      </c>
      <c r="K67" s="261"/>
      <c r="L67" s="274">
        <v>3.4</v>
      </c>
      <c r="M67" s="261"/>
      <c r="N67" s="1202">
        <v>8.5</v>
      </c>
      <c r="O67" s="261"/>
      <c r="P67" s="1202">
        <v>7.5</v>
      </c>
      <c r="Q67" s="261"/>
      <c r="R67" s="2122">
        <v>3.2</v>
      </c>
      <c r="S67" s="261"/>
      <c r="T67" s="274">
        <v>7.8</v>
      </c>
      <c r="U67" s="261"/>
      <c r="V67" s="274"/>
      <c r="W67" s="261"/>
      <c r="X67" s="274"/>
      <c r="Y67" s="261"/>
      <c r="Z67" s="274"/>
      <c r="AA67" s="274"/>
      <c r="AB67" s="1202">
        <v>0</v>
      </c>
      <c r="AC67" s="261"/>
      <c r="AD67" s="250"/>
      <c r="AE67" s="319">
        <f>ROUND(SUM(D67:AB67),1)</f>
        <v>91.3</v>
      </c>
      <c r="AF67" s="261"/>
      <c r="AG67" s="252"/>
      <c r="AH67" s="261">
        <v>83.8</v>
      </c>
      <c r="AI67" s="515"/>
      <c r="AJ67" s="249"/>
      <c r="AK67" s="1171">
        <f t="shared" si="4"/>
        <v>7.5</v>
      </c>
      <c r="AL67" s="1171"/>
      <c r="AM67" s="2808">
        <f t="shared" si="8"/>
        <v>8.8999999999999996E-2</v>
      </c>
      <c r="AN67" s="1600"/>
    </row>
    <row r="68" spans="1:40" ht="15" customHeight="1">
      <c r="A68" s="353"/>
      <c r="B68" s="1830" t="s">
        <v>1315</v>
      </c>
      <c r="C68" s="223"/>
      <c r="D68" s="274">
        <v>33.799999999999997</v>
      </c>
      <c r="E68" s="261"/>
      <c r="F68" s="274">
        <v>20.9</v>
      </c>
      <c r="G68" s="261"/>
      <c r="H68" s="261">
        <v>21.8</v>
      </c>
      <c r="I68" s="261"/>
      <c r="J68" s="274">
        <v>9.6999999999999993</v>
      </c>
      <c r="K68" s="261"/>
      <c r="L68" s="274">
        <v>27.2</v>
      </c>
      <c r="M68" s="261"/>
      <c r="N68" s="1202">
        <v>3.1</v>
      </c>
      <c r="O68" s="261"/>
      <c r="P68" s="1202">
        <v>0.7</v>
      </c>
      <c r="Q68" s="261"/>
      <c r="R68" s="2122">
        <v>-15.4</v>
      </c>
      <c r="S68" s="261"/>
      <c r="T68" s="274">
        <v>112.4</v>
      </c>
      <c r="U68" s="261"/>
      <c r="V68" s="274"/>
      <c r="W68" s="261"/>
      <c r="X68" s="274"/>
      <c r="Y68" s="261"/>
      <c r="Z68" s="274"/>
      <c r="AA68" s="274"/>
      <c r="AB68" s="1202">
        <v>0</v>
      </c>
      <c r="AC68" s="261"/>
      <c r="AD68" s="250"/>
      <c r="AE68" s="261">
        <f t="shared" si="7"/>
        <v>214.2</v>
      </c>
      <c r="AF68" s="261"/>
      <c r="AG68" s="252"/>
      <c r="AH68" s="261">
        <v>219.4</v>
      </c>
      <c r="AI68" s="515"/>
      <c r="AJ68" s="249"/>
      <c r="AK68" s="1171">
        <f t="shared" si="4"/>
        <v>-5.2</v>
      </c>
      <c r="AL68" s="1171"/>
      <c r="AM68" s="2825">
        <f t="shared" si="8"/>
        <v>-2.4E-2</v>
      </c>
      <c r="AN68" s="1600"/>
    </row>
    <row r="69" spans="1:40" ht="15" customHeight="1">
      <c r="A69" s="353"/>
      <c r="B69" s="1830" t="s">
        <v>1427</v>
      </c>
      <c r="C69" s="223"/>
      <c r="D69" s="274"/>
      <c r="E69" s="261"/>
      <c r="F69" s="274"/>
      <c r="G69" s="261"/>
      <c r="H69" s="261"/>
      <c r="I69" s="261"/>
      <c r="J69" s="274"/>
      <c r="K69" s="261"/>
      <c r="L69" s="274"/>
      <c r="M69" s="261"/>
      <c r="N69" s="274"/>
      <c r="O69" s="261"/>
      <c r="P69" s="274"/>
      <c r="Q69" s="261"/>
      <c r="R69" s="274"/>
      <c r="S69" s="261"/>
      <c r="T69" s="274"/>
      <c r="U69" s="261"/>
      <c r="V69" s="274"/>
      <c r="W69" s="261"/>
      <c r="X69" s="274"/>
      <c r="Y69" s="261"/>
      <c r="Z69" s="274"/>
      <c r="AA69" s="274"/>
      <c r="AB69" s="274"/>
      <c r="AC69" s="261"/>
      <c r="AD69" s="250"/>
      <c r="AE69" s="261"/>
      <c r="AF69" s="261"/>
      <c r="AG69" s="252"/>
      <c r="AH69" s="261"/>
      <c r="AI69" s="515"/>
      <c r="AJ69" s="249"/>
      <c r="AK69" s="1171"/>
      <c r="AL69" s="1171"/>
      <c r="AM69" s="2808"/>
      <c r="AN69" s="1600"/>
    </row>
    <row r="70" spans="1:40" ht="15" customHeight="1">
      <c r="A70" s="353"/>
      <c r="B70" s="1830" t="s">
        <v>1345</v>
      </c>
      <c r="C70" s="223"/>
      <c r="D70" s="274">
        <v>0.6</v>
      </c>
      <c r="E70" s="261"/>
      <c r="F70" s="274">
        <v>16.100000000000001</v>
      </c>
      <c r="G70" s="261"/>
      <c r="H70" s="261">
        <v>8.4</v>
      </c>
      <c r="I70" s="261"/>
      <c r="J70" s="274">
        <v>9.4</v>
      </c>
      <c r="K70" s="261"/>
      <c r="L70" s="274">
        <v>9.3000000000000007</v>
      </c>
      <c r="M70" s="261"/>
      <c r="N70" s="1202">
        <v>8.6999999999999993</v>
      </c>
      <c r="O70" s="261"/>
      <c r="P70" s="1202">
        <v>8.6999999999999993</v>
      </c>
      <c r="Q70" s="261"/>
      <c r="R70" s="2122">
        <v>8.6</v>
      </c>
      <c r="S70" s="261"/>
      <c r="T70" s="274">
        <v>9</v>
      </c>
      <c r="U70" s="261"/>
      <c r="V70" s="274"/>
      <c r="W70" s="261"/>
      <c r="X70" s="274"/>
      <c r="Y70" s="261"/>
      <c r="Z70" s="274"/>
      <c r="AA70" s="274"/>
      <c r="AB70" s="1202">
        <v>0</v>
      </c>
      <c r="AC70" s="261"/>
      <c r="AD70" s="250"/>
      <c r="AE70" s="261">
        <f t="shared" ref="AE70:AE80" si="9">ROUND(SUM(D70:AB70),1)</f>
        <v>78.8</v>
      </c>
      <c r="AF70" s="261"/>
      <c r="AG70" s="252"/>
      <c r="AH70" s="261">
        <v>71.2</v>
      </c>
      <c r="AI70" s="515"/>
      <c r="AJ70" s="249"/>
      <c r="AK70" s="1171">
        <f t="shared" si="4"/>
        <v>7.6</v>
      </c>
      <c r="AL70" s="1171"/>
      <c r="AM70" s="2808">
        <f>ROUND(IF(AH70=0,0,AK70/ABS(AH70)),3)</f>
        <v>0.107</v>
      </c>
      <c r="AN70" s="1600"/>
    </row>
    <row r="71" spans="1:40" ht="15" customHeight="1">
      <c r="A71" s="353"/>
      <c r="B71" s="1830" t="s">
        <v>1346</v>
      </c>
      <c r="C71" s="223"/>
      <c r="D71" s="274">
        <v>0.1</v>
      </c>
      <c r="E71" s="261"/>
      <c r="F71" s="274">
        <v>0.1</v>
      </c>
      <c r="G71" s="261"/>
      <c r="H71" s="261">
        <v>0.4</v>
      </c>
      <c r="I71" s="261"/>
      <c r="J71" s="274">
        <v>0.1</v>
      </c>
      <c r="K71" s="261"/>
      <c r="L71" s="274">
        <v>0.1</v>
      </c>
      <c r="M71" s="261"/>
      <c r="N71" s="1202">
        <v>0.4</v>
      </c>
      <c r="O71" s="261"/>
      <c r="P71" s="1202">
        <v>1</v>
      </c>
      <c r="Q71" s="261"/>
      <c r="R71" s="2122">
        <v>1.5</v>
      </c>
      <c r="S71" s="261"/>
      <c r="T71" s="274">
        <v>3.7</v>
      </c>
      <c r="U71" s="261"/>
      <c r="V71" s="274"/>
      <c r="W71" s="261"/>
      <c r="X71" s="274"/>
      <c r="Y71" s="261"/>
      <c r="Z71" s="274"/>
      <c r="AA71" s="274"/>
      <c r="AB71" s="1202">
        <v>0</v>
      </c>
      <c r="AC71" s="261"/>
      <c r="AD71" s="250"/>
      <c r="AE71" s="261">
        <f t="shared" si="9"/>
        <v>7.4</v>
      </c>
      <c r="AF71" s="261"/>
      <c r="AG71" s="252"/>
      <c r="AH71" s="261">
        <v>7</v>
      </c>
      <c r="AI71" s="515"/>
      <c r="AJ71" s="249"/>
      <c r="AK71" s="1171">
        <f t="shared" si="4"/>
        <v>0.4</v>
      </c>
      <c r="AL71" s="1171"/>
      <c r="AM71" s="2808">
        <f>ROUND(IF(AH71=0,0,AK71/ABS(AH71)),3)</f>
        <v>5.7000000000000002E-2</v>
      </c>
      <c r="AN71" s="1600"/>
    </row>
    <row r="72" spans="1:40" ht="15" customHeight="1">
      <c r="A72" s="353"/>
      <c r="B72" s="1830" t="s">
        <v>1347</v>
      </c>
      <c r="C72" s="223"/>
      <c r="D72" s="274">
        <v>0.9</v>
      </c>
      <c r="E72" s="261"/>
      <c r="F72" s="274">
        <v>0.7</v>
      </c>
      <c r="G72" s="261"/>
      <c r="H72" s="261">
        <v>0.2</v>
      </c>
      <c r="I72" s="261"/>
      <c r="J72" s="274">
        <v>0.3</v>
      </c>
      <c r="K72" s="261"/>
      <c r="L72" s="274">
        <v>0.2</v>
      </c>
      <c r="M72" s="261"/>
      <c r="N72" s="1202">
        <v>0.4</v>
      </c>
      <c r="O72" s="261"/>
      <c r="P72" s="1202">
        <v>0.1</v>
      </c>
      <c r="Q72" s="261"/>
      <c r="R72" s="2122">
        <v>0.2</v>
      </c>
      <c r="S72" s="261"/>
      <c r="T72" s="274">
        <v>0.4</v>
      </c>
      <c r="U72" s="261"/>
      <c r="V72" s="274"/>
      <c r="W72" s="261"/>
      <c r="X72" s="274"/>
      <c r="Y72" s="261"/>
      <c r="Z72" s="274"/>
      <c r="AA72" s="274"/>
      <c r="AB72" s="1202">
        <v>0</v>
      </c>
      <c r="AC72" s="261"/>
      <c r="AD72" s="250"/>
      <c r="AE72" s="261">
        <f t="shared" si="9"/>
        <v>3.4</v>
      </c>
      <c r="AF72" s="261"/>
      <c r="AG72" s="252"/>
      <c r="AH72" s="261">
        <v>2.8</v>
      </c>
      <c r="AI72" s="515"/>
      <c r="AJ72" s="249"/>
      <c r="AK72" s="1171">
        <f t="shared" si="4"/>
        <v>0.6</v>
      </c>
      <c r="AL72" s="1171"/>
      <c r="AM72" s="2808">
        <f>ROUND(IF(AH72=0,0,AK72/ABS(AH72)),3)</f>
        <v>0.214</v>
      </c>
      <c r="AN72" s="1600"/>
    </row>
    <row r="73" spans="1:40" ht="15" customHeight="1">
      <c r="A73" s="353"/>
      <c r="B73" s="1830" t="s">
        <v>1348</v>
      </c>
      <c r="C73" s="223"/>
      <c r="D73" s="274">
        <v>0</v>
      </c>
      <c r="E73" s="261"/>
      <c r="F73" s="274">
        <v>4</v>
      </c>
      <c r="G73" s="261"/>
      <c r="H73" s="261">
        <v>0</v>
      </c>
      <c r="I73" s="261"/>
      <c r="J73" s="274">
        <v>0</v>
      </c>
      <c r="K73" s="261"/>
      <c r="L73" s="274">
        <v>0</v>
      </c>
      <c r="M73" s="261"/>
      <c r="N73" s="1202">
        <v>0</v>
      </c>
      <c r="O73" s="261"/>
      <c r="P73" s="1202">
        <v>0</v>
      </c>
      <c r="Q73" s="261"/>
      <c r="R73" s="2122">
        <v>0</v>
      </c>
      <c r="S73" s="261"/>
      <c r="T73" s="274">
        <v>0</v>
      </c>
      <c r="U73" s="261"/>
      <c r="V73" s="274"/>
      <c r="W73" s="261"/>
      <c r="X73" s="274"/>
      <c r="Y73" s="261"/>
      <c r="Z73" s="274"/>
      <c r="AA73" s="274"/>
      <c r="AB73" s="1202">
        <v>0</v>
      </c>
      <c r="AC73" s="261"/>
      <c r="AD73" s="250"/>
      <c r="AE73" s="261">
        <f t="shared" si="9"/>
        <v>4</v>
      </c>
      <c r="AF73" s="261"/>
      <c r="AG73" s="252"/>
      <c r="AH73" s="261">
        <v>0</v>
      </c>
      <c r="AI73" s="515"/>
      <c r="AJ73" s="249"/>
      <c r="AK73" s="1171">
        <f t="shared" si="4"/>
        <v>4</v>
      </c>
      <c r="AL73" s="1171"/>
      <c r="AM73" s="2808">
        <f>ROUND(IF(AH73=0,1,AK73/ABS(AH73)),3)</f>
        <v>1</v>
      </c>
      <c r="AN73" s="1600"/>
    </row>
    <row r="74" spans="1:40" ht="15" customHeight="1">
      <c r="A74" s="353"/>
      <c r="B74" s="1830" t="s">
        <v>1349</v>
      </c>
      <c r="C74" s="223"/>
      <c r="D74" s="274">
        <v>-747.8</v>
      </c>
      <c r="E74" s="261"/>
      <c r="F74" s="274">
        <v>228.7</v>
      </c>
      <c r="G74" s="261"/>
      <c r="H74" s="261">
        <v>159.19999999999999</v>
      </c>
      <c r="I74" s="261"/>
      <c r="J74" s="274">
        <v>251.4</v>
      </c>
      <c r="K74" s="261"/>
      <c r="L74" s="274">
        <v>74.8</v>
      </c>
      <c r="M74" s="261"/>
      <c r="N74" s="1202">
        <v>66.7</v>
      </c>
      <c r="O74" s="261"/>
      <c r="P74" s="1202">
        <v>245.2</v>
      </c>
      <c r="Q74" s="261"/>
      <c r="R74" s="2122">
        <v>144.69999999999999</v>
      </c>
      <c r="S74" s="261"/>
      <c r="T74" s="274">
        <v>184.4</v>
      </c>
      <c r="U74" s="261"/>
      <c r="V74" s="274"/>
      <c r="W74" s="261"/>
      <c r="X74" s="274"/>
      <c r="Y74" s="261"/>
      <c r="Z74" s="274"/>
      <c r="AA74" s="274"/>
      <c r="AB74" s="1202">
        <v>0</v>
      </c>
      <c r="AC74" s="261"/>
      <c r="AD74" s="250"/>
      <c r="AE74" s="261">
        <f t="shared" si="9"/>
        <v>607.29999999999995</v>
      </c>
      <c r="AF74" s="261"/>
      <c r="AG74" s="252"/>
      <c r="AH74" s="261">
        <v>1443</v>
      </c>
      <c r="AI74" s="515"/>
      <c r="AJ74" s="249"/>
      <c r="AK74" s="1171">
        <f t="shared" si="4"/>
        <v>-835.7</v>
      </c>
      <c r="AL74" s="1171"/>
      <c r="AM74" s="2808">
        <f>ROUND(IF(AH74=0,0,AK74/ABS(AH74)),3)</f>
        <v>-0.57899999999999996</v>
      </c>
      <c r="AN74" s="1600"/>
    </row>
    <row r="75" spans="1:40" ht="15" customHeight="1">
      <c r="A75" s="353"/>
      <c r="B75" s="1830" t="s">
        <v>1350</v>
      </c>
      <c r="C75" s="223"/>
      <c r="D75" s="274">
        <v>3.4</v>
      </c>
      <c r="E75" s="261"/>
      <c r="F75" s="274">
        <v>0</v>
      </c>
      <c r="G75" s="261"/>
      <c r="H75" s="261">
        <v>1.9</v>
      </c>
      <c r="I75" s="261"/>
      <c r="J75" s="274">
        <v>16.5</v>
      </c>
      <c r="K75" s="261"/>
      <c r="L75" s="274">
        <v>0.4</v>
      </c>
      <c r="M75" s="261"/>
      <c r="N75" s="1202">
        <v>2.9</v>
      </c>
      <c r="O75" s="261"/>
      <c r="P75" s="1202">
        <v>2.8</v>
      </c>
      <c r="Q75" s="261"/>
      <c r="R75" s="2122">
        <v>0.4</v>
      </c>
      <c r="S75" s="261"/>
      <c r="T75" s="274">
        <v>7</v>
      </c>
      <c r="U75" s="261"/>
      <c r="V75" s="274"/>
      <c r="W75" s="261"/>
      <c r="X75" s="274"/>
      <c r="Y75" s="261"/>
      <c r="Z75" s="274"/>
      <c r="AA75" s="274"/>
      <c r="AB75" s="1202">
        <v>0</v>
      </c>
      <c r="AC75" s="261"/>
      <c r="AD75" s="250"/>
      <c r="AE75" s="261">
        <f t="shared" si="9"/>
        <v>35.299999999999997</v>
      </c>
      <c r="AF75" s="261"/>
      <c r="AG75" s="252"/>
      <c r="AH75" s="261">
        <v>33</v>
      </c>
      <c r="AI75" s="515"/>
      <c r="AJ75" s="249"/>
      <c r="AK75" s="1171">
        <f t="shared" si="4"/>
        <v>2.2999999999999998</v>
      </c>
      <c r="AL75" s="1171"/>
      <c r="AM75" s="2825">
        <f>ROUND(IF(AH75=0,0,AK75/ABS(AH75)),3)</f>
        <v>7.0000000000000007E-2</v>
      </c>
      <c r="AN75" s="1600"/>
    </row>
    <row r="76" spans="1:40" ht="15" customHeight="1">
      <c r="A76" s="353"/>
      <c r="B76" s="1830" t="s">
        <v>1351</v>
      </c>
      <c r="C76" s="223"/>
      <c r="D76" s="274">
        <v>0.5</v>
      </c>
      <c r="E76" s="261"/>
      <c r="F76" s="274">
        <v>3.5</v>
      </c>
      <c r="G76" s="261"/>
      <c r="H76" s="261">
        <v>1.2</v>
      </c>
      <c r="I76" s="261"/>
      <c r="J76" s="274">
        <v>5.4</v>
      </c>
      <c r="K76" s="261"/>
      <c r="L76" s="274">
        <v>33.9</v>
      </c>
      <c r="M76" s="261"/>
      <c r="N76" s="1202">
        <v>0.5</v>
      </c>
      <c r="O76" s="261"/>
      <c r="P76" s="1202">
        <v>3.6</v>
      </c>
      <c r="Q76" s="261"/>
      <c r="R76" s="2122">
        <v>2.2000000000000002</v>
      </c>
      <c r="S76" s="261"/>
      <c r="T76" s="274">
        <v>-18.8</v>
      </c>
      <c r="U76" s="261"/>
      <c r="V76" s="274"/>
      <c r="W76" s="261"/>
      <c r="X76" s="274"/>
      <c r="Y76" s="261"/>
      <c r="Z76" s="274"/>
      <c r="AA76" s="274"/>
      <c r="AB76" s="1202">
        <v>0</v>
      </c>
      <c r="AC76" s="261"/>
      <c r="AD76" s="250"/>
      <c r="AE76" s="261">
        <f t="shared" si="9"/>
        <v>32</v>
      </c>
      <c r="AF76" s="261"/>
      <c r="AG76" s="252"/>
      <c r="AH76" s="261">
        <v>-16.899999999999999</v>
      </c>
      <c r="AI76" s="515"/>
      <c r="AJ76" s="249"/>
      <c r="AK76" s="3151">
        <f t="shared" si="4"/>
        <v>48.9</v>
      </c>
      <c r="AL76" s="1171"/>
      <c r="AM76" s="2825">
        <f>ROUND(IF(AH76=0,1,AK76/ABS(AH76)),3)</f>
        <v>2.8929999999999998</v>
      </c>
      <c r="AN76" s="1600"/>
    </row>
    <row r="77" spans="1:40" ht="15" customHeight="1">
      <c r="A77" s="353"/>
      <c r="B77" s="1830" t="s">
        <v>1352</v>
      </c>
      <c r="C77" s="223"/>
      <c r="D77" s="320">
        <v>8.4</v>
      </c>
      <c r="E77" s="319"/>
      <c r="F77" s="1351">
        <v>7.9</v>
      </c>
      <c r="G77" s="319"/>
      <c r="H77" s="319">
        <v>5.3</v>
      </c>
      <c r="I77" s="319"/>
      <c r="J77" s="320">
        <v>2.7</v>
      </c>
      <c r="K77" s="319"/>
      <c r="L77" s="320">
        <v>7</v>
      </c>
      <c r="M77" s="261"/>
      <c r="N77" s="1202">
        <v>6.7</v>
      </c>
      <c r="O77" s="261"/>
      <c r="P77" s="1202">
        <v>6.8</v>
      </c>
      <c r="Q77" s="261"/>
      <c r="R77" s="2122">
        <v>2.2999999999999998</v>
      </c>
      <c r="S77" s="261"/>
      <c r="T77" s="274">
        <v>5.9</v>
      </c>
      <c r="U77" s="261"/>
      <c r="V77" s="274"/>
      <c r="W77" s="261"/>
      <c r="X77" s="274"/>
      <c r="Y77" s="261"/>
      <c r="Z77" s="274"/>
      <c r="AA77" s="274"/>
      <c r="AB77" s="1202">
        <v>0</v>
      </c>
      <c r="AC77" s="261"/>
      <c r="AD77" s="250"/>
      <c r="AE77" s="261">
        <f t="shared" si="9"/>
        <v>53</v>
      </c>
      <c r="AF77" s="261"/>
      <c r="AG77" s="252"/>
      <c r="AH77" s="261">
        <v>62.7</v>
      </c>
      <c r="AI77" s="515"/>
      <c r="AJ77" s="249"/>
      <c r="AK77" s="1171">
        <f t="shared" si="4"/>
        <v>-9.6999999999999993</v>
      </c>
      <c r="AL77" s="1171"/>
      <c r="AM77" s="2808">
        <f>ROUND(IF(AH77=0,0,AK77/ABS(AH77)),3)</f>
        <v>-0.155</v>
      </c>
      <c r="AN77" s="1600"/>
    </row>
    <row r="78" spans="1:40" ht="15" customHeight="1">
      <c r="A78" s="353"/>
      <c r="B78" s="1830" t="s">
        <v>1353</v>
      </c>
      <c r="C78" s="223"/>
      <c r="D78" s="320">
        <v>6.4</v>
      </c>
      <c r="E78" s="319"/>
      <c r="F78" s="320">
        <v>-2.4</v>
      </c>
      <c r="G78" s="319"/>
      <c r="H78" s="319">
        <v>0.5</v>
      </c>
      <c r="I78" s="319"/>
      <c r="J78" s="320">
        <v>20.100000000000001</v>
      </c>
      <c r="K78" s="319"/>
      <c r="L78" s="320">
        <v>1</v>
      </c>
      <c r="M78" s="261"/>
      <c r="N78" s="1202">
        <v>0.7</v>
      </c>
      <c r="O78" s="261"/>
      <c r="P78" s="1202">
        <v>2.7</v>
      </c>
      <c r="Q78" s="261"/>
      <c r="R78" s="2122">
        <v>1.6</v>
      </c>
      <c r="S78" s="261"/>
      <c r="T78" s="274">
        <v>1.8</v>
      </c>
      <c r="U78" s="261"/>
      <c r="V78" s="274"/>
      <c r="W78" s="261"/>
      <c r="X78" s="1327"/>
      <c r="Y78" s="261"/>
      <c r="Z78" s="274"/>
      <c r="AA78" s="274"/>
      <c r="AB78" s="1202">
        <v>0</v>
      </c>
      <c r="AC78" s="261"/>
      <c r="AD78" s="250"/>
      <c r="AE78" s="261">
        <f t="shared" si="9"/>
        <v>32.4</v>
      </c>
      <c r="AF78" s="261"/>
      <c r="AG78" s="252"/>
      <c r="AH78" s="261">
        <v>19</v>
      </c>
      <c r="AI78" s="515"/>
      <c r="AJ78" s="249"/>
      <c r="AK78" s="1171">
        <f t="shared" si="4"/>
        <v>13.4</v>
      </c>
      <c r="AL78" s="1171"/>
      <c r="AM78" s="2825">
        <f>ROUND(IF(AH78=0,0,AK78/ABS(AH78)),3)</f>
        <v>0.70499999999999996</v>
      </c>
      <c r="AN78" s="1600"/>
    </row>
    <row r="79" spans="1:40" ht="15" customHeight="1">
      <c r="A79" s="353"/>
      <c r="B79" s="1830" t="s">
        <v>1325</v>
      </c>
      <c r="C79" s="223"/>
      <c r="D79" s="320">
        <v>0.9</v>
      </c>
      <c r="E79" s="319"/>
      <c r="F79" s="320">
        <v>4.5</v>
      </c>
      <c r="G79" s="319"/>
      <c r="H79" s="319">
        <v>1.5</v>
      </c>
      <c r="I79" s="319"/>
      <c r="J79" s="320">
        <v>0.7</v>
      </c>
      <c r="K79" s="319"/>
      <c r="L79" s="320">
        <v>1.2</v>
      </c>
      <c r="M79" s="261"/>
      <c r="N79" s="1202">
        <v>1.9</v>
      </c>
      <c r="O79" s="261"/>
      <c r="P79" s="1202">
        <v>0.9</v>
      </c>
      <c r="Q79" s="261"/>
      <c r="R79" s="2122">
        <v>1.5</v>
      </c>
      <c r="S79" s="261"/>
      <c r="T79" s="274">
        <v>1.5</v>
      </c>
      <c r="U79" s="261"/>
      <c r="V79" s="274"/>
      <c r="W79" s="261"/>
      <c r="X79" s="274"/>
      <c r="Y79" s="261"/>
      <c r="Z79" s="274"/>
      <c r="AA79" s="274"/>
      <c r="AB79" s="1202">
        <v>0</v>
      </c>
      <c r="AC79" s="261"/>
      <c r="AD79" s="250"/>
      <c r="AE79" s="261">
        <f t="shared" si="9"/>
        <v>14.6</v>
      </c>
      <c r="AF79" s="261"/>
      <c r="AG79" s="252"/>
      <c r="AH79" s="261">
        <v>14.5</v>
      </c>
      <c r="AI79" s="515"/>
      <c r="AJ79" s="249"/>
      <c r="AK79" s="1171">
        <f t="shared" si="4"/>
        <v>0.1</v>
      </c>
      <c r="AL79" s="1171"/>
      <c r="AM79" s="2808">
        <f>ROUND(IF(AH79=0,0,AK79/ABS(AH79)),3)</f>
        <v>7.0000000000000001E-3</v>
      </c>
      <c r="AN79" s="1600"/>
    </row>
    <row r="80" spans="1:40" ht="15" customHeight="1">
      <c r="A80" s="353"/>
      <c r="B80" s="1830" t="s">
        <v>1326</v>
      </c>
      <c r="C80" s="223"/>
      <c r="D80" s="320">
        <v>125.2</v>
      </c>
      <c r="E80" s="319"/>
      <c r="F80" s="320">
        <v>76.099999999999994</v>
      </c>
      <c r="G80" s="319"/>
      <c r="H80" s="319">
        <v>92.5</v>
      </c>
      <c r="I80" s="319"/>
      <c r="J80" s="320">
        <v>92.9</v>
      </c>
      <c r="K80" s="319"/>
      <c r="L80" s="320">
        <v>203</v>
      </c>
      <c r="M80" s="261"/>
      <c r="N80" s="1202">
        <v>420.3</v>
      </c>
      <c r="O80" s="261"/>
      <c r="P80" s="1202">
        <v>225.4</v>
      </c>
      <c r="Q80" s="261"/>
      <c r="R80" s="2122">
        <v>129.19999999999999</v>
      </c>
      <c r="S80" s="261"/>
      <c r="T80" s="274">
        <v>92.5</v>
      </c>
      <c r="U80" s="261"/>
      <c r="V80" s="274"/>
      <c r="W80" s="261"/>
      <c r="X80" s="274"/>
      <c r="Y80" s="261"/>
      <c r="Z80" s="274"/>
      <c r="AA80" s="274"/>
      <c r="AB80" s="1202">
        <v>0</v>
      </c>
      <c r="AC80" s="261"/>
      <c r="AD80" s="250"/>
      <c r="AE80" s="261">
        <f t="shared" si="9"/>
        <v>1457.1</v>
      </c>
      <c r="AF80" s="261"/>
      <c r="AG80" s="252"/>
      <c r="AH80" s="261">
        <v>1373.6</v>
      </c>
      <c r="AI80" s="515"/>
      <c r="AJ80" s="249"/>
      <c r="AK80" s="1171">
        <f t="shared" si="4"/>
        <v>83.5</v>
      </c>
      <c r="AL80" s="1171"/>
      <c r="AM80" s="2808">
        <f>ROUND(IF(AH80=0,0,AK80/ABS(AH80)),3)</f>
        <v>6.0999999999999999E-2</v>
      </c>
      <c r="AN80" s="1600"/>
    </row>
    <row r="81" spans="1:40" ht="15" customHeight="1">
      <c r="A81" s="353"/>
      <c r="B81" s="589" t="s">
        <v>1479</v>
      </c>
      <c r="C81" s="223"/>
      <c r="D81" s="1283">
        <f>ROUND(SUM(D43:D80),1)</f>
        <v>438.7</v>
      </c>
      <c r="E81" s="319"/>
      <c r="F81" s="1283">
        <f>ROUND(SUM(F43:F80),1)</f>
        <v>1552.6</v>
      </c>
      <c r="G81" s="319"/>
      <c r="H81" s="1283">
        <f>ROUND(SUM(H43:H80),1)</f>
        <v>1404.9</v>
      </c>
      <c r="I81" s="319"/>
      <c r="J81" s="1283">
        <f>ROUND(SUM(J43:J80),1)</f>
        <v>1416.8</v>
      </c>
      <c r="K81" s="319"/>
      <c r="L81" s="1283">
        <f>ROUND(SUM(L43:L80),1)</f>
        <v>1254.7</v>
      </c>
      <c r="M81" s="261"/>
      <c r="N81" s="1283">
        <f>ROUND(SUM(N43:N80),1)</f>
        <v>1724.6</v>
      </c>
      <c r="O81" s="261"/>
      <c r="P81" s="1283">
        <f>ROUND(SUM(P43:P80),1)</f>
        <v>1385.2</v>
      </c>
      <c r="Q81" s="261"/>
      <c r="R81" s="1283">
        <f>ROUND(SUM(R43:R80),1)</f>
        <v>1168.3</v>
      </c>
      <c r="S81" s="261"/>
      <c r="T81" s="1283">
        <f>ROUND(SUM(T43:T80),1)</f>
        <v>1547.7</v>
      </c>
      <c r="U81" s="261"/>
      <c r="V81" s="1283">
        <f>ROUND(SUM(V43:V80),1)</f>
        <v>0</v>
      </c>
      <c r="W81" s="261"/>
      <c r="X81" s="1283">
        <f>ROUND(SUM(X43:X80),1)</f>
        <v>0</v>
      </c>
      <c r="Y81" s="261"/>
      <c r="Z81" s="1283">
        <f>ROUND(SUM(Z43:Z80),1)</f>
        <v>0</v>
      </c>
      <c r="AA81" s="316"/>
      <c r="AB81" s="1283">
        <f>ROUND(SUM(AB43:AB80),1)</f>
        <v>0</v>
      </c>
      <c r="AC81" s="261"/>
      <c r="AD81" s="250"/>
      <c r="AE81" s="1283">
        <f>ROUND(SUM(AE43:AE80),1)</f>
        <v>11893.5</v>
      </c>
      <c r="AF81" s="261"/>
      <c r="AG81" s="252"/>
      <c r="AH81" s="1283">
        <f>ROUND(SUM(AH43:AH80),1)</f>
        <v>11912.3</v>
      </c>
      <c r="AI81" s="515"/>
      <c r="AJ81" s="249"/>
      <c r="AK81" s="1283">
        <f>ROUND(SUM(AK43:AK80),1)</f>
        <v>-18.8</v>
      </c>
      <c r="AL81" s="1171"/>
      <c r="AM81" s="2824">
        <f>ROUND(SUM(+AK81/AH81),3)</f>
        <v>-2E-3</v>
      </c>
      <c r="AN81" s="1600"/>
    </row>
    <row r="82" spans="1:40" ht="15" customHeight="1">
      <c r="A82" s="353"/>
      <c r="B82" s="589"/>
      <c r="C82" s="223"/>
      <c r="D82" s="316"/>
      <c r="E82" s="319"/>
      <c r="F82" s="316"/>
      <c r="G82" s="319"/>
      <c r="H82" s="316"/>
      <c r="I82" s="319"/>
      <c r="J82" s="316"/>
      <c r="K82" s="319"/>
      <c r="L82" s="316"/>
      <c r="M82" s="261"/>
      <c r="N82" s="316"/>
      <c r="O82" s="261"/>
      <c r="P82" s="316"/>
      <c r="Q82" s="261"/>
      <c r="R82" s="316"/>
      <c r="S82" s="261"/>
      <c r="T82" s="316"/>
      <c r="U82" s="261"/>
      <c r="V82" s="316"/>
      <c r="W82" s="261"/>
      <c r="X82" s="316"/>
      <c r="Y82" s="261"/>
      <c r="Z82" s="316"/>
      <c r="AA82" s="316"/>
      <c r="AB82" s="316"/>
      <c r="AC82" s="261"/>
      <c r="AD82" s="250"/>
      <c r="AE82" s="316"/>
      <c r="AF82" s="261"/>
      <c r="AG82" s="252"/>
      <c r="AH82" s="316"/>
      <c r="AI82" s="515"/>
      <c r="AJ82" s="249"/>
      <c r="AK82" s="316"/>
      <c r="AL82" s="1171"/>
      <c r="AM82" s="2826"/>
      <c r="AN82" s="1600"/>
    </row>
    <row r="83" spans="1:40" ht="15" customHeight="1">
      <c r="A83" s="353"/>
      <c r="B83" s="520" t="s">
        <v>155</v>
      </c>
      <c r="C83" s="223"/>
      <c r="D83" s="688">
        <v>0</v>
      </c>
      <c r="E83" s="319"/>
      <c r="F83" s="688">
        <v>0</v>
      </c>
      <c r="G83" s="319"/>
      <c r="H83" s="688">
        <v>0</v>
      </c>
      <c r="I83" s="319"/>
      <c r="J83" s="688">
        <v>0</v>
      </c>
      <c r="K83" s="319"/>
      <c r="L83" s="1277">
        <v>0</v>
      </c>
      <c r="M83" s="261"/>
      <c r="N83" s="373">
        <v>0</v>
      </c>
      <c r="O83" s="261"/>
      <c r="P83" s="1202">
        <v>0</v>
      </c>
      <c r="Q83" s="261"/>
      <c r="R83" s="2122">
        <v>0.6</v>
      </c>
      <c r="S83" s="261"/>
      <c r="T83" s="274">
        <v>0.1</v>
      </c>
      <c r="U83" s="261"/>
      <c r="V83" s="274"/>
      <c r="W83" s="261"/>
      <c r="X83" s="274"/>
      <c r="Y83" s="261"/>
      <c r="Z83" s="373"/>
      <c r="AA83" s="373"/>
      <c r="AB83" s="1202">
        <v>0</v>
      </c>
      <c r="AC83" s="261"/>
      <c r="AD83" s="250"/>
      <c r="AE83" s="261">
        <f>ROUND(SUM(D83:AB83),1)</f>
        <v>0.7</v>
      </c>
      <c r="AF83" s="249"/>
      <c r="AG83" s="252"/>
      <c r="AH83" s="517">
        <v>0</v>
      </c>
      <c r="AI83" s="515"/>
      <c r="AJ83" s="249"/>
      <c r="AK83" s="1908">
        <f>ROUND(SUM(+AE83-AH83),1)</f>
        <v>0.7</v>
      </c>
      <c r="AL83" s="1171"/>
      <c r="AM83" s="2817">
        <f>ROUND(IF(AH83=0,1,AK83/ABS(AH83)),3)</f>
        <v>1</v>
      </c>
      <c r="AN83" s="1600"/>
    </row>
    <row r="84" spans="1:40" ht="15" customHeight="1">
      <c r="A84" s="353"/>
      <c r="B84" s="223"/>
      <c r="C84" s="223"/>
      <c r="D84" s="289"/>
      <c r="E84" s="261"/>
      <c r="F84" s="289"/>
      <c r="G84" s="261"/>
      <c r="H84" s="289"/>
      <c r="I84" s="261"/>
      <c r="J84" s="289"/>
      <c r="K84" s="261"/>
      <c r="L84" s="289"/>
      <c r="M84" s="261"/>
      <c r="N84" s="289"/>
      <c r="O84" s="261"/>
      <c r="P84" s="289"/>
      <c r="Q84" s="261"/>
      <c r="R84" s="289"/>
      <c r="S84" s="261"/>
      <c r="T84" s="289"/>
      <c r="U84" s="261"/>
      <c r="V84" s="289"/>
      <c r="W84" s="261"/>
      <c r="X84" s="289"/>
      <c r="Y84" s="261"/>
      <c r="Z84" s="289"/>
      <c r="AA84" s="249"/>
      <c r="AB84" s="289"/>
      <c r="AC84" s="261"/>
      <c r="AD84" s="250"/>
      <c r="AE84" s="289"/>
      <c r="AF84" s="249"/>
      <c r="AG84" s="252"/>
      <c r="AH84" s="289"/>
      <c r="AI84" s="515"/>
      <c r="AJ84" s="249"/>
      <c r="AK84" s="2742"/>
      <c r="AL84" s="1882"/>
      <c r="AM84" s="2827"/>
      <c r="AN84" s="1600"/>
    </row>
    <row r="85" spans="1:40" ht="15" customHeight="1">
      <c r="A85" s="353"/>
      <c r="B85" s="221" t="s">
        <v>156</v>
      </c>
      <c r="C85" s="223"/>
      <c r="D85" s="1886">
        <f>ROUND(SUM(D39+D81+D83),1)</f>
        <v>838.3</v>
      </c>
      <c r="E85" s="1886"/>
      <c r="F85" s="1886">
        <f>ROUND(SUM(F39+F81+F83),1)</f>
        <v>1830.4</v>
      </c>
      <c r="G85" s="1886"/>
      <c r="H85" s="1886">
        <f>ROUND(SUM(H39+H81+H83),1)</f>
        <v>2369</v>
      </c>
      <c r="I85" s="1886"/>
      <c r="J85" s="1886">
        <f>ROUND(SUM(J39+J81+J83),1)</f>
        <v>1767.8</v>
      </c>
      <c r="K85" s="1886"/>
      <c r="L85" s="1886">
        <f>ROUND(SUM(L39+L81+L83),1)</f>
        <v>1573.5</v>
      </c>
      <c r="M85" s="1886"/>
      <c r="N85" s="1886">
        <f>ROUND(SUM(N39+N81+N83),1)</f>
        <v>2421.3000000000002</v>
      </c>
      <c r="O85" s="1886"/>
      <c r="P85" s="1886">
        <f>ROUND(SUM(P39+P81+P83),1)</f>
        <v>1709.1</v>
      </c>
      <c r="Q85" s="1886"/>
      <c r="R85" s="1886">
        <f>ROUND(SUM(R39+R81+R83),1)</f>
        <v>1511.6</v>
      </c>
      <c r="S85" s="1886"/>
      <c r="T85" s="1886">
        <f>ROUND(SUM(T39+T81+T83),1)</f>
        <v>2196.3000000000002</v>
      </c>
      <c r="U85" s="1886"/>
      <c r="V85" s="1886">
        <f>ROUND(SUM(V39+V81+V83),1)</f>
        <v>0</v>
      </c>
      <c r="W85" s="1886"/>
      <c r="X85" s="1886">
        <f>ROUND(SUM(X39+X81+X83),1)</f>
        <v>0</v>
      </c>
      <c r="Y85" s="1886"/>
      <c r="Z85" s="1886">
        <f>ROUND(SUM(Z39+Z81+Z83),1)</f>
        <v>0</v>
      </c>
      <c r="AA85" s="1886"/>
      <c r="AB85" s="1886">
        <f>ROUND(SUM(AB39+AB81+AB83),1)</f>
        <v>0</v>
      </c>
      <c r="AC85" s="1886"/>
      <c r="AD85" s="259"/>
      <c r="AE85" s="1886">
        <f>ROUND(SUM(AE39+AE81+AE83),1)</f>
        <v>16217.3</v>
      </c>
      <c r="AF85" s="273"/>
      <c r="AG85" s="745"/>
      <c r="AH85" s="1886">
        <f>ROUND(SUM(AH39+AH81+AH83),1)</f>
        <v>16236.7</v>
      </c>
      <c r="AI85" s="522"/>
      <c r="AJ85" s="273"/>
      <c r="AK85" s="1738">
        <f>ROUND(SUM(AK39+AK81+AK83),1)</f>
        <v>-19.399999999999999</v>
      </c>
      <c r="AL85" s="524"/>
      <c r="AM85" s="2812">
        <f>ROUND(SUM((AE85-AH85)/ABS(AH85)),3)</f>
        <v>-1E-3</v>
      </c>
      <c r="AN85" s="1600"/>
    </row>
    <row r="86" spans="1:40" ht="15" customHeight="1">
      <c r="A86" s="353"/>
      <c r="B86" s="223"/>
      <c r="C86" s="223"/>
      <c r="D86" s="289"/>
      <c r="E86" s="261"/>
      <c r="F86" s="289"/>
      <c r="G86" s="261"/>
      <c r="H86" s="289"/>
      <c r="I86" s="261"/>
      <c r="J86" s="289"/>
      <c r="K86" s="261"/>
      <c r="L86" s="289"/>
      <c r="M86" s="261"/>
      <c r="N86" s="289"/>
      <c r="O86" s="261"/>
      <c r="P86" s="289"/>
      <c r="Q86" s="261"/>
      <c r="R86" s="289"/>
      <c r="S86" s="261"/>
      <c r="T86" s="289"/>
      <c r="U86" s="261"/>
      <c r="V86" s="289"/>
      <c r="W86" s="261"/>
      <c r="X86" s="289"/>
      <c r="Y86" s="261"/>
      <c r="Z86" s="289"/>
      <c r="AA86" s="249"/>
      <c r="AB86" s="289"/>
      <c r="AC86" s="261"/>
      <c r="AD86" s="250"/>
      <c r="AE86" s="289"/>
      <c r="AF86" s="249"/>
      <c r="AG86" s="252"/>
      <c r="AH86" s="289"/>
      <c r="AI86" s="515"/>
      <c r="AJ86" s="249"/>
      <c r="AK86" s="1171"/>
      <c r="AL86" s="1882"/>
      <c r="AM86" s="2808"/>
      <c r="AN86" s="1600"/>
    </row>
    <row r="87" spans="1:40" ht="15" customHeight="1">
      <c r="A87" s="353"/>
      <c r="B87" s="376" t="s">
        <v>24</v>
      </c>
      <c r="C87" s="223"/>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50"/>
      <c r="AE87" s="261"/>
      <c r="AF87" s="249"/>
      <c r="AG87" s="252"/>
      <c r="AH87" s="261"/>
      <c r="AI87" s="515"/>
      <c r="AJ87" s="249"/>
      <c r="AK87" s="1171"/>
      <c r="AL87" s="1882"/>
      <c r="AM87" s="2808"/>
      <c r="AN87" s="1600"/>
    </row>
    <row r="88" spans="1:40" ht="12.75" customHeight="1">
      <c r="A88" s="353"/>
      <c r="B88" s="1358" t="s">
        <v>157</v>
      </c>
      <c r="C88" s="223"/>
      <c r="D88" s="274"/>
      <c r="E88" s="261"/>
      <c r="F88" s="274"/>
      <c r="G88" s="261"/>
      <c r="H88" s="261"/>
      <c r="I88" s="261"/>
      <c r="J88" s="274"/>
      <c r="K88" s="261"/>
      <c r="L88" s="274"/>
      <c r="M88" s="261"/>
      <c r="N88" s="274"/>
      <c r="O88" s="261"/>
      <c r="P88" s="274"/>
      <c r="Q88" s="261"/>
      <c r="R88" s="274"/>
      <c r="S88" s="261"/>
      <c r="T88" s="274"/>
      <c r="U88" s="261"/>
      <c r="V88" s="261"/>
      <c r="W88" s="261"/>
      <c r="X88" s="274"/>
      <c r="Y88" s="261"/>
      <c r="Z88" s="261"/>
      <c r="AA88" s="261"/>
      <c r="AB88" s="261"/>
      <c r="AC88" s="261"/>
      <c r="AD88" s="250"/>
      <c r="AE88" s="373"/>
      <c r="AF88" s="261"/>
      <c r="AG88" s="252"/>
      <c r="AH88" s="373"/>
      <c r="AI88" s="515"/>
      <c r="AJ88" s="249"/>
      <c r="AK88" s="1171"/>
      <c r="AL88" s="1882"/>
      <c r="AM88" s="2828"/>
      <c r="AN88" s="1600"/>
    </row>
    <row r="89" spans="1:40" ht="15" customHeight="1">
      <c r="A89" s="353"/>
      <c r="B89" s="382" t="s">
        <v>26</v>
      </c>
      <c r="C89" s="223"/>
      <c r="D89" s="274">
        <v>0.1</v>
      </c>
      <c r="E89" s="261"/>
      <c r="F89" s="274">
        <v>1.6</v>
      </c>
      <c r="G89" s="261"/>
      <c r="H89" s="319">
        <v>739.7</v>
      </c>
      <c r="I89" s="261"/>
      <c r="J89" s="1327">
        <v>0.6</v>
      </c>
      <c r="K89" s="261"/>
      <c r="L89" s="2639">
        <v>1.1000000000000001</v>
      </c>
      <c r="M89" s="261"/>
      <c r="N89" s="1202">
        <v>2340.9</v>
      </c>
      <c r="O89" s="261"/>
      <c r="P89" s="1202">
        <v>1</v>
      </c>
      <c r="Q89" s="261"/>
      <c r="R89" s="2122">
        <v>168.4</v>
      </c>
      <c r="S89" s="261"/>
      <c r="T89" s="274">
        <v>269.2</v>
      </c>
      <c r="U89" s="261"/>
      <c r="V89" s="261"/>
      <c r="W89" s="261"/>
      <c r="X89" s="274"/>
      <c r="Y89" s="261"/>
      <c r="Z89" s="261"/>
      <c r="AA89" s="261"/>
      <c r="AB89" s="1202">
        <v>0</v>
      </c>
      <c r="AC89" s="261"/>
      <c r="AD89" s="250"/>
      <c r="AE89" s="261">
        <f>ROUND(SUM(D89:AB89),1)</f>
        <v>3522.6</v>
      </c>
      <c r="AF89" s="261"/>
      <c r="AG89" s="252"/>
      <c r="AH89" s="1277">
        <v>3579.6</v>
      </c>
      <c r="AI89" s="515"/>
      <c r="AJ89" s="249"/>
      <c r="AK89" s="1171">
        <f>ROUND(SUM(+AE89-AH89),1)</f>
        <v>-57</v>
      </c>
      <c r="AL89" s="1171"/>
      <c r="AM89" s="2808">
        <f>ROUND(IF(AH89=0,0,AK89/ABS(AH89)),3)</f>
        <v>-1.6E-2</v>
      </c>
      <c r="AN89" s="1600"/>
    </row>
    <row r="90" spans="1:40" ht="15" customHeight="1">
      <c r="A90" s="353"/>
      <c r="B90" s="382" t="s">
        <v>27</v>
      </c>
      <c r="C90" s="223"/>
      <c r="D90" s="274">
        <v>0</v>
      </c>
      <c r="E90" s="261"/>
      <c r="F90" s="274">
        <v>0.4</v>
      </c>
      <c r="G90" s="261"/>
      <c r="H90" s="373">
        <v>0.1</v>
      </c>
      <c r="I90" s="261"/>
      <c r="J90" s="274">
        <v>0.3</v>
      </c>
      <c r="K90" s="261"/>
      <c r="L90" s="1253">
        <v>0.7</v>
      </c>
      <c r="M90" s="261"/>
      <c r="N90" s="1202">
        <v>0.1</v>
      </c>
      <c r="O90" s="261"/>
      <c r="P90" s="1202">
        <v>0</v>
      </c>
      <c r="Q90" s="261"/>
      <c r="R90" s="2122">
        <v>0</v>
      </c>
      <c r="S90" s="261"/>
      <c r="T90" s="373">
        <v>1.6</v>
      </c>
      <c r="U90" s="261"/>
      <c r="V90" s="261"/>
      <c r="W90" s="261"/>
      <c r="X90" s="274"/>
      <c r="Y90" s="261"/>
      <c r="Z90" s="261"/>
      <c r="AA90" s="261"/>
      <c r="AB90" s="1202">
        <v>0</v>
      </c>
      <c r="AC90" s="261"/>
      <c r="AD90" s="250"/>
      <c r="AE90" s="261">
        <f>ROUND(SUM(D90:AB90),1)</f>
        <v>3.2</v>
      </c>
      <c r="AF90" s="261"/>
      <c r="AG90" s="252"/>
      <c r="AH90" s="1277">
        <v>2.6</v>
      </c>
      <c r="AI90" s="515"/>
      <c r="AJ90" s="249"/>
      <c r="AK90" s="1171">
        <f>ROUND(SUM(+AE90-AH90),1)</f>
        <v>0.6</v>
      </c>
      <c r="AL90" s="1171"/>
      <c r="AM90" s="2808">
        <f>ROUND(IF(AH90=0,0,AK90/ABS(AH90)),3)</f>
        <v>0.23100000000000001</v>
      </c>
      <c r="AN90" s="1600"/>
    </row>
    <row r="91" spans="1:40" ht="15" customHeight="1">
      <c r="A91" s="353"/>
      <c r="B91" s="382" t="s">
        <v>28</v>
      </c>
      <c r="C91" s="223"/>
      <c r="D91" s="274">
        <v>11.9</v>
      </c>
      <c r="E91" s="261"/>
      <c r="F91" s="274">
        <v>16.2</v>
      </c>
      <c r="G91" s="261"/>
      <c r="H91" s="319">
        <v>5.2</v>
      </c>
      <c r="I91" s="261"/>
      <c r="J91" s="274">
        <v>19.8</v>
      </c>
      <c r="K91" s="261"/>
      <c r="L91" s="2639">
        <v>14.1</v>
      </c>
      <c r="M91" s="261"/>
      <c r="N91" s="1202">
        <v>4.9000000000000004</v>
      </c>
      <c r="O91" s="261"/>
      <c r="P91" s="1202">
        <v>2.6</v>
      </c>
      <c r="Q91" s="261"/>
      <c r="R91" s="2122">
        <v>35.9</v>
      </c>
      <c r="S91" s="261"/>
      <c r="T91" s="274">
        <v>3.6</v>
      </c>
      <c r="U91" s="261"/>
      <c r="V91" s="261"/>
      <c r="W91" s="261"/>
      <c r="X91" s="274"/>
      <c r="Y91" s="261"/>
      <c r="Z91" s="261"/>
      <c r="AA91" s="261"/>
      <c r="AB91" s="1202">
        <v>0</v>
      </c>
      <c r="AC91" s="261"/>
      <c r="AD91" s="250"/>
      <c r="AE91" s="261">
        <f>ROUND(SUM(D91:AB91),1)</f>
        <v>114.2</v>
      </c>
      <c r="AF91" s="261"/>
      <c r="AG91" s="252"/>
      <c r="AH91" s="1277">
        <v>149.6</v>
      </c>
      <c r="AI91" s="515"/>
      <c r="AJ91" s="249"/>
      <c r="AK91" s="1171">
        <f>ROUND(SUM(+AE91-AH91),1)</f>
        <v>-35.4</v>
      </c>
      <c r="AL91" s="1171"/>
      <c r="AM91" s="2808">
        <f>ROUND(IF(AH91=0,0,AK91/ABS(AH91)),3)</f>
        <v>-0.23699999999999999</v>
      </c>
      <c r="AN91" s="1600"/>
    </row>
    <row r="92" spans="1:40" ht="15" customHeight="1">
      <c r="A92" s="353"/>
      <c r="B92" s="382" t="s">
        <v>29</v>
      </c>
      <c r="C92" s="223"/>
      <c r="D92" s="274"/>
      <c r="E92" s="261"/>
      <c r="F92" s="274"/>
      <c r="G92" s="261"/>
      <c r="H92" s="319"/>
      <c r="I92" s="261"/>
      <c r="J92" s="274"/>
      <c r="K92" s="261"/>
      <c r="L92" s="2639"/>
      <c r="M92" s="261"/>
      <c r="N92" s="274"/>
      <c r="O92" s="261"/>
      <c r="P92" s="274"/>
      <c r="Q92" s="261"/>
      <c r="R92" s="274"/>
      <c r="S92" s="261"/>
      <c r="T92" s="274"/>
      <c r="U92" s="261"/>
      <c r="V92" s="261"/>
      <c r="W92" s="261"/>
      <c r="X92" s="274"/>
      <c r="Y92" s="261"/>
      <c r="Z92" s="261"/>
      <c r="AA92" s="261"/>
      <c r="AB92" s="261"/>
      <c r="AC92" s="261"/>
      <c r="AD92" s="250"/>
      <c r="AE92" s="261"/>
      <c r="AF92" s="261"/>
      <c r="AG92" s="252"/>
      <c r="AH92" s="319"/>
      <c r="AI92" s="515"/>
      <c r="AJ92" s="249"/>
      <c r="AK92" s="1171"/>
      <c r="AL92" s="1714"/>
      <c r="AM92" s="2808"/>
      <c r="AN92" s="1600"/>
    </row>
    <row r="93" spans="1:40" ht="15" customHeight="1">
      <c r="A93" s="353"/>
      <c r="B93" s="1721" t="s">
        <v>30</v>
      </c>
      <c r="C93" s="223"/>
      <c r="D93" s="274">
        <v>408.9</v>
      </c>
      <c r="E93" s="261"/>
      <c r="F93" s="274">
        <v>310.3</v>
      </c>
      <c r="G93" s="261"/>
      <c r="H93" s="319">
        <v>431.3</v>
      </c>
      <c r="I93" s="261"/>
      <c r="J93" s="274">
        <v>564.6</v>
      </c>
      <c r="K93" s="261"/>
      <c r="L93" s="2639">
        <v>375.6</v>
      </c>
      <c r="M93" s="261"/>
      <c r="N93" s="1202">
        <v>501.1</v>
      </c>
      <c r="O93" s="261"/>
      <c r="P93" s="1202">
        <v>512.1</v>
      </c>
      <c r="Q93" s="261"/>
      <c r="R93" s="2122">
        <v>418.1</v>
      </c>
      <c r="S93" s="261"/>
      <c r="T93" s="274">
        <v>425.7</v>
      </c>
      <c r="U93" s="261"/>
      <c r="V93" s="261"/>
      <c r="W93" s="261"/>
      <c r="X93" s="274"/>
      <c r="Y93" s="261"/>
      <c r="Z93" s="261"/>
      <c r="AA93" s="261"/>
      <c r="AB93" s="1202">
        <v>0</v>
      </c>
      <c r="AC93" s="261"/>
      <c r="AD93" s="250"/>
      <c r="AE93" s="261">
        <f t="shared" ref="AE93:AE98" si="10">ROUND(SUM(D93:AB93),1)</f>
        <v>3947.7</v>
      </c>
      <c r="AF93" s="261"/>
      <c r="AG93" s="252"/>
      <c r="AH93" s="319">
        <v>3851.9</v>
      </c>
      <c r="AI93" s="515"/>
      <c r="AJ93" s="249"/>
      <c r="AK93" s="1171">
        <f t="shared" ref="AK93:AK98" si="11">ROUND(SUM(+AE93-AH93),1)</f>
        <v>95.8</v>
      </c>
      <c r="AL93" s="1171"/>
      <c r="AM93" s="2808">
        <f t="shared" ref="AM93:AM98" si="12">ROUND(IF(AH93=0,0,AK93/ABS(AH93)),3)</f>
        <v>2.5000000000000001E-2</v>
      </c>
      <c r="AN93" s="1600"/>
    </row>
    <row r="94" spans="1:40" ht="15" customHeight="1">
      <c r="A94" s="353"/>
      <c r="B94" s="382" t="s">
        <v>31</v>
      </c>
      <c r="C94" s="223"/>
      <c r="D94" s="274">
        <v>85.8</v>
      </c>
      <c r="E94" s="261"/>
      <c r="F94" s="274">
        <v>70.3</v>
      </c>
      <c r="G94" s="261"/>
      <c r="H94" s="319">
        <v>273.8</v>
      </c>
      <c r="I94" s="261"/>
      <c r="J94" s="274">
        <v>290.2</v>
      </c>
      <c r="K94" s="261"/>
      <c r="L94" s="2639">
        <v>225.8</v>
      </c>
      <c r="M94" s="261"/>
      <c r="N94" s="1202">
        <v>374.5</v>
      </c>
      <c r="O94" s="261"/>
      <c r="P94" s="1202">
        <v>43.4</v>
      </c>
      <c r="Q94" s="261"/>
      <c r="R94" s="2122">
        <v>51.3</v>
      </c>
      <c r="S94" s="261"/>
      <c r="T94" s="274">
        <v>353.7</v>
      </c>
      <c r="U94" s="261"/>
      <c r="V94" s="261"/>
      <c r="W94" s="261"/>
      <c r="X94" s="274"/>
      <c r="Y94" s="261"/>
      <c r="Z94" s="261"/>
      <c r="AA94" s="261"/>
      <c r="AB94" s="1202">
        <v>0</v>
      </c>
      <c r="AC94" s="261"/>
      <c r="AD94" s="250"/>
      <c r="AE94" s="261">
        <f t="shared" si="10"/>
        <v>1768.8</v>
      </c>
      <c r="AF94" s="261"/>
      <c r="AG94" s="252"/>
      <c r="AH94" s="319">
        <v>1781.1</v>
      </c>
      <c r="AI94" s="515"/>
      <c r="AJ94" s="249"/>
      <c r="AK94" s="1171">
        <f t="shared" si="11"/>
        <v>-12.3</v>
      </c>
      <c r="AL94" s="1171"/>
      <c r="AM94" s="2808">
        <f t="shared" si="12"/>
        <v>-7.0000000000000001E-3</v>
      </c>
      <c r="AN94" s="1600"/>
    </row>
    <row r="95" spans="1:40" ht="15" customHeight="1">
      <c r="A95" s="353"/>
      <c r="B95" s="382" t="s">
        <v>32</v>
      </c>
      <c r="C95" s="223"/>
      <c r="D95" s="274">
        <v>10.199999999999999</v>
      </c>
      <c r="E95" s="261"/>
      <c r="F95" s="274">
        <v>14.7</v>
      </c>
      <c r="G95" s="261"/>
      <c r="H95" s="319">
        <v>9</v>
      </c>
      <c r="I95" s="261"/>
      <c r="J95" s="261">
        <v>7.1</v>
      </c>
      <c r="K95" s="261"/>
      <c r="L95" s="2639">
        <v>9.3000000000000007</v>
      </c>
      <c r="M95" s="261"/>
      <c r="N95" s="1202">
        <v>7.9</v>
      </c>
      <c r="O95" s="261"/>
      <c r="P95" s="1202">
        <v>1.6</v>
      </c>
      <c r="Q95" s="261"/>
      <c r="R95" s="2122">
        <v>4</v>
      </c>
      <c r="S95" s="261"/>
      <c r="T95" s="274">
        <v>18.3</v>
      </c>
      <c r="U95" s="261"/>
      <c r="V95" s="261"/>
      <c r="W95" s="261"/>
      <c r="X95" s="274"/>
      <c r="Y95" s="261"/>
      <c r="Z95" s="261"/>
      <c r="AA95" s="261"/>
      <c r="AB95" s="1202">
        <v>0</v>
      </c>
      <c r="AC95" s="261"/>
      <c r="AD95" s="250"/>
      <c r="AE95" s="261">
        <f t="shared" si="10"/>
        <v>82.1</v>
      </c>
      <c r="AF95" s="261"/>
      <c r="AG95" s="252"/>
      <c r="AH95" s="319">
        <v>102.1</v>
      </c>
      <c r="AI95" s="515"/>
      <c r="AJ95" s="249"/>
      <c r="AK95" s="1171">
        <f t="shared" si="11"/>
        <v>-20</v>
      </c>
      <c r="AL95" s="1171"/>
      <c r="AM95" s="2808">
        <f t="shared" si="12"/>
        <v>-0.19600000000000001</v>
      </c>
      <c r="AN95" s="1600"/>
    </row>
    <row r="96" spans="1:40" ht="15" customHeight="1">
      <c r="A96" s="353"/>
      <c r="B96" s="382" t="s">
        <v>33</v>
      </c>
      <c r="C96" s="223"/>
      <c r="D96" s="274">
        <v>0.5</v>
      </c>
      <c r="E96" s="261"/>
      <c r="F96" s="274">
        <v>0.8</v>
      </c>
      <c r="G96" s="261"/>
      <c r="H96" s="319">
        <v>0.4</v>
      </c>
      <c r="I96" s="261"/>
      <c r="J96" s="261">
        <v>0.4</v>
      </c>
      <c r="K96" s="261"/>
      <c r="L96" s="1253">
        <v>0.4</v>
      </c>
      <c r="M96" s="261"/>
      <c r="N96" s="1202">
        <v>-0.3</v>
      </c>
      <c r="O96" s="261"/>
      <c r="P96" s="1202">
        <v>0</v>
      </c>
      <c r="Q96" s="261"/>
      <c r="R96" s="2122">
        <v>0.6</v>
      </c>
      <c r="S96" s="261"/>
      <c r="T96" s="274">
        <v>0.5</v>
      </c>
      <c r="U96" s="261"/>
      <c r="V96" s="261"/>
      <c r="W96" s="261"/>
      <c r="X96" s="274"/>
      <c r="Y96" s="261"/>
      <c r="Z96" s="261"/>
      <c r="AA96" s="261"/>
      <c r="AB96" s="1202">
        <v>0</v>
      </c>
      <c r="AC96" s="261"/>
      <c r="AD96" s="250"/>
      <c r="AE96" s="261">
        <f t="shared" si="10"/>
        <v>3.3</v>
      </c>
      <c r="AF96" s="261"/>
      <c r="AG96" s="252"/>
      <c r="AH96" s="319">
        <v>4.2</v>
      </c>
      <c r="AI96" s="515"/>
      <c r="AJ96" s="249"/>
      <c r="AK96" s="1171">
        <f t="shared" si="11"/>
        <v>-0.9</v>
      </c>
      <c r="AL96" s="1171"/>
      <c r="AM96" s="2808">
        <f t="shared" si="12"/>
        <v>-0.214</v>
      </c>
      <c r="AN96" s="1600"/>
    </row>
    <row r="97" spans="1:40" ht="15" customHeight="1">
      <c r="A97" s="353"/>
      <c r="B97" s="382" t="s">
        <v>34</v>
      </c>
      <c r="C97" s="223"/>
      <c r="D97" s="274">
        <v>2.2999999999999998</v>
      </c>
      <c r="E97" s="261"/>
      <c r="F97" s="274">
        <v>1.5</v>
      </c>
      <c r="G97" s="261"/>
      <c r="H97" s="319">
        <v>3.2</v>
      </c>
      <c r="I97" s="261"/>
      <c r="J97" s="517">
        <v>0.7</v>
      </c>
      <c r="K97" s="261"/>
      <c r="L97" s="2639">
        <v>0.4</v>
      </c>
      <c r="M97" s="266"/>
      <c r="N97" s="1202">
        <v>73.7</v>
      </c>
      <c r="O97" s="261"/>
      <c r="P97" s="1202">
        <v>0.2</v>
      </c>
      <c r="Q97" s="261"/>
      <c r="R97" s="2122">
        <v>2.4</v>
      </c>
      <c r="S97" s="261"/>
      <c r="T97" s="274">
        <v>1.8</v>
      </c>
      <c r="U97" s="261"/>
      <c r="V97" s="261"/>
      <c r="W97" s="373"/>
      <c r="X97" s="274"/>
      <c r="Y97" s="261"/>
      <c r="Z97" s="261"/>
      <c r="AA97" s="261"/>
      <c r="AB97" s="1202">
        <v>0</v>
      </c>
      <c r="AC97" s="261"/>
      <c r="AD97" s="250"/>
      <c r="AE97" s="261">
        <f t="shared" si="10"/>
        <v>86.2</v>
      </c>
      <c r="AF97" s="261"/>
      <c r="AG97" s="252"/>
      <c r="AH97" s="1277">
        <v>213.4</v>
      </c>
      <c r="AI97" s="515"/>
      <c r="AJ97" s="249"/>
      <c r="AK97" s="1171">
        <f t="shared" si="11"/>
        <v>-127.2</v>
      </c>
      <c r="AL97" s="1171"/>
      <c r="AM97" s="2808">
        <f t="shared" si="12"/>
        <v>-0.59599999999999997</v>
      </c>
      <c r="AN97" s="1600"/>
    </row>
    <row r="98" spans="1:40" ht="15" customHeight="1">
      <c r="A98" s="353"/>
      <c r="B98" s="382" t="s">
        <v>35</v>
      </c>
      <c r="C98" s="223"/>
      <c r="D98" s="274">
        <v>125.3</v>
      </c>
      <c r="E98" s="261"/>
      <c r="F98" s="274">
        <v>470.2</v>
      </c>
      <c r="G98" s="261"/>
      <c r="H98" s="319">
        <v>452.1</v>
      </c>
      <c r="I98" s="261"/>
      <c r="J98" s="274">
        <v>313.10000000000002</v>
      </c>
      <c r="K98" s="261"/>
      <c r="L98" s="2639">
        <v>433.3</v>
      </c>
      <c r="M98" s="261"/>
      <c r="N98" s="1202">
        <v>400.8</v>
      </c>
      <c r="O98" s="261"/>
      <c r="P98" s="1202">
        <v>352</v>
      </c>
      <c r="Q98" s="261"/>
      <c r="R98" s="2122">
        <v>561.6</v>
      </c>
      <c r="S98" s="261"/>
      <c r="T98" s="274">
        <v>852.5</v>
      </c>
      <c r="U98" s="261"/>
      <c r="V98" s="261"/>
      <c r="W98" s="261"/>
      <c r="X98" s="274"/>
      <c r="Y98" s="261"/>
      <c r="Z98" s="261"/>
      <c r="AA98" s="261"/>
      <c r="AB98" s="1202">
        <v>0</v>
      </c>
      <c r="AC98" s="261"/>
      <c r="AD98" s="250"/>
      <c r="AE98" s="261">
        <f t="shared" si="10"/>
        <v>3960.9</v>
      </c>
      <c r="AF98" s="249"/>
      <c r="AG98" s="252"/>
      <c r="AH98" s="526">
        <v>3985</v>
      </c>
      <c r="AI98" s="515"/>
      <c r="AJ98" s="249"/>
      <c r="AK98" s="1171">
        <f t="shared" si="11"/>
        <v>-24.1</v>
      </c>
      <c r="AL98" s="1171"/>
      <c r="AM98" s="2808">
        <f t="shared" si="12"/>
        <v>-6.0000000000000001E-3</v>
      </c>
      <c r="AN98" s="1600"/>
    </row>
    <row r="99" spans="1:40" ht="15" customHeight="1">
      <c r="A99" s="353"/>
      <c r="B99" s="221" t="s">
        <v>1480</v>
      </c>
      <c r="C99" s="223"/>
      <c r="D99" s="545">
        <f>ROUND(SUM(D89:D98),1)</f>
        <v>645</v>
      </c>
      <c r="E99" s="1886"/>
      <c r="F99" s="545">
        <f>ROUND(SUM(F89:F98),1)</f>
        <v>886</v>
      </c>
      <c r="G99" s="1886"/>
      <c r="H99" s="545">
        <f>ROUND(SUM(H89:H98),1)</f>
        <v>1914.8</v>
      </c>
      <c r="I99" s="1886"/>
      <c r="J99" s="545">
        <f>ROUND(SUM(J89:J98),1)</f>
        <v>1196.8</v>
      </c>
      <c r="K99" s="1886"/>
      <c r="L99" s="545">
        <f>ROUND(SUM(L89:L98),1)</f>
        <v>1060.7</v>
      </c>
      <c r="M99" s="1886"/>
      <c r="N99" s="545">
        <f>ROUND(SUM(N89:N98),1)</f>
        <v>3703.6</v>
      </c>
      <c r="O99" s="1886"/>
      <c r="P99" s="545">
        <f>ROUND(SUM(P89:P98),1)</f>
        <v>912.9</v>
      </c>
      <c r="Q99" s="1886"/>
      <c r="R99" s="545">
        <f>ROUND(SUM(R89:R98),1)</f>
        <v>1242.3</v>
      </c>
      <c r="S99" s="1886"/>
      <c r="T99" s="545">
        <f>ROUND(SUM(T89:T98),1)</f>
        <v>1926.9</v>
      </c>
      <c r="U99" s="1886"/>
      <c r="V99" s="545">
        <f>ROUND(SUM(V89:V98),1)</f>
        <v>0</v>
      </c>
      <c r="W99" s="1886"/>
      <c r="X99" s="545">
        <f>ROUND(SUM(X89:X98),1)</f>
        <v>0</v>
      </c>
      <c r="Y99" s="1886"/>
      <c r="Z99" s="545">
        <f>ROUND(SUM(Z89:Z98),1)</f>
        <v>0</v>
      </c>
      <c r="AA99" s="273"/>
      <c r="AB99" s="545">
        <f>ROUND(SUM(AB89:AB98),1)</f>
        <v>0</v>
      </c>
      <c r="AC99" s="1886"/>
      <c r="AD99" s="259"/>
      <c r="AE99" s="256">
        <f>ROUND(SUM(AE89:AE98),1)</f>
        <v>13489</v>
      </c>
      <c r="AF99" s="273"/>
      <c r="AG99" s="745"/>
      <c r="AH99" s="527">
        <f>ROUND(SUM(AH89:AH98),1)</f>
        <v>13669.5</v>
      </c>
      <c r="AI99" s="522"/>
      <c r="AJ99" s="273"/>
      <c r="AK99" s="256">
        <f>ROUND(SUM(AE99-AH99),1)</f>
        <v>-180.5</v>
      </c>
      <c r="AL99" s="369"/>
      <c r="AM99" s="2811">
        <f>ROUND(SUM((AE99-AH99)/ABS(AH99)),3)</f>
        <v>-1.2999999999999999E-2</v>
      </c>
      <c r="AN99" s="1600"/>
    </row>
    <row r="100" spans="1:40" ht="15" customHeight="1">
      <c r="A100" s="353"/>
      <c r="B100" s="223" t="s">
        <v>176</v>
      </c>
      <c r="C100" s="223"/>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250"/>
      <c r="AE100" s="261"/>
      <c r="AF100" s="261"/>
      <c r="AG100" s="252"/>
      <c r="AH100" s="319"/>
      <c r="AI100" s="515"/>
      <c r="AJ100" s="249"/>
      <c r="AK100" s="1171"/>
      <c r="AL100" s="1882"/>
      <c r="AM100" s="2808"/>
      <c r="AN100" s="1600"/>
    </row>
    <row r="101" spans="1:40" ht="15" customHeight="1">
      <c r="A101" s="353"/>
      <c r="B101" s="223" t="s">
        <v>159</v>
      </c>
      <c r="C101" s="223"/>
      <c r="D101" s="274">
        <v>632.70000000000005</v>
      </c>
      <c r="E101" s="261"/>
      <c r="F101" s="274">
        <v>534.20000000000005</v>
      </c>
      <c r="G101" s="261"/>
      <c r="H101" s="261">
        <v>520.5</v>
      </c>
      <c r="I101" s="261"/>
      <c r="J101" s="274">
        <v>678</v>
      </c>
      <c r="K101" s="261"/>
      <c r="L101" s="2639">
        <v>516.70000000000005</v>
      </c>
      <c r="M101" s="261"/>
      <c r="N101" s="1202">
        <v>528.20000000000005</v>
      </c>
      <c r="O101" s="261"/>
      <c r="P101" s="1202">
        <v>618.20000000000005</v>
      </c>
      <c r="Q101" s="261"/>
      <c r="R101" s="2122">
        <v>531.1</v>
      </c>
      <c r="S101" s="261"/>
      <c r="T101" s="274">
        <v>714.3</v>
      </c>
      <c r="U101" s="261"/>
      <c r="V101" s="261"/>
      <c r="W101" s="261"/>
      <c r="X101" s="274"/>
      <c r="Y101" s="261"/>
      <c r="Z101" s="261"/>
      <c r="AA101" s="261"/>
      <c r="AB101" s="1202">
        <v>0</v>
      </c>
      <c r="AC101" s="261"/>
      <c r="AD101" s="250"/>
      <c r="AE101" s="261">
        <f>ROUND(SUM(D101:AB101),1)</f>
        <v>5273.9</v>
      </c>
      <c r="AF101" s="2128"/>
      <c r="AG101" s="252"/>
      <c r="AH101" s="261">
        <v>5194.8</v>
      </c>
      <c r="AI101" s="515"/>
      <c r="AJ101" s="249"/>
      <c r="AK101" s="1171">
        <f>ROUND(SUM(+AE101-AH101),1)</f>
        <v>79.099999999999994</v>
      </c>
      <c r="AL101" s="1171"/>
      <c r="AM101" s="2808">
        <f>ROUND(IF(AH101=0,0,AK101/ABS(AH101)),3)</f>
        <v>1.4999999999999999E-2</v>
      </c>
      <c r="AN101" s="1600"/>
    </row>
    <row r="102" spans="1:40" ht="15" customHeight="1">
      <c r="A102" s="353"/>
      <c r="B102" s="223" t="s">
        <v>177</v>
      </c>
      <c r="C102" s="223"/>
      <c r="D102" s="274">
        <v>223.1</v>
      </c>
      <c r="E102" s="261"/>
      <c r="F102" s="274">
        <v>249.1</v>
      </c>
      <c r="G102" s="261"/>
      <c r="H102" s="261">
        <v>356.8</v>
      </c>
      <c r="I102" s="261"/>
      <c r="J102" s="274">
        <v>228.7</v>
      </c>
      <c r="K102" s="261"/>
      <c r="L102" s="2639">
        <v>347.7</v>
      </c>
      <c r="M102" s="261"/>
      <c r="N102" s="1202">
        <v>333.6</v>
      </c>
      <c r="O102" s="261"/>
      <c r="P102" s="1202">
        <v>146.4</v>
      </c>
      <c r="Q102" s="261"/>
      <c r="R102" s="2122">
        <v>304.39999999999998</v>
      </c>
      <c r="S102" s="261"/>
      <c r="T102" s="274">
        <v>368.7</v>
      </c>
      <c r="U102" s="261"/>
      <c r="V102" s="261"/>
      <c r="W102" s="261"/>
      <c r="X102" s="274"/>
      <c r="Y102" s="261"/>
      <c r="Z102" s="261"/>
      <c r="AA102" s="261"/>
      <c r="AB102" s="1202">
        <v>0</v>
      </c>
      <c r="AC102" s="261"/>
      <c r="AD102" s="250"/>
      <c r="AE102" s="261">
        <f>ROUND(SUM(D102:AB102),1)</f>
        <v>2558.5</v>
      </c>
      <c r="AF102" s="2128"/>
      <c r="AG102" s="252"/>
      <c r="AH102" s="261">
        <v>2616.8000000000002</v>
      </c>
      <c r="AI102" s="515"/>
      <c r="AJ102" s="249"/>
      <c r="AK102" s="1171">
        <f>ROUND(SUM(+AE102-AH102),1)</f>
        <v>-58.3</v>
      </c>
      <c r="AL102" s="1171"/>
      <c r="AM102" s="2808">
        <f>ROUND(IF(AH102=0,0,AK102/ABS(AH102)),3)</f>
        <v>-2.1999999999999999E-2</v>
      </c>
      <c r="AN102" s="1600"/>
    </row>
    <row r="103" spans="1:40" ht="15" customHeight="1">
      <c r="A103" s="353"/>
      <c r="B103" s="223" t="s">
        <v>178</v>
      </c>
      <c r="C103" s="223"/>
      <c r="D103" s="274">
        <v>38.1</v>
      </c>
      <c r="E103" s="261"/>
      <c r="F103" s="274">
        <v>195.4</v>
      </c>
      <c r="G103" s="261"/>
      <c r="H103" s="261">
        <v>188.3</v>
      </c>
      <c r="I103" s="261"/>
      <c r="J103" s="274">
        <v>39.9</v>
      </c>
      <c r="K103" s="261"/>
      <c r="L103" s="2639">
        <v>412.8</v>
      </c>
      <c r="M103" s="261"/>
      <c r="N103" s="1202">
        <v>86.3</v>
      </c>
      <c r="O103" s="261"/>
      <c r="P103" s="1202">
        <v>10.6</v>
      </c>
      <c r="Q103" s="261"/>
      <c r="R103" s="2122">
        <v>49.6</v>
      </c>
      <c r="S103" s="261"/>
      <c r="T103" s="274">
        <v>451.9</v>
      </c>
      <c r="U103" s="261"/>
      <c r="V103" s="261"/>
      <c r="W103" s="261"/>
      <c r="X103" s="274"/>
      <c r="Y103" s="261"/>
      <c r="Z103" s="261"/>
      <c r="AA103" s="261"/>
      <c r="AB103" s="1202">
        <v>0</v>
      </c>
      <c r="AC103" s="261"/>
      <c r="AD103" s="250"/>
      <c r="AE103" s="261">
        <f>ROUND(SUM(D103:AB103),1)</f>
        <v>1472.9</v>
      </c>
      <c r="AF103" s="2128"/>
      <c r="AG103" s="252"/>
      <c r="AH103" s="261">
        <v>1475.8</v>
      </c>
      <c r="AI103" s="515"/>
      <c r="AJ103" s="249"/>
      <c r="AK103" s="1171">
        <f>ROUND(SUM(+AE103-AH103),1)</f>
        <v>-2.9</v>
      </c>
      <c r="AL103" s="1171"/>
      <c r="AM103" s="2808">
        <f>ROUND(IF(AH103=0,0,AK103/ABS(AH103)),3)</f>
        <v>-2E-3</v>
      </c>
      <c r="AN103" s="1600"/>
    </row>
    <row r="104" spans="1:40" ht="15" customHeight="1">
      <c r="A104" s="353"/>
      <c r="B104" s="223" t="s">
        <v>179</v>
      </c>
      <c r="C104" s="223"/>
      <c r="D104" s="274">
        <v>0</v>
      </c>
      <c r="E104" s="261"/>
      <c r="F104" s="274">
        <v>0.2</v>
      </c>
      <c r="G104" s="261"/>
      <c r="H104" s="261">
        <v>0</v>
      </c>
      <c r="I104" s="261"/>
      <c r="J104" s="274">
        <v>0.1</v>
      </c>
      <c r="K104" s="261"/>
      <c r="L104" s="2639">
        <v>0</v>
      </c>
      <c r="M104" s="261"/>
      <c r="N104" s="1202">
        <v>0.3</v>
      </c>
      <c r="O104" s="261"/>
      <c r="P104" s="1202">
        <v>0</v>
      </c>
      <c r="Q104" s="261"/>
      <c r="R104" s="2122">
        <v>0</v>
      </c>
      <c r="S104" s="261"/>
      <c r="T104" s="274">
        <v>0.3</v>
      </c>
      <c r="U104" s="261"/>
      <c r="V104" s="261"/>
      <c r="W104" s="261"/>
      <c r="X104" s="274"/>
      <c r="Y104" s="261"/>
      <c r="Z104" s="261"/>
      <c r="AA104" s="261"/>
      <c r="AB104" s="1202">
        <v>0</v>
      </c>
      <c r="AC104" s="261"/>
      <c r="AD104" s="250"/>
      <c r="AE104" s="261">
        <f>ROUND(SUM(D104:AB104),1)</f>
        <v>0.9</v>
      </c>
      <c r="AF104" s="264"/>
      <c r="AG104" s="252"/>
      <c r="AH104" s="516">
        <v>1.1000000000000001</v>
      </c>
      <c r="AI104" s="515"/>
      <c r="AJ104" s="249"/>
      <c r="AK104" s="1171">
        <f>ROUND(SUM(+AE104-AH104),1)</f>
        <v>-0.2</v>
      </c>
      <c r="AL104" s="1171"/>
      <c r="AM104" s="2808">
        <f>ROUND(IF(AH104=0,0,AK104/ABS(AH104)),3)</f>
        <v>-0.182</v>
      </c>
      <c r="AN104" s="1600"/>
    </row>
    <row r="105" spans="1:40" ht="15" customHeight="1">
      <c r="A105" s="353"/>
      <c r="B105" s="223"/>
      <c r="C105" s="223"/>
      <c r="D105" s="289"/>
      <c r="E105" s="261"/>
      <c r="F105" s="289"/>
      <c r="G105" s="261"/>
      <c r="H105" s="289"/>
      <c r="I105" s="261"/>
      <c r="J105" s="289"/>
      <c r="K105" s="261"/>
      <c r="L105" s="289"/>
      <c r="M105" s="261"/>
      <c r="N105" s="289"/>
      <c r="O105" s="261"/>
      <c r="P105" s="289"/>
      <c r="Q105" s="261"/>
      <c r="R105" s="289"/>
      <c r="S105" s="261"/>
      <c r="T105" s="289"/>
      <c r="U105" s="261"/>
      <c r="V105" s="289"/>
      <c r="W105" s="261"/>
      <c r="X105" s="289"/>
      <c r="Y105" s="261"/>
      <c r="Z105" s="289"/>
      <c r="AA105" s="249"/>
      <c r="AB105" s="289"/>
      <c r="AC105" s="261"/>
      <c r="AD105" s="250"/>
      <c r="AE105" s="289"/>
      <c r="AF105" s="249"/>
      <c r="AG105" s="252"/>
      <c r="AH105" s="289"/>
      <c r="AI105" s="515"/>
      <c r="AJ105" s="249"/>
      <c r="AK105" s="2742"/>
      <c r="AL105" s="1882"/>
      <c r="AM105" s="2827"/>
      <c r="AN105" s="1600"/>
    </row>
    <row r="106" spans="1:40" ht="15" customHeight="1">
      <c r="A106" s="353"/>
      <c r="B106" s="221" t="s">
        <v>162</v>
      </c>
      <c r="C106" s="223"/>
      <c r="D106" s="1886">
        <f>ROUND(SUM(D99:D104),1)</f>
        <v>1538.9</v>
      </c>
      <c r="E106" s="1886"/>
      <c r="F106" s="1886">
        <f>ROUND(SUM(F99:F104),1)</f>
        <v>1864.9</v>
      </c>
      <c r="G106" s="1886"/>
      <c r="H106" s="1886">
        <f>ROUND(SUM(H99:H104),1)</f>
        <v>2980.4</v>
      </c>
      <c r="I106" s="1886"/>
      <c r="J106" s="1886">
        <f>ROUND(SUM(J99:J104),1)</f>
        <v>2143.5</v>
      </c>
      <c r="K106" s="1886"/>
      <c r="L106" s="1886">
        <f>ROUND(SUM(L99:L104),1)</f>
        <v>2337.9</v>
      </c>
      <c r="M106" s="1886"/>
      <c r="N106" s="1886">
        <f>ROUND(SUM(N99:N104),1)</f>
        <v>4652</v>
      </c>
      <c r="O106" s="1886"/>
      <c r="P106" s="1886">
        <f>ROUND(SUM(P99:P104),1)</f>
        <v>1688.1</v>
      </c>
      <c r="Q106" s="1886"/>
      <c r="R106" s="1886">
        <f>ROUND(SUM(R99:R104),1)</f>
        <v>2127.4</v>
      </c>
      <c r="S106" s="1886"/>
      <c r="T106" s="1886">
        <f>ROUND(SUM(T99:T104),1)</f>
        <v>3462.1</v>
      </c>
      <c r="U106" s="1886"/>
      <c r="V106" s="1886">
        <f>ROUND(SUM(V99:V104),1)</f>
        <v>0</v>
      </c>
      <c r="W106" s="1886"/>
      <c r="X106" s="1886">
        <f>ROUND(SUM(X99:X104),1)</f>
        <v>0</v>
      </c>
      <c r="Y106" s="1886"/>
      <c r="Z106" s="1886">
        <f>ROUND(SUM(Z99:Z104),1)</f>
        <v>0</v>
      </c>
      <c r="AA106" s="1886"/>
      <c r="AB106" s="1886">
        <f>ROUND(SUM(AB99:AB104),1)</f>
        <v>0</v>
      </c>
      <c r="AC106" s="1886"/>
      <c r="AD106" s="259"/>
      <c r="AE106" s="1886">
        <f>ROUND(SUM(AE99:AE104),1)</f>
        <v>22795.200000000001</v>
      </c>
      <c r="AF106" s="273"/>
      <c r="AG106" s="745"/>
      <c r="AH106" s="1886">
        <f>ROUND(SUM(AH99:AH104),1)</f>
        <v>22958</v>
      </c>
      <c r="AI106" s="522"/>
      <c r="AJ106" s="273"/>
      <c r="AK106" s="271">
        <f>ROUND(SUM(AE106-AH106),1)</f>
        <v>-162.80000000000001</v>
      </c>
      <c r="AL106" s="414"/>
      <c r="AM106" s="2812">
        <f>ROUND(SUM((AE106-AH106)/ABS(AH106)),3)</f>
        <v>-7.0000000000000001E-3</v>
      </c>
      <c r="AN106" s="1600"/>
    </row>
    <row r="107" spans="1:40" ht="15" customHeight="1">
      <c r="A107" s="353"/>
      <c r="B107" s="223"/>
      <c r="C107" s="223"/>
      <c r="D107" s="289"/>
      <c r="E107" s="261"/>
      <c r="F107" s="289"/>
      <c r="G107" s="261"/>
      <c r="H107" s="289"/>
      <c r="I107" s="261"/>
      <c r="J107" s="289"/>
      <c r="K107" s="261"/>
      <c r="L107" s="289"/>
      <c r="M107" s="261"/>
      <c r="N107" s="289"/>
      <c r="O107" s="261"/>
      <c r="P107" s="289"/>
      <c r="Q107" s="261"/>
      <c r="R107" s="289"/>
      <c r="S107" s="261"/>
      <c r="T107" s="289"/>
      <c r="U107" s="261"/>
      <c r="V107" s="289"/>
      <c r="W107" s="261"/>
      <c r="X107" s="289"/>
      <c r="Y107" s="261"/>
      <c r="Z107" s="289"/>
      <c r="AA107" s="249"/>
      <c r="AB107" s="289"/>
      <c r="AC107" s="261"/>
      <c r="AD107" s="250"/>
      <c r="AE107" s="289"/>
      <c r="AF107" s="249"/>
      <c r="AG107" s="252"/>
      <c r="AH107" s="289"/>
      <c r="AI107" s="515"/>
      <c r="AJ107" s="249"/>
      <c r="AK107" s="1171"/>
      <c r="AL107" s="1882"/>
      <c r="AM107" s="2808"/>
      <c r="AN107" s="1600"/>
    </row>
    <row r="108" spans="1:40" ht="15" customHeight="1">
      <c r="A108" s="353"/>
      <c r="B108" s="221" t="s">
        <v>163</v>
      </c>
      <c r="C108" s="223"/>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50"/>
      <c r="AE108" s="261"/>
      <c r="AF108" s="249"/>
      <c r="AG108" s="252"/>
      <c r="AH108" s="261"/>
      <c r="AI108" s="515"/>
      <c r="AJ108" s="249"/>
      <c r="AK108" s="1908"/>
      <c r="AL108" s="1882"/>
      <c r="AM108" s="2808"/>
      <c r="AN108" s="1600"/>
    </row>
    <row r="109" spans="1:40" ht="15" customHeight="1">
      <c r="A109" s="353"/>
      <c r="B109" s="221" t="s">
        <v>46</v>
      </c>
      <c r="C109" s="223"/>
      <c r="D109" s="1886">
        <f>ROUND(SUM(D85-D106),1)</f>
        <v>-700.6</v>
      </c>
      <c r="E109" s="1886"/>
      <c r="F109" s="1886">
        <f>ROUND(SUM(F85-F106),1)</f>
        <v>-34.5</v>
      </c>
      <c r="G109" s="1886"/>
      <c r="H109" s="1886">
        <f>ROUND(SUM(H85-H106),1)</f>
        <v>-611.4</v>
      </c>
      <c r="I109" s="1886"/>
      <c r="J109" s="1886">
        <f>ROUND(SUM(J85-J106),1)</f>
        <v>-375.7</v>
      </c>
      <c r="K109" s="1886"/>
      <c r="L109" s="1886">
        <f>ROUND(SUM(L85-L106),1)</f>
        <v>-764.4</v>
      </c>
      <c r="M109" s="1886"/>
      <c r="N109" s="1886">
        <f>ROUND(SUM(N85-N106),1)</f>
        <v>-2230.6999999999998</v>
      </c>
      <c r="O109" s="1886"/>
      <c r="P109" s="1886">
        <f>ROUND(SUM(P85-P106),1)</f>
        <v>21</v>
      </c>
      <c r="Q109" s="1886"/>
      <c r="R109" s="1886">
        <f>ROUND(SUM(R85-R106),1)</f>
        <v>-615.79999999999995</v>
      </c>
      <c r="S109" s="1886"/>
      <c r="T109" s="1886">
        <f>ROUND(SUM(T85-T106),1)</f>
        <v>-1265.8</v>
      </c>
      <c r="U109" s="1886"/>
      <c r="V109" s="1886">
        <f>ROUND(SUM(V85-V106),1)</f>
        <v>0</v>
      </c>
      <c r="W109" s="1886"/>
      <c r="X109" s="1886">
        <f>ROUND(SUM(X85-X106),1)</f>
        <v>0</v>
      </c>
      <c r="Y109" s="1886"/>
      <c r="Z109" s="1886">
        <f>ROUND(SUM(Z85-Z106),1)</f>
        <v>0</v>
      </c>
      <c r="AA109" s="1886"/>
      <c r="AB109" s="1886">
        <f>ROUND(SUM(AB85-AB106),1)</f>
        <v>0</v>
      </c>
      <c r="AC109" s="1886"/>
      <c r="AD109" s="259"/>
      <c r="AE109" s="1886">
        <f>ROUND(SUM(AE85-AE106),1)</f>
        <v>-6577.9</v>
      </c>
      <c r="AF109" s="273"/>
      <c r="AG109" s="745"/>
      <c r="AH109" s="1886">
        <f>ROUND(SUM(AH85-AH106),1)</f>
        <v>-6721.3</v>
      </c>
      <c r="AI109" s="522"/>
      <c r="AJ109" s="273"/>
      <c r="AK109" s="271">
        <f>ROUND(SUM(AE109-AH109),1)</f>
        <v>143.4</v>
      </c>
      <c r="AL109" s="413"/>
      <c r="AM109" s="3536">
        <f>ROUND(IF(AH109=0,0,AK109/ABS(AH109)),3)</f>
        <v>2.1000000000000001E-2</v>
      </c>
      <c r="AN109" s="1600"/>
    </row>
    <row r="110" spans="1:40" ht="15" customHeight="1">
      <c r="A110" s="353"/>
      <c r="B110" s="223"/>
      <c r="C110" s="223"/>
      <c r="D110" s="289"/>
      <c r="E110" s="261"/>
      <c r="F110" s="289"/>
      <c r="G110" s="261"/>
      <c r="H110" s="289"/>
      <c r="I110" s="261"/>
      <c r="J110" s="289"/>
      <c r="K110" s="261"/>
      <c r="L110" s="289"/>
      <c r="M110" s="261"/>
      <c r="N110" s="289"/>
      <c r="O110" s="261"/>
      <c r="P110" s="289"/>
      <c r="Q110" s="261"/>
      <c r="R110" s="289"/>
      <c r="S110" s="261"/>
      <c r="T110" s="289"/>
      <c r="U110" s="261"/>
      <c r="V110" s="289"/>
      <c r="W110" s="261"/>
      <c r="X110" s="289"/>
      <c r="Y110" s="261"/>
      <c r="Z110" s="289"/>
      <c r="AA110" s="249"/>
      <c r="AB110" s="289"/>
      <c r="AC110" s="261"/>
      <c r="AD110" s="250"/>
      <c r="AE110" s="289"/>
      <c r="AF110" s="249"/>
      <c r="AG110" s="252"/>
      <c r="AH110" s="289"/>
      <c r="AI110" s="515"/>
      <c r="AJ110" s="249"/>
      <c r="AK110" s="1171"/>
      <c r="AL110" s="1882"/>
      <c r="AM110" s="2808"/>
      <c r="AN110" s="1600"/>
    </row>
    <row r="111" spans="1:40" ht="15" customHeight="1">
      <c r="A111" s="353"/>
      <c r="B111" s="221" t="s">
        <v>47</v>
      </c>
      <c r="C111" s="223"/>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50"/>
      <c r="AE111" s="261"/>
      <c r="AF111" s="249"/>
      <c r="AG111" s="252"/>
      <c r="AH111" s="319"/>
      <c r="AI111" s="515"/>
      <c r="AJ111" s="249"/>
      <c r="AK111" s="1171"/>
      <c r="AL111" s="1882"/>
      <c r="AM111" s="2808"/>
      <c r="AN111" s="1600"/>
    </row>
    <row r="112" spans="1:40" ht="15" customHeight="1">
      <c r="A112" s="353"/>
      <c r="B112" s="223" t="s">
        <v>183</v>
      </c>
      <c r="C112" s="223"/>
      <c r="D112" s="274">
        <v>1795.2</v>
      </c>
      <c r="E112" s="261"/>
      <c r="F112" s="274">
        <v>859.1</v>
      </c>
      <c r="G112" s="261"/>
      <c r="H112" s="274">
        <v>463</v>
      </c>
      <c r="I112" s="261"/>
      <c r="J112" s="274">
        <v>894.4</v>
      </c>
      <c r="K112" s="261"/>
      <c r="L112" s="1327">
        <v>1056.3</v>
      </c>
      <c r="M112" s="261"/>
      <c r="N112" s="1202">
        <v>451.9</v>
      </c>
      <c r="O112" s="261"/>
      <c r="P112" s="1202">
        <v>738.9</v>
      </c>
      <c r="Q112" s="261"/>
      <c r="R112" s="2122">
        <v>850.5</v>
      </c>
      <c r="S112" s="261"/>
      <c r="T112" s="274">
        <v>497.1</v>
      </c>
      <c r="U112" s="261"/>
      <c r="V112" s="274"/>
      <c r="W112" s="261"/>
      <c r="X112" s="274"/>
      <c r="Y112" s="261"/>
      <c r="Z112" s="274"/>
      <c r="AA112" s="274"/>
      <c r="AB112" s="274">
        <v>-400</v>
      </c>
      <c r="AC112" s="261"/>
      <c r="AD112" s="250"/>
      <c r="AE112" s="319">
        <f>ROUND(SUM(D112:AB112),1)</f>
        <v>7206.4</v>
      </c>
      <c r="AF112" s="1360"/>
      <c r="AG112" s="252"/>
      <c r="AH112" s="319">
        <v>5877</v>
      </c>
      <c r="AI112" s="515"/>
      <c r="AJ112" s="249"/>
      <c r="AK112" s="1171">
        <f>ROUND(SUM(+AE112-AH112),1)</f>
        <v>1329.4</v>
      </c>
      <c r="AL112" s="1171"/>
      <c r="AM112" s="2808">
        <f>ROUND(IF(AH112=0,0,AK112/ABS(AH112)),3)</f>
        <v>0.22600000000000001</v>
      </c>
      <c r="AN112" s="1600"/>
    </row>
    <row r="113" spans="1:53" ht="15" customHeight="1">
      <c r="A113" s="353"/>
      <c r="B113" s="223" t="s">
        <v>181</v>
      </c>
      <c r="C113" s="223"/>
      <c r="D113" s="274">
        <v>-19</v>
      </c>
      <c r="E113" s="261"/>
      <c r="F113" s="274">
        <v>-297.10000000000002</v>
      </c>
      <c r="G113" s="261"/>
      <c r="H113" s="274">
        <v>-55.5</v>
      </c>
      <c r="I113" s="261"/>
      <c r="J113" s="274">
        <v>-88.3</v>
      </c>
      <c r="K113" s="261"/>
      <c r="L113" s="1327">
        <v>31.9</v>
      </c>
      <c r="M113" s="261"/>
      <c r="N113" s="1202">
        <v>-41.1</v>
      </c>
      <c r="O113" s="261"/>
      <c r="P113" s="1202">
        <v>-6.7</v>
      </c>
      <c r="Q113" s="261"/>
      <c r="R113" s="2122">
        <v>0.2</v>
      </c>
      <c r="S113" s="261"/>
      <c r="T113" s="274">
        <v>-16.5</v>
      </c>
      <c r="U113" s="261"/>
      <c r="V113" s="274"/>
      <c r="W113" s="261"/>
      <c r="X113" s="274"/>
      <c r="Y113" s="261"/>
      <c r="Z113" s="274"/>
      <c r="AA113" s="274"/>
      <c r="AB113" s="1202">
        <v>0</v>
      </c>
      <c r="AC113" s="261"/>
      <c r="AD113" s="250"/>
      <c r="AE113" s="319">
        <f>ROUND(SUM(D113:AB113),1)</f>
        <v>-492.1</v>
      </c>
      <c r="AF113" s="249"/>
      <c r="AG113" s="252"/>
      <c r="AH113" s="1277">
        <v>-388.5</v>
      </c>
      <c r="AI113" s="515"/>
      <c r="AJ113" s="249"/>
      <c r="AK113" s="1908">
        <f>ROUND(SUM(+AE113-AH113)*-1,1)</f>
        <v>103.6</v>
      </c>
      <c r="AL113" s="1908"/>
      <c r="AM113" s="2808">
        <f>ROUND(IF(AH113=0,0,AK113/ABS(AH113)),3)</f>
        <v>0.26700000000000002</v>
      </c>
      <c r="AN113" s="1600"/>
    </row>
    <row r="114" spans="1:53" ht="15" customHeight="1">
      <c r="A114" s="353"/>
      <c r="B114" s="223"/>
      <c r="C114" s="223"/>
      <c r="D114" s="289"/>
      <c r="E114" s="261"/>
      <c r="F114" s="289"/>
      <c r="G114" s="261"/>
      <c r="H114" s="289"/>
      <c r="I114" s="261"/>
      <c r="J114" s="289"/>
      <c r="K114" s="261"/>
      <c r="L114" s="289"/>
      <c r="M114" s="261"/>
      <c r="N114" s="289"/>
      <c r="O114" s="261"/>
      <c r="P114" s="289"/>
      <c r="Q114" s="261"/>
      <c r="R114" s="289"/>
      <c r="S114" s="261"/>
      <c r="T114" s="289"/>
      <c r="U114" s="261"/>
      <c r="V114" s="289"/>
      <c r="W114" s="261"/>
      <c r="X114" s="289"/>
      <c r="Y114" s="261"/>
      <c r="Z114" s="289"/>
      <c r="AA114" s="249"/>
      <c r="AB114" s="289"/>
      <c r="AC114" s="261"/>
      <c r="AD114" s="250"/>
      <c r="AE114" s="289"/>
      <c r="AF114" s="249"/>
      <c r="AG114" s="252"/>
      <c r="AH114" s="328"/>
      <c r="AI114" s="515"/>
      <c r="AJ114" s="249"/>
      <c r="AK114" s="2742"/>
      <c r="AL114" s="1882"/>
      <c r="AM114" s="2827"/>
      <c r="AN114" s="1600"/>
    </row>
    <row r="115" spans="1:53" ht="15" customHeight="1">
      <c r="A115" s="353"/>
      <c r="B115" s="221" t="s">
        <v>1481</v>
      </c>
      <c r="C115" s="223"/>
      <c r="D115" s="1886">
        <f>ROUND(SUM(D112:D114),1)</f>
        <v>1776.2</v>
      </c>
      <c r="E115" s="1886"/>
      <c r="F115" s="1886">
        <f>ROUND(SUM(F112:F114),1)</f>
        <v>562</v>
      </c>
      <c r="G115" s="1886"/>
      <c r="H115" s="1886">
        <f>ROUND(SUM(H112:H114),1)</f>
        <v>407.5</v>
      </c>
      <c r="I115" s="1886"/>
      <c r="J115" s="1886">
        <f>ROUND(SUM(J112:J114),1)</f>
        <v>806.1</v>
      </c>
      <c r="K115" s="1886"/>
      <c r="L115" s="1886">
        <f>ROUND(SUM(L112:L114),1)</f>
        <v>1088.2</v>
      </c>
      <c r="M115" s="1886"/>
      <c r="N115" s="1886">
        <f>ROUND(SUM(N112:N114),1)</f>
        <v>410.8</v>
      </c>
      <c r="O115" s="1886"/>
      <c r="P115" s="1886">
        <f>ROUND(SUM(P112:P114),1)</f>
        <v>732.2</v>
      </c>
      <c r="Q115" s="1886"/>
      <c r="R115" s="1886">
        <f>ROUND(SUM(R112:R114),1)</f>
        <v>850.7</v>
      </c>
      <c r="S115" s="1886"/>
      <c r="T115" s="1886">
        <f>ROUND(SUM(T112:T114),1)</f>
        <v>480.6</v>
      </c>
      <c r="U115" s="1886"/>
      <c r="V115" s="1886">
        <f>ROUND(SUM(V112:V114),1)</f>
        <v>0</v>
      </c>
      <c r="W115" s="1886"/>
      <c r="X115" s="1886">
        <f>ROUND(SUM(X112:X114),1)</f>
        <v>0</v>
      </c>
      <c r="Y115" s="1886"/>
      <c r="Z115" s="1886">
        <f>ROUND(SUM(Z112:Z114),1)</f>
        <v>0</v>
      </c>
      <c r="AA115" s="1886"/>
      <c r="AB115" s="1886">
        <f>ROUND(SUM(AB112:AB114),1)</f>
        <v>-400</v>
      </c>
      <c r="AC115" s="1886"/>
      <c r="AD115" s="259"/>
      <c r="AE115" s="1886">
        <f>ROUND(SUM(AE112:AE114),1)</f>
        <v>6714.3</v>
      </c>
      <c r="AF115" s="273"/>
      <c r="AG115" s="745"/>
      <c r="AH115" s="313">
        <f>ROUND(SUM(AH112:AH114),1)</f>
        <v>5488.5</v>
      </c>
      <c r="AI115" s="522"/>
      <c r="AJ115" s="273"/>
      <c r="AK115" s="271">
        <f>ROUND(SUM(AE115-AH115),1)</f>
        <v>1225.8</v>
      </c>
      <c r="AL115" s="369"/>
      <c r="AM115" s="2812">
        <f>ROUND(SUM((AE115-AH115)/ABS(AH115)),3)</f>
        <v>0.223</v>
      </c>
      <c r="AN115" s="2682"/>
    </row>
    <row r="116" spans="1:53" ht="15" customHeight="1">
      <c r="A116" s="353"/>
      <c r="B116" s="223"/>
      <c r="C116" s="223"/>
      <c r="D116" s="289"/>
      <c r="E116" s="261"/>
      <c r="F116" s="289"/>
      <c r="G116" s="261"/>
      <c r="H116" s="289"/>
      <c r="I116" s="261"/>
      <c r="J116" s="289"/>
      <c r="K116" s="261"/>
      <c r="L116" s="289"/>
      <c r="M116" s="261"/>
      <c r="N116" s="289"/>
      <c r="O116" s="261"/>
      <c r="P116" s="289"/>
      <c r="Q116" s="261"/>
      <c r="R116" s="289"/>
      <c r="S116" s="261"/>
      <c r="T116" s="289"/>
      <c r="U116" s="261"/>
      <c r="V116" s="289"/>
      <c r="W116" s="261"/>
      <c r="X116" s="289"/>
      <c r="Y116" s="261"/>
      <c r="Z116" s="289"/>
      <c r="AA116" s="249"/>
      <c r="AB116" s="289"/>
      <c r="AC116" s="261"/>
      <c r="AD116" s="250"/>
      <c r="AE116" s="289"/>
      <c r="AF116" s="249"/>
      <c r="AG116" s="252"/>
      <c r="AH116" s="328"/>
      <c r="AI116" s="515"/>
      <c r="AJ116" s="249"/>
      <c r="AK116" s="1171"/>
      <c r="AL116" s="1882"/>
      <c r="AM116" s="2808"/>
      <c r="AN116" s="1600"/>
    </row>
    <row r="117" spans="1:53" ht="15" customHeight="1">
      <c r="A117" s="353"/>
      <c r="B117" s="221" t="s">
        <v>172</v>
      </c>
      <c r="C117" s="223"/>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50"/>
      <c r="AE117" s="261"/>
      <c r="AF117" s="249"/>
      <c r="AG117" s="252"/>
      <c r="AH117" s="319"/>
      <c r="AI117" s="515"/>
      <c r="AJ117" s="249"/>
      <c r="AK117" s="1171"/>
      <c r="AL117" s="1882"/>
      <c r="AM117" s="2808"/>
      <c r="AN117" s="1600"/>
    </row>
    <row r="118" spans="1:53" ht="15" customHeight="1">
      <c r="A118" s="353"/>
      <c r="B118" s="221" t="s">
        <v>1636</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50"/>
      <c r="AE118" s="261"/>
      <c r="AF118" s="249"/>
      <c r="AG118" s="252"/>
      <c r="AH118" s="424"/>
      <c r="AI118" s="515"/>
      <c r="AJ118" s="249"/>
      <c r="AK118" s="1171"/>
      <c r="AL118" s="1882"/>
      <c r="AM118" s="2808"/>
      <c r="AN118" s="1600"/>
    </row>
    <row r="119" spans="1:53" ht="15" customHeight="1" thickBot="1">
      <c r="A119" s="353"/>
      <c r="B119" s="221" t="s">
        <v>1477</v>
      </c>
      <c r="C119" s="223"/>
      <c r="D119" s="503">
        <f>ROUND(SUM(D109+D115),1)</f>
        <v>1075.5999999999999</v>
      </c>
      <c r="E119" s="1886"/>
      <c r="F119" s="503">
        <f>ROUND(SUM(F109+F115),1)</f>
        <v>527.5</v>
      </c>
      <c r="G119" s="1886"/>
      <c r="H119" s="503">
        <f>ROUND(SUM(H109+H115),1)</f>
        <v>-203.9</v>
      </c>
      <c r="I119" s="1886"/>
      <c r="J119" s="503">
        <f>ROUND(SUM(J109+J115),1)</f>
        <v>430.4</v>
      </c>
      <c r="K119" s="1886"/>
      <c r="L119" s="503">
        <f>ROUND(SUM(L109+L115),1)</f>
        <v>323.8</v>
      </c>
      <c r="M119" s="1886"/>
      <c r="N119" s="503">
        <f>ROUND(SUM(N109+N115),1)</f>
        <v>-1819.9</v>
      </c>
      <c r="O119" s="1886"/>
      <c r="P119" s="503">
        <f>ROUND(SUM(P109+P115),1)</f>
        <v>753.2</v>
      </c>
      <c r="Q119" s="1886"/>
      <c r="R119" s="503">
        <f>ROUND(SUM(R109+R115),1)</f>
        <v>234.9</v>
      </c>
      <c r="S119" s="1886"/>
      <c r="T119" s="503">
        <f>ROUND(SUM(T109+T115),1)</f>
        <v>-785.2</v>
      </c>
      <c r="U119" s="1886"/>
      <c r="V119" s="503">
        <f>ROUND(SUM(V109+V115),1)</f>
        <v>0</v>
      </c>
      <c r="W119" s="1886"/>
      <c r="X119" s="503">
        <f>ROUND(SUM(X109+X115),1)</f>
        <v>0</v>
      </c>
      <c r="Y119" s="1886"/>
      <c r="Z119" s="503">
        <f>ROUND(SUM(Z109+Z115),1)</f>
        <v>0</v>
      </c>
      <c r="AA119" s="424"/>
      <c r="AB119" s="503">
        <f>ROUND(SUM(AB109+AB115),1)</f>
        <v>-400</v>
      </c>
      <c r="AC119" s="1886"/>
      <c r="AD119" s="259"/>
      <c r="AE119" s="503">
        <f>ROUND(SUM(AE109+AE115),1)</f>
        <v>136.4</v>
      </c>
      <c r="AF119" s="273"/>
      <c r="AG119" s="745"/>
      <c r="AH119" s="503">
        <f>ROUND(SUM(AH109+AH115),1)</f>
        <v>-1232.8</v>
      </c>
      <c r="AI119" s="522"/>
      <c r="AJ119" s="273"/>
      <c r="AK119" s="503">
        <f>ROUND(SUM(AK109+AK115),1)</f>
        <v>1369.2</v>
      </c>
      <c r="AL119" s="413"/>
      <c r="AM119" s="2829">
        <f>ROUND(IF(AH119=0,0,AK119/ABS(AH119)),3)</f>
        <v>1.111</v>
      </c>
      <c r="AN119" s="1600"/>
    </row>
    <row r="120" spans="1:53" ht="15" customHeight="1" thickTop="1">
      <c r="A120" s="353"/>
      <c r="B120" s="221"/>
      <c r="C120" s="223"/>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c r="AA120" s="368"/>
      <c r="AB120" s="368"/>
      <c r="AC120" s="368"/>
      <c r="AD120" s="253"/>
      <c r="AE120" s="253"/>
      <c r="AF120" s="253"/>
      <c r="AG120" s="253"/>
      <c r="AH120" s="318"/>
      <c r="AI120" s="253"/>
      <c r="AJ120" s="229"/>
      <c r="AK120" s="2744"/>
      <c r="AL120" s="2744"/>
      <c r="AM120" s="2828"/>
      <c r="AN120" s="1600"/>
    </row>
    <row r="121" spans="1:53" ht="4.5" customHeight="1">
      <c r="A121" s="353"/>
      <c r="B121" s="223"/>
      <c r="C121" s="223"/>
      <c r="D121" s="547"/>
      <c r="E121" s="547"/>
      <c r="F121" s="547"/>
      <c r="G121" s="547"/>
      <c r="H121" s="547"/>
      <c r="I121" s="547"/>
      <c r="J121" s="547"/>
      <c r="K121" s="547"/>
      <c r="L121" s="547"/>
      <c r="M121" s="547"/>
      <c r="N121" s="547"/>
      <c r="O121" s="547"/>
      <c r="P121" s="547"/>
      <c r="Q121" s="547"/>
      <c r="R121" s="547"/>
      <c r="S121" s="547"/>
      <c r="T121" s="547"/>
      <c r="U121" s="547"/>
      <c r="V121" s="547"/>
      <c r="W121" s="547"/>
      <c r="X121" s="547"/>
      <c r="Y121" s="547"/>
      <c r="Z121" s="547"/>
      <c r="AA121" s="547"/>
      <c r="AB121" s="547"/>
      <c r="AC121" s="547"/>
      <c r="AD121" s="547"/>
      <c r="AE121" s="547"/>
      <c r="AF121" s="547"/>
      <c r="AG121" s="547"/>
      <c r="AH121" s="547"/>
      <c r="AI121" s="547"/>
      <c r="AJ121" s="547"/>
      <c r="AK121" s="2745"/>
      <c r="AL121" s="2745"/>
      <c r="AM121" s="2830"/>
      <c r="AN121" s="1600"/>
      <c r="AO121" s="548"/>
      <c r="AP121" s="548"/>
      <c r="AQ121" s="548"/>
      <c r="AR121" s="548"/>
      <c r="AS121" s="548"/>
      <c r="AT121" s="548"/>
      <c r="AU121" s="548"/>
      <c r="AV121" s="548"/>
      <c r="AW121" s="548"/>
      <c r="AX121" s="548"/>
      <c r="AY121" s="548"/>
      <c r="AZ121" s="548"/>
      <c r="BA121" s="548"/>
    </row>
    <row r="122" spans="1:53" ht="15" customHeight="1">
      <c r="B122" s="1882" t="s">
        <v>1500</v>
      </c>
      <c r="C122" s="222"/>
      <c r="D122" s="506"/>
      <c r="E122" s="506"/>
      <c r="F122" s="506"/>
      <c r="G122" s="506"/>
      <c r="H122" s="506"/>
      <c r="I122" s="506"/>
      <c r="J122" s="506"/>
      <c r="K122" s="506"/>
      <c r="L122" s="506"/>
      <c r="M122" s="506"/>
      <c r="N122" s="506"/>
      <c r="O122" s="506"/>
      <c r="P122" s="506"/>
      <c r="Q122" s="506"/>
      <c r="R122" s="506"/>
      <c r="S122" s="506"/>
      <c r="T122" s="506"/>
      <c r="U122" s="506"/>
      <c r="V122" s="506"/>
      <c r="W122" s="506"/>
      <c r="X122" s="506"/>
      <c r="Y122" s="506"/>
      <c r="Z122" s="506"/>
      <c r="AA122" s="506"/>
      <c r="AB122" s="506"/>
      <c r="AC122" s="506"/>
      <c r="AD122" s="506"/>
      <c r="AE122" s="506"/>
      <c r="AF122" s="506"/>
      <c r="AG122" s="506"/>
      <c r="AH122" s="506"/>
      <c r="AI122" s="506"/>
      <c r="AJ122" s="506"/>
      <c r="AK122" s="2743"/>
      <c r="AL122" s="2743"/>
      <c r="AM122" s="2808"/>
      <c r="AN122" s="1600"/>
      <c r="AO122" s="548"/>
      <c r="AP122" s="548"/>
      <c r="AQ122" s="548"/>
      <c r="AR122" s="548"/>
      <c r="AS122" s="548"/>
      <c r="AT122" s="548"/>
      <c r="AU122" s="548"/>
      <c r="AV122" s="548"/>
      <c r="AW122" s="548"/>
      <c r="AX122" s="548"/>
      <c r="AY122" s="548"/>
      <c r="AZ122" s="548"/>
      <c r="BA122" s="548"/>
    </row>
    <row r="123" spans="1:53" ht="15" customHeight="1">
      <c r="B123" s="222"/>
      <c r="AM123" s="2831"/>
      <c r="AN123" s="1600"/>
    </row>
    <row r="124" spans="1:53" ht="15" customHeight="1">
      <c r="B124" s="222"/>
      <c r="AM124" s="2831"/>
      <c r="AN124" s="1600"/>
    </row>
    <row r="125" spans="1:53">
      <c r="AM125" s="2831"/>
      <c r="AN125" s="1600"/>
    </row>
    <row r="126" spans="1:53" ht="15" customHeight="1">
      <c r="AM126" s="2831"/>
      <c r="AN126" s="1600"/>
    </row>
    <row r="127" spans="1:53" ht="15" customHeight="1">
      <c r="D127" s="1882"/>
      <c r="F127" s="1882"/>
      <c r="H127" s="1882"/>
      <c r="AM127" s="2831"/>
      <c r="AN127" s="1600"/>
    </row>
    <row r="128" spans="1:53" ht="15" customHeight="1">
      <c r="AM128" s="1600"/>
      <c r="AN128" s="1600"/>
    </row>
    <row r="129" spans="39:40" ht="15" customHeight="1">
      <c r="AM129" s="1600"/>
      <c r="AN129" s="1600"/>
    </row>
    <row r="130" spans="39:40" ht="15" customHeight="1">
      <c r="AM130" s="1600"/>
      <c r="AN130" s="1600"/>
    </row>
    <row r="131" spans="39:40" ht="15" customHeight="1">
      <c r="AM131" s="1600"/>
      <c r="AN131" s="1600"/>
    </row>
    <row r="132" spans="39:40" ht="15" customHeight="1">
      <c r="AM132" s="1600"/>
      <c r="AN132" s="1600"/>
    </row>
    <row r="133" spans="39:40" ht="15" customHeight="1">
      <c r="AM133" s="1600"/>
      <c r="AN133" s="1600"/>
    </row>
    <row r="134" spans="39:40" ht="15" customHeight="1">
      <c r="AM134" s="1600"/>
      <c r="AN134" s="1600"/>
    </row>
    <row r="135" spans="39:40" ht="15" customHeight="1">
      <c r="AM135" s="1600"/>
      <c r="AN135" s="1600"/>
    </row>
    <row r="136" spans="39:40" ht="15" customHeight="1">
      <c r="AM136" s="1600"/>
      <c r="AN136" s="1600"/>
    </row>
    <row r="137" spans="39:40" ht="15" customHeight="1">
      <c r="AM137" s="1600"/>
      <c r="AN137" s="1600"/>
    </row>
    <row r="138" spans="39:40" ht="15" customHeight="1">
      <c r="AM138" s="1600"/>
      <c r="AN138" s="1600"/>
    </row>
    <row r="139" spans="39:40" ht="15" customHeight="1">
      <c r="AM139" s="1600"/>
      <c r="AN139" s="1600"/>
    </row>
    <row r="140" spans="39:40" ht="15" customHeight="1">
      <c r="AM140" s="1600"/>
      <c r="AN140" s="1600"/>
    </row>
    <row r="141" spans="39:40" ht="15" customHeight="1">
      <c r="AM141" s="1600"/>
      <c r="AN141" s="1600"/>
    </row>
    <row r="142" spans="39:40" ht="15" customHeight="1">
      <c r="AM142" s="1600"/>
      <c r="AN142" s="1600"/>
    </row>
    <row r="143" spans="39:40" ht="15" customHeight="1">
      <c r="AM143" s="1600"/>
      <c r="AN143" s="1600"/>
    </row>
    <row r="144" spans="39:40" ht="15" customHeight="1">
      <c r="AM144" s="1600"/>
      <c r="AN144" s="1600"/>
    </row>
    <row r="145" spans="39:40" ht="15" customHeight="1">
      <c r="AM145" s="1600"/>
      <c r="AN145" s="1600"/>
    </row>
    <row r="146" spans="39:40" ht="15" customHeight="1">
      <c r="AM146" s="1600"/>
      <c r="AN146" s="1600"/>
    </row>
    <row r="147" spans="39:40" ht="15" customHeight="1">
      <c r="AM147" s="1600"/>
      <c r="AN147" s="1600"/>
    </row>
    <row r="148" spans="39:40" ht="15" customHeight="1">
      <c r="AM148" s="1600"/>
      <c r="AN148" s="1600"/>
    </row>
    <row r="149" spans="39:40" ht="15" customHeight="1">
      <c r="AM149" s="1600"/>
      <c r="AN149" s="1600"/>
    </row>
    <row r="150" spans="39:40" ht="15" customHeight="1">
      <c r="AM150" s="1600"/>
      <c r="AN150" s="1600"/>
    </row>
    <row r="151" spans="39:40" ht="15" customHeight="1">
      <c r="AM151" s="1600"/>
      <c r="AN151" s="1600"/>
    </row>
    <row r="152" spans="39:40" ht="15" customHeight="1">
      <c r="AM152" s="1600"/>
      <c r="AN152" s="1600"/>
    </row>
    <row r="153" spans="39:40" ht="15" customHeight="1">
      <c r="AM153" s="1600"/>
      <c r="AN153" s="1600"/>
    </row>
    <row r="154" spans="39:40" ht="11.25" customHeight="1">
      <c r="AM154" s="1600"/>
      <c r="AN154" s="1600"/>
    </row>
    <row r="155" spans="39:40" ht="15" customHeight="1">
      <c r="AM155" s="1600"/>
      <c r="AN155" s="1600"/>
    </row>
    <row r="156" spans="39:40" ht="15" customHeight="1">
      <c r="AM156" s="1600"/>
      <c r="AN156" s="1600"/>
    </row>
    <row r="157" spans="39:40" ht="15" customHeight="1"/>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5" orientation="landscape" useFirstPageNumber="1" r:id="rId2"/>
  <headerFooter scaleWithDoc="0" alignWithMargins="0">
    <oddFooter>&amp;C&amp;8&amp;P</oddFooter>
  </headerFooter>
  <rowBreaks count="1" manualBreakCount="1">
    <brk id="80" min="1" max="38" man="1"/>
  </rowBreaks>
  <ignoredErrors>
    <ignoredError sqref="AM44 AM57 AM49 AM62 AM69 AM38 AM35 AM40:AM42 AM28 AM20:AM27 AM29:AM34" unlockedFormula="1"/>
    <ignoredError sqref="AM81" evalError="1"/>
    <ignoredError sqref="AM73:AM7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showOutlineSymbols="0" zoomScale="70" zoomScaleNormal="60" workbookViewId="0"/>
  </sheetViews>
  <sheetFormatPr defaultColWidth="8.90625" defaultRowHeight="13.2"/>
  <cols>
    <col min="1" max="1" width="1.6328125" style="457" customWidth="1"/>
    <col min="2" max="2" width="44.90625" style="457" customWidth="1"/>
    <col min="3" max="3" width="1.6328125" style="457" customWidth="1"/>
    <col min="4" max="4" width="15.08984375" style="457" bestFit="1" customWidth="1"/>
    <col min="5" max="5" width="1.6328125" style="457" customWidth="1"/>
    <col min="6" max="6" width="12" style="457" customWidth="1"/>
    <col min="7" max="7" width="1.6328125" style="457" customWidth="1"/>
    <col min="8" max="8" width="11.08984375" style="457" bestFit="1" customWidth="1"/>
    <col min="9" max="9" width="1.6328125" style="457" customWidth="1"/>
    <col min="10" max="10" width="11" style="457" customWidth="1"/>
    <col min="11" max="11" width="1.6328125" style="457" customWidth="1"/>
    <col min="12" max="12" width="11.36328125" style="457" customWidth="1"/>
    <col min="13" max="13" width="1.6328125" style="457" customWidth="1"/>
    <col min="14" max="14" width="12.1796875" style="457" customWidth="1"/>
    <col min="15" max="15" width="1.6328125" style="457" customWidth="1"/>
    <col min="16" max="16" width="11" style="457" bestFit="1" customWidth="1"/>
    <col min="17" max="17" width="1.6328125" style="457" customWidth="1"/>
    <col min="18" max="18" width="11.54296875" style="457" bestFit="1" customWidth="1"/>
    <col min="19" max="19" width="1.6328125" style="457" customWidth="1"/>
    <col min="20" max="20" width="11.453125" style="457" customWidth="1"/>
    <col min="21" max="21" width="1.6328125" style="457" customWidth="1"/>
    <col min="22" max="22" width="10.08984375" style="457" bestFit="1" customWidth="1"/>
    <col min="23" max="23" width="1.6328125" style="457" customWidth="1"/>
    <col min="24" max="24" width="11.08984375" style="457" bestFit="1" customWidth="1"/>
    <col min="25" max="25" width="1.6328125" style="457" customWidth="1"/>
    <col min="26" max="26" width="8.6328125" style="457" customWidth="1"/>
    <col min="27" max="27" width="1" style="457" customWidth="1"/>
    <col min="28" max="28" width="12.36328125" style="457" customWidth="1"/>
    <col min="29" max="30" width="1.6328125" style="457" customWidth="1"/>
    <col min="31" max="31" width="12.1796875" style="457" customWidth="1"/>
    <col min="32" max="33" width="1.36328125" style="457" customWidth="1"/>
    <col min="34" max="34" width="11.81640625" style="457" customWidth="1"/>
    <col min="35" max="35" width="1.453125" style="457" customWidth="1"/>
    <col min="36" max="36" width="0.81640625" style="457" customWidth="1"/>
    <col min="37" max="37" width="13.08984375" style="457" bestFit="1" customWidth="1"/>
    <col min="38" max="38" width="0.6328125" style="457" customWidth="1"/>
    <col min="39" max="39" width="13.6328125" style="1600" bestFit="1" customWidth="1"/>
    <col min="40" max="16384" width="8.90625" style="457"/>
  </cols>
  <sheetData>
    <row r="1" spans="1:42" ht="15">
      <c r="B1" s="1184" t="s">
        <v>1217</v>
      </c>
    </row>
    <row r="2" spans="1:42" ht="15.6">
      <c r="A2" s="456"/>
      <c r="M2" s="221"/>
      <c r="N2" s="221"/>
      <c r="O2" s="501"/>
    </row>
    <row r="3" spans="1:42" ht="17.399999999999999">
      <c r="A3" s="456"/>
      <c r="B3" s="461" t="s">
        <v>0</v>
      </c>
      <c r="M3" s="221"/>
      <c r="N3" s="221"/>
      <c r="O3" s="501"/>
      <c r="AG3" s="534"/>
      <c r="AH3" s="534"/>
      <c r="AI3" s="534"/>
      <c r="AJ3" s="534"/>
      <c r="AK3" s="534"/>
      <c r="AL3" s="534"/>
      <c r="AM3" s="464" t="s">
        <v>175</v>
      </c>
    </row>
    <row r="4" spans="1:42" ht="17.399999999999999">
      <c r="A4" s="456"/>
      <c r="B4" s="461" t="s">
        <v>184</v>
      </c>
      <c r="L4" s="221"/>
      <c r="M4" s="221"/>
      <c r="O4" s="501"/>
    </row>
    <row r="5" spans="1:42" ht="17.399999999999999">
      <c r="A5" s="456"/>
      <c r="B5" s="466" t="s">
        <v>1461</v>
      </c>
      <c r="L5" s="501"/>
      <c r="M5" s="501"/>
      <c r="O5" s="501"/>
      <c r="X5" s="535"/>
    </row>
    <row r="6" spans="1:42" ht="21">
      <c r="A6" s="456"/>
      <c r="B6" s="466" t="s">
        <v>1522</v>
      </c>
      <c r="L6" s="501"/>
      <c r="M6" s="501"/>
      <c r="O6" s="501"/>
      <c r="AM6" s="1601"/>
    </row>
    <row r="7" spans="1:42" ht="17.399999999999999">
      <c r="A7" s="456"/>
      <c r="B7" s="461" t="s">
        <v>1467</v>
      </c>
      <c r="AJ7" s="353"/>
      <c r="AK7" s="353"/>
      <c r="AL7" s="353"/>
      <c r="AM7" s="1602"/>
    </row>
    <row r="8" spans="1:42" ht="13.5" customHeight="1">
      <c r="A8" s="456"/>
      <c r="B8" s="549"/>
      <c r="AJ8" s="353"/>
      <c r="AK8" s="353"/>
      <c r="AL8" s="353"/>
      <c r="AM8" s="1602"/>
    </row>
    <row r="9" spans="1:42" ht="19.5" customHeight="1">
      <c r="A9" s="456"/>
      <c r="L9" s="501"/>
      <c r="M9" s="501"/>
      <c r="N9" s="501"/>
      <c r="O9" s="501"/>
      <c r="AD9" s="550"/>
      <c r="AE9" s="537"/>
      <c r="AF9" s="537"/>
      <c r="AG9" s="3574" t="str">
        <f>+'Exhibit G'!AF10</f>
        <v>9 Months Ended December 31</v>
      </c>
      <c r="AH9" s="3574"/>
      <c r="AI9" s="3574"/>
      <c r="AJ9" s="3574"/>
      <c r="AK9" s="3574"/>
      <c r="AL9" s="536"/>
      <c r="AM9" s="1603"/>
    </row>
    <row r="10" spans="1:42" ht="19.5" customHeight="1">
      <c r="A10" s="456"/>
      <c r="B10" s="551"/>
      <c r="D10" s="1524"/>
      <c r="E10" s="1524"/>
      <c r="F10" s="1524"/>
      <c r="G10" s="1524"/>
      <c r="H10" s="1524"/>
      <c r="I10" s="1524"/>
      <c r="J10" s="1524"/>
      <c r="K10" s="1524"/>
      <c r="L10" s="1525"/>
      <c r="M10" s="1525"/>
      <c r="N10" s="1525"/>
      <c r="O10" s="1525"/>
      <c r="P10" s="1524"/>
      <c r="Q10" s="1524"/>
      <c r="R10" s="1524"/>
      <c r="S10" s="1524"/>
      <c r="T10" s="1524"/>
      <c r="U10" s="1524"/>
      <c r="V10" s="1524"/>
      <c r="W10" s="1524"/>
      <c r="X10" s="1524"/>
      <c r="Y10" s="1524"/>
      <c r="Z10" s="1524"/>
      <c r="AA10" s="1524"/>
      <c r="AB10" s="1519" t="s">
        <v>1453</v>
      </c>
      <c r="AC10" s="1524"/>
      <c r="AD10" s="1528"/>
      <c r="AE10" s="1524"/>
      <c r="AF10" s="1524"/>
      <c r="AG10" s="1524"/>
      <c r="AH10" s="1524"/>
      <c r="AI10" s="1524"/>
      <c r="AJ10" s="1524"/>
      <c r="AK10" s="1524"/>
      <c r="AL10" s="1524"/>
      <c r="AM10" s="1604"/>
      <c r="AN10" s="1524"/>
      <c r="AO10" s="1524"/>
      <c r="AP10" s="1524"/>
    </row>
    <row r="11" spans="1:42" ht="13.5" customHeight="1">
      <c r="A11" s="456"/>
      <c r="B11" s="222"/>
      <c r="C11" s="222"/>
      <c r="D11" s="1512">
        <v>2015</v>
      </c>
      <c r="E11" s="221"/>
      <c r="F11" s="221"/>
      <c r="G11" s="221"/>
      <c r="H11" s="221"/>
      <c r="I11" s="221"/>
      <c r="J11" s="221"/>
      <c r="K11" s="221"/>
      <c r="L11" s="221"/>
      <c r="M11" s="221"/>
      <c r="N11" s="221"/>
      <c r="O11" s="221"/>
      <c r="P11" s="221"/>
      <c r="Q11" s="221"/>
      <c r="R11" s="221"/>
      <c r="S11" s="221"/>
      <c r="T11" s="221"/>
      <c r="U11" s="221"/>
      <c r="V11" s="1512">
        <v>2016</v>
      </c>
      <c r="W11" s="221"/>
      <c r="X11" s="221"/>
      <c r="Y11" s="221"/>
      <c r="Z11" s="221"/>
      <c r="AA11" s="221"/>
      <c r="AB11" s="1519" t="s">
        <v>1454</v>
      </c>
      <c r="AC11" s="221"/>
      <c r="AD11" s="221"/>
      <c r="AE11" s="414"/>
      <c r="AF11" s="414"/>
      <c r="AG11" s="414"/>
      <c r="AH11" s="414"/>
      <c r="AI11" s="414"/>
      <c r="AJ11" s="413"/>
      <c r="AK11" s="1519" t="s">
        <v>8</v>
      </c>
      <c r="AL11" s="1519"/>
      <c r="AM11" s="1605" t="s">
        <v>9</v>
      </c>
      <c r="AN11" s="1524"/>
      <c r="AO11" s="1524"/>
      <c r="AP11" s="1524"/>
    </row>
    <row r="12" spans="1:42" ht="15.6">
      <c r="A12" s="456"/>
      <c r="B12" s="222"/>
      <c r="C12" s="222"/>
      <c r="D12" s="1498" t="s">
        <v>129</v>
      </c>
      <c r="E12" s="221"/>
      <c r="F12" s="1498" t="s">
        <v>130</v>
      </c>
      <c r="G12" s="221"/>
      <c r="H12" s="1498" t="s">
        <v>131</v>
      </c>
      <c r="I12" s="221"/>
      <c r="J12" s="1498" t="s">
        <v>132</v>
      </c>
      <c r="K12" s="221"/>
      <c r="L12" s="1498" t="s">
        <v>133</v>
      </c>
      <c r="M12" s="221"/>
      <c r="N12" s="1498" t="s">
        <v>134</v>
      </c>
      <c r="O12" s="221"/>
      <c r="P12" s="1498" t="s">
        <v>135</v>
      </c>
      <c r="Q12" s="221"/>
      <c r="R12" s="1498" t="s">
        <v>136</v>
      </c>
      <c r="S12" s="221"/>
      <c r="T12" s="1498" t="s">
        <v>137</v>
      </c>
      <c r="U12" s="221"/>
      <c r="V12" s="1498" t="s">
        <v>154</v>
      </c>
      <c r="W12" s="221"/>
      <c r="X12" s="1498" t="s">
        <v>139</v>
      </c>
      <c r="Y12" s="221"/>
      <c r="Z12" s="1498" t="s">
        <v>140</v>
      </c>
      <c r="AA12" s="1498"/>
      <c r="AB12" s="2093" t="s">
        <v>1455</v>
      </c>
      <c r="AC12" s="221"/>
      <c r="AD12" s="221"/>
      <c r="AE12" s="1512">
        <v>2015</v>
      </c>
      <c r="AF12" s="1512"/>
      <c r="AG12" s="221" t="s">
        <v>16</v>
      </c>
      <c r="AH12" s="1512">
        <v>2014</v>
      </c>
      <c r="AI12" s="1497"/>
      <c r="AJ12" s="413"/>
      <c r="AK12" s="1527" t="s">
        <v>13</v>
      </c>
      <c r="AL12" s="1517"/>
      <c r="AM12" s="1606" t="s">
        <v>14</v>
      </c>
      <c r="AN12" s="1524"/>
      <c r="AO12" s="1524"/>
      <c r="AP12" s="1524"/>
    </row>
    <row r="13" spans="1:42" ht="15">
      <c r="A13" s="456"/>
      <c r="B13" s="222"/>
      <c r="C13" s="222"/>
      <c r="D13" s="235"/>
      <c r="E13" s="222"/>
      <c r="F13" s="235"/>
      <c r="G13" s="222"/>
      <c r="H13" s="235"/>
      <c r="I13" s="222"/>
      <c r="J13" s="235"/>
      <c r="K13" s="222"/>
      <c r="L13" s="235"/>
      <c r="M13" s="222"/>
      <c r="N13" s="509"/>
      <c r="O13" s="222"/>
      <c r="P13" s="235"/>
      <c r="Q13" s="222"/>
      <c r="R13" s="235"/>
      <c r="S13" s="222"/>
      <c r="T13" s="235"/>
      <c r="U13" s="222"/>
      <c r="V13" s="235"/>
      <c r="W13" s="222"/>
      <c r="X13" s="235"/>
      <c r="Y13" s="222"/>
      <c r="Z13" s="235"/>
      <c r="AA13" s="229"/>
      <c r="AB13" s="229"/>
      <c r="AC13" s="222"/>
      <c r="AD13" s="2088"/>
      <c r="AE13" s="235"/>
      <c r="AF13" s="235"/>
      <c r="AG13" s="2088"/>
      <c r="AH13" s="235"/>
      <c r="AI13" s="229"/>
      <c r="AJ13" s="510"/>
      <c r="AK13" s="222"/>
      <c r="AL13" s="222"/>
      <c r="AM13" s="499"/>
    </row>
    <row r="14" spans="1:42" ht="15">
      <c r="A14" s="456"/>
      <c r="B14" s="222"/>
      <c r="C14" s="222"/>
      <c r="D14" s="229"/>
      <c r="E14" s="222"/>
      <c r="F14" s="229"/>
      <c r="G14" s="222"/>
      <c r="H14" s="229"/>
      <c r="I14" s="222"/>
      <c r="J14" s="229"/>
      <c r="K14" s="222"/>
      <c r="L14" s="229"/>
      <c r="M14" s="222"/>
      <c r="N14" s="2087"/>
      <c r="O14" s="222"/>
      <c r="P14" s="229"/>
      <c r="Q14" s="222"/>
      <c r="R14" s="229"/>
      <c r="S14" s="222"/>
      <c r="T14" s="229"/>
      <c r="U14" s="222"/>
      <c r="V14" s="229"/>
      <c r="W14" s="222"/>
      <c r="X14" s="229"/>
      <c r="Y14" s="222"/>
      <c r="Z14" s="229"/>
      <c r="AA14" s="229"/>
      <c r="AB14" s="229"/>
      <c r="AC14" s="222"/>
      <c r="AD14" s="2088"/>
      <c r="AE14" s="229"/>
      <c r="AF14" s="229"/>
      <c r="AG14" s="2088"/>
      <c r="AH14" s="229"/>
      <c r="AI14" s="229"/>
      <c r="AJ14" s="510"/>
      <c r="AK14" s="222"/>
      <c r="AL14" s="222"/>
      <c r="AM14" s="499"/>
    </row>
    <row r="15" spans="1:42" ht="15" customHeight="1">
      <c r="A15" s="353"/>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6"/>
      <c r="AE15" s="222"/>
      <c r="AF15" s="222"/>
      <c r="AG15" s="539"/>
      <c r="AH15" s="222"/>
      <c r="AI15" s="514"/>
      <c r="AJ15" s="229"/>
      <c r="AK15" s="540"/>
      <c r="AL15" s="540"/>
      <c r="AM15" s="553"/>
    </row>
    <row r="16" spans="1:42" ht="7.5" customHeight="1">
      <c r="A16" s="353"/>
      <c r="B16" s="223"/>
      <c r="C16" s="223"/>
      <c r="D16" s="373"/>
      <c r="E16" s="368"/>
      <c r="F16" s="373"/>
      <c r="G16" s="368"/>
      <c r="H16" s="373"/>
      <c r="I16" s="368"/>
      <c r="J16" s="373"/>
      <c r="K16" s="368"/>
      <c r="L16" s="373"/>
      <c r="M16" s="368"/>
      <c r="N16" s="373"/>
      <c r="O16" s="368"/>
      <c r="P16" s="373"/>
      <c r="Q16" s="368"/>
      <c r="R16" s="373"/>
      <c r="S16" s="368"/>
      <c r="T16" s="373"/>
      <c r="U16" s="368"/>
      <c r="V16" s="373"/>
      <c r="W16" s="261"/>
      <c r="X16" s="373"/>
      <c r="Y16" s="261"/>
      <c r="Z16" s="373"/>
      <c r="AA16" s="373"/>
      <c r="AB16" s="373"/>
      <c r="AC16" s="368"/>
      <c r="AD16" s="473"/>
      <c r="AE16" s="261"/>
      <c r="AF16" s="483"/>
      <c r="AG16" s="541"/>
      <c r="AH16" s="373"/>
      <c r="AI16" s="543"/>
      <c r="AJ16" s="229"/>
      <c r="AK16" s="1908"/>
      <c r="AL16" s="1171"/>
      <c r="AM16" s="1864"/>
    </row>
    <row r="17" spans="1:40" ht="15" customHeight="1">
      <c r="A17" s="353"/>
      <c r="B17" s="490" t="s">
        <v>1294</v>
      </c>
      <c r="C17" s="223"/>
      <c r="D17" s="274"/>
      <c r="E17" s="368"/>
      <c r="F17" s="373"/>
      <c r="G17" s="368"/>
      <c r="H17" s="342"/>
      <c r="I17" s="368"/>
      <c r="J17" s="342"/>
      <c r="K17" s="368"/>
      <c r="L17" s="342"/>
      <c r="M17" s="368"/>
      <c r="N17" s="342"/>
      <c r="O17" s="368"/>
      <c r="P17" s="552"/>
      <c r="Q17" s="368"/>
      <c r="R17" s="372"/>
      <c r="S17" s="368"/>
      <c r="T17" s="373"/>
      <c r="U17" s="368"/>
      <c r="V17" s="274"/>
      <c r="W17" s="261"/>
      <c r="X17" s="274"/>
      <c r="Y17" s="261"/>
      <c r="Z17" s="274"/>
      <c r="AA17" s="274"/>
      <c r="AB17" s="274"/>
      <c r="AC17" s="368"/>
      <c r="AD17" s="473"/>
      <c r="AE17" s="261"/>
      <c r="AF17" s="261"/>
      <c r="AG17" s="252"/>
      <c r="AH17" s="261"/>
      <c r="AI17" s="515"/>
      <c r="AJ17" s="249"/>
      <c r="AK17" s="1908"/>
      <c r="AL17" s="1908"/>
      <c r="AM17" s="1268"/>
    </row>
    <row r="18" spans="1:40" ht="15" customHeight="1">
      <c r="A18" s="353"/>
      <c r="B18" s="1830" t="s">
        <v>1422</v>
      </c>
      <c r="C18" s="223"/>
      <c r="D18" s="274"/>
      <c r="E18" s="368"/>
      <c r="F18" s="373"/>
      <c r="G18" s="368"/>
      <c r="H18" s="342"/>
      <c r="I18" s="368"/>
      <c r="J18" s="342"/>
      <c r="K18" s="368"/>
      <c r="L18" s="342"/>
      <c r="M18" s="368"/>
      <c r="N18" s="342"/>
      <c r="O18" s="368"/>
      <c r="P18" s="552"/>
      <c r="Q18" s="368"/>
      <c r="R18" s="372"/>
      <c r="S18" s="368"/>
      <c r="T18" s="373"/>
      <c r="U18" s="368"/>
      <c r="V18" s="274"/>
      <c r="W18" s="261"/>
      <c r="X18" s="274"/>
      <c r="Y18" s="261"/>
      <c r="Z18" s="274"/>
      <c r="AA18" s="274"/>
      <c r="AB18" s="274"/>
      <c r="AC18" s="368"/>
      <c r="AD18" s="473"/>
      <c r="AE18" s="261"/>
      <c r="AF18" s="261"/>
      <c r="AG18" s="252"/>
      <c r="AH18" s="261"/>
      <c r="AI18" s="515"/>
      <c r="AJ18" s="249"/>
      <c r="AK18" s="1908"/>
      <c r="AL18" s="1908"/>
      <c r="AM18" s="1268"/>
    </row>
    <row r="19" spans="1:40" ht="15" customHeight="1">
      <c r="A19" s="353"/>
      <c r="B19" s="1830" t="s">
        <v>1327</v>
      </c>
      <c r="C19" s="223"/>
      <c r="D19" s="1831">
        <v>0</v>
      </c>
      <c r="E19" s="1832"/>
      <c r="F19" s="2787">
        <v>0</v>
      </c>
      <c r="G19" s="1832"/>
      <c r="H19" s="1832">
        <v>0</v>
      </c>
      <c r="I19" s="1832"/>
      <c r="J19" s="1832">
        <v>0</v>
      </c>
      <c r="K19" s="1252"/>
      <c r="L19" s="1832">
        <v>0</v>
      </c>
      <c r="M19" s="1252"/>
      <c r="N19" s="1832">
        <v>0</v>
      </c>
      <c r="O19" s="1714"/>
      <c r="P19" s="1832">
        <v>0</v>
      </c>
      <c r="Q19" s="1714"/>
      <c r="R19" s="1832">
        <v>0</v>
      </c>
      <c r="S19" s="1714"/>
      <c r="T19" s="1920">
        <v>0</v>
      </c>
      <c r="U19" s="1714"/>
      <c r="V19" s="1254"/>
      <c r="W19" s="1171"/>
      <c r="X19" s="1254"/>
      <c r="Y19" s="1171"/>
      <c r="Z19" s="1254"/>
      <c r="AA19" s="1327"/>
      <c r="AB19" s="242">
        <v>0</v>
      </c>
      <c r="AC19" s="1714"/>
      <c r="AD19" s="2695"/>
      <c r="AE19" s="1832">
        <f>ROUND(SUM(D19:AB19),1)</f>
        <v>0</v>
      </c>
      <c r="AF19" s="1171"/>
      <c r="AG19" s="2729"/>
      <c r="AH19" s="1832">
        <v>0</v>
      </c>
      <c r="AI19" s="2696"/>
      <c r="AJ19" s="1908"/>
      <c r="AK19" s="1832">
        <f>ROUND(SUM(+AE19-AH19),1)</f>
        <v>0</v>
      </c>
      <c r="AL19" s="1908"/>
      <c r="AM19" s="2817">
        <f>ROUND(IF(AH19=0,0,AK19/ABS(AH19)),3)</f>
        <v>0</v>
      </c>
    </row>
    <row r="20" spans="1:40" ht="15" customHeight="1">
      <c r="A20" s="353"/>
      <c r="B20" s="1830" t="s">
        <v>1423</v>
      </c>
      <c r="C20" s="223"/>
      <c r="D20" s="274"/>
      <c r="E20" s="368"/>
      <c r="F20" s="373"/>
      <c r="G20" s="368"/>
      <c r="H20" s="342"/>
      <c r="I20" s="368"/>
      <c r="J20" s="342"/>
      <c r="K20" s="368"/>
      <c r="L20" s="342"/>
      <c r="M20" s="368"/>
      <c r="N20" s="274"/>
      <c r="O20" s="368"/>
      <c r="P20" s="552"/>
      <c r="Q20" s="368"/>
      <c r="R20" s="372"/>
      <c r="S20" s="368"/>
      <c r="T20" s="373"/>
      <c r="U20" s="368"/>
      <c r="V20" s="274"/>
      <c r="W20" s="261"/>
      <c r="X20" s="274"/>
      <c r="Y20" s="261"/>
      <c r="Z20" s="274"/>
      <c r="AA20" s="274"/>
      <c r="AB20" s="261"/>
      <c r="AC20" s="368"/>
      <c r="AD20" s="473"/>
      <c r="AE20" s="261"/>
      <c r="AF20" s="261"/>
      <c r="AG20" s="252"/>
      <c r="AH20" s="261"/>
      <c r="AI20" s="515"/>
      <c r="AJ20" s="249"/>
      <c r="AK20" s="1908"/>
      <c r="AL20" s="1908"/>
      <c r="AM20" s="2828"/>
    </row>
    <row r="21" spans="1:40" ht="15" customHeight="1">
      <c r="A21" s="353"/>
      <c r="B21" s="1830" t="s">
        <v>1329</v>
      </c>
      <c r="C21" s="223"/>
      <c r="D21" s="274">
        <v>3.6</v>
      </c>
      <c r="E21" s="368"/>
      <c r="F21" s="373">
        <v>41.2</v>
      </c>
      <c r="G21" s="368"/>
      <c r="H21" s="319">
        <v>-9.1999999999999993</v>
      </c>
      <c r="I21" s="368"/>
      <c r="J21" s="319">
        <v>1.8</v>
      </c>
      <c r="K21" s="368"/>
      <c r="L21" s="319">
        <v>10</v>
      </c>
      <c r="M21" s="368"/>
      <c r="N21" s="1202">
        <v>0.2</v>
      </c>
      <c r="O21" s="368"/>
      <c r="P21" s="1202">
        <v>1.3</v>
      </c>
      <c r="Q21" s="368"/>
      <c r="R21" s="1202">
        <v>6.5</v>
      </c>
      <c r="S21" s="368"/>
      <c r="T21" s="373">
        <v>0.2</v>
      </c>
      <c r="U21" s="368"/>
      <c r="V21" s="274"/>
      <c r="W21" s="261"/>
      <c r="X21" s="274"/>
      <c r="Y21" s="261"/>
      <c r="Z21" s="274"/>
      <c r="AA21" s="274"/>
      <c r="AB21" s="261">
        <v>0</v>
      </c>
      <c r="AC21" s="368"/>
      <c r="AD21" s="473"/>
      <c r="AE21" s="261">
        <f>ROUND(SUM(D21:AB21),1)</f>
        <v>55.6</v>
      </c>
      <c r="AF21" s="261"/>
      <c r="AG21" s="252"/>
      <c r="AH21" s="261">
        <v>52.9</v>
      </c>
      <c r="AI21" s="515"/>
      <c r="AJ21" s="249"/>
      <c r="AK21" s="1908">
        <f t="shared" ref="AK21:AK51" si="0">ROUND(SUM(+AE21-AH21),1)</f>
        <v>2.7</v>
      </c>
      <c r="AL21" s="1908"/>
      <c r="AM21" s="2817">
        <f>ROUND(IF(AH21=0,0,AK21/ABS(AH21)),3)</f>
        <v>5.0999999999999997E-2</v>
      </c>
      <c r="AN21" s="2675"/>
    </row>
    <row r="22" spans="1:40" ht="15" customHeight="1">
      <c r="A22" s="353"/>
      <c r="B22" s="1830" t="s">
        <v>1330</v>
      </c>
      <c r="C22" s="223"/>
      <c r="D22" s="274">
        <v>0</v>
      </c>
      <c r="E22" s="368"/>
      <c r="F22" s="373">
        <v>0</v>
      </c>
      <c r="G22" s="368"/>
      <c r="H22" s="319">
        <v>0</v>
      </c>
      <c r="I22" s="368"/>
      <c r="J22" s="319">
        <v>0</v>
      </c>
      <c r="K22" s="368"/>
      <c r="L22" s="319">
        <v>0</v>
      </c>
      <c r="M22" s="368"/>
      <c r="N22" s="1202">
        <v>0</v>
      </c>
      <c r="O22" s="368"/>
      <c r="P22" s="1202">
        <v>0</v>
      </c>
      <c r="Q22" s="368"/>
      <c r="R22" s="1202">
        <v>0</v>
      </c>
      <c r="S22" s="368"/>
      <c r="T22" s="373">
        <v>0</v>
      </c>
      <c r="U22" s="368"/>
      <c r="V22" s="274"/>
      <c r="W22" s="261"/>
      <c r="X22" s="274"/>
      <c r="Y22" s="261"/>
      <c r="Z22" s="274"/>
      <c r="AA22" s="274"/>
      <c r="AB22" s="261">
        <v>0</v>
      </c>
      <c r="AC22" s="368"/>
      <c r="AD22" s="473"/>
      <c r="AE22" s="261">
        <f>ROUND(SUM(D22:AB22),1)</f>
        <v>0</v>
      </c>
      <c r="AF22" s="261"/>
      <c r="AG22" s="252"/>
      <c r="AH22" s="261">
        <v>0</v>
      </c>
      <c r="AI22" s="515"/>
      <c r="AJ22" s="249"/>
      <c r="AK22" s="1908">
        <f t="shared" si="0"/>
        <v>0</v>
      </c>
      <c r="AL22" s="1908"/>
      <c r="AM22" s="2817">
        <f>ROUND(IF(AH22=0,0,AK22/ABS(AH22)),3)</f>
        <v>0</v>
      </c>
    </row>
    <row r="23" spans="1:40" ht="15" customHeight="1">
      <c r="A23" s="353"/>
      <c r="B23" s="1830" t="s">
        <v>1331</v>
      </c>
      <c r="C23" s="223"/>
      <c r="D23" s="274">
        <v>0</v>
      </c>
      <c r="E23" s="368"/>
      <c r="F23" s="373">
        <v>0</v>
      </c>
      <c r="G23" s="368"/>
      <c r="H23" s="319">
        <v>0</v>
      </c>
      <c r="I23" s="368"/>
      <c r="J23" s="319">
        <v>0</v>
      </c>
      <c r="K23" s="368"/>
      <c r="L23" s="319">
        <v>0</v>
      </c>
      <c r="M23" s="368"/>
      <c r="N23" s="1202">
        <v>0</v>
      </c>
      <c r="O23" s="368"/>
      <c r="P23" s="1202">
        <v>0</v>
      </c>
      <c r="Q23" s="368"/>
      <c r="R23" s="1202">
        <v>0</v>
      </c>
      <c r="S23" s="368"/>
      <c r="T23" s="373">
        <v>0</v>
      </c>
      <c r="U23" s="368"/>
      <c r="V23" s="274"/>
      <c r="W23" s="261"/>
      <c r="X23" s="274"/>
      <c r="Y23" s="261"/>
      <c r="Z23" s="274"/>
      <c r="AA23" s="274"/>
      <c r="AB23" s="261">
        <v>0</v>
      </c>
      <c r="AC23" s="368"/>
      <c r="AD23" s="473"/>
      <c r="AE23" s="261">
        <f>ROUND(SUM(D23:AB23),1)</f>
        <v>0</v>
      </c>
      <c r="AF23" s="261"/>
      <c r="AG23" s="252"/>
      <c r="AH23" s="261">
        <v>0</v>
      </c>
      <c r="AI23" s="515"/>
      <c r="AJ23" s="249"/>
      <c r="AK23" s="1908">
        <f t="shared" si="0"/>
        <v>0</v>
      </c>
      <c r="AL23" s="1908"/>
      <c r="AM23" s="2817">
        <f>ROUND(IF(AH23=0,0,AK23/ABS(AH23)),3)</f>
        <v>0</v>
      </c>
    </row>
    <row r="24" spans="1:40" ht="15" customHeight="1">
      <c r="A24" s="353"/>
      <c r="B24" s="1830" t="s">
        <v>1332</v>
      </c>
      <c r="C24" s="223"/>
      <c r="D24" s="274">
        <v>0</v>
      </c>
      <c r="E24" s="368"/>
      <c r="F24" s="373">
        <v>0</v>
      </c>
      <c r="G24" s="368"/>
      <c r="H24" s="319">
        <v>0</v>
      </c>
      <c r="I24" s="368"/>
      <c r="J24" s="319">
        <v>0</v>
      </c>
      <c r="K24" s="368"/>
      <c r="L24" s="319">
        <v>0</v>
      </c>
      <c r="M24" s="368"/>
      <c r="N24" s="1202">
        <v>0</v>
      </c>
      <c r="O24" s="368"/>
      <c r="P24" s="1202">
        <v>0</v>
      </c>
      <c r="Q24" s="368"/>
      <c r="R24" s="1202">
        <v>0</v>
      </c>
      <c r="S24" s="368"/>
      <c r="T24" s="373">
        <v>0</v>
      </c>
      <c r="U24" s="368"/>
      <c r="V24" s="274"/>
      <c r="W24" s="261"/>
      <c r="X24" s="274"/>
      <c r="Y24" s="261"/>
      <c r="Z24" s="274"/>
      <c r="AA24" s="274"/>
      <c r="AB24" s="261">
        <v>0</v>
      </c>
      <c r="AC24" s="368"/>
      <c r="AD24" s="473"/>
      <c r="AE24" s="261">
        <f>ROUND(SUM(D24:AB24),1)</f>
        <v>0</v>
      </c>
      <c r="AF24" s="261"/>
      <c r="AG24" s="252"/>
      <c r="AH24" s="261">
        <v>0</v>
      </c>
      <c r="AI24" s="515"/>
      <c r="AJ24" s="249"/>
      <c r="AK24" s="1908">
        <f t="shared" si="0"/>
        <v>0</v>
      </c>
      <c r="AL24" s="1908"/>
      <c r="AM24" s="2817">
        <f>ROUND(IF(AH24=0,0,AK24/ABS(AH24)),3)</f>
        <v>0</v>
      </c>
    </row>
    <row r="25" spans="1:40" ht="15" customHeight="1">
      <c r="A25" s="353"/>
      <c r="B25" s="1830" t="s">
        <v>1428</v>
      </c>
      <c r="C25" s="223"/>
      <c r="D25" s="274"/>
      <c r="E25" s="368"/>
      <c r="F25" s="373"/>
      <c r="G25" s="368"/>
      <c r="H25" s="342"/>
      <c r="I25" s="368"/>
      <c r="J25" s="342"/>
      <c r="K25" s="368"/>
      <c r="L25" s="342"/>
      <c r="M25" s="368"/>
      <c r="N25" s="274"/>
      <c r="O25" s="368"/>
      <c r="P25" s="552"/>
      <c r="Q25" s="368"/>
      <c r="R25" s="372"/>
      <c r="S25" s="368"/>
      <c r="T25" s="373"/>
      <c r="U25" s="368"/>
      <c r="V25" s="274"/>
      <c r="W25" s="261"/>
      <c r="X25" s="274"/>
      <c r="Y25" s="261"/>
      <c r="Z25" s="274"/>
      <c r="AA25" s="274"/>
      <c r="AB25" s="261"/>
      <c r="AC25" s="368"/>
      <c r="AD25" s="473"/>
      <c r="AE25" s="261"/>
      <c r="AF25" s="261"/>
      <c r="AG25" s="252"/>
      <c r="AH25" s="261"/>
      <c r="AI25" s="515"/>
      <c r="AJ25" s="249"/>
      <c r="AK25" s="1908"/>
      <c r="AL25" s="1908"/>
      <c r="AM25" s="2817"/>
    </row>
    <row r="26" spans="1:40" ht="15" customHeight="1">
      <c r="A26" s="353"/>
      <c r="B26" s="1830" t="s">
        <v>1333</v>
      </c>
      <c r="C26" s="223"/>
      <c r="D26" s="274">
        <v>0</v>
      </c>
      <c r="E26" s="368"/>
      <c r="F26" s="373">
        <v>0</v>
      </c>
      <c r="G26" s="368"/>
      <c r="H26" s="319">
        <v>0</v>
      </c>
      <c r="I26" s="368"/>
      <c r="J26" s="319">
        <v>0</v>
      </c>
      <c r="K26" s="368"/>
      <c r="L26" s="319">
        <v>0</v>
      </c>
      <c r="M26" s="368"/>
      <c r="N26" s="1202">
        <v>0</v>
      </c>
      <c r="O26" s="368"/>
      <c r="P26" s="1202">
        <v>0</v>
      </c>
      <c r="Q26" s="368"/>
      <c r="R26" s="1202">
        <v>0</v>
      </c>
      <c r="S26" s="368"/>
      <c r="T26" s="373">
        <v>0</v>
      </c>
      <c r="U26" s="368"/>
      <c r="V26" s="274"/>
      <c r="W26" s="261"/>
      <c r="X26" s="274"/>
      <c r="Y26" s="261"/>
      <c r="Z26" s="274"/>
      <c r="AA26" s="274"/>
      <c r="AB26" s="261">
        <v>0</v>
      </c>
      <c r="AC26" s="368"/>
      <c r="AD26" s="473"/>
      <c r="AE26" s="261">
        <f t="shared" ref="AE26:AE31" si="1">ROUND(SUM(D26:AB26),1)</f>
        <v>0</v>
      </c>
      <c r="AF26" s="261"/>
      <c r="AG26" s="252"/>
      <c r="AH26" s="261">
        <v>0</v>
      </c>
      <c r="AI26" s="515"/>
      <c r="AJ26" s="249"/>
      <c r="AK26" s="1908">
        <f t="shared" si="0"/>
        <v>0</v>
      </c>
      <c r="AL26" s="1908"/>
      <c r="AM26" s="2817">
        <f>ROUND(IF(AH26=0,0,AK26/ABS(AH26)),3)</f>
        <v>0</v>
      </c>
    </row>
    <row r="27" spans="1:40" ht="15" customHeight="1">
      <c r="A27" s="353"/>
      <c r="B27" s="1830" t="s">
        <v>1334</v>
      </c>
      <c r="C27" s="223"/>
      <c r="D27" s="274">
        <v>0</v>
      </c>
      <c r="E27" s="368"/>
      <c r="F27" s="373">
        <v>0</v>
      </c>
      <c r="G27" s="368"/>
      <c r="H27" s="319">
        <v>0</v>
      </c>
      <c r="I27" s="368"/>
      <c r="J27" s="319">
        <v>0</v>
      </c>
      <c r="K27" s="368"/>
      <c r="L27" s="319">
        <v>0</v>
      </c>
      <c r="M27" s="368"/>
      <c r="N27" s="1202">
        <v>0</v>
      </c>
      <c r="O27" s="368"/>
      <c r="P27" s="1202">
        <v>0</v>
      </c>
      <c r="Q27" s="368"/>
      <c r="R27" s="1202">
        <v>0</v>
      </c>
      <c r="S27" s="368"/>
      <c r="T27" s="373">
        <v>0</v>
      </c>
      <c r="U27" s="368"/>
      <c r="V27" s="274"/>
      <c r="W27" s="261"/>
      <c r="X27" s="274"/>
      <c r="Y27" s="261"/>
      <c r="Z27" s="274"/>
      <c r="AA27" s="274"/>
      <c r="AB27" s="261">
        <v>0</v>
      </c>
      <c r="AC27" s="368"/>
      <c r="AD27" s="473"/>
      <c r="AE27" s="261">
        <f t="shared" si="1"/>
        <v>0</v>
      </c>
      <c r="AF27" s="261"/>
      <c r="AG27" s="252"/>
      <c r="AH27" s="261">
        <v>0</v>
      </c>
      <c r="AI27" s="515"/>
      <c r="AJ27" s="249"/>
      <c r="AK27" s="1908">
        <f t="shared" si="0"/>
        <v>0</v>
      </c>
      <c r="AL27" s="1908"/>
      <c r="AM27" s="2817">
        <f t="shared" ref="AM27:AM32" si="2">ROUND(IF(AH27=0,0,AK27/ABS(AH27)),3)</f>
        <v>0</v>
      </c>
    </row>
    <row r="28" spans="1:40" ht="15" customHeight="1">
      <c r="A28" s="353"/>
      <c r="B28" s="1830" t="s">
        <v>1335</v>
      </c>
      <c r="C28" s="223"/>
      <c r="D28" s="274">
        <v>0</v>
      </c>
      <c r="E28" s="368"/>
      <c r="F28" s="373">
        <v>0</v>
      </c>
      <c r="G28" s="368"/>
      <c r="H28" s="319">
        <v>0</v>
      </c>
      <c r="I28" s="368"/>
      <c r="J28" s="319">
        <v>0</v>
      </c>
      <c r="K28" s="368"/>
      <c r="L28" s="319">
        <v>0</v>
      </c>
      <c r="M28" s="368"/>
      <c r="N28" s="1202">
        <v>0</v>
      </c>
      <c r="O28" s="368"/>
      <c r="P28" s="1202">
        <v>0</v>
      </c>
      <c r="Q28" s="368"/>
      <c r="R28" s="1202">
        <v>0</v>
      </c>
      <c r="S28" s="368"/>
      <c r="T28" s="373">
        <v>0</v>
      </c>
      <c r="U28" s="368"/>
      <c r="V28" s="274"/>
      <c r="W28" s="261"/>
      <c r="X28" s="274"/>
      <c r="Y28" s="261"/>
      <c r="Z28" s="274"/>
      <c r="AA28" s="274"/>
      <c r="AB28" s="261">
        <v>0</v>
      </c>
      <c r="AC28" s="368"/>
      <c r="AD28" s="473"/>
      <c r="AE28" s="261">
        <f t="shared" si="1"/>
        <v>0</v>
      </c>
      <c r="AF28" s="261"/>
      <c r="AG28" s="252"/>
      <c r="AH28" s="261">
        <v>0</v>
      </c>
      <c r="AI28" s="515"/>
      <c r="AJ28" s="249"/>
      <c r="AK28" s="1908">
        <f t="shared" si="0"/>
        <v>0</v>
      </c>
      <c r="AL28" s="1908"/>
      <c r="AM28" s="2817">
        <f t="shared" si="2"/>
        <v>0</v>
      </c>
    </row>
    <row r="29" spans="1:40" ht="15" customHeight="1">
      <c r="A29" s="353"/>
      <c r="B29" s="1830" t="s">
        <v>1336</v>
      </c>
      <c r="C29" s="223"/>
      <c r="D29" s="274">
        <v>0</v>
      </c>
      <c r="E29" s="368"/>
      <c r="F29" s="373">
        <v>0</v>
      </c>
      <c r="G29" s="368"/>
      <c r="H29" s="319">
        <v>0</v>
      </c>
      <c r="I29" s="368"/>
      <c r="J29" s="319">
        <v>0</v>
      </c>
      <c r="K29" s="368"/>
      <c r="L29" s="319">
        <v>0</v>
      </c>
      <c r="M29" s="368"/>
      <c r="N29" s="1202">
        <v>0</v>
      </c>
      <c r="O29" s="368"/>
      <c r="P29" s="1202">
        <v>0</v>
      </c>
      <c r="Q29" s="368"/>
      <c r="R29" s="1202">
        <v>0</v>
      </c>
      <c r="S29" s="368"/>
      <c r="T29" s="373">
        <v>0</v>
      </c>
      <c r="U29" s="368"/>
      <c r="V29" s="274"/>
      <c r="W29" s="261"/>
      <c r="X29" s="274"/>
      <c r="Y29" s="261"/>
      <c r="Z29" s="274"/>
      <c r="AA29" s="274"/>
      <c r="AB29" s="261">
        <v>0</v>
      </c>
      <c r="AC29" s="368"/>
      <c r="AD29" s="473"/>
      <c r="AE29" s="261">
        <f t="shared" si="1"/>
        <v>0</v>
      </c>
      <c r="AF29" s="261"/>
      <c r="AG29" s="252"/>
      <c r="AH29" s="261">
        <v>0</v>
      </c>
      <c r="AI29" s="515"/>
      <c r="AJ29" s="249"/>
      <c r="AK29" s="1908">
        <f t="shared" si="0"/>
        <v>0</v>
      </c>
      <c r="AL29" s="1908"/>
      <c r="AM29" s="2817">
        <f t="shared" si="2"/>
        <v>0</v>
      </c>
    </row>
    <row r="30" spans="1:40" ht="15" customHeight="1">
      <c r="A30" s="353"/>
      <c r="B30" s="1830" t="s">
        <v>1337</v>
      </c>
      <c r="C30" s="223"/>
      <c r="D30" s="274">
        <v>0</v>
      </c>
      <c r="E30" s="368"/>
      <c r="F30" s="373">
        <v>0</v>
      </c>
      <c r="G30" s="368"/>
      <c r="H30" s="319">
        <v>0</v>
      </c>
      <c r="I30" s="368"/>
      <c r="J30" s="319">
        <v>0</v>
      </c>
      <c r="K30" s="368"/>
      <c r="L30" s="319">
        <v>0</v>
      </c>
      <c r="M30" s="368"/>
      <c r="N30" s="1202">
        <v>0</v>
      </c>
      <c r="O30" s="368"/>
      <c r="P30" s="1202">
        <v>0</v>
      </c>
      <c r="Q30" s="368"/>
      <c r="R30" s="1202">
        <v>0</v>
      </c>
      <c r="S30" s="368"/>
      <c r="T30" s="373">
        <v>0</v>
      </c>
      <c r="U30" s="368"/>
      <c r="V30" s="274"/>
      <c r="W30" s="261"/>
      <c r="X30" s="274"/>
      <c r="Y30" s="261"/>
      <c r="Z30" s="274"/>
      <c r="AA30" s="274"/>
      <c r="AB30" s="261">
        <v>0</v>
      </c>
      <c r="AC30" s="368"/>
      <c r="AD30" s="473"/>
      <c r="AE30" s="261">
        <f t="shared" si="1"/>
        <v>0</v>
      </c>
      <c r="AF30" s="261"/>
      <c r="AG30" s="252"/>
      <c r="AH30" s="261">
        <v>0</v>
      </c>
      <c r="AI30" s="515"/>
      <c r="AJ30" s="249"/>
      <c r="AK30" s="1908">
        <f t="shared" si="0"/>
        <v>0</v>
      </c>
      <c r="AL30" s="1908"/>
      <c r="AM30" s="2817">
        <f t="shared" si="2"/>
        <v>0</v>
      </c>
    </row>
    <row r="31" spans="1:40" ht="15" customHeight="1">
      <c r="A31" s="353"/>
      <c r="B31" s="1830" t="s">
        <v>1295</v>
      </c>
      <c r="C31" s="223"/>
      <c r="D31" s="274">
        <v>0.8</v>
      </c>
      <c r="E31" s="368"/>
      <c r="F31" s="373">
        <v>0.3</v>
      </c>
      <c r="G31" s="368"/>
      <c r="H31" s="319">
        <v>0.8</v>
      </c>
      <c r="I31" s="368"/>
      <c r="J31" s="319">
        <v>1.5</v>
      </c>
      <c r="K31" s="368"/>
      <c r="L31" s="319">
        <v>0.8</v>
      </c>
      <c r="M31" s="368"/>
      <c r="N31" s="1202">
        <v>3</v>
      </c>
      <c r="O31" s="368"/>
      <c r="P31" s="1202">
        <v>0.4</v>
      </c>
      <c r="Q31" s="368"/>
      <c r="R31" s="1202">
        <v>0.8</v>
      </c>
      <c r="S31" s="368"/>
      <c r="T31" s="373">
        <v>0.8</v>
      </c>
      <c r="U31" s="368"/>
      <c r="V31" s="274"/>
      <c r="W31" s="261"/>
      <c r="X31" s="274"/>
      <c r="Y31" s="261"/>
      <c r="Z31" s="274"/>
      <c r="AA31" s="274"/>
      <c r="AB31" s="261">
        <v>0</v>
      </c>
      <c r="AC31" s="368"/>
      <c r="AD31" s="473"/>
      <c r="AE31" s="261">
        <f t="shared" si="1"/>
        <v>9.1999999999999993</v>
      </c>
      <c r="AF31" s="261"/>
      <c r="AG31" s="252"/>
      <c r="AH31" s="261">
        <v>6.9</v>
      </c>
      <c r="AI31" s="515"/>
      <c r="AJ31" s="249"/>
      <c r="AK31" s="1908">
        <f>ROUND(SUM(+AE31-AH31),1)</f>
        <v>2.2999999999999998</v>
      </c>
      <c r="AL31" s="1908"/>
      <c r="AM31" s="2817">
        <f t="shared" si="2"/>
        <v>0.33300000000000002</v>
      </c>
    </row>
    <row r="32" spans="1:40" ht="15" customHeight="1">
      <c r="A32" s="353"/>
      <c r="B32" s="1830" t="s">
        <v>1296</v>
      </c>
      <c r="C32" s="223"/>
      <c r="D32" s="274">
        <v>0</v>
      </c>
      <c r="E32" s="368"/>
      <c r="F32" s="373">
        <v>0</v>
      </c>
      <c r="G32" s="368"/>
      <c r="H32" s="319">
        <v>0.1</v>
      </c>
      <c r="I32" s="368"/>
      <c r="J32" s="319">
        <v>0</v>
      </c>
      <c r="K32" s="368"/>
      <c r="L32" s="319">
        <v>0.1</v>
      </c>
      <c r="M32" s="368"/>
      <c r="N32" s="1202">
        <v>0</v>
      </c>
      <c r="O32" s="368"/>
      <c r="P32" s="1202">
        <v>0.1</v>
      </c>
      <c r="Q32" s="368"/>
      <c r="R32" s="1202">
        <v>0.1</v>
      </c>
      <c r="S32" s="368"/>
      <c r="T32" s="373">
        <v>0</v>
      </c>
      <c r="U32" s="368"/>
      <c r="V32" s="274"/>
      <c r="W32" s="261"/>
      <c r="X32" s="274"/>
      <c r="Y32" s="261"/>
      <c r="Z32" s="274"/>
      <c r="AA32" s="274"/>
      <c r="AB32" s="261">
        <v>0</v>
      </c>
      <c r="AC32" s="368"/>
      <c r="AD32" s="473"/>
      <c r="AE32" s="261">
        <f>ROUND(SUM(D32:AB32),1)</f>
        <v>0.4</v>
      </c>
      <c r="AF32" s="261"/>
      <c r="AG32" s="252"/>
      <c r="AH32" s="261">
        <v>0.1</v>
      </c>
      <c r="AI32" s="515"/>
      <c r="AJ32" s="249"/>
      <c r="AK32" s="1908">
        <f t="shared" si="0"/>
        <v>0.3</v>
      </c>
      <c r="AL32" s="1908"/>
      <c r="AM32" s="2817">
        <f t="shared" si="2"/>
        <v>3</v>
      </c>
    </row>
    <row r="33" spans="1:39" ht="15" customHeight="1">
      <c r="A33" s="353"/>
      <c r="B33" s="1830" t="s">
        <v>1426</v>
      </c>
      <c r="C33" s="223"/>
      <c r="D33" s="274"/>
      <c r="E33" s="368"/>
      <c r="F33" s="373"/>
      <c r="G33" s="368"/>
      <c r="H33" s="342"/>
      <c r="I33" s="368"/>
      <c r="J33" s="342"/>
      <c r="K33" s="368"/>
      <c r="L33" s="342"/>
      <c r="M33" s="368"/>
      <c r="N33" s="274"/>
      <c r="O33" s="368"/>
      <c r="P33" s="552"/>
      <c r="Q33" s="368"/>
      <c r="R33" s="372"/>
      <c r="S33" s="368"/>
      <c r="T33" s="373"/>
      <c r="U33" s="368"/>
      <c r="V33" s="274"/>
      <c r="W33" s="261"/>
      <c r="X33" s="274"/>
      <c r="Y33" s="261"/>
      <c r="Z33" s="274"/>
      <c r="AA33" s="274"/>
      <c r="AB33" s="261"/>
      <c r="AC33" s="368"/>
      <c r="AD33" s="473"/>
      <c r="AE33" s="261"/>
      <c r="AF33" s="261"/>
      <c r="AG33" s="252"/>
      <c r="AH33" s="261"/>
      <c r="AI33" s="515"/>
      <c r="AJ33" s="249"/>
      <c r="AK33" s="1908"/>
      <c r="AL33" s="1908"/>
      <c r="AM33" s="2828"/>
    </row>
    <row r="34" spans="1:39" ht="15" customHeight="1">
      <c r="A34" s="353"/>
      <c r="B34" s="1830" t="s">
        <v>1341</v>
      </c>
      <c r="C34" s="223"/>
      <c r="D34" s="274">
        <v>0</v>
      </c>
      <c r="E34" s="368"/>
      <c r="F34" s="373">
        <v>0</v>
      </c>
      <c r="G34" s="368"/>
      <c r="H34" s="319">
        <v>0</v>
      </c>
      <c r="I34" s="368"/>
      <c r="J34" s="319">
        <v>0</v>
      </c>
      <c r="K34" s="368"/>
      <c r="L34" s="319">
        <v>0</v>
      </c>
      <c r="M34" s="368"/>
      <c r="N34" s="1202">
        <v>0</v>
      </c>
      <c r="O34" s="368"/>
      <c r="P34" s="1202">
        <v>0</v>
      </c>
      <c r="Q34" s="368"/>
      <c r="R34" s="1202">
        <v>0</v>
      </c>
      <c r="S34" s="368"/>
      <c r="T34" s="373">
        <v>0</v>
      </c>
      <c r="U34" s="368"/>
      <c r="V34" s="274"/>
      <c r="W34" s="261"/>
      <c r="X34" s="274"/>
      <c r="Y34" s="261"/>
      <c r="Z34" s="274"/>
      <c r="AA34" s="274"/>
      <c r="AB34" s="261">
        <v>0</v>
      </c>
      <c r="AC34" s="368"/>
      <c r="AD34" s="473"/>
      <c r="AE34" s="261">
        <f t="shared" ref="AE34:AE39" si="3">ROUND(SUM(D34:AB34),1)</f>
        <v>0</v>
      </c>
      <c r="AF34" s="261"/>
      <c r="AG34" s="252"/>
      <c r="AH34" s="261">
        <v>0</v>
      </c>
      <c r="AI34" s="515"/>
      <c r="AJ34" s="249"/>
      <c r="AK34" s="1908">
        <f t="shared" si="0"/>
        <v>0</v>
      </c>
      <c r="AL34" s="1908"/>
      <c r="AM34" s="2817">
        <f t="shared" ref="AM34:AM39" si="4">ROUND(IF(AH34=0,0,AK34/ABS(AH34)),3)</f>
        <v>0</v>
      </c>
    </row>
    <row r="35" spans="1:39" ht="15" customHeight="1">
      <c r="A35" s="353"/>
      <c r="B35" s="1830" t="s">
        <v>1342</v>
      </c>
      <c r="C35" s="223"/>
      <c r="D35" s="274">
        <v>0</v>
      </c>
      <c r="E35" s="368"/>
      <c r="F35" s="373">
        <v>0</v>
      </c>
      <c r="G35" s="368"/>
      <c r="H35" s="319">
        <v>0</v>
      </c>
      <c r="I35" s="368"/>
      <c r="J35" s="319">
        <v>0</v>
      </c>
      <c r="K35" s="368"/>
      <c r="L35" s="319">
        <v>0</v>
      </c>
      <c r="M35" s="368"/>
      <c r="N35" s="1202">
        <v>0</v>
      </c>
      <c r="O35" s="368"/>
      <c r="P35" s="1202">
        <v>0</v>
      </c>
      <c r="Q35" s="368"/>
      <c r="R35" s="1202">
        <v>0</v>
      </c>
      <c r="S35" s="368"/>
      <c r="T35" s="373">
        <v>0</v>
      </c>
      <c r="U35" s="368"/>
      <c r="V35" s="274"/>
      <c r="W35" s="261"/>
      <c r="X35" s="274"/>
      <c r="Y35" s="261"/>
      <c r="Z35" s="274"/>
      <c r="AA35" s="274"/>
      <c r="AB35" s="261">
        <v>0</v>
      </c>
      <c r="AC35" s="368"/>
      <c r="AD35" s="473"/>
      <c r="AE35" s="261">
        <f t="shared" si="3"/>
        <v>0</v>
      </c>
      <c r="AF35" s="261"/>
      <c r="AG35" s="252"/>
      <c r="AH35" s="261">
        <v>0</v>
      </c>
      <c r="AI35" s="515"/>
      <c r="AJ35" s="249"/>
      <c r="AK35" s="1908">
        <f t="shared" si="0"/>
        <v>0</v>
      </c>
      <c r="AL35" s="1908"/>
      <c r="AM35" s="2817">
        <f t="shared" si="4"/>
        <v>0</v>
      </c>
    </row>
    <row r="36" spans="1:39" ht="15" customHeight="1">
      <c r="A36" s="353"/>
      <c r="B36" s="1830" t="s">
        <v>1343</v>
      </c>
      <c r="C36" s="223"/>
      <c r="D36" s="274">
        <v>0</v>
      </c>
      <c r="E36" s="368"/>
      <c r="F36" s="373">
        <v>0</v>
      </c>
      <c r="G36" s="368"/>
      <c r="H36" s="319">
        <v>0</v>
      </c>
      <c r="I36" s="368"/>
      <c r="J36" s="319">
        <v>0</v>
      </c>
      <c r="K36" s="368"/>
      <c r="L36" s="319">
        <v>0</v>
      </c>
      <c r="M36" s="368"/>
      <c r="N36" s="1202">
        <v>0</v>
      </c>
      <c r="O36" s="368"/>
      <c r="P36" s="1202">
        <v>0</v>
      </c>
      <c r="Q36" s="368"/>
      <c r="R36" s="1202">
        <v>0</v>
      </c>
      <c r="S36" s="368"/>
      <c r="T36" s="373">
        <v>0</v>
      </c>
      <c r="U36" s="368"/>
      <c r="V36" s="274"/>
      <c r="W36" s="261"/>
      <c r="X36" s="274"/>
      <c r="Y36" s="261"/>
      <c r="Z36" s="274"/>
      <c r="AA36" s="274"/>
      <c r="AB36" s="261">
        <v>0</v>
      </c>
      <c r="AC36" s="368"/>
      <c r="AD36" s="473"/>
      <c r="AE36" s="261">
        <f t="shared" si="3"/>
        <v>0</v>
      </c>
      <c r="AF36" s="261"/>
      <c r="AG36" s="252"/>
      <c r="AH36" s="261">
        <v>0</v>
      </c>
      <c r="AI36" s="515"/>
      <c r="AJ36" s="249"/>
      <c r="AK36" s="1908">
        <f t="shared" si="0"/>
        <v>0</v>
      </c>
      <c r="AL36" s="1908"/>
      <c r="AM36" s="2817">
        <f t="shared" si="4"/>
        <v>0</v>
      </c>
    </row>
    <row r="37" spans="1:39" ht="15" customHeight="1">
      <c r="A37" s="353"/>
      <c r="B37" s="1830" t="s">
        <v>1344</v>
      </c>
      <c r="C37" s="223"/>
      <c r="D37" s="274">
        <v>0</v>
      </c>
      <c r="E37" s="368"/>
      <c r="F37" s="373">
        <v>0</v>
      </c>
      <c r="G37" s="368"/>
      <c r="H37" s="319">
        <v>0</v>
      </c>
      <c r="I37" s="368"/>
      <c r="J37" s="319">
        <v>0</v>
      </c>
      <c r="K37" s="368"/>
      <c r="L37" s="319">
        <v>0</v>
      </c>
      <c r="M37" s="368"/>
      <c r="N37" s="1202">
        <v>0</v>
      </c>
      <c r="O37" s="368"/>
      <c r="P37" s="1202">
        <v>0</v>
      </c>
      <c r="Q37" s="368"/>
      <c r="R37" s="1202">
        <v>0</v>
      </c>
      <c r="S37" s="368"/>
      <c r="T37" s="373">
        <v>0</v>
      </c>
      <c r="U37" s="368"/>
      <c r="V37" s="274"/>
      <c r="W37" s="261"/>
      <c r="X37" s="274"/>
      <c r="Y37" s="261"/>
      <c r="Z37" s="274"/>
      <c r="AA37" s="274"/>
      <c r="AB37" s="261">
        <v>0</v>
      </c>
      <c r="AC37" s="368"/>
      <c r="AD37" s="473"/>
      <c r="AE37" s="261">
        <f t="shared" si="3"/>
        <v>0</v>
      </c>
      <c r="AF37" s="261"/>
      <c r="AG37" s="252"/>
      <c r="AH37" s="261">
        <v>0</v>
      </c>
      <c r="AI37" s="515"/>
      <c r="AJ37" s="249"/>
      <c r="AK37" s="1908">
        <f t="shared" si="0"/>
        <v>0</v>
      </c>
      <c r="AL37" s="1908"/>
      <c r="AM37" s="2817">
        <f t="shared" si="4"/>
        <v>0</v>
      </c>
    </row>
    <row r="38" spans="1:39" ht="15" customHeight="1">
      <c r="A38" s="353"/>
      <c r="B38" s="1830" t="s">
        <v>1314</v>
      </c>
      <c r="C38" s="223"/>
      <c r="D38" s="274">
        <v>0</v>
      </c>
      <c r="E38" s="368"/>
      <c r="F38" s="373">
        <v>0</v>
      </c>
      <c r="G38" s="368"/>
      <c r="H38" s="319">
        <v>0</v>
      </c>
      <c r="I38" s="368"/>
      <c r="J38" s="319">
        <v>0</v>
      </c>
      <c r="K38" s="368"/>
      <c r="L38" s="319">
        <v>0</v>
      </c>
      <c r="M38" s="368"/>
      <c r="N38" s="1202">
        <v>0</v>
      </c>
      <c r="O38" s="368"/>
      <c r="P38" s="1202">
        <v>0</v>
      </c>
      <c r="Q38" s="368"/>
      <c r="R38" s="1202">
        <v>0</v>
      </c>
      <c r="S38" s="368"/>
      <c r="T38" s="373">
        <v>0</v>
      </c>
      <c r="U38" s="368"/>
      <c r="V38" s="274"/>
      <c r="W38" s="261"/>
      <c r="X38" s="274"/>
      <c r="Y38" s="261"/>
      <c r="Z38" s="274"/>
      <c r="AA38" s="274"/>
      <c r="AB38" s="261">
        <v>0</v>
      </c>
      <c r="AC38" s="368"/>
      <c r="AD38" s="473"/>
      <c r="AE38" s="261">
        <f t="shared" si="3"/>
        <v>0</v>
      </c>
      <c r="AF38" s="261"/>
      <c r="AG38" s="252"/>
      <c r="AH38" s="261">
        <v>0</v>
      </c>
      <c r="AI38" s="515"/>
      <c r="AJ38" s="249"/>
      <c r="AK38" s="1908">
        <f t="shared" si="0"/>
        <v>0</v>
      </c>
      <c r="AL38" s="1908"/>
      <c r="AM38" s="2817">
        <f t="shared" si="4"/>
        <v>0</v>
      </c>
    </row>
    <row r="39" spans="1:39" ht="15" customHeight="1">
      <c r="A39" s="353"/>
      <c r="B39" s="1830" t="s">
        <v>1315</v>
      </c>
      <c r="C39" s="223"/>
      <c r="D39" s="274">
        <v>0</v>
      </c>
      <c r="E39" s="368"/>
      <c r="F39" s="373">
        <v>0</v>
      </c>
      <c r="G39" s="368"/>
      <c r="H39" s="319">
        <v>0</v>
      </c>
      <c r="I39" s="368"/>
      <c r="J39" s="319">
        <v>0</v>
      </c>
      <c r="K39" s="368"/>
      <c r="L39" s="319">
        <v>0</v>
      </c>
      <c r="M39" s="368"/>
      <c r="N39" s="1202">
        <v>0</v>
      </c>
      <c r="O39" s="368"/>
      <c r="P39" s="1202">
        <v>0</v>
      </c>
      <c r="Q39" s="368"/>
      <c r="R39" s="1202">
        <v>0</v>
      </c>
      <c r="S39" s="368"/>
      <c r="T39" s="373">
        <v>0</v>
      </c>
      <c r="U39" s="368"/>
      <c r="V39" s="274"/>
      <c r="W39" s="261"/>
      <c r="X39" s="274"/>
      <c r="Y39" s="261"/>
      <c r="Z39" s="274"/>
      <c r="AA39" s="274"/>
      <c r="AB39" s="261">
        <v>0</v>
      </c>
      <c r="AC39" s="368"/>
      <c r="AD39" s="473"/>
      <c r="AE39" s="261">
        <f t="shared" si="3"/>
        <v>0</v>
      </c>
      <c r="AF39" s="261"/>
      <c r="AG39" s="252"/>
      <c r="AH39" s="261">
        <v>0</v>
      </c>
      <c r="AI39" s="515"/>
      <c r="AJ39" s="249"/>
      <c r="AK39" s="1908">
        <f t="shared" si="0"/>
        <v>0</v>
      </c>
      <c r="AL39" s="1908"/>
      <c r="AM39" s="2817">
        <f t="shared" si="4"/>
        <v>0</v>
      </c>
    </row>
    <row r="40" spans="1:39" ht="15" customHeight="1">
      <c r="A40" s="353"/>
      <c r="B40" s="1830" t="s">
        <v>1427</v>
      </c>
      <c r="C40" s="223"/>
      <c r="D40" s="274"/>
      <c r="E40" s="368"/>
      <c r="F40" s="373"/>
      <c r="G40" s="368"/>
      <c r="H40" s="342"/>
      <c r="I40" s="368"/>
      <c r="J40" s="342"/>
      <c r="K40" s="368"/>
      <c r="L40" s="342"/>
      <c r="M40" s="368"/>
      <c r="N40" s="274"/>
      <c r="O40" s="368"/>
      <c r="P40" s="552"/>
      <c r="Q40" s="368"/>
      <c r="R40" s="1202"/>
      <c r="S40" s="368"/>
      <c r="T40" s="373"/>
      <c r="U40" s="368"/>
      <c r="V40" s="274"/>
      <c r="W40" s="261"/>
      <c r="X40" s="274"/>
      <c r="Y40" s="261"/>
      <c r="Z40" s="274"/>
      <c r="AA40" s="274"/>
      <c r="AB40" s="261"/>
      <c r="AC40" s="368"/>
      <c r="AD40" s="473"/>
      <c r="AE40" s="261"/>
      <c r="AF40" s="261"/>
      <c r="AG40" s="252"/>
      <c r="AH40" s="261"/>
      <c r="AI40" s="515"/>
      <c r="AJ40" s="249"/>
      <c r="AK40" s="1908"/>
      <c r="AL40" s="1908"/>
      <c r="AM40" s="2828"/>
    </row>
    <row r="41" spans="1:39" ht="15" customHeight="1">
      <c r="A41" s="353"/>
      <c r="B41" s="1830" t="s">
        <v>1345</v>
      </c>
      <c r="C41" s="223"/>
      <c r="D41" s="274">
        <v>0.1</v>
      </c>
      <c r="E41" s="368"/>
      <c r="F41" s="373">
        <v>0</v>
      </c>
      <c r="G41" s="368"/>
      <c r="H41" s="319">
        <v>0</v>
      </c>
      <c r="I41" s="368"/>
      <c r="J41" s="319">
        <v>0</v>
      </c>
      <c r="K41" s="368"/>
      <c r="L41" s="319">
        <v>0.5</v>
      </c>
      <c r="M41" s="368"/>
      <c r="N41" s="1202">
        <v>0</v>
      </c>
      <c r="O41" s="368"/>
      <c r="P41" s="1202">
        <v>0</v>
      </c>
      <c r="Q41" s="368"/>
      <c r="R41" s="1202">
        <v>0</v>
      </c>
      <c r="S41" s="368"/>
      <c r="T41" s="373">
        <v>0</v>
      </c>
      <c r="U41" s="368"/>
      <c r="V41" s="274"/>
      <c r="W41" s="261"/>
      <c r="X41" s="274"/>
      <c r="Y41" s="261"/>
      <c r="Z41" s="274"/>
      <c r="AA41" s="274"/>
      <c r="AB41" s="261">
        <v>0</v>
      </c>
      <c r="AC41" s="368"/>
      <c r="AD41" s="473"/>
      <c r="AE41" s="261">
        <f>ROUND(SUM(D41:AB41),1)</f>
        <v>0.6</v>
      </c>
      <c r="AF41" s="261"/>
      <c r="AG41" s="252"/>
      <c r="AH41" s="261">
        <v>0.2</v>
      </c>
      <c r="AI41" s="515"/>
      <c r="AJ41" s="249"/>
      <c r="AK41" s="1908">
        <f t="shared" si="0"/>
        <v>0.4</v>
      </c>
      <c r="AL41" s="1908"/>
      <c r="AM41" s="2817">
        <f>ROUND(IF(AH41=0,1,AK41/ABS(AH41)),3)</f>
        <v>2</v>
      </c>
    </row>
    <row r="42" spans="1:39" ht="15" customHeight="1">
      <c r="A42" s="353"/>
      <c r="B42" s="1830" t="s">
        <v>1346</v>
      </c>
      <c r="C42" s="223"/>
      <c r="D42" s="274">
        <v>0</v>
      </c>
      <c r="E42" s="368"/>
      <c r="F42" s="373">
        <v>0</v>
      </c>
      <c r="G42" s="368"/>
      <c r="H42" s="319">
        <v>0</v>
      </c>
      <c r="I42" s="368"/>
      <c r="J42" s="319">
        <v>0</v>
      </c>
      <c r="K42" s="368"/>
      <c r="L42" s="319">
        <v>0</v>
      </c>
      <c r="M42" s="368"/>
      <c r="N42" s="1202">
        <v>0</v>
      </c>
      <c r="O42" s="368"/>
      <c r="P42" s="1202">
        <v>0</v>
      </c>
      <c r="Q42" s="368"/>
      <c r="R42" s="1202">
        <v>0</v>
      </c>
      <c r="S42" s="368"/>
      <c r="T42" s="373">
        <v>0</v>
      </c>
      <c r="U42" s="368"/>
      <c r="V42" s="274"/>
      <c r="W42" s="261"/>
      <c r="X42" s="274"/>
      <c r="Y42" s="261"/>
      <c r="Z42" s="274"/>
      <c r="AA42" s="274"/>
      <c r="AB42" s="261">
        <v>0</v>
      </c>
      <c r="AC42" s="368"/>
      <c r="AD42" s="473"/>
      <c r="AE42" s="261">
        <f t="shared" ref="AE42:AE51" si="5">ROUND(SUM(D42:AB42),1)</f>
        <v>0</v>
      </c>
      <c r="AF42" s="261"/>
      <c r="AG42" s="252"/>
      <c r="AH42" s="261">
        <v>0</v>
      </c>
      <c r="AI42" s="515"/>
      <c r="AJ42" s="249"/>
      <c r="AK42" s="1908">
        <f t="shared" si="0"/>
        <v>0</v>
      </c>
      <c r="AL42" s="1908"/>
      <c r="AM42" s="2817">
        <f>ROUND(IF(AH42=0,0,AK42/ABS(AH42)),3)</f>
        <v>0</v>
      </c>
    </row>
    <row r="43" spans="1:39" ht="15" customHeight="1">
      <c r="A43" s="353"/>
      <c r="B43" s="1830" t="s">
        <v>1347</v>
      </c>
      <c r="C43" s="223"/>
      <c r="D43" s="274">
        <v>0</v>
      </c>
      <c r="E43" s="368"/>
      <c r="F43" s="373">
        <v>0</v>
      </c>
      <c r="G43" s="368"/>
      <c r="H43" s="319">
        <v>0</v>
      </c>
      <c r="I43" s="368"/>
      <c r="J43" s="319">
        <v>0</v>
      </c>
      <c r="K43" s="368"/>
      <c r="L43" s="319">
        <v>0</v>
      </c>
      <c r="M43" s="368"/>
      <c r="N43" s="1202">
        <v>0</v>
      </c>
      <c r="O43" s="368"/>
      <c r="P43" s="1202">
        <v>0</v>
      </c>
      <c r="Q43" s="368"/>
      <c r="R43" s="1202">
        <v>0</v>
      </c>
      <c r="S43" s="368"/>
      <c r="T43" s="373">
        <v>0</v>
      </c>
      <c r="U43" s="368"/>
      <c r="V43" s="274"/>
      <c r="W43" s="261"/>
      <c r="X43" s="274"/>
      <c r="Y43" s="261"/>
      <c r="Z43" s="274"/>
      <c r="AA43" s="274"/>
      <c r="AB43" s="261">
        <v>0</v>
      </c>
      <c r="AC43" s="368"/>
      <c r="AD43" s="473"/>
      <c r="AE43" s="261">
        <f t="shared" si="5"/>
        <v>0</v>
      </c>
      <c r="AF43" s="261"/>
      <c r="AG43" s="252"/>
      <c r="AH43" s="261">
        <v>0</v>
      </c>
      <c r="AI43" s="515"/>
      <c r="AJ43" s="249"/>
      <c r="AK43" s="1908">
        <f t="shared" si="0"/>
        <v>0</v>
      </c>
      <c r="AL43" s="1908"/>
      <c r="AM43" s="2817">
        <f>ROUND(IF(AH43=0,0,AK43/ABS(AH43)),3)</f>
        <v>0</v>
      </c>
    </row>
    <row r="44" spans="1:39" ht="15" customHeight="1">
      <c r="A44" s="353"/>
      <c r="B44" s="1830" t="s">
        <v>1348</v>
      </c>
      <c r="C44" s="223"/>
      <c r="D44" s="274">
        <v>0</v>
      </c>
      <c r="E44" s="368"/>
      <c r="F44" s="373">
        <v>0</v>
      </c>
      <c r="G44" s="368"/>
      <c r="H44" s="319">
        <v>0</v>
      </c>
      <c r="I44" s="368"/>
      <c r="J44" s="319">
        <v>0</v>
      </c>
      <c r="K44" s="368"/>
      <c r="L44" s="319">
        <v>0</v>
      </c>
      <c r="M44" s="368"/>
      <c r="N44" s="1202">
        <v>0</v>
      </c>
      <c r="O44" s="368"/>
      <c r="P44" s="1202">
        <v>0</v>
      </c>
      <c r="Q44" s="368"/>
      <c r="R44" s="1202">
        <v>0</v>
      </c>
      <c r="S44" s="368"/>
      <c r="T44" s="373">
        <v>0</v>
      </c>
      <c r="U44" s="368"/>
      <c r="V44" s="274"/>
      <c r="W44" s="261"/>
      <c r="X44" s="274"/>
      <c r="Y44" s="261"/>
      <c r="Z44" s="274"/>
      <c r="AA44" s="274"/>
      <c r="AB44" s="261">
        <v>0</v>
      </c>
      <c r="AC44" s="368"/>
      <c r="AD44" s="473"/>
      <c r="AE44" s="261">
        <f t="shared" si="5"/>
        <v>0</v>
      </c>
      <c r="AF44" s="261"/>
      <c r="AG44" s="252"/>
      <c r="AH44" s="261">
        <v>0</v>
      </c>
      <c r="AI44" s="515"/>
      <c r="AJ44" s="249"/>
      <c r="AK44" s="1908">
        <f t="shared" si="0"/>
        <v>0</v>
      </c>
      <c r="AL44" s="1908"/>
      <c r="AM44" s="2817">
        <f>ROUND(IF(AH44=0,0,AK44/ABS(AH44)),3)</f>
        <v>0</v>
      </c>
    </row>
    <row r="45" spans="1:39" ht="15" customHeight="1">
      <c r="A45" s="353"/>
      <c r="B45" s="1830" t="s">
        <v>1349</v>
      </c>
      <c r="C45" s="223"/>
      <c r="D45" s="274">
        <v>0</v>
      </c>
      <c r="E45" s="368"/>
      <c r="F45" s="373">
        <v>0</v>
      </c>
      <c r="G45" s="368"/>
      <c r="H45" s="319">
        <v>0</v>
      </c>
      <c r="I45" s="368"/>
      <c r="J45" s="319">
        <v>0</v>
      </c>
      <c r="K45" s="368"/>
      <c r="L45" s="319">
        <v>0</v>
      </c>
      <c r="M45" s="368"/>
      <c r="N45" s="1202">
        <v>0</v>
      </c>
      <c r="O45" s="368"/>
      <c r="P45" s="1202">
        <v>0</v>
      </c>
      <c r="Q45" s="368"/>
      <c r="R45" s="1202">
        <v>0</v>
      </c>
      <c r="S45" s="368"/>
      <c r="T45" s="373">
        <v>0</v>
      </c>
      <c r="U45" s="368"/>
      <c r="V45" s="274"/>
      <c r="W45" s="261"/>
      <c r="X45" s="274"/>
      <c r="Y45" s="261"/>
      <c r="Z45" s="274"/>
      <c r="AA45" s="274"/>
      <c r="AB45" s="261">
        <v>0</v>
      </c>
      <c r="AC45" s="368"/>
      <c r="AD45" s="473"/>
      <c r="AE45" s="261">
        <f t="shared" si="5"/>
        <v>0</v>
      </c>
      <c r="AF45" s="261"/>
      <c r="AG45" s="252"/>
      <c r="AH45" s="261">
        <v>0</v>
      </c>
      <c r="AI45" s="515"/>
      <c r="AJ45" s="249"/>
      <c r="AK45" s="1908">
        <f t="shared" si="0"/>
        <v>0</v>
      </c>
      <c r="AL45" s="1908"/>
      <c r="AM45" s="2817">
        <f>ROUND(IF(AH45=0,0,AK45/ABS(AH45)),3)</f>
        <v>0</v>
      </c>
    </row>
    <row r="46" spans="1:39" ht="15" customHeight="1">
      <c r="A46" s="353"/>
      <c r="B46" s="1830" t="s">
        <v>1350</v>
      </c>
      <c r="C46" s="223"/>
      <c r="D46" s="274">
        <v>7.8</v>
      </c>
      <c r="E46" s="368"/>
      <c r="F46" s="373">
        <v>9.3000000000000007</v>
      </c>
      <c r="G46" s="368"/>
      <c r="H46" s="319">
        <v>8.5</v>
      </c>
      <c r="I46" s="368"/>
      <c r="J46" s="319">
        <v>8.1</v>
      </c>
      <c r="K46" s="368"/>
      <c r="L46" s="319">
        <v>8.8000000000000007</v>
      </c>
      <c r="M46" s="368"/>
      <c r="N46" s="1202">
        <v>8.8000000000000007</v>
      </c>
      <c r="O46" s="368"/>
      <c r="P46" s="1202">
        <v>7.9</v>
      </c>
      <c r="Q46" s="368"/>
      <c r="R46" s="1202">
        <v>8.6</v>
      </c>
      <c r="S46" s="368"/>
      <c r="T46" s="373">
        <v>8.4</v>
      </c>
      <c r="U46" s="368"/>
      <c r="V46" s="274"/>
      <c r="W46" s="261"/>
      <c r="X46" s="274"/>
      <c r="Y46" s="261"/>
      <c r="Z46" s="274"/>
      <c r="AA46" s="274"/>
      <c r="AB46" s="261">
        <v>0</v>
      </c>
      <c r="AC46" s="368"/>
      <c r="AD46" s="473"/>
      <c r="AE46" s="261">
        <f>ROUND(SUM(D46:AB46),1)</f>
        <v>76.2</v>
      </c>
      <c r="AF46" s="261"/>
      <c r="AG46" s="252"/>
      <c r="AH46" s="261">
        <v>80.7</v>
      </c>
      <c r="AI46" s="515"/>
      <c r="AJ46" s="249"/>
      <c r="AK46" s="1908">
        <f t="shared" si="0"/>
        <v>-4.5</v>
      </c>
      <c r="AL46" s="1908"/>
      <c r="AM46" s="2817">
        <f>ROUND(IF(AH46=0,0,AK46/ABS(AH46)),3)</f>
        <v>-5.6000000000000001E-2</v>
      </c>
    </row>
    <row r="47" spans="1:39" ht="15" customHeight="1">
      <c r="A47" s="353"/>
      <c r="B47" s="1830" t="s">
        <v>1351</v>
      </c>
      <c r="C47" s="223"/>
      <c r="D47" s="274">
        <v>0.1</v>
      </c>
      <c r="E47" s="368"/>
      <c r="F47" s="373">
        <v>0</v>
      </c>
      <c r="G47" s="368"/>
      <c r="H47" s="1833">
        <v>0</v>
      </c>
      <c r="I47" s="368"/>
      <c r="J47" s="319">
        <v>0</v>
      </c>
      <c r="K47" s="368"/>
      <c r="L47" s="319">
        <v>0</v>
      </c>
      <c r="M47" s="368"/>
      <c r="N47" s="1202">
        <v>0</v>
      </c>
      <c r="O47" s="368"/>
      <c r="P47" s="1202">
        <v>0</v>
      </c>
      <c r="Q47" s="368"/>
      <c r="R47" s="1202">
        <v>0</v>
      </c>
      <c r="S47" s="368"/>
      <c r="T47" s="373">
        <v>0</v>
      </c>
      <c r="U47" s="368"/>
      <c r="V47" s="274"/>
      <c r="W47" s="261"/>
      <c r="X47" s="274"/>
      <c r="Y47" s="261"/>
      <c r="Z47" s="274"/>
      <c r="AA47" s="274"/>
      <c r="AB47" s="261">
        <v>0</v>
      </c>
      <c r="AC47" s="368"/>
      <c r="AD47" s="473"/>
      <c r="AE47" s="261">
        <f t="shared" si="5"/>
        <v>0.1</v>
      </c>
      <c r="AF47" s="261"/>
      <c r="AG47" s="252"/>
      <c r="AH47" s="261">
        <v>0</v>
      </c>
      <c r="AI47" s="515"/>
      <c r="AJ47" s="249"/>
      <c r="AK47" s="1908">
        <f t="shared" si="0"/>
        <v>0.1</v>
      </c>
      <c r="AL47" s="1908"/>
      <c r="AM47" s="2817">
        <f>ROUND(IF(AH47=0,1,AK47/ABS(AH47)),3)</f>
        <v>1</v>
      </c>
    </row>
    <row r="48" spans="1:39" ht="15" customHeight="1">
      <c r="A48" s="353"/>
      <c r="B48" s="1830" t="s">
        <v>1352</v>
      </c>
      <c r="C48" s="223"/>
      <c r="D48" s="274">
        <v>0</v>
      </c>
      <c r="E48" s="368"/>
      <c r="F48" s="373">
        <v>0</v>
      </c>
      <c r="G48" s="368"/>
      <c r="H48" s="319">
        <v>0</v>
      </c>
      <c r="I48" s="368"/>
      <c r="J48" s="319">
        <v>0</v>
      </c>
      <c r="K48" s="368"/>
      <c r="L48" s="319">
        <v>0</v>
      </c>
      <c r="M48" s="368"/>
      <c r="N48" s="1202">
        <v>0</v>
      </c>
      <c r="O48" s="368"/>
      <c r="P48" s="1202">
        <v>0</v>
      </c>
      <c r="Q48" s="368"/>
      <c r="R48" s="1202">
        <v>0</v>
      </c>
      <c r="S48" s="368"/>
      <c r="T48" s="373">
        <v>0</v>
      </c>
      <c r="U48" s="368"/>
      <c r="V48" s="274"/>
      <c r="W48" s="261"/>
      <c r="X48" s="274"/>
      <c r="Y48" s="261"/>
      <c r="Z48" s="274"/>
      <c r="AA48" s="274"/>
      <c r="AB48" s="261">
        <v>0</v>
      </c>
      <c r="AC48" s="368"/>
      <c r="AD48" s="473"/>
      <c r="AE48" s="261">
        <f t="shared" si="5"/>
        <v>0</v>
      </c>
      <c r="AF48" s="261"/>
      <c r="AG48" s="252"/>
      <c r="AH48" s="261">
        <v>0</v>
      </c>
      <c r="AI48" s="515"/>
      <c r="AJ48" s="249"/>
      <c r="AK48" s="1908">
        <f t="shared" si="0"/>
        <v>0</v>
      </c>
      <c r="AL48" s="1908"/>
      <c r="AM48" s="2817">
        <f>ROUND(IF(AH48=0,0,AK48/ABS(AH48)),3)</f>
        <v>0</v>
      </c>
    </row>
    <row r="49" spans="1:39" ht="15" customHeight="1">
      <c r="A49" s="353"/>
      <c r="B49" s="1830" t="s">
        <v>1353</v>
      </c>
      <c r="C49" s="223"/>
      <c r="D49" s="274">
        <v>0</v>
      </c>
      <c r="E49" s="368"/>
      <c r="F49" s="373">
        <v>0.3</v>
      </c>
      <c r="G49" s="368"/>
      <c r="H49" s="319">
        <v>0</v>
      </c>
      <c r="I49" s="368"/>
      <c r="J49" s="319">
        <v>0.3</v>
      </c>
      <c r="K49" s="368"/>
      <c r="L49" s="319">
        <v>0</v>
      </c>
      <c r="M49" s="368"/>
      <c r="N49" s="1202">
        <v>0</v>
      </c>
      <c r="O49" s="368"/>
      <c r="P49" s="1202">
        <v>0.14000000000000001</v>
      </c>
      <c r="Q49" s="368"/>
      <c r="R49" s="1202">
        <v>0</v>
      </c>
      <c r="S49" s="368"/>
      <c r="T49" s="373">
        <v>0</v>
      </c>
      <c r="U49" s="368"/>
      <c r="V49" s="274"/>
      <c r="W49" s="261"/>
      <c r="X49" s="274"/>
      <c r="Y49" s="261"/>
      <c r="Z49" s="274"/>
      <c r="AA49" s="274"/>
      <c r="AB49" s="261">
        <v>0</v>
      </c>
      <c r="AC49" s="368"/>
      <c r="AD49" s="473"/>
      <c r="AE49" s="261">
        <f>ROUND(SUM(D49:AB49),1)</f>
        <v>0.7</v>
      </c>
      <c r="AF49" s="261"/>
      <c r="AG49" s="252"/>
      <c r="AH49" s="261">
        <v>5</v>
      </c>
      <c r="AI49" s="515"/>
      <c r="AJ49" s="249"/>
      <c r="AK49" s="1908">
        <f t="shared" si="0"/>
        <v>-4.3</v>
      </c>
      <c r="AL49" s="1908"/>
      <c r="AM49" s="2817">
        <f>ROUND(IF(AH49=0,1,AK49/ABS(AH49)),3)</f>
        <v>-0.86</v>
      </c>
    </row>
    <row r="50" spans="1:39" ht="15" customHeight="1">
      <c r="A50" s="353"/>
      <c r="B50" s="1830" t="s">
        <v>1325</v>
      </c>
      <c r="C50" s="223"/>
      <c r="D50" s="274">
        <v>0</v>
      </c>
      <c r="E50" s="368"/>
      <c r="F50" s="373">
        <v>0</v>
      </c>
      <c r="G50" s="368"/>
      <c r="H50" s="319">
        <v>0</v>
      </c>
      <c r="I50" s="368"/>
      <c r="J50" s="319">
        <v>0</v>
      </c>
      <c r="K50" s="368"/>
      <c r="L50" s="319">
        <v>0</v>
      </c>
      <c r="M50" s="368"/>
      <c r="N50" s="1202">
        <v>0</v>
      </c>
      <c r="O50" s="368"/>
      <c r="P50" s="1202">
        <v>0</v>
      </c>
      <c r="Q50" s="368"/>
      <c r="R50" s="1202">
        <v>0.1</v>
      </c>
      <c r="S50" s="368"/>
      <c r="T50" s="373">
        <v>0</v>
      </c>
      <c r="U50" s="368"/>
      <c r="V50" s="274"/>
      <c r="W50" s="261"/>
      <c r="X50" s="274"/>
      <c r="Y50" s="261"/>
      <c r="Z50" s="274"/>
      <c r="AA50" s="274"/>
      <c r="AB50" s="261">
        <v>0</v>
      </c>
      <c r="AC50" s="368"/>
      <c r="AD50" s="473"/>
      <c r="AE50" s="261">
        <f t="shared" si="5"/>
        <v>0.1</v>
      </c>
      <c r="AF50" s="261"/>
      <c r="AG50" s="252"/>
      <c r="AH50" s="261">
        <v>0</v>
      </c>
      <c r="AI50" s="515"/>
      <c r="AJ50" s="249"/>
      <c r="AK50" s="1908">
        <f t="shared" si="0"/>
        <v>0.1</v>
      </c>
      <c r="AL50" s="1908"/>
      <c r="AM50" s="2817">
        <f>ROUND(IF(AH50=0,1,AK50/ABS(AH50)),3)</f>
        <v>1</v>
      </c>
    </row>
    <row r="51" spans="1:39" ht="15" customHeight="1">
      <c r="A51" s="353"/>
      <c r="B51" s="1830" t="s">
        <v>1326</v>
      </c>
      <c r="C51" s="223"/>
      <c r="D51" s="274">
        <v>0</v>
      </c>
      <c r="E51" s="368"/>
      <c r="F51" s="373">
        <v>0</v>
      </c>
      <c r="G51" s="368"/>
      <c r="H51" s="319">
        <v>0</v>
      </c>
      <c r="I51" s="368"/>
      <c r="J51" s="319">
        <v>0</v>
      </c>
      <c r="K51" s="368"/>
      <c r="L51" s="319">
        <v>0</v>
      </c>
      <c r="M51" s="368"/>
      <c r="N51" s="1202">
        <v>0</v>
      </c>
      <c r="O51" s="368"/>
      <c r="P51" s="1202">
        <v>0</v>
      </c>
      <c r="Q51" s="368"/>
      <c r="R51" s="1202">
        <v>0</v>
      </c>
      <c r="S51" s="368"/>
      <c r="T51" s="373">
        <v>0</v>
      </c>
      <c r="U51" s="368"/>
      <c r="V51" s="274"/>
      <c r="W51" s="261"/>
      <c r="X51" s="274"/>
      <c r="Y51" s="261"/>
      <c r="Z51" s="274"/>
      <c r="AA51" s="274"/>
      <c r="AB51" s="261">
        <v>0</v>
      </c>
      <c r="AC51" s="368"/>
      <c r="AD51" s="473"/>
      <c r="AE51" s="261">
        <f t="shared" si="5"/>
        <v>0</v>
      </c>
      <c r="AF51" s="261"/>
      <c r="AG51" s="252"/>
      <c r="AH51" s="261">
        <v>0</v>
      </c>
      <c r="AI51" s="515"/>
      <c r="AJ51" s="249"/>
      <c r="AK51" s="1908">
        <f t="shared" si="0"/>
        <v>0</v>
      </c>
      <c r="AL51" s="1908"/>
      <c r="AM51" s="2817">
        <f>ROUND(IF(AH51=0,0,AK51/ABS(AH51)),3)</f>
        <v>0</v>
      </c>
    </row>
    <row r="52" spans="1:39" s="1825" customFormat="1" ht="15" customHeight="1">
      <c r="A52" s="2103"/>
      <c r="B52" s="589" t="s">
        <v>1479</v>
      </c>
      <c r="C52" s="308"/>
      <c r="D52" s="2108">
        <f>ROUND(SUM(D19:D51),1)</f>
        <v>12.4</v>
      </c>
      <c r="E52" s="342"/>
      <c r="F52" s="2108">
        <f>ROUND(SUM(F19:F51),1)</f>
        <v>51.1</v>
      </c>
      <c r="G52" s="342"/>
      <c r="H52" s="2108">
        <f>ROUND(SUM(H19:H51),1)</f>
        <v>0.2</v>
      </c>
      <c r="I52" s="342"/>
      <c r="J52" s="2108">
        <f>ROUND(SUM(J19:J51),1)</f>
        <v>11.7</v>
      </c>
      <c r="K52" s="342"/>
      <c r="L52" s="2108">
        <f>ROUND(SUM(L19:L51),1)</f>
        <v>20.2</v>
      </c>
      <c r="M52" s="342"/>
      <c r="N52" s="2108">
        <f>ROUND(SUM(N19:N51),1)</f>
        <v>12</v>
      </c>
      <c r="O52" s="342"/>
      <c r="P52" s="2108">
        <f>ROUND(SUM(P19:P51),1)</f>
        <v>9.8000000000000007</v>
      </c>
      <c r="Q52" s="342"/>
      <c r="R52" s="2108">
        <f>ROUND(SUM(R19:R51),1)</f>
        <v>16.100000000000001</v>
      </c>
      <c r="S52" s="342"/>
      <c r="T52" s="2108">
        <f>ROUND(SUM(T19:T51),1)</f>
        <v>9.4</v>
      </c>
      <c r="U52" s="342"/>
      <c r="V52" s="2108">
        <f>ROUND(SUM(V19:V51),1)</f>
        <v>0</v>
      </c>
      <c r="W52" s="319"/>
      <c r="X52" s="2108">
        <f>ROUND(SUM(X19:X51),1)</f>
        <v>0</v>
      </c>
      <c r="Y52" s="319"/>
      <c r="Z52" s="2108">
        <f>ROUND(SUM(Z19:Z51),1)</f>
        <v>0</v>
      </c>
      <c r="AA52" s="2678"/>
      <c r="AB52" s="2108">
        <f>ROUND(SUM(AB19:AB51),1)</f>
        <v>0</v>
      </c>
      <c r="AC52" s="342"/>
      <c r="AD52" s="2105"/>
      <c r="AE52" s="2108">
        <f>ROUND(SUM(AE19:AE51),1)</f>
        <v>142.9</v>
      </c>
      <c r="AF52" s="319"/>
      <c r="AG52" s="2106"/>
      <c r="AH52" s="2108">
        <f>ROUND(SUM(AH19:AH51),1)</f>
        <v>145.80000000000001</v>
      </c>
      <c r="AI52" s="2107"/>
      <c r="AJ52" s="262"/>
      <c r="AK52" s="2108">
        <f>ROUND(SUM(AK19:AK51),1)</f>
        <v>-2.9</v>
      </c>
      <c r="AL52" s="2045"/>
      <c r="AM52" s="2832">
        <f>ROUND(SUM((AE52-AH52)/ABS(AH52)),3)</f>
        <v>-0.02</v>
      </c>
    </row>
    <row r="53" spans="1:39" s="1825" customFormat="1" ht="15" customHeight="1">
      <c r="A53" s="2103"/>
      <c r="B53" s="1830"/>
      <c r="C53" s="308"/>
      <c r="D53" s="320"/>
      <c r="E53" s="342"/>
      <c r="F53" s="688"/>
      <c r="G53" s="342"/>
      <c r="H53" s="319"/>
      <c r="I53" s="342"/>
      <c r="J53" s="319"/>
      <c r="K53" s="342"/>
      <c r="L53" s="319"/>
      <c r="M53" s="342"/>
      <c r="N53" s="342"/>
      <c r="O53" s="342"/>
      <c r="P53" s="552"/>
      <c r="Q53" s="342"/>
      <c r="R53" s="2104"/>
      <c r="S53" s="342"/>
      <c r="T53" s="688"/>
      <c r="U53" s="342"/>
      <c r="V53" s="320"/>
      <c r="W53" s="319"/>
      <c r="X53" s="320"/>
      <c r="Y53" s="319"/>
      <c r="Z53" s="320"/>
      <c r="AA53" s="320"/>
      <c r="AB53" s="320"/>
      <c r="AC53" s="342"/>
      <c r="AD53" s="2105"/>
      <c r="AE53" s="319"/>
      <c r="AF53" s="319"/>
      <c r="AG53" s="2106"/>
      <c r="AH53" s="319"/>
      <c r="AI53" s="2107"/>
      <c r="AJ53" s="262"/>
      <c r="AK53" s="2045"/>
      <c r="AL53" s="2045"/>
      <c r="AM53" s="2830"/>
    </row>
    <row r="54" spans="1:39" ht="15" customHeight="1">
      <c r="A54" s="353"/>
      <c r="B54" s="520" t="s">
        <v>155</v>
      </c>
      <c r="C54" s="223"/>
      <c r="D54" s="274">
        <v>1629</v>
      </c>
      <c r="E54" s="368"/>
      <c r="F54" s="373">
        <v>4578.6000000000004</v>
      </c>
      <c r="G54" s="368"/>
      <c r="H54" s="342">
        <v>4431.8</v>
      </c>
      <c r="I54" s="368"/>
      <c r="J54" s="342">
        <v>3672.7</v>
      </c>
      <c r="K54" s="368"/>
      <c r="L54" s="342">
        <v>4237.6000000000004</v>
      </c>
      <c r="M54" s="368"/>
      <c r="N54" s="319">
        <v>4052.1</v>
      </c>
      <c r="O54" s="368"/>
      <c r="P54" s="552">
        <v>3293.9</v>
      </c>
      <c r="Q54" s="368"/>
      <c r="R54" s="1202">
        <v>4393.8</v>
      </c>
      <c r="S54" s="368"/>
      <c r="T54" s="373">
        <v>5196.2</v>
      </c>
      <c r="U54" s="368"/>
      <c r="V54" s="274"/>
      <c r="W54" s="261"/>
      <c r="X54" s="274"/>
      <c r="Y54" s="261"/>
      <c r="Z54" s="274"/>
      <c r="AA54" s="274"/>
      <c r="AB54" s="274">
        <v>0</v>
      </c>
      <c r="AC54" s="368"/>
      <c r="AD54" s="473"/>
      <c r="AE54" s="261">
        <f>ROUND(SUM(D54:AB54),1)</f>
        <v>35485.699999999997</v>
      </c>
      <c r="AF54" s="249"/>
      <c r="AG54" s="252"/>
      <c r="AH54" s="261">
        <v>33364</v>
      </c>
      <c r="AI54" s="515"/>
      <c r="AJ54" s="249"/>
      <c r="AK54" s="1908">
        <f>ROUND(SUM(+AE54-AH54),1)</f>
        <v>2121.6999999999998</v>
      </c>
      <c r="AL54" s="1908"/>
      <c r="AM54" s="2833">
        <f>ROUND(SUM((AE54-AH54)/ABS(AH54)),3)</f>
        <v>6.4000000000000001E-2</v>
      </c>
    </row>
    <row r="55" spans="1:39" ht="15" customHeight="1">
      <c r="A55" s="353"/>
      <c r="B55" s="223"/>
      <c r="C55" s="223"/>
      <c r="D55" s="371"/>
      <c r="E55" s="368"/>
      <c r="F55" s="371"/>
      <c r="G55" s="368"/>
      <c r="H55" s="371"/>
      <c r="I55" s="368"/>
      <c r="J55" s="371"/>
      <c r="K55" s="368"/>
      <c r="L55" s="371"/>
      <c r="M55" s="368"/>
      <c r="N55" s="371"/>
      <c r="O55" s="368"/>
      <c r="P55" s="371"/>
      <c r="Q55" s="368"/>
      <c r="R55" s="371"/>
      <c r="S55" s="368"/>
      <c r="T55" s="289"/>
      <c r="U55" s="368"/>
      <c r="V55" s="289"/>
      <c r="W55" s="261"/>
      <c r="X55" s="289"/>
      <c r="Y55" s="261"/>
      <c r="Z55" s="289"/>
      <c r="AA55" s="249"/>
      <c r="AB55" s="289"/>
      <c r="AC55" s="368"/>
      <c r="AD55" s="473"/>
      <c r="AE55" s="289"/>
      <c r="AF55" s="249"/>
      <c r="AG55" s="252"/>
      <c r="AH55" s="289"/>
      <c r="AI55" s="515"/>
      <c r="AJ55" s="249"/>
      <c r="AK55" s="2757"/>
      <c r="AL55" s="2758"/>
      <c r="AM55" s="2834"/>
    </row>
    <row r="56" spans="1:39" ht="15" customHeight="1">
      <c r="A56" s="353"/>
      <c r="B56" s="221" t="s">
        <v>156</v>
      </c>
      <c r="C56" s="223"/>
      <c r="D56" s="257">
        <f>ROUND(SUM(+D52+D54),2)</f>
        <v>1641.4</v>
      </c>
      <c r="E56" s="410"/>
      <c r="F56" s="1886">
        <f>ROUND(SUM(+F52+F54),2)</f>
        <v>4629.7</v>
      </c>
      <c r="G56" s="410"/>
      <c r="H56" s="1886">
        <f>ROUND(SUM(+H52+H54),2)</f>
        <v>4432</v>
      </c>
      <c r="I56" s="410"/>
      <c r="J56" s="1886">
        <f>ROUND(SUM(+J52+J54),2)</f>
        <v>3684.4</v>
      </c>
      <c r="K56" s="410"/>
      <c r="L56" s="1886">
        <f>ROUND(SUM(+L52+L54),2)</f>
        <v>4257.8</v>
      </c>
      <c r="M56" s="410"/>
      <c r="N56" s="1886">
        <f>ROUND(SUM(+N52+N54),2)</f>
        <v>4064.1</v>
      </c>
      <c r="O56" s="410"/>
      <c r="P56" s="1886">
        <f>ROUND(SUM(+P52+P54),2)</f>
        <v>3303.7</v>
      </c>
      <c r="Q56" s="410"/>
      <c r="R56" s="1886">
        <f>ROUND(SUM(+R52+R54),2)</f>
        <v>4409.8999999999996</v>
      </c>
      <c r="S56" s="410"/>
      <c r="T56" s="1886">
        <f>ROUND(SUM(+T52+T54),2)</f>
        <v>5205.6000000000004</v>
      </c>
      <c r="U56" s="410"/>
      <c r="V56" s="1886">
        <f>ROUND(SUM(+V52+V54),2)</f>
        <v>0</v>
      </c>
      <c r="W56" s="257"/>
      <c r="X56" s="1886">
        <f>ROUND(SUM(+X52+X54),2)</f>
        <v>0</v>
      </c>
      <c r="Y56" s="257"/>
      <c r="Z56" s="1886">
        <f>ROUND(SUM(+Z52+Z54),2)</f>
        <v>0</v>
      </c>
      <c r="AA56" s="1886"/>
      <c r="AB56" s="1886">
        <f>ROUND(SUM(+AB52+AB54),2)</f>
        <v>0</v>
      </c>
      <c r="AC56" s="410"/>
      <c r="AD56" s="480"/>
      <c r="AE56" s="1886">
        <f>ROUND(SUM(+AE52+AE54),1)</f>
        <v>35628.6</v>
      </c>
      <c r="AF56" s="273"/>
      <c r="AG56" s="745"/>
      <c r="AH56" s="1886">
        <f>ROUND(SUM(+AH52+AH54),1)</f>
        <v>33509.800000000003</v>
      </c>
      <c r="AI56" s="522"/>
      <c r="AJ56" s="273"/>
      <c r="AK56" s="1738">
        <f>ROUND(SUM(+AK52+AK54),1)</f>
        <v>2118.8000000000002</v>
      </c>
      <c r="AL56" s="524"/>
      <c r="AM56" s="2835">
        <f>ROUND(SUM((AE56-AH56)/ABS(AH56)),3)</f>
        <v>6.3E-2</v>
      </c>
    </row>
    <row r="57" spans="1:39" ht="15" customHeight="1">
      <c r="A57" s="353"/>
      <c r="B57" s="223"/>
      <c r="C57" s="223"/>
      <c r="D57" s="371"/>
      <c r="E57" s="368"/>
      <c r="F57" s="289"/>
      <c r="G57" s="368"/>
      <c r="H57" s="289"/>
      <c r="I57" s="368"/>
      <c r="J57" s="289"/>
      <c r="K57" s="368"/>
      <c r="L57" s="289"/>
      <c r="M57" s="368"/>
      <c r="N57" s="289"/>
      <c r="O57" s="368"/>
      <c r="P57" s="289"/>
      <c r="Q57" s="368"/>
      <c r="R57" s="289"/>
      <c r="S57" s="368"/>
      <c r="T57" s="289"/>
      <c r="U57" s="368"/>
      <c r="V57" s="289"/>
      <c r="W57" s="261"/>
      <c r="X57" s="289"/>
      <c r="Y57" s="261"/>
      <c r="Z57" s="289"/>
      <c r="AA57" s="249"/>
      <c r="AB57" s="289"/>
      <c r="AC57" s="368"/>
      <c r="AD57" s="473"/>
      <c r="AE57" s="371"/>
      <c r="AF57" s="253"/>
      <c r="AG57" s="541"/>
      <c r="AH57" s="371"/>
      <c r="AI57" s="542"/>
      <c r="AJ57" s="229"/>
      <c r="AK57" s="2758"/>
      <c r="AL57" s="2758"/>
      <c r="AM57" s="2836"/>
    </row>
    <row r="58" spans="1:39" ht="15" customHeight="1">
      <c r="A58" s="353"/>
      <c r="B58" s="376" t="s">
        <v>24</v>
      </c>
      <c r="C58" s="223"/>
      <c r="D58" s="368"/>
      <c r="E58" s="368"/>
      <c r="F58" s="261"/>
      <c r="G58" s="368"/>
      <c r="H58" s="261"/>
      <c r="I58" s="368"/>
      <c r="J58" s="261"/>
      <c r="K58" s="368"/>
      <c r="L58" s="261"/>
      <c r="M58" s="368"/>
      <c r="N58" s="261"/>
      <c r="O58" s="368"/>
      <c r="P58" s="261"/>
      <c r="Q58" s="368"/>
      <c r="R58" s="261"/>
      <c r="S58" s="368"/>
      <c r="T58" s="261"/>
      <c r="U58" s="368"/>
      <c r="V58" s="261"/>
      <c r="W58" s="261"/>
      <c r="X58" s="261"/>
      <c r="Y58" s="261"/>
      <c r="Z58" s="261"/>
      <c r="AA58" s="261"/>
      <c r="AB58" s="261"/>
      <c r="AC58" s="368"/>
      <c r="AD58" s="473"/>
      <c r="AE58" s="368"/>
      <c r="AF58" s="253"/>
      <c r="AG58" s="541"/>
      <c r="AH58" s="368"/>
      <c r="AI58" s="542"/>
      <c r="AJ58" s="229"/>
      <c r="AK58" s="2758"/>
      <c r="AL58" s="2758"/>
      <c r="AM58" s="2836"/>
    </row>
    <row r="59" spans="1:39" ht="15" customHeight="1">
      <c r="A59" s="353"/>
      <c r="B59" s="1358" t="s">
        <v>157</v>
      </c>
      <c r="C59" s="223"/>
      <c r="D59" s="274"/>
      <c r="E59" s="368"/>
      <c r="F59" s="274"/>
      <c r="G59" s="368"/>
      <c r="H59" s="320"/>
      <c r="I59" s="368"/>
      <c r="J59" s="320"/>
      <c r="K59" s="368"/>
      <c r="L59" s="320"/>
      <c r="M59" s="368"/>
      <c r="N59" s="320"/>
      <c r="O59" s="368"/>
      <c r="P59" s="321"/>
      <c r="Q59" s="368"/>
      <c r="R59" s="274"/>
      <c r="S59" s="368"/>
      <c r="T59" s="274"/>
      <c r="U59" s="368"/>
      <c r="V59" s="261"/>
      <c r="W59" s="261"/>
      <c r="X59" s="261"/>
      <c r="Y59" s="261"/>
      <c r="Z59" s="261"/>
      <c r="AA59" s="261"/>
      <c r="AB59" s="261"/>
      <c r="AC59" s="368"/>
      <c r="AD59" s="473"/>
      <c r="AE59" s="368"/>
      <c r="AF59" s="253"/>
      <c r="AG59" s="541"/>
      <c r="AH59" s="368"/>
      <c r="AI59" s="542"/>
      <c r="AJ59" s="229"/>
      <c r="AK59" s="2639"/>
      <c r="AL59" s="2758"/>
      <c r="AM59" s="2834"/>
    </row>
    <row r="60" spans="1:39" ht="15" customHeight="1">
      <c r="A60" s="353"/>
      <c r="B60" s="382" t="s">
        <v>26</v>
      </c>
      <c r="C60" s="223"/>
      <c r="D60" s="274">
        <v>324.10000000000002</v>
      </c>
      <c r="E60" s="368"/>
      <c r="F60" s="373">
        <v>443.8</v>
      </c>
      <c r="G60" s="368"/>
      <c r="H60" s="329">
        <v>231.2</v>
      </c>
      <c r="I60" s="368"/>
      <c r="J60" s="329">
        <v>226.9</v>
      </c>
      <c r="K60" s="368"/>
      <c r="L60" s="329">
        <v>143.80000000000001</v>
      </c>
      <c r="M60" s="368"/>
      <c r="N60" s="329">
        <v>255.5</v>
      </c>
      <c r="O60" s="368"/>
      <c r="P60" s="1202">
        <v>201.9</v>
      </c>
      <c r="Q60" s="368"/>
      <c r="R60" s="1202">
        <v>716.7</v>
      </c>
      <c r="S60" s="368"/>
      <c r="T60" s="373">
        <v>309</v>
      </c>
      <c r="U60" s="368"/>
      <c r="V60" s="274"/>
      <c r="W60" s="261"/>
      <c r="X60" s="274"/>
      <c r="Y60" s="261"/>
      <c r="Z60" s="261"/>
      <c r="AA60" s="261"/>
      <c r="AB60" s="261">
        <v>0</v>
      </c>
      <c r="AC60" s="368"/>
      <c r="AD60" s="473"/>
      <c r="AE60" s="261">
        <f>ROUND(SUM(D60:AB60),1)</f>
        <v>2852.9</v>
      </c>
      <c r="AF60" s="249"/>
      <c r="AG60" s="252"/>
      <c r="AH60" s="319">
        <v>2352</v>
      </c>
      <c r="AI60" s="515"/>
      <c r="AJ60" s="249"/>
      <c r="AK60" s="1171">
        <f>ROUND(SUM(+AE60-AH60),1)</f>
        <v>500.9</v>
      </c>
      <c r="AL60" s="1171"/>
      <c r="AM60" s="2817">
        <f>ROUND(IF(AH60=0,0,AK60/ABS(AH60)),3)</f>
        <v>0.21299999999999999</v>
      </c>
    </row>
    <row r="61" spans="1:39" ht="15" customHeight="1">
      <c r="A61" s="353"/>
      <c r="B61" s="382" t="s">
        <v>27</v>
      </c>
      <c r="C61" s="223"/>
      <c r="D61" s="516">
        <v>0.3</v>
      </c>
      <c r="E61" s="368"/>
      <c r="F61" s="373">
        <v>0.6</v>
      </c>
      <c r="G61" s="368"/>
      <c r="H61" s="329">
        <v>0.4</v>
      </c>
      <c r="I61" s="368"/>
      <c r="J61" s="329">
        <v>0.2</v>
      </c>
      <c r="K61" s="368"/>
      <c r="L61" s="329">
        <v>0.2</v>
      </c>
      <c r="M61" s="368"/>
      <c r="N61" s="373">
        <v>0.1</v>
      </c>
      <c r="O61" s="368"/>
      <c r="P61" s="1202">
        <v>0</v>
      </c>
      <c r="Q61" s="368"/>
      <c r="R61" s="1202">
        <v>0.1</v>
      </c>
      <c r="S61" s="368"/>
      <c r="T61" s="373">
        <v>0.5</v>
      </c>
      <c r="U61" s="368"/>
      <c r="V61" s="373"/>
      <c r="W61" s="261"/>
      <c r="X61" s="274"/>
      <c r="Y61" s="261"/>
      <c r="Z61" s="261"/>
      <c r="AA61" s="261"/>
      <c r="AB61" s="261">
        <v>0</v>
      </c>
      <c r="AC61" s="368"/>
      <c r="AD61" s="473"/>
      <c r="AE61" s="261">
        <f>ROUND(SUM(D61:AB61),1)</f>
        <v>2.4</v>
      </c>
      <c r="AF61" s="249"/>
      <c r="AG61" s="252"/>
      <c r="AH61" s="1277">
        <v>1.1000000000000001</v>
      </c>
      <c r="AI61" s="515"/>
      <c r="AJ61" s="249"/>
      <c r="AK61" s="1171">
        <f>ROUND(SUM(+AE61-AH61),1)</f>
        <v>1.3</v>
      </c>
      <c r="AL61" s="1171"/>
      <c r="AM61" s="2825">
        <f>ROUND(IF(AH61=0,1,AK61/ABS(AH61)),3)</f>
        <v>1.1819999999999999</v>
      </c>
    </row>
    <row r="62" spans="1:39" ht="15" customHeight="1">
      <c r="A62" s="353"/>
      <c r="B62" s="382" t="s">
        <v>28</v>
      </c>
      <c r="C62" s="223"/>
      <c r="D62" s="516">
        <v>0.8</v>
      </c>
      <c r="E62" s="368"/>
      <c r="F62" s="373">
        <v>11</v>
      </c>
      <c r="G62" s="368"/>
      <c r="H62" s="329">
        <v>0.9</v>
      </c>
      <c r="I62" s="368"/>
      <c r="J62" s="329">
        <v>2.6</v>
      </c>
      <c r="K62" s="368"/>
      <c r="L62" s="329">
        <v>2.6</v>
      </c>
      <c r="M62" s="368"/>
      <c r="N62" s="329">
        <v>9.5</v>
      </c>
      <c r="O62" s="368"/>
      <c r="P62" s="1202">
        <v>0.7</v>
      </c>
      <c r="Q62" s="368"/>
      <c r="R62" s="1202">
        <v>1.3</v>
      </c>
      <c r="S62" s="368"/>
      <c r="T62" s="373">
        <v>13.3</v>
      </c>
      <c r="U62" s="368"/>
      <c r="V62" s="274"/>
      <c r="W62" s="261"/>
      <c r="X62" s="274"/>
      <c r="Y62" s="261"/>
      <c r="Z62" s="261"/>
      <c r="AA62" s="261"/>
      <c r="AB62" s="261">
        <v>0</v>
      </c>
      <c r="AC62" s="368"/>
      <c r="AD62" s="473"/>
      <c r="AE62" s="261">
        <f>ROUND(SUM(D62:AB62),1)</f>
        <v>42.7</v>
      </c>
      <c r="AF62" s="249"/>
      <c r="AG62" s="252"/>
      <c r="AH62" s="1277">
        <v>51.5</v>
      </c>
      <c r="AI62" s="515"/>
      <c r="AJ62" s="249"/>
      <c r="AK62" s="1171">
        <f>ROUND(SUM(+AE62-AH62),1)</f>
        <v>-8.8000000000000007</v>
      </c>
      <c r="AL62" s="1171"/>
      <c r="AM62" s="2817">
        <f>ROUND(IF(AH62=0,0,AK62/ABS(AH62)),3)</f>
        <v>-0.17100000000000001</v>
      </c>
    </row>
    <row r="63" spans="1:39" ht="15" customHeight="1">
      <c r="A63" s="353"/>
      <c r="B63" s="382" t="s">
        <v>29</v>
      </c>
      <c r="C63" s="223"/>
      <c r="D63" s="274"/>
      <c r="E63" s="368"/>
      <c r="F63" s="274"/>
      <c r="G63" s="368"/>
      <c r="H63" s="320"/>
      <c r="I63" s="368"/>
      <c r="J63" s="320"/>
      <c r="K63" s="368"/>
      <c r="L63" s="320"/>
      <c r="M63" s="368"/>
      <c r="N63" s="320"/>
      <c r="O63" s="368"/>
      <c r="P63" s="321"/>
      <c r="Q63" s="368"/>
      <c r="R63" s="274"/>
      <c r="S63" s="368"/>
      <c r="T63" s="274"/>
      <c r="U63" s="368"/>
      <c r="V63" s="274"/>
      <c r="W63" s="261"/>
      <c r="X63" s="274"/>
      <c r="Y63" s="261"/>
      <c r="Z63" s="261"/>
      <c r="AA63" s="261"/>
      <c r="AB63" s="261"/>
      <c r="AC63" s="368"/>
      <c r="AD63" s="473"/>
      <c r="AE63" s="261"/>
      <c r="AF63" s="249"/>
      <c r="AG63" s="252"/>
      <c r="AH63" s="319"/>
      <c r="AI63" s="515"/>
      <c r="AJ63" s="249"/>
      <c r="AK63" s="1327"/>
      <c r="AL63" s="2639"/>
      <c r="AM63" s="2834"/>
    </row>
    <row r="64" spans="1:39" ht="15" customHeight="1">
      <c r="A64" s="353"/>
      <c r="B64" s="1721" t="s">
        <v>30</v>
      </c>
      <c r="C64" s="223"/>
      <c r="D64" s="274">
        <v>1558.6</v>
      </c>
      <c r="E64" s="368"/>
      <c r="F64" s="373">
        <v>2561.3000000000002</v>
      </c>
      <c r="G64" s="368"/>
      <c r="H64" s="329">
        <v>2931</v>
      </c>
      <c r="I64" s="368"/>
      <c r="J64" s="329">
        <v>2752.4</v>
      </c>
      <c r="K64" s="368"/>
      <c r="L64" s="329">
        <v>2161.4</v>
      </c>
      <c r="M64" s="368"/>
      <c r="N64" s="329">
        <v>2832.8</v>
      </c>
      <c r="O64" s="368"/>
      <c r="P64" s="1202">
        <v>1973</v>
      </c>
      <c r="Q64" s="368"/>
      <c r="R64" s="1202">
        <v>2683.8</v>
      </c>
      <c r="S64" s="368"/>
      <c r="T64" s="373">
        <v>2711.9</v>
      </c>
      <c r="U64" s="368"/>
      <c r="V64" s="274"/>
      <c r="W64" s="261"/>
      <c r="X64" s="274"/>
      <c r="Y64" s="261"/>
      <c r="Z64" s="261"/>
      <c r="AA64" s="261"/>
      <c r="AB64" s="261">
        <v>0</v>
      </c>
      <c r="AC64" s="368"/>
      <c r="AD64" s="473"/>
      <c r="AE64" s="261">
        <f t="shared" ref="AE64:AE69" si="6">ROUND(SUM(D64:AB64),1)</f>
        <v>22166.2</v>
      </c>
      <c r="AF64" s="249"/>
      <c r="AG64" s="252"/>
      <c r="AH64" s="319">
        <v>21504.7</v>
      </c>
      <c r="AI64" s="515"/>
      <c r="AJ64" s="249"/>
      <c r="AK64" s="1171">
        <f t="shared" ref="AK64:AK69" si="7">ROUND(SUM(+AE64-AH64),1)</f>
        <v>661.5</v>
      </c>
      <c r="AL64" s="1171"/>
      <c r="AM64" s="2817">
        <f>ROUND(IF(AH64=0,0,AK64/ABS(AH64)),3)</f>
        <v>3.1E-2</v>
      </c>
    </row>
    <row r="65" spans="1:39" ht="15" customHeight="1">
      <c r="A65" s="353"/>
      <c r="B65" s="382" t="s">
        <v>31</v>
      </c>
      <c r="C65" s="223"/>
      <c r="D65" s="274">
        <v>118.6</v>
      </c>
      <c r="E65" s="368"/>
      <c r="F65" s="373">
        <v>117.3</v>
      </c>
      <c r="G65" s="368"/>
      <c r="H65" s="329">
        <v>400</v>
      </c>
      <c r="I65" s="368"/>
      <c r="J65" s="329">
        <v>254.4</v>
      </c>
      <c r="K65" s="368"/>
      <c r="L65" s="329">
        <v>396.3</v>
      </c>
      <c r="M65" s="368"/>
      <c r="N65" s="329">
        <v>228.6</v>
      </c>
      <c r="O65" s="368"/>
      <c r="P65" s="1202">
        <v>90.5</v>
      </c>
      <c r="Q65" s="368"/>
      <c r="R65" s="1202">
        <v>143.6</v>
      </c>
      <c r="S65" s="368"/>
      <c r="T65" s="373">
        <v>156</v>
      </c>
      <c r="U65" s="368"/>
      <c r="V65" s="274"/>
      <c r="W65" s="261"/>
      <c r="X65" s="274"/>
      <c r="Y65" s="261"/>
      <c r="Z65" s="261"/>
      <c r="AA65" s="261"/>
      <c r="AB65" s="261">
        <v>0</v>
      </c>
      <c r="AC65" s="368"/>
      <c r="AD65" s="473"/>
      <c r="AE65" s="261">
        <f t="shared" si="6"/>
        <v>1905.3</v>
      </c>
      <c r="AF65" s="249"/>
      <c r="AG65" s="252"/>
      <c r="AH65" s="319">
        <v>1244</v>
      </c>
      <c r="AI65" s="515"/>
      <c r="AJ65" s="249"/>
      <c r="AK65" s="1171">
        <f t="shared" si="7"/>
        <v>661.3</v>
      </c>
      <c r="AL65" s="1171"/>
      <c r="AM65" s="2817">
        <f>ROUND(IF(AH65=0,0,AK65/ABS(AH65)),3)</f>
        <v>0.53200000000000003</v>
      </c>
    </row>
    <row r="66" spans="1:39" ht="15" customHeight="1">
      <c r="A66" s="353"/>
      <c r="B66" s="382" t="s">
        <v>32</v>
      </c>
      <c r="C66" s="223"/>
      <c r="D66" s="274">
        <v>157.80000000000001</v>
      </c>
      <c r="E66" s="368"/>
      <c r="F66" s="373">
        <v>96.6</v>
      </c>
      <c r="G66" s="368"/>
      <c r="H66" s="329">
        <v>52.2</v>
      </c>
      <c r="I66" s="368"/>
      <c r="J66" s="329">
        <v>101.3</v>
      </c>
      <c r="K66" s="368"/>
      <c r="L66" s="329">
        <v>152.69999999999999</v>
      </c>
      <c r="M66" s="368"/>
      <c r="N66" s="329">
        <v>211.2</v>
      </c>
      <c r="O66" s="368"/>
      <c r="P66" s="1202">
        <v>137.1</v>
      </c>
      <c r="Q66" s="368"/>
      <c r="R66" s="1202">
        <v>120.8</v>
      </c>
      <c r="S66" s="368"/>
      <c r="T66" s="373">
        <v>370.3</v>
      </c>
      <c r="U66" s="368"/>
      <c r="V66" s="274"/>
      <c r="W66" s="261"/>
      <c r="X66" s="274"/>
      <c r="Y66" s="261"/>
      <c r="Z66" s="261"/>
      <c r="AA66" s="261"/>
      <c r="AB66" s="261">
        <v>0</v>
      </c>
      <c r="AC66" s="368"/>
      <c r="AD66" s="473"/>
      <c r="AE66" s="261">
        <f t="shared" si="6"/>
        <v>1400</v>
      </c>
      <c r="AF66" s="249"/>
      <c r="AG66" s="252"/>
      <c r="AH66" s="319">
        <v>2004.1</v>
      </c>
      <c r="AI66" s="515"/>
      <c r="AJ66" s="249"/>
      <c r="AK66" s="1171">
        <f t="shared" si="7"/>
        <v>-604.1</v>
      </c>
      <c r="AL66" s="1171"/>
      <c r="AM66" s="2817">
        <f>ROUND(IF(AH66=0,0,AK66/ABS(AH66)),3)</f>
        <v>-0.30099999999999999</v>
      </c>
    </row>
    <row r="67" spans="1:39" ht="15" customHeight="1">
      <c r="A67" s="353"/>
      <c r="B67" s="382" t="s">
        <v>33</v>
      </c>
      <c r="C67" s="223"/>
      <c r="D67" s="274">
        <v>234.6</v>
      </c>
      <c r="E67" s="368"/>
      <c r="F67" s="373">
        <v>326.5</v>
      </c>
      <c r="G67" s="368"/>
      <c r="H67" s="329">
        <v>450.9</v>
      </c>
      <c r="I67" s="368"/>
      <c r="J67" s="329">
        <v>273.10000000000002</v>
      </c>
      <c r="K67" s="368"/>
      <c r="L67" s="329">
        <v>792</v>
      </c>
      <c r="M67" s="368"/>
      <c r="N67" s="329">
        <v>526.6</v>
      </c>
      <c r="O67" s="368"/>
      <c r="P67" s="1202">
        <v>226.2</v>
      </c>
      <c r="Q67" s="368"/>
      <c r="R67" s="1202">
        <v>219.9</v>
      </c>
      <c r="S67" s="368"/>
      <c r="T67" s="373">
        <v>559.4</v>
      </c>
      <c r="U67" s="368"/>
      <c r="V67" s="274"/>
      <c r="W67" s="261"/>
      <c r="X67" s="274"/>
      <c r="Y67" s="261"/>
      <c r="Z67" s="261"/>
      <c r="AA67" s="261"/>
      <c r="AB67" s="261">
        <v>0</v>
      </c>
      <c r="AC67" s="368"/>
      <c r="AD67" s="473"/>
      <c r="AE67" s="261">
        <f t="shared" si="6"/>
        <v>3609.2</v>
      </c>
      <c r="AF67" s="249"/>
      <c r="AG67" s="252"/>
      <c r="AH67" s="319">
        <v>3414.1</v>
      </c>
      <c r="AI67" s="515"/>
      <c r="AJ67" s="249"/>
      <c r="AK67" s="1171">
        <f t="shared" si="7"/>
        <v>195.1</v>
      </c>
      <c r="AL67" s="1171"/>
      <c r="AM67" s="2817">
        <f>ROUND(IF(AH67=0,0,AK67/ABS(AH67)),3)</f>
        <v>5.7000000000000002E-2</v>
      </c>
    </row>
    <row r="68" spans="1:39" ht="15" customHeight="1">
      <c r="A68" s="353"/>
      <c r="B68" s="382" t="s">
        <v>34</v>
      </c>
      <c r="C68" s="223"/>
      <c r="D68" s="516">
        <v>0</v>
      </c>
      <c r="E68" s="368"/>
      <c r="F68" s="373">
        <v>0.7</v>
      </c>
      <c r="G68" s="368"/>
      <c r="H68" s="329">
        <v>0.8</v>
      </c>
      <c r="I68" s="368"/>
      <c r="J68" s="329">
        <v>0.3</v>
      </c>
      <c r="K68" s="368"/>
      <c r="L68" s="329">
        <v>1.1000000000000001</v>
      </c>
      <c r="M68" s="368"/>
      <c r="N68" s="329">
        <v>0.4</v>
      </c>
      <c r="O68" s="368"/>
      <c r="P68" s="1202">
        <v>0</v>
      </c>
      <c r="Q68" s="368"/>
      <c r="R68" s="1202">
        <v>0.2</v>
      </c>
      <c r="S68" s="368"/>
      <c r="T68" s="373">
        <v>0</v>
      </c>
      <c r="U68" s="368"/>
      <c r="V68" s="373"/>
      <c r="W68" s="261"/>
      <c r="X68" s="274"/>
      <c r="Y68" s="261"/>
      <c r="Z68" s="261"/>
      <c r="AA68" s="261"/>
      <c r="AB68" s="261">
        <v>0</v>
      </c>
      <c r="AC68" s="368"/>
      <c r="AD68" s="473"/>
      <c r="AE68" s="261">
        <f>ROUND(SUM(D68:AB68),1)</f>
        <v>3.5</v>
      </c>
      <c r="AF68" s="249"/>
      <c r="AG68" s="252"/>
      <c r="AH68" s="1277">
        <v>3.4</v>
      </c>
      <c r="AI68" s="515"/>
      <c r="AJ68" s="249"/>
      <c r="AK68" s="1171">
        <f t="shared" si="7"/>
        <v>0.1</v>
      </c>
      <c r="AL68" s="1171"/>
      <c r="AM68" s="2817">
        <f>ROUND(IF(AH68=0,1,AK68/ABS(AH68)),3)</f>
        <v>2.9000000000000001E-2</v>
      </c>
    </row>
    <row r="69" spans="1:39" ht="15" customHeight="1">
      <c r="A69" s="353"/>
      <c r="B69" s="382" t="s">
        <v>35</v>
      </c>
      <c r="C69" s="223"/>
      <c r="D69" s="274">
        <v>2.2000000000000002</v>
      </c>
      <c r="E69" s="368"/>
      <c r="F69" s="373">
        <v>3.4</v>
      </c>
      <c r="G69" s="368"/>
      <c r="H69" s="329">
        <v>4.5</v>
      </c>
      <c r="I69" s="368"/>
      <c r="J69" s="329">
        <v>3.6</v>
      </c>
      <c r="K69" s="368"/>
      <c r="L69" s="329">
        <v>3.2</v>
      </c>
      <c r="M69" s="368"/>
      <c r="N69" s="329">
        <v>3.5</v>
      </c>
      <c r="O69" s="368"/>
      <c r="P69" s="1202">
        <v>0.3</v>
      </c>
      <c r="Q69" s="368"/>
      <c r="R69" s="1202">
        <v>4.9000000000000004</v>
      </c>
      <c r="S69" s="368"/>
      <c r="T69" s="373">
        <v>4.2</v>
      </c>
      <c r="U69" s="368"/>
      <c r="V69" s="274"/>
      <c r="W69" s="261"/>
      <c r="X69" s="274"/>
      <c r="Y69" s="261"/>
      <c r="Z69" s="489"/>
      <c r="AA69" s="249"/>
      <c r="AB69" s="489">
        <v>0</v>
      </c>
      <c r="AC69" s="368"/>
      <c r="AD69" s="473"/>
      <c r="AE69" s="261">
        <f t="shared" si="6"/>
        <v>29.8</v>
      </c>
      <c r="AF69" s="249"/>
      <c r="AG69" s="252"/>
      <c r="AH69" s="526">
        <v>43.9</v>
      </c>
      <c r="AI69" s="515"/>
      <c r="AJ69" s="249"/>
      <c r="AK69" s="1171">
        <f t="shared" si="7"/>
        <v>-14.1</v>
      </c>
      <c r="AL69" s="1908"/>
      <c r="AM69" s="2817">
        <f>ROUND(IF(AH69=0,0,AK69/ABS(AH69)),3)</f>
        <v>-0.32100000000000001</v>
      </c>
    </row>
    <row r="70" spans="1:39" ht="15" customHeight="1">
      <c r="A70" s="353"/>
      <c r="B70" s="221" t="s">
        <v>1482</v>
      </c>
      <c r="C70" s="223"/>
      <c r="D70" s="545">
        <f>ROUND(SUM(D60:D69),2)</f>
        <v>2397</v>
      </c>
      <c r="E70" s="410"/>
      <c r="F70" s="545">
        <f>ROUND(SUM(F60:F69),2)</f>
        <v>3561.2</v>
      </c>
      <c r="G70" s="369"/>
      <c r="H70" s="545">
        <f>ROUND(SUM(H60:H69),2)</f>
        <v>4071.9</v>
      </c>
      <c r="I70" s="410"/>
      <c r="J70" s="545">
        <f>ROUND(SUM(J60:J69),2)</f>
        <v>3614.8</v>
      </c>
      <c r="K70" s="410"/>
      <c r="L70" s="545">
        <f>ROUND(SUM(L60:L69),2)</f>
        <v>3653.3</v>
      </c>
      <c r="M70" s="410"/>
      <c r="N70" s="545">
        <f>ROUND(SUM(N60:N69),2)</f>
        <v>4068.2</v>
      </c>
      <c r="O70" s="410"/>
      <c r="P70" s="545">
        <f>ROUND(SUM(P60:P69),2)</f>
        <v>2629.7</v>
      </c>
      <c r="Q70" s="410"/>
      <c r="R70" s="545">
        <f>ROUND(SUM(R60:R69),2)</f>
        <v>3891.3</v>
      </c>
      <c r="S70" s="410"/>
      <c r="T70" s="545">
        <f>ROUND(SUM(T60:T69),2)</f>
        <v>4124.6000000000004</v>
      </c>
      <c r="U70" s="410"/>
      <c r="V70" s="545">
        <f>ROUND(SUM(V60:V69),2)</f>
        <v>0</v>
      </c>
      <c r="W70" s="257"/>
      <c r="X70" s="545">
        <f>ROUND(SUM(X60:X69),2)</f>
        <v>0</v>
      </c>
      <c r="Y70" s="257"/>
      <c r="Z70" s="545">
        <f>ROUND(SUM(Z60:Z69),2)</f>
        <v>0</v>
      </c>
      <c r="AA70" s="273"/>
      <c r="AB70" s="545">
        <f>ROUND(SUM(AB60:AB69),2)</f>
        <v>0</v>
      </c>
      <c r="AC70" s="410"/>
      <c r="AD70" s="480"/>
      <c r="AE70" s="545">
        <f>ROUND(SUM(AE60:AE69),2)</f>
        <v>32012</v>
      </c>
      <c r="AF70" s="273"/>
      <c r="AG70" s="745"/>
      <c r="AH70" s="527">
        <f>ROUND(SUM(AH60:AH69),1)</f>
        <v>30618.799999999999</v>
      </c>
      <c r="AI70" s="522"/>
      <c r="AJ70" s="273"/>
      <c r="AK70" s="1359">
        <f>ROUND(SUM(AE70-AH70),1)</f>
        <v>1393.2</v>
      </c>
      <c r="AL70" s="524"/>
      <c r="AM70" s="2832">
        <f>ROUND(SUM((AE70-AH70)/ABS(AH70)),3)</f>
        <v>4.5999999999999999E-2</v>
      </c>
    </row>
    <row r="71" spans="1:39" ht="15" customHeight="1">
      <c r="A71" s="353"/>
      <c r="B71" s="223" t="s">
        <v>158</v>
      </c>
      <c r="C71" s="223"/>
      <c r="D71" s="368"/>
      <c r="E71" s="368"/>
      <c r="F71" s="261"/>
      <c r="G71" s="368"/>
      <c r="H71" s="261"/>
      <c r="I71" s="368"/>
      <c r="J71" s="261"/>
      <c r="K71" s="368"/>
      <c r="L71" s="261"/>
      <c r="M71" s="368"/>
      <c r="N71" s="261"/>
      <c r="O71" s="368"/>
      <c r="P71" s="261"/>
      <c r="Q71" s="368"/>
      <c r="R71" s="261"/>
      <c r="S71" s="368"/>
      <c r="T71" s="261"/>
      <c r="U71" s="368"/>
      <c r="V71" s="261"/>
      <c r="W71" s="261"/>
      <c r="X71" s="261"/>
      <c r="Y71" s="261"/>
      <c r="Z71" s="261"/>
      <c r="AA71" s="261"/>
      <c r="AB71" s="261"/>
      <c r="AC71" s="368"/>
      <c r="AD71" s="473"/>
      <c r="AE71" s="368"/>
      <c r="AF71" s="253"/>
      <c r="AG71" s="541"/>
      <c r="AH71" s="368"/>
      <c r="AI71" s="542"/>
      <c r="AJ71" s="229"/>
      <c r="AK71" s="2758"/>
      <c r="AL71" s="2758"/>
      <c r="AM71" s="2836"/>
    </row>
    <row r="72" spans="1:39" ht="15" customHeight="1">
      <c r="A72" s="353"/>
      <c r="B72" s="223" t="s">
        <v>159</v>
      </c>
      <c r="C72" s="223"/>
      <c r="D72" s="274">
        <v>50.8</v>
      </c>
      <c r="E72" s="368"/>
      <c r="F72" s="373">
        <v>46</v>
      </c>
      <c r="G72" s="368"/>
      <c r="H72" s="329">
        <v>46.6</v>
      </c>
      <c r="I72" s="368"/>
      <c r="J72" s="329">
        <v>63.6</v>
      </c>
      <c r="K72" s="368"/>
      <c r="L72" s="329">
        <v>43.6</v>
      </c>
      <c r="M72" s="368"/>
      <c r="N72" s="329">
        <v>42.5</v>
      </c>
      <c r="O72" s="368"/>
      <c r="P72" s="1202">
        <v>47</v>
      </c>
      <c r="Q72" s="368"/>
      <c r="R72" s="1202">
        <v>45.8</v>
      </c>
      <c r="S72" s="368"/>
      <c r="T72" s="373">
        <v>64.599999999999994</v>
      </c>
      <c r="U72" s="368"/>
      <c r="V72" s="274"/>
      <c r="W72" s="261"/>
      <c r="X72" s="274"/>
      <c r="Y72" s="261"/>
      <c r="Z72" s="261"/>
      <c r="AA72" s="261"/>
      <c r="AB72" s="261">
        <v>0</v>
      </c>
      <c r="AC72" s="368"/>
      <c r="AD72" s="473"/>
      <c r="AE72" s="261">
        <f>ROUND(SUM(D72:AB72),1)</f>
        <v>450.5</v>
      </c>
      <c r="AF72" s="1360"/>
      <c r="AG72" s="252"/>
      <c r="AH72" s="261">
        <v>466.8</v>
      </c>
      <c r="AI72" s="515"/>
      <c r="AJ72" s="249"/>
      <c r="AK72" s="1171">
        <f>ROUND(SUM(+AE72-AH72),1)</f>
        <v>-16.3</v>
      </c>
      <c r="AL72" s="1171"/>
      <c r="AM72" s="2817">
        <f>ROUND(IF(AH72=0,0,AK72/ABS(AH72)),3)</f>
        <v>-3.5000000000000003E-2</v>
      </c>
    </row>
    <row r="73" spans="1:39" ht="15" customHeight="1">
      <c r="A73" s="353"/>
      <c r="B73" s="223" t="s">
        <v>186</v>
      </c>
      <c r="C73" s="223"/>
      <c r="D73" s="274">
        <v>57.3</v>
      </c>
      <c r="E73" s="368"/>
      <c r="F73" s="373">
        <v>77.3</v>
      </c>
      <c r="G73" s="368"/>
      <c r="H73" s="329">
        <v>110.7</v>
      </c>
      <c r="I73" s="368"/>
      <c r="J73" s="329">
        <v>72.2</v>
      </c>
      <c r="K73" s="368"/>
      <c r="L73" s="329">
        <v>97.2</v>
      </c>
      <c r="M73" s="368"/>
      <c r="N73" s="329">
        <v>224.1</v>
      </c>
      <c r="O73" s="368"/>
      <c r="P73" s="1202">
        <v>40.4</v>
      </c>
      <c r="Q73" s="368"/>
      <c r="R73" s="1202">
        <v>74.400000000000006</v>
      </c>
      <c r="S73" s="368"/>
      <c r="T73" s="373">
        <v>112.1</v>
      </c>
      <c r="U73" s="368"/>
      <c r="V73" s="274"/>
      <c r="W73" s="261"/>
      <c r="X73" s="274"/>
      <c r="Y73" s="261"/>
      <c r="Z73" s="261"/>
      <c r="AA73" s="261"/>
      <c r="AB73" s="261">
        <v>0</v>
      </c>
      <c r="AC73" s="368"/>
      <c r="AD73" s="473"/>
      <c r="AE73" s="261">
        <f>ROUND(SUM(D73:AB73),1)</f>
        <v>865.7</v>
      </c>
      <c r="AF73" s="1360"/>
      <c r="AG73" s="252"/>
      <c r="AH73" s="261">
        <v>922.1</v>
      </c>
      <c r="AI73" s="515"/>
      <c r="AJ73" s="249"/>
      <c r="AK73" s="1171">
        <f>ROUND(SUM(+AE73-AH73),1)</f>
        <v>-56.4</v>
      </c>
      <c r="AL73" s="1171"/>
      <c r="AM73" s="2817">
        <f>ROUND(IF(AH73=0,0,AK73/ABS(AH73)),3)</f>
        <v>-6.0999999999999999E-2</v>
      </c>
    </row>
    <row r="74" spans="1:39" ht="15" customHeight="1">
      <c r="A74" s="353"/>
      <c r="B74" s="223" t="s">
        <v>161</v>
      </c>
      <c r="C74" s="223"/>
      <c r="D74" s="516">
        <v>13.3</v>
      </c>
      <c r="E74" s="368"/>
      <c r="F74" s="373">
        <v>44.2</v>
      </c>
      <c r="G74" s="368"/>
      <c r="H74" s="329">
        <v>7.6</v>
      </c>
      <c r="I74" s="368"/>
      <c r="J74" s="329">
        <v>5.7</v>
      </c>
      <c r="K74" s="368"/>
      <c r="L74" s="329">
        <v>47.1</v>
      </c>
      <c r="M74" s="368"/>
      <c r="N74" s="329">
        <v>14.5</v>
      </c>
      <c r="O74" s="368"/>
      <c r="P74" s="1202">
        <v>1.1000000000000001</v>
      </c>
      <c r="Q74" s="368"/>
      <c r="R74" s="1202">
        <v>19.8</v>
      </c>
      <c r="S74" s="368"/>
      <c r="T74" s="373">
        <v>48.1</v>
      </c>
      <c r="U74" s="368"/>
      <c r="V74" s="274"/>
      <c r="W74" s="261"/>
      <c r="X74" s="274"/>
      <c r="Y74" s="261"/>
      <c r="Z74" s="261"/>
      <c r="AA74" s="261"/>
      <c r="AB74" s="261">
        <v>0</v>
      </c>
      <c r="AC74" s="368"/>
      <c r="AD74" s="473"/>
      <c r="AE74" s="261">
        <f>ROUND(SUM(D74:AB74),1)</f>
        <v>201.4</v>
      </c>
      <c r="AF74" s="1360"/>
      <c r="AG74" s="252"/>
      <c r="AH74" s="264">
        <v>206.5</v>
      </c>
      <c r="AI74" s="515"/>
      <c r="AJ74" s="249"/>
      <c r="AK74" s="1171">
        <f>ROUND(SUM(+AE74-AH74),1)</f>
        <v>-5.0999999999999996</v>
      </c>
      <c r="AL74" s="1171"/>
      <c r="AM74" s="2817">
        <f>ROUND(IF(AH74=0,0,AK74/ABS(AH74)),3)</f>
        <v>-2.5000000000000001E-2</v>
      </c>
    </row>
    <row r="75" spans="1:39" ht="15" customHeight="1">
      <c r="A75" s="353"/>
      <c r="B75" s="223" t="s">
        <v>187</v>
      </c>
      <c r="C75" s="223"/>
      <c r="D75" s="373">
        <v>0</v>
      </c>
      <c r="E75" s="368"/>
      <c r="F75" s="373">
        <v>0</v>
      </c>
      <c r="G75" s="368"/>
      <c r="H75" s="265">
        <v>0</v>
      </c>
      <c r="I75" s="368"/>
      <c r="J75" s="373">
        <v>0</v>
      </c>
      <c r="K75" s="368"/>
      <c r="L75" s="373">
        <v>0</v>
      </c>
      <c r="M75" s="368"/>
      <c r="N75" s="373">
        <v>0</v>
      </c>
      <c r="O75" s="368"/>
      <c r="P75" s="1202">
        <v>0</v>
      </c>
      <c r="Q75" s="368"/>
      <c r="R75" s="1202">
        <v>0</v>
      </c>
      <c r="S75" s="368"/>
      <c r="T75" s="373">
        <v>0</v>
      </c>
      <c r="U75" s="368"/>
      <c r="V75" s="373"/>
      <c r="W75" s="261"/>
      <c r="X75" s="274"/>
      <c r="Y75" s="261"/>
      <c r="Z75" s="279"/>
      <c r="AA75" s="265"/>
      <c r="AB75" s="279">
        <v>0</v>
      </c>
      <c r="AC75" s="368"/>
      <c r="AD75" s="473"/>
      <c r="AE75" s="261">
        <f>ROUND(SUM(D75:AB75),1)</f>
        <v>0</v>
      </c>
      <c r="AF75" s="255"/>
      <c r="AG75" s="1361"/>
      <c r="AH75" s="373">
        <v>0</v>
      </c>
      <c r="AI75" s="515"/>
      <c r="AJ75" s="249"/>
      <c r="AK75" s="1171">
        <f>ROUND(SUM(+AE75-AH75),1)</f>
        <v>0</v>
      </c>
      <c r="AL75" s="1908"/>
      <c r="AM75" s="2820">
        <f>ROUND(IF(AH75=0,0,AK75/ABS(AH75)),3)</f>
        <v>0</v>
      </c>
    </row>
    <row r="76" spans="1:39" ht="15" customHeight="1">
      <c r="A76" s="353"/>
      <c r="B76" s="223"/>
      <c r="C76" s="223"/>
      <c r="D76" s="371"/>
      <c r="E76" s="368"/>
      <c r="F76" s="289"/>
      <c r="G76" s="368"/>
      <c r="H76" s="289"/>
      <c r="I76" s="368"/>
      <c r="J76" s="289"/>
      <c r="K76" s="368"/>
      <c r="L76" s="289"/>
      <c r="M76" s="368"/>
      <c r="N76" s="289"/>
      <c r="O76" s="368"/>
      <c r="P76" s="289"/>
      <c r="Q76" s="368"/>
      <c r="R76" s="289"/>
      <c r="S76" s="368"/>
      <c r="T76" s="289"/>
      <c r="U76" s="368"/>
      <c r="V76" s="289"/>
      <c r="W76" s="261"/>
      <c r="X76" s="289"/>
      <c r="Y76" s="261"/>
      <c r="Z76" s="289"/>
      <c r="AA76" s="249"/>
      <c r="AB76" s="289"/>
      <c r="AC76" s="368"/>
      <c r="AD76" s="473"/>
      <c r="AE76" s="289"/>
      <c r="AF76" s="249"/>
      <c r="AG76" s="252"/>
      <c r="AH76" s="289"/>
      <c r="AI76" s="515"/>
      <c r="AJ76" s="249"/>
      <c r="AK76" s="1356"/>
      <c r="AL76" s="2758"/>
      <c r="AM76" s="2828"/>
    </row>
    <row r="77" spans="1:39" ht="15" customHeight="1">
      <c r="A77" s="353"/>
      <c r="B77" s="221" t="s">
        <v>162</v>
      </c>
      <c r="C77" s="223"/>
      <c r="D77" s="257">
        <f>ROUND(SUM(D70:D75),1)</f>
        <v>2518.4</v>
      </c>
      <c r="E77" s="410"/>
      <c r="F77" s="257">
        <f>ROUND(SUM(F70:F75),1)</f>
        <v>3728.7</v>
      </c>
      <c r="G77" s="410"/>
      <c r="H77" s="257">
        <f>ROUND(SUM(H70:H75),1)</f>
        <v>4236.8</v>
      </c>
      <c r="I77" s="410"/>
      <c r="J77" s="257">
        <f>ROUND(SUM(J70:J75),1)</f>
        <v>3756.3</v>
      </c>
      <c r="K77" s="410"/>
      <c r="L77" s="1886">
        <f>ROUND(SUM(L70:L75),1)</f>
        <v>3841.2</v>
      </c>
      <c r="M77" s="410"/>
      <c r="N77" s="257">
        <f>ROUND(SUM(N70:N75),1)</f>
        <v>4349.3</v>
      </c>
      <c r="O77" s="410"/>
      <c r="P77" s="257">
        <f>ROUND(SUM(P70:P75),1)</f>
        <v>2718.2</v>
      </c>
      <c r="Q77" s="410"/>
      <c r="R77" s="257">
        <f>ROUND(SUM(R70:R75),1)</f>
        <v>4031.3</v>
      </c>
      <c r="S77" s="410"/>
      <c r="T77" s="257">
        <f>ROUND(SUM(T70:T75),1)</f>
        <v>4349.3999999999996</v>
      </c>
      <c r="U77" s="410"/>
      <c r="V77" s="257">
        <f>ROUND(SUM(V70:V75),1)</f>
        <v>0</v>
      </c>
      <c r="W77" s="257"/>
      <c r="X77" s="257">
        <f>ROUND(SUM(X70:X75),1)</f>
        <v>0</v>
      </c>
      <c r="Y77" s="257"/>
      <c r="Z77" s="257">
        <f>ROUND(SUM(Z70:Z75),1)</f>
        <v>0</v>
      </c>
      <c r="AA77" s="1886"/>
      <c r="AB77" s="1886">
        <f>ROUND(SUM(AB70:AB75),1)</f>
        <v>0</v>
      </c>
      <c r="AC77" s="410"/>
      <c r="AD77" s="480"/>
      <c r="AE77" s="257">
        <f>ROUND(SUM(AE70:AE75),1)</f>
        <v>33529.599999999999</v>
      </c>
      <c r="AF77" s="273"/>
      <c r="AG77" s="745"/>
      <c r="AH77" s="257">
        <f>ROUND(SUM(AH70:AH75),1)</f>
        <v>32214.2</v>
      </c>
      <c r="AI77" s="522"/>
      <c r="AJ77" s="273"/>
      <c r="AK77" s="523">
        <f>ROUND(SUM(AE77-AH77),1)</f>
        <v>1315.4</v>
      </c>
      <c r="AL77" s="554"/>
      <c r="AM77" s="2837">
        <f>ROUND(SUM((AE77-AH77)/ABS(AH77)),3)</f>
        <v>4.1000000000000002E-2</v>
      </c>
    </row>
    <row r="78" spans="1:39" ht="15" customHeight="1">
      <c r="A78" s="353"/>
      <c r="B78" s="223"/>
      <c r="C78" s="223"/>
      <c r="D78" s="371"/>
      <c r="E78" s="368"/>
      <c r="F78" s="289"/>
      <c r="G78" s="368"/>
      <c r="H78" s="289"/>
      <c r="I78" s="368"/>
      <c r="J78" s="289"/>
      <c r="K78" s="368"/>
      <c r="L78" s="289"/>
      <c r="M78" s="368"/>
      <c r="N78" s="289"/>
      <c r="O78" s="368"/>
      <c r="P78" s="289"/>
      <c r="Q78" s="368"/>
      <c r="R78" s="289"/>
      <c r="S78" s="368"/>
      <c r="T78" s="289"/>
      <c r="U78" s="368"/>
      <c r="V78" s="289"/>
      <c r="W78" s="261"/>
      <c r="X78" s="289"/>
      <c r="Y78" s="261"/>
      <c r="Z78" s="289"/>
      <c r="AA78" s="249"/>
      <c r="AB78" s="289"/>
      <c r="AC78" s="368"/>
      <c r="AD78" s="473"/>
      <c r="AE78" s="289"/>
      <c r="AF78" s="249"/>
      <c r="AG78" s="252"/>
      <c r="AH78" s="289"/>
      <c r="AI78" s="515"/>
      <c r="AJ78" s="1362"/>
      <c r="AK78" s="1327"/>
      <c r="AL78" s="2758"/>
      <c r="AM78" s="2836"/>
    </row>
    <row r="79" spans="1:39" ht="15" customHeight="1">
      <c r="A79" s="353"/>
      <c r="B79" s="221" t="s">
        <v>163</v>
      </c>
      <c r="C79" s="223"/>
      <c r="D79" s="368"/>
      <c r="E79" s="368"/>
      <c r="F79" s="261"/>
      <c r="G79" s="368"/>
      <c r="H79" s="261"/>
      <c r="I79" s="368"/>
      <c r="J79" s="261"/>
      <c r="K79" s="368"/>
      <c r="L79" s="261"/>
      <c r="M79" s="368"/>
      <c r="N79" s="261"/>
      <c r="O79" s="368"/>
      <c r="P79" s="261"/>
      <c r="Q79" s="368"/>
      <c r="R79" s="261"/>
      <c r="S79" s="368"/>
      <c r="T79" s="261"/>
      <c r="U79" s="368"/>
      <c r="V79" s="261"/>
      <c r="W79" s="261"/>
      <c r="X79" s="261"/>
      <c r="Y79" s="261"/>
      <c r="Z79" s="261"/>
      <c r="AA79" s="261"/>
      <c r="AB79" s="261"/>
      <c r="AC79" s="368"/>
      <c r="AD79" s="473"/>
      <c r="AE79" s="261" t="s">
        <v>164</v>
      </c>
      <c r="AF79" s="1612"/>
      <c r="AG79" s="1613"/>
      <c r="AH79" s="249"/>
      <c r="AI79" s="515"/>
      <c r="AJ79" s="1608"/>
      <c r="AK79" s="1327"/>
      <c r="AL79" s="2758"/>
      <c r="AM79" s="2836"/>
    </row>
    <row r="80" spans="1:39" ht="15" customHeight="1">
      <c r="A80" s="353"/>
      <c r="B80" s="221" t="s">
        <v>46</v>
      </c>
      <c r="C80" s="223"/>
      <c r="D80" s="257">
        <f>ROUND(SUM(D56-D77),1)</f>
        <v>-877</v>
      </c>
      <c r="E80" s="410"/>
      <c r="F80" s="1886">
        <f>ROUND(SUM(F56-F77),1)</f>
        <v>901</v>
      </c>
      <c r="G80" s="410"/>
      <c r="H80" s="1886">
        <f>ROUND(SUM(H56-H77),1)</f>
        <v>195.2</v>
      </c>
      <c r="I80" s="410"/>
      <c r="J80" s="1886">
        <f>ROUND(SUM(J56-J77),1)</f>
        <v>-71.900000000000006</v>
      </c>
      <c r="K80" s="410"/>
      <c r="L80" s="1886">
        <f>ROUND(SUM(L56-L77),1)</f>
        <v>416.6</v>
      </c>
      <c r="M80" s="410"/>
      <c r="N80" s="1886">
        <f>ROUND(SUM(N56-N77),1)</f>
        <v>-285.2</v>
      </c>
      <c r="O80" s="410"/>
      <c r="P80" s="1886">
        <f>ROUND(SUM(P56-P77),1)</f>
        <v>585.5</v>
      </c>
      <c r="Q80" s="410"/>
      <c r="R80" s="1886">
        <f>ROUND(SUM(R56-R77),1)</f>
        <v>378.6</v>
      </c>
      <c r="S80" s="410"/>
      <c r="T80" s="1886">
        <f>ROUND(SUM(T56-T77),1)</f>
        <v>856.2</v>
      </c>
      <c r="U80" s="410"/>
      <c r="V80" s="1886">
        <f>ROUND(SUM(V56-V77),1)</f>
        <v>0</v>
      </c>
      <c r="W80" s="257"/>
      <c r="X80" s="1886">
        <f>ROUND(SUM(X56-X77),1)</f>
        <v>0</v>
      </c>
      <c r="Y80" s="257"/>
      <c r="Z80" s="1886">
        <f>ROUND(SUM(Z56-Z77),1)</f>
        <v>0</v>
      </c>
      <c r="AA80" s="1886"/>
      <c r="AB80" s="1886">
        <f>ROUND(SUM(AB56-AB77),1)</f>
        <v>0</v>
      </c>
      <c r="AC80" s="410"/>
      <c r="AD80" s="480"/>
      <c r="AE80" s="257">
        <f>ROUND(SUM(AE56-AE77),1)</f>
        <v>2099</v>
      </c>
      <c r="AF80" s="273"/>
      <c r="AG80" s="745"/>
      <c r="AH80" s="257">
        <f>ROUND(SUM(AH56-AH77),1)</f>
        <v>1295.5999999999999</v>
      </c>
      <c r="AI80" s="522"/>
      <c r="AJ80" s="273"/>
      <c r="AK80" s="523">
        <f>ROUND(SUM(AE80-AH80),1)</f>
        <v>803.4</v>
      </c>
      <c r="AL80" s="412"/>
      <c r="AM80" s="2837">
        <f>ROUND(SUM((AE80-AH80)/ABS(AH80)),3)</f>
        <v>0.62</v>
      </c>
    </row>
    <row r="81" spans="1:52" ht="15" customHeight="1">
      <c r="A81" s="353"/>
      <c r="B81" s="223"/>
      <c r="C81" s="223"/>
      <c r="D81" s="371"/>
      <c r="E81" s="368"/>
      <c r="F81" s="289"/>
      <c r="G81" s="368"/>
      <c r="H81" s="289"/>
      <c r="I81" s="368"/>
      <c r="J81" s="289"/>
      <c r="K81" s="368"/>
      <c r="L81" s="289"/>
      <c r="M81" s="368"/>
      <c r="N81" s="289"/>
      <c r="O81" s="368"/>
      <c r="P81" s="289"/>
      <c r="Q81" s="368"/>
      <c r="R81" s="289"/>
      <c r="S81" s="368"/>
      <c r="T81" s="289"/>
      <c r="U81" s="368"/>
      <c r="V81" s="289"/>
      <c r="W81" s="261"/>
      <c r="X81" s="289"/>
      <c r="Y81" s="261"/>
      <c r="Z81" s="289"/>
      <c r="AA81" s="249"/>
      <c r="AB81" s="289"/>
      <c r="AC81" s="368"/>
      <c r="AD81" s="473"/>
      <c r="AE81" s="289"/>
      <c r="AF81" s="249"/>
      <c r="AG81" s="252"/>
      <c r="AH81" s="289"/>
      <c r="AI81" s="515"/>
      <c r="AJ81" s="249"/>
      <c r="AK81" s="1327"/>
      <c r="AL81" s="2758"/>
      <c r="AM81" s="2836"/>
    </row>
    <row r="82" spans="1:52" ht="15" customHeight="1">
      <c r="A82" s="353"/>
      <c r="B82" s="221" t="s">
        <v>47</v>
      </c>
      <c r="C82" s="223"/>
      <c r="D82" s="368"/>
      <c r="E82" s="368"/>
      <c r="F82" s="261"/>
      <c r="G82" s="368"/>
      <c r="H82" s="261"/>
      <c r="I82" s="368"/>
      <c r="J82" s="261"/>
      <c r="K82" s="368"/>
      <c r="L82" s="261"/>
      <c r="M82" s="368"/>
      <c r="N82" s="261"/>
      <c r="O82" s="368"/>
      <c r="P82" s="261"/>
      <c r="Q82" s="368"/>
      <c r="R82" s="261"/>
      <c r="S82" s="368"/>
      <c r="T82" s="261"/>
      <c r="U82" s="368"/>
      <c r="V82" s="261"/>
      <c r="W82" s="261"/>
      <c r="X82" s="261"/>
      <c r="Y82" s="261"/>
      <c r="Z82" s="261"/>
      <c r="AA82" s="261"/>
      <c r="AB82" s="261"/>
      <c r="AC82" s="368"/>
      <c r="AD82" s="473"/>
      <c r="AE82" s="261"/>
      <c r="AF82" s="249"/>
      <c r="AG82" s="252"/>
      <c r="AH82" s="261"/>
      <c r="AI82" s="515"/>
      <c r="AJ82" s="249"/>
      <c r="AK82" s="1327"/>
      <c r="AL82" s="2758"/>
      <c r="AM82" s="2836"/>
    </row>
    <row r="83" spans="1:52" ht="15" customHeight="1">
      <c r="A83" s="353"/>
      <c r="B83" s="223" t="s">
        <v>188</v>
      </c>
      <c r="C83" s="223"/>
      <c r="D83" s="373">
        <v>0</v>
      </c>
      <c r="E83" s="368"/>
      <c r="F83" s="373">
        <v>0</v>
      </c>
      <c r="G83" s="368"/>
      <c r="H83" s="373">
        <v>0</v>
      </c>
      <c r="I83" s="368"/>
      <c r="J83" s="373">
        <v>0</v>
      </c>
      <c r="K83" s="368"/>
      <c r="L83" s="373">
        <v>0</v>
      </c>
      <c r="M83" s="368"/>
      <c r="N83" s="373">
        <v>0</v>
      </c>
      <c r="O83" s="368"/>
      <c r="P83" s="1202">
        <v>0</v>
      </c>
      <c r="Q83" s="374"/>
      <c r="R83" s="1202">
        <v>0</v>
      </c>
      <c r="S83" s="368"/>
      <c r="T83" s="373">
        <v>0</v>
      </c>
      <c r="U83" s="368"/>
      <c r="V83" s="373"/>
      <c r="W83" s="261"/>
      <c r="X83" s="274"/>
      <c r="Y83" s="261"/>
      <c r="Z83" s="373"/>
      <c r="AA83" s="373"/>
      <c r="AB83" s="373">
        <v>0</v>
      </c>
      <c r="AC83" s="368"/>
      <c r="AD83" s="473"/>
      <c r="AE83" s="261">
        <f>ROUND(SUM(D83:AB83),1)</f>
        <v>0</v>
      </c>
      <c r="AF83" s="255"/>
      <c r="AG83" s="252"/>
      <c r="AH83" s="373">
        <v>0</v>
      </c>
      <c r="AI83" s="515"/>
      <c r="AJ83" s="249"/>
      <c r="AK83" s="1355">
        <f>ROUND(SUM(+AE83-AH83),1)</f>
        <v>0</v>
      </c>
      <c r="AL83" s="1908"/>
      <c r="AM83" s="2817">
        <f>ROUND(IF(AH83=0,0,AK83/ABS(AH83)),3)</f>
        <v>0</v>
      </c>
    </row>
    <row r="84" spans="1:52" ht="15" customHeight="1">
      <c r="A84" s="353"/>
      <c r="B84" s="223" t="s">
        <v>189</v>
      </c>
      <c r="C84" s="223"/>
      <c r="D84" s="274">
        <v>-160</v>
      </c>
      <c r="E84" s="368"/>
      <c r="F84" s="373">
        <v>-23.8</v>
      </c>
      <c r="G84" s="368"/>
      <c r="H84" s="329">
        <v>-85.9</v>
      </c>
      <c r="I84" s="368"/>
      <c r="J84" s="2067">
        <v>-186.9</v>
      </c>
      <c r="K84" s="368"/>
      <c r="L84" s="329">
        <v>-254</v>
      </c>
      <c r="M84" s="368"/>
      <c r="N84" s="329">
        <v>-281.39999999999998</v>
      </c>
      <c r="O84" s="368"/>
      <c r="P84" s="1202">
        <v>-175.4</v>
      </c>
      <c r="Q84" s="368"/>
      <c r="R84" s="1202">
        <v>-73.900000000000006</v>
      </c>
      <c r="S84" s="368"/>
      <c r="T84" s="373">
        <v>-321.10000000000002</v>
      </c>
      <c r="U84" s="368"/>
      <c r="V84" s="274"/>
      <c r="W84" s="261"/>
      <c r="X84" s="274"/>
      <c r="Y84" s="261"/>
      <c r="Z84" s="274"/>
      <c r="AA84" s="274"/>
      <c r="AB84" s="274">
        <v>400</v>
      </c>
      <c r="AC84" s="368"/>
      <c r="AD84" s="473"/>
      <c r="AE84" s="261">
        <f>ROUND(SUM(D84:AB84),1)</f>
        <v>-1162.4000000000001</v>
      </c>
      <c r="AF84" s="249"/>
      <c r="AG84" s="252"/>
      <c r="AH84" s="261">
        <v>-1267.0999999999999</v>
      </c>
      <c r="AI84" s="515"/>
      <c r="AJ84" s="249"/>
      <c r="AK84" s="1908">
        <f>ROUND(SUM(+AE84-AH84)*-1,1)</f>
        <v>-104.7</v>
      </c>
      <c r="AL84" s="1908"/>
      <c r="AM84" s="2817">
        <f>ROUND(IF(AH84=0,0,AK84/ABS(AH84)),3)</f>
        <v>-8.3000000000000004E-2</v>
      </c>
    </row>
    <row r="85" spans="1:52" ht="15" customHeight="1">
      <c r="A85" s="353"/>
      <c r="B85" s="223"/>
      <c r="C85" s="223"/>
      <c r="D85" s="371"/>
      <c r="E85" s="368"/>
      <c r="F85" s="289"/>
      <c r="G85" s="368"/>
      <c r="H85" s="289"/>
      <c r="I85" s="368"/>
      <c r="J85" s="289"/>
      <c r="K85" s="368"/>
      <c r="L85" s="289"/>
      <c r="M85" s="368"/>
      <c r="N85" s="289"/>
      <c r="O85" s="368"/>
      <c r="P85" s="289"/>
      <c r="Q85" s="368"/>
      <c r="R85" s="289"/>
      <c r="S85" s="368"/>
      <c r="T85" s="289"/>
      <c r="U85" s="368"/>
      <c r="V85" s="289"/>
      <c r="W85" s="261"/>
      <c r="X85" s="289"/>
      <c r="Y85" s="261"/>
      <c r="Z85" s="289"/>
      <c r="AA85" s="249"/>
      <c r="AB85" s="289"/>
      <c r="AC85" s="368"/>
      <c r="AD85" s="473"/>
      <c r="AE85" s="289"/>
      <c r="AF85" s="249"/>
      <c r="AG85" s="252"/>
      <c r="AH85" s="289"/>
      <c r="AI85" s="515"/>
      <c r="AJ85" s="249"/>
      <c r="AK85" s="2757"/>
      <c r="AL85" s="2758"/>
      <c r="AM85" s="2838"/>
    </row>
    <row r="86" spans="1:52" ht="15" customHeight="1">
      <c r="A86" s="353"/>
      <c r="B86" s="221" t="s">
        <v>1476</v>
      </c>
      <c r="C86" s="223"/>
      <c r="D86" s="257">
        <f>ROUND(SUM(D83:D85),1)</f>
        <v>-160</v>
      </c>
      <c r="E86" s="410"/>
      <c r="F86" s="257">
        <f>ROUND(SUM(F83:F85),1)</f>
        <v>-23.8</v>
      </c>
      <c r="G86" s="410"/>
      <c r="H86" s="257">
        <f>ROUND(SUM(H83:H85),1)</f>
        <v>-85.9</v>
      </c>
      <c r="I86" s="410"/>
      <c r="J86" s="257">
        <f>ROUND(SUM(J83:J85),1)</f>
        <v>-186.9</v>
      </c>
      <c r="K86" s="410"/>
      <c r="L86" s="1886">
        <f>ROUND(SUM(L83:L85),1)</f>
        <v>-254</v>
      </c>
      <c r="M86" s="410"/>
      <c r="N86" s="257">
        <f>ROUND(SUM(N83:N85),1)</f>
        <v>-281.39999999999998</v>
      </c>
      <c r="O86" s="410"/>
      <c r="P86" s="257">
        <f>ROUND(SUM(P83:P85),1)</f>
        <v>-175.4</v>
      </c>
      <c r="Q86" s="410"/>
      <c r="R86" s="257">
        <f>ROUND(SUM(R83:R85),1)</f>
        <v>-73.900000000000006</v>
      </c>
      <c r="S86" s="410"/>
      <c r="T86" s="257">
        <f>ROUND(SUM(T83:T85),1)</f>
        <v>-321.10000000000002</v>
      </c>
      <c r="U86" s="410"/>
      <c r="V86" s="257">
        <f>ROUND(SUM(V83:V85),1)</f>
        <v>0</v>
      </c>
      <c r="W86" s="257"/>
      <c r="X86" s="257">
        <f>ROUND(SUM(X83:X85),1)</f>
        <v>0</v>
      </c>
      <c r="Y86" s="257"/>
      <c r="Z86" s="257">
        <f>ROUND(SUM(Z83:Z85),1)</f>
        <v>0</v>
      </c>
      <c r="AA86" s="1886"/>
      <c r="AB86" s="1886">
        <f>ROUND(SUM(AB83:AB85),1)</f>
        <v>400</v>
      </c>
      <c r="AC86" s="410"/>
      <c r="AD86" s="480"/>
      <c r="AE86" s="257">
        <f>ROUND(SUM(AE83:AE85),1)</f>
        <v>-1162.4000000000001</v>
      </c>
      <c r="AF86" s="273"/>
      <c r="AG86" s="745"/>
      <c r="AH86" s="257">
        <f>ROUND(SUM(AH83:AH84),1)</f>
        <v>-1267.0999999999999</v>
      </c>
      <c r="AI86" s="522"/>
      <c r="AJ86" s="273"/>
      <c r="AK86" s="523">
        <f>-ROUND(SUM(AE86-AH86),1)</f>
        <v>-104.7</v>
      </c>
      <c r="AL86" s="524"/>
      <c r="AM86" s="2837">
        <f>ROUND(SUM((AE86-AH86)/(AH86)),3)</f>
        <v>-8.3000000000000004E-2</v>
      </c>
    </row>
    <row r="87" spans="1:52" ht="15" customHeight="1">
      <c r="A87" s="353"/>
      <c r="B87" s="223"/>
      <c r="C87" s="223"/>
      <c r="D87" s="371"/>
      <c r="E87" s="368"/>
      <c r="F87" s="371"/>
      <c r="G87" s="368"/>
      <c r="H87" s="371"/>
      <c r="I87" s="368"/>
      <c r="J87" s="371"/>
      <c r="K87" s="368"/>
      <c r="L87" s="371"/>
      <c r="M87" s="368"/>
      <c r="N87" s="371"/>
      <c r="O87" s="368"/>
      <c r="P87" s="371"/>
      <c r="Q87" s="368"/>
      <c r="R87" s="371"/>
      <c r="S87" s="368"/>
      <c r="T87" s="371"/>
      <c r="U87" s="368"/>
      <c r="V87" s="289"/>
      <c r="W87" s="261"/>
      <c r="X87" s="289"/>
      <c r="Y87" s="261"/>
      <c r="Z87" s="289"/>
      <c r="AA87" s="249"/>
      <c r="AB87" s="289"/>
      <c r="AC87" s="368"/>
      <c r="AD87" s="473"/>
      <c r="AE87" s="289"/>
      <c r="AF87" s="249"/>
      <c r="AG87" s="252"/>
      <c r="AH87" s="289"/>
      <c r="AI87" s="515"/>
      <c r="AJ87" s="249"/>
      <c r="AK87" s="1327"/>
      <c r="AL87" s="2758"/>
      <c r="AM87" s="2836"/>
    </row>
    <row r="88" spans="1:52" ht="15" customHeight="1">
      <c r="A88" s="353"/>
      <c r="B88" s="221" t="s">
        <v>172</v>
      </c>
      <c r="C88" s="223"/>
      <c r="D88" s="368"/>
      <c r="E88" s="368"/>
      <c r="F88" s="368"/>
      <c r="G88" s="368"/>
      <c r="H88" s="368"/>
      <c r="I88" s="368"/>
      <c r="J88" s="368"/>
      <c r="K88" s="368"/>
      <c r="L88" s="368"/>
      <c r="M88" s="368"/>
      <c r="N88" s="368"/>
      <c r="O88" s="368"/>
      <c r="P88" s="368"/>
      <c r="Q88" s="368"/>
      <c r="R88" s="368"/>
      <c r="S88" s="368"/>
      <c r="T88" s="368"/>
      <c r="U88" s="368"/>
      <c r="V88" s="368"/>
      <c r="W88" s="368"/>
      <c r="X88" s="368"/>
      <c r="Y88" s="368"/>
      <c r="Z88" s="368"/>
      <c r="AA88" s="368"/>
      <c r="AB88" s="368"/>
      <c r="AC88" s="368"/>
      <c r="AD88" s="473"/>
      <c r="AE88" s="368"/>
      <c r="AF88" s="253"/>
      <c r="AG88" s="541"/>
      <c r="AH88" s="368"/>
      <c r="AI88" s="542"/>
      <c r="AJ88" s="229"/>
      <c r="AK88" s="2758"/>
      <c r="AL88" s="2758"/>
      <c r="AM88" s="2836"/>
    </row>
    <row r="89" spans="1:52" ht="15" customHeight="1">
      <c r="A89" s="353"/>
      <c r="B89" s="221" t="s">
        <v>173</v>
      </c>
      <c r="C89" s="223"/>
      <c r="D89" s="368"/>
      <c r="E89" s="368"/>
      <c r="F89" s="368"/>
      <c r="G89" s="368"/>
      <c r="H89" s="368"/>
      <c r="I89" s="368"/>
      <c r="J89" s="368"/>
      <c r="K89" s="368"/>
      <c r="L89" s="368"/>
      <c r="M89" s="368"/>
      <c r="N89" s="368"/>
      <c r="O89" s="368"/>
      <c r="P89" s="368"/>
      <c r="Q89" s="368"/>
      <c r="R89" s="368"/>
      <c r="S89" s="368"/>
      <c r="T89" s="368"/>
      <c r="U89" s="368"/>
      <c r="V89" s="368"/>
      <c r="W89" s="368"/>
      <c r="X89" s="368"/>
      <c r="Y89" s="368"/>
      <c r="Z89" s="368"/>
      <c r="AA89" s="368"/>
      <c r="AB89" s="368"/>
      <c r="AC89" s="368"/>
      <c r="AD89" s="473"/>
      <c r="AE89" s="368"/>
      <c r="AF89" s="253"/>
      <c r="AG89" s="541"/>
      <c r="AH89" s="424"/>
      <c r="AI89" s="542"/>
      <c r="AJ89" s="229"/>
      <c r="AK89" s="2758"/>
      <c r="AL89" s="2758"/>
      <c r="AM89" s="2836"/>
    </row>
    <row r="90" spans="1:52" ht="15" customHeight="1" thickBot="1">
      <c r="A90" s="353"/>
      <c r="B90" s="221" t="s">
        <v>1477</v>
      </c>
      <c r="C90" s="223"/>
      <c r="D90" s="503">
        <f>ROUND(SUM(D80+D86),1)</f>
        <v>-1037</v>
      </c>
      <c r="E90" s="368"/>
      <c r="F90" s="503">
        <f>ROUND(SUM(F80+F86),1)</f>
        <v>877.2</v>
      </c>
      <c r="G90" s="368"/>
      <c r="H90" s="503">
        <f>ROUND(SUM(H80+H86),1)</f>
        <v>109.3</v>
      </c>
      <c r="I90" s="368"/>
      <c r="J90" s="503">
        <f>ROUND(SUM(J80+J86),1)</f>
        <v>-258.8</v>
      </c>
      <c r="K90" s="368"/>
      <c r="L90" s="503">
        <f>ROUND(SUM(L80+L86),1)</f>
        <v>162.6</v>
      </c>
      <c r="M90" s="261"/>
      <c r="N90" s="503">
        <f>ROUND(SUM(N80+N86),1)</f>
        <v>-566.6</v>
      </c>
      <c r="O90" s="261"/>
      <c r="P90" s="503">
        <f>ROUND(SUM(P80+P86),1)</f>
        <v>410.1</v>
      </c>
      <c r="Q90" s="261"/>
      <c r="R90" s="503">
        <f>ROUND(SUM(R80+R86),1)</f>
        <v>304.7</v>
      </c>
      <c r="S90" s="261"/>
      <c r="T90" s="503">
        <f>ROUND(SUM(T80+T86),1)</f>
        <v>535.1</v>
      </c>
      <c r="U90" s="261"/>
      <c r="V90" s="503">
        <f>ROUND(SUM(V80+V86),1)</f>
        <v>0</v>
      </c>
      <c r="W90" s="261"/>
      <c r="X90" s="503">
        <f>ROUND(SUM(X80+X86),1)</f>
        <v>0</v>
      </c>
      <c r="Y90" s="261"/>
      <c r="Z90" s="503">
        <f>ROUND(SUM(Z80+Z86),1)</f>
        <v>0</v>
      </c>
      <c r="AA90" s="424"/>
      <c r="AB90" s="503">
        <f>ROUND(SUM(AB80+AB86),1)</f>
        <v>400</v>
      </c>
      <c r="AC90" s="368"/>
      <c r="AD90" s="473"/>
      <c r="AE90" s="503">
        <f>ROUND(SUM(AE80+AE86),1)</f>
        <v>936.6</v>
      </c>
      <c r="AF90" s="253"/>
      <c r="AG90" s="541"/>
      <c r="AH90" s="503">
        <f>ROUND(SUM(AH80+AH86),1)</f>
        <v>28.5</v>
      </c>
      <c r="AI90" s="542"/>
      <c r="AJ90" s="229"/>
      <c r="AK90" s="503">
        <f>ROUND(SUM(AK80-AK86),1)</f>
        <v>908.1</v>
      </c>
      <c r="AL90" s="2758"/>
      <c r="AM90" s="2881">
        <f>ROUND(SUM((AE90-AH90)/AH90),3)</f>
        <v>31.863</v>
      </c>
    </row>
    <row r="91" spans="1:52" ht="15" customHeight="1" thickTop="1">
      <c r="A91" s="353"/>
      <c r="B91" s="223"/>
      <c r="C91" s="223"/>
      <c r="D91" s="229"/>
      <c r="E91" s="222"/>
      <c r="F91" s="229"/>
      <c r="G91" s="222"/>
      <c r="H91" s="229"/>
      <c r="I91" s="222"/>
      <c r="J91" s="229"/>
      <c r="K91" s="222"/>
      <c r="L91" s="229"/>
      <c r="M91" s="222"/>
      <c r="N91" s="229"/>
      <c r="O91" s="222"/>
      <c r="P91" s="229"/>
      <c r="Q91" s="222"/>
      <c r="R91" s="229"/>
      <c r="S91" s="222"/>
      <c r="T91" s="2380"/>
      <c r="U91" s="222"/>
      <c r="V91" s="229"/>
      <c r="W91" s="222"/>
      <c r="X91" s="229"/>
      <c r="Y91" s="222"/>
      <c r="Z91" s="229"/>
      <c r="AA91" s="229"/>
      <c r="AB91" s="229"/>
      <c r="AC91" s="222"/>
      <c r="AD91" s="229"/>
      <c r="AE91" s="229"/>
      <c r="AF91" s="229"/>
      <c r="AG91" s="229"/>
      <c r="AH91" s="229"/>
      <c r="AI91" s="229"/>
      <c r="AJ91" s="229"/>
      <c r="AK91" s="2759"/>
      <c r="AL91" s="2758"/>
      <c r="AM91" s="2836" t="s">
        <v>16</v>
      </c>
    </row>
    <row r="92" spans="1:52" ht="15" customHeight="1">
      <c r="B92" s="222"/>
      <c r="C92" s="222"/>
      <c r="D92" s="506"/>
      <c r="E92" s="506"/>
      <c r="F92" s="506"/>
      <c r="G92" s="506"/>
      <c r="H92" s="506"/>
      <c r="I92" s="506"/>
      <c r="J92" s="506"/>
      <c r="K92" s="506"/>
      <c r="L92" s="506"/>
      <c r="M92" s="506"/>
      <c r="N92" s="506"/>
      <c r="O92" s="506"/>
      <c r="P92" s="506"/>
      <c r="Q92" s="506"/>
      <c r="R92" s="506"/>
      <c r="S92" s="506"/>
      <c r="T92" s="506"/>
      <c r="U92" s="506"/>
      <c r="V92" s="506"/>
      <c r="W92" s="506"/>
      <c r="X92" s="506"/>
      <c r="Y92" s="506"/>
      <c r="Z92" s="506"/>
      <c r="AA92" s="506"/>
      <c r="AB92" s="506"/>
      <c r="AC92" s="506"/>
      <c r="AD92" s="506"/>
      <c r="AE92" s="506"/>
      <c r="AF92" s="506"/>
      <c r="AG92" s="506"/>
      <c r="AH92" s="506"/>
      <c r="AI92" s="506"/>
      <c r="AJ92" s="506"/>
      <c r="AK92" s="2743"/>
      <c r="AL92" s="2743"/>
      <c r="AM92" s="2808"/>
      <c r="AN92" s="548"/>
      <c r="AO92" s="548"/>
      <c r="AP92" s="548"/>
      <c r="AQ92" s="548"/>
      <c r="AR92" s="548"/>
      <c r="AS92" s="548"/>
      <c r="AT92" s="548"/>
      <c r="AU92" s="548"/>
      <c r="AV92" s="548"/>
      <c r="AW92" s="548"/>
      <c r="AX92" s="548"/>
      <c r="AY92" s="548"/>
      <c r="AZ92" s="548"/>
    </row>
    <row r="93" spans="1:52" ht="15" customHeight="1">
      <c r="B93" s="1882" t="s">
        <v>1501</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82"/>
      <c r="AL93" s="1882"/>
      <c r="AM93" s="2808"/>
    </row>
    <row r="94" spans="1:52" ht="15" customHeight="1">
      <c r="B94" s="222"/>
      <c r="AM94" s="2831"/>
    </row>
    <row r="95" spans="1:52" ht="15" customHeight="1">
      <c r="B95" s="222"/>
      <c r="AM95" s="2831"/>
    </row>
    <row r="96" spans="1:52" ht="15" customHeight="1">
      <c r="AM96" s="2831"/>
    </row>
    <row r="97" spans="39:39" ht="15" customHeight="1">
      <c r="AM97" s="2831"/>
    </row>
    <row r="98" spans="39:39" ht="15" customHeight="1">
      <c r="AM98" s="2831"/>
    </row>
    <row r="99" spans="39:39" ht="15" customHeight="1">
      <c r="AM99" s="2831"/>
    </row>
    <row r="100" spans="39:39" ht="15" customHeight="1">
      <c r="AM100" s="2831"/>
    </row>
    <row r="101" spans="39:39" ht="15" customHeight="1">
      <c r="AM101" s="2831"/>
    </row>
    <row r="102" spans="39:39" ht="15" customHeight="1">
      <c r="AM102" s="2831"/>
    </row>
    <row r="103" spans="39:39" ht="15" customHeight="1">
      <c r="AM103" s="2831"/>
    </row>
    <row r="104" spans="39:39" ht="15" customHeight="1">
      <c r="AM104" s="2831"/>
    </row>
    <row r="105" spans="39:39" ht="15" customHeight="1">
      <c r="AM105" s="2831"/>
    </row>
    <row r="106" spans="39:39" ht="15" customHeight="1">
      <c r="AM106" s="2831"/>
    </row>
    <row r="107" spans="39:39" ht="15" customHeight="1">
      <c r="AM107" s="2831"/>
    </row>
    <row r="108" spans="39:39" ht="15" customHeight="1">
      <c r="AM108" s="2831"/>
    </row>
    <row r="109" spans="39:39" ht="15" customHeight="1">
      <c r="AM109" s="2831"/>
    </row>
    <row r="110" spans="39:39" ht="15" customHeight="1">
      <c r="AM110" s="2831"/>
    </row>
    <row r="111" spans="39:39" ht="15" customHeight="1">
      <c r="AM111" s="2831"/>
    </row>
    <row r="112" spans="39:39" ht="15" customHeight="1">
      <c r="AM112" s="2831"/>
    </row>
    <row r="113" spans="39:39" ht="15" customHeight="1">
      <c r="AM113" s="2831"/>
    </row>
    <row r="114" spans="39:39" ht="15" customHeight="1">
      <c r="AM114" s="2831"/>
    </row>
    <row r="115" spans="39:39" ht="15" customHeight="1">
      <c r="AM115" s="2831"/>
    </row>
    <row r="116" spans="39:39" ht="15" customHeight="1">
      <c r="AM116" s="2831"/>
    </row>
    <row r="117" spans="39:39" ht="15" customHeight="1">
      <c r="AM117" s="2831"/>
    </row>
    <row r="118" spans="39:39" ht="15" customHeight="1">
      <c r="AM118" s="2831"/>
    </row>
    <row r="119" spans="39:39" ht="15" customHeight="1">
      <c r="AM119" s="2831"/>
    </row>
    <row r="120" spans="39:39" ht="15" customHeight="1">
      <c r="AM120" s="2831"/>
    </row>
    <row r="121" spans="39:39" ht="15" customHeight="1">
      <c r="AM121" s="2831"/>
    </row>
    <row r="122" spans="39:39" ht="15" customHeight="1">
      <c r="AM122" s="2831"/>
    </row>
    <row r="123" spans="39:39" ht="15" customHeight="1">
      <c r="AM123" s="2831"/>
    </row>
    <row r="124" spans="39:39" ht="15" customHeight="1">
      <c r="AM124" s="2831"/>
    </row>
    <row r="125" spans="39:39" ht="15" customHeight="1">
      <c r="AM125" s="2831"/>
    </row>
    <row r="126" spans="39:39" ht="15" customHeight="1">
      <c r="AM126" s="2831"/>
    </row>
    <row r="127" spans="39:39" ht="15" customHeight="1">
      <c r="AM127" s="2831"/>
    </row>
    <row r="128" spans="39:39" ht="15" customHeight="1">
      <c r="AM128" s="2831"/>
    </row>
    <row r="129" spans="39:39" ht="15" customHeight="1">
      <c r="AM129" s="2831"/>
    </row>
    <row r="130" spans="39:39" ht="15" customHeight="1">
      <c r="AM130" s="2831"/>
    </row>
    <row r="131" spans="39:39" ht="15" customHeight="1">
      <c r="AM131" s="2831"/>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G9:AK9"/>
  </mergeCells>
  <pageMargins left="0.25" right="0.25" top="0.5" bottom="0.25" header="0" footer="0.25"/>
  <pageSetup scale="40" firstPageNumber="27" fitToHeight="2" orientation="landscape" useFirstPageNumber="1" r:id="rId2"/>
  <headerFooter scaleWithDoc="0" alignWithMargins="0">
    <oddFooter>&amp;C&amp;8&amp;P</oddFooter>
  </headerFooter>
  <rowBreaks count="1" manualBreakCount="1">
    <brk id="61" min="1" max="38" man="1"/>
  </rowBreaks>
  <ignoredErrors>
    <ignoredError sqref="AM16:AM18 AM20 AM33 AM40 AM53 AM57 AM55" unlockedFormula="1"/>
    <ignoredError sqref="AM61:AM68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8" customWidth="1"/>
    <col min="2" max="2" width="10.453125" style="558" customWidth="1"/>
    <col min="3" max="3" width="1.36328125" style="558" customWidth="1"/>
    <col min="4" max="4" width="10" style="558" customWidth="1"/>
    <col min="5" max="5" width="1.36328125" style="558" customWidth="1"/>
    <col min="6" max="6" width="9.36328125" style="557" customWidth="1"/>
    <col min="7" max="7" width="1.36328125" style="558" customWidth="1"/>
    <col min="8" max="8" width="10" style="558" customWidth="1"/>
    <col min="9" max="9" width="1.36328125" style="558" customWidth="1"/>
    <col min="10" max="10" width="9.08984375" style="558" customWidth="1"/>
    <col min="11" max="11" width="1.36328125" style="558" customWidth="1"/>
    <col min="12" max="12" width="11.36328125" style="558" customWidth="1"/>
    <col min="13" max="13" width="1.36328125" style="558" customWidth="1"/>
    <col min="14" max="14" width="9.08984375" style="558" customWidth="1"/>
    <col min="15" max="15" width="1.6328125" style="558" customWidth="1"/>
    <col min="16" max="16" width="11" style="558" customWidth="1"/>
    <col min="17" max="17" width="1.36328125" style="558" customWidth="1"/>
    <col min="18" max="18" width="10.81640625" style="558" customWidth="1"/>
    <col min="19" max="19" width="1.36328125" style="558" customWidth="1"/>
    <col min="20" max="20" width="10" style="558" customWidth="1"/>
    <col min="21" max="21" width="1.36328125" style="558" customWidth="1"/>
    <col min="22" max="22" width="9.36328125" style="558" customWidth="1"/>
    <col min="23" max="23" width="1.36328125" style="558" customWidth="1"/>
    <col min="24" max="24" width="9.08984375" style="558" bestFit="1" customWidth="1"/>
    <col min="25" max="25" width="1.36328125" style="558" customWidth="1"/>
    <col min="26" max="26" width="0.81640625" style="558" customWidth="1"/>
    <col min="27" max="27" width="10.54296875" style="558" customWidth="1"/>
    <col min="28" max="28" width="2.1796875" style="558" customWidth="1"/>
    <col min="29" max="29" width="0.90625" style="558" customWidth="1"/>
    <col min="30" max="30" width="11" style="558" bestFit="1" customWidth="1"/>
    <col min="31" max="32" width="0.6328125" style="558" customWidth="1"/>
    <col min="33" max="33" width="9.6328125" style="558" customWidth="1"/>
    <col min="34" max="34" width="1.08984375" style="558" customWidth="1"/>
    <col min="35" max="35" width="11" style="558" customWidth="1"/>
    <col min="36" max="36" width="14.54296875" style="1026" customWidth="1"/>
    <col min="37" max="252" width="8.90625" style="558"/>
    <col min="253" max="253" width="38.453125" style="558" customWidth="1"/>
    <col min="254" max="254" width="8.54296875" style="558" customWidth="1"/>
    <col min="255" max="255" width="1.36328125" style="558" customWidth="1"/>
    <col min="256" max="256" width="8.90625" style="558" customWidth="1"/>
    <col min="257" max="257" width="1.36328125" style="558" customWidth="1"/>
    <col min="258" max="258" width="9.36328125" style="558" customWidth="1"/>
    <col min="259" max="259" width="1.36328125" style="558" customWidth="1"/>
    <col min="260" max="260" width="10" style="558" customWidth="1"/>
    <col min="261" max="261" width="1.36328125" style="558" customWidth="1"/>
    <col min="262" max="262" width="9.08984375" style="558" customWidth="1"/>
    <col min="263" max="263" width="1.36328125" style="558" customWidth="1"/>
    <col min="264" max="264" width="11.36328125" style="558" customWidth="1"/>
    <col min="265" max="265" width="1.36328125" style="558" customWidth="1"/>
    <col min="266" max="266" width="9.08984375" style="558" customWidth="1"/>
    <col min="267" max="267" width="1.6328125" style="558" customWidth="1"/>
    <col min="268" max="268" width="11" style="558" customWidth="1"/>
    <col min="269" max="269" width="1.36328125" style="558" customWidth="1"/>
    <col min="270" max="270" width="10.81640625" style="558" customWidth="1"/>
    <col min="271" max="271" width="1.36328125" style="558" customWidth="1"/>
    <col min="272" max="272" width="10" style="558" customWidth="1"/>
    <col min="273" max="273" width="1.36328125" style="558" customWidth="1"/>
    <col min="274" max="274" width="9.36328125" style="558" customWidth="1"/>
    <col min="275" max="275" width="1.36328125" style="558" customWidth="1"/>
    <col min="276" max="276" width="7.81640625" style="558" customWidth="1"/>
    <col min="277" max="277" width="1.36328125" style="558" customWidth="1"/>
    <col min="278" max="278" width="0.81640625" style="558" customWidth="1"/>
    <col min="279" max="279" width="9.36328125" style="558" customWidth="1"/>
    <col min="280" max="280" width="1.36328125" style="558" customWidth="1"/>
    <col min="281" max="281" width="0.90625" style="558" customWidth="1"/>
    <col min="282" max="282" width="9.54296875" style="558" bestFit="1" customWidth="1"/>
    <col min="283" max="284" width="0.6328125" style="558" customWidth="1"/>
    <col min="285" max="285" width="9.6328125" style="558" customWidth="1"/>
    <col min="286" max="286" width="1.08984375" style="558" customWidth="1"/>
    <col min="287" max="287" width="8.54296875" style="558" customWidth="1"/>
    <col min="288" max="288" width="14.54296875" style="558" customWidth="1"/>
    <col min="289" max="289" width="10" style="558" customWidth="1"/>
    <col min="290" max="290" width="7.81640625" style="558" bestFit="1" customWidth="1"/>
    <col min="291" max="291" width="9.90625" style="558" customWidth="1"/>
    <col min="292" max="508" width="8.90625" style="558"/>
    <col min="509" max="509" width="38.453125" style="558" customWidth="1"/>
    <col min="510" max="510" width="8.54296875" style="558" customWidth="1"/>
    <col min="511" max="511" width="1.36328125" style="558" customWidth="1"/>
    <col min="512" max="512" width="8.90625" style="558" customWidth="1"/>
    <col min="513" max="513" width="1.36328125" style="558" customWidth="1"/>
    <col min="514" max="514" width="9.36328125" style="558" customWidth="1"/>
    <col min="515" max="515" width="1.36328125" style="558" customWidth="1"/>
    <col min="516" max="516" width="10" style="558" customWidth="1"/>
    <col min="517" max="517" width="1.36328125" style="558" customWidth="1"/>
    <col min="518" max="518" width="9.08984375" style="558" customWidth="1"/>
    <col min="519" max="519" width="1.36328125" style="558" customWidth="1"/>
    <col min="520" max="520" width="11.36328125" style="558" customWidth="1"/>
    <col min="521" max="521" width="1.36328125" style="558" customWidth="1"/>
    <col min="522" max="522" width="9.08984375" style="558" customWidth="1"/>
    <col min="523" max="523" width="1.6328125" style="558" customWidth="1"/>
    <col min="524" max="524" width="11" style="558" customWidth="1"/>
    <col min="525" max="525" width="1.36328125" style="558" customWidth="1"/>
    <col min="526" max="526" width="10.81640625" style="558" customWidth="1"/>
    <col min="527" max="527" width="1.36328125" style="558" customWidth="1"/>
    <col min="528" max="528" width="10" style="558" customWidth="1"/>
    <col min="529" max="529" width="1.36328125" style="558" customWidth="1"/>
    <col min="530" max="530" width="9.36328125" style="558" customWidth="1"/>
    <col min="531" max="531" width="1.36328125" style="558" customWidth="1"/>
    <col min="532" max="532" width="7.81640625" style="558" customWidth="1"/>
    <col min="533" max="533" width="1.36328125" style="558" customWidth="1"/>
    <col min="534" max="534" width="0.81640625" style="558" customWidth="1"/>
    <col min="535" max="535" width="9.36328125" style="558" customWidth="1"/>
    <col min="536" max="536" width="1.36328125" style="558" customWidth="1"/>
    <col min="537" max="537" width="0.90625" style="558" customWidth="1"/>
    <col min="538" max="538" width="9.54296875" style="558" bestFit="1" customWidth="1"/>
    <col min="539" max="540" width="0.6328125" style="558" customWidth="1"/>
    <col min="541" max="541" width="9.6328125" style="558" customWidth="1"/>
    <col min="542" max="542" width="1.08984375" style="558" customWidth="1"/>
    <col min="543" max="543" width="8.54296875" style="558" customWidth="1"/>
    <col min="544" max="544" width="14.54296875" style="558" customWidth="1"/>
    <col min="545" max="545" width="10" style="558" customWidth="1"/>
    <col min="546" max="546" width="7.81640625" style="558" bestFit="1" customWidth="1"/>
    <col min="547" max="547" width="9.90625" style="558" customWidth="1"/>
    <col min="548" max="764" width="8.90625" style="558"/>
    <col min="765" max="765" width="38.453125" style="558" customWidth="1"/>
    <col min="766" max="766" width="8.54296875" style="558" customWidth="1"/>
    <col min="767" max="767" width="1.36328125" style="558" customWidth="1"/>
    <col min="768" max="768" width="8.90625" style="558" customWidth="1"/>
    <col min="769" max="769" width="1.36328125" style="558" customWidth="1"/>
    <col min="770" max="770" width="9.36328125" style="558" customWidth="1"/>
    <col min="771" max="771" width="1.36328125" style="558" customWidth="1"/>
    <col min="772" max="772" width="10" style="558" customWidth="1"/>
    <col min="773" max="773" width="1.36328125" style="558" customWidth="1"/>
    <col min="774" max="774" width="9.08984375" style="558" customWidth="1"/>
    <col min="775" max="775" width="1.36328125" style="558" customWidth="1"/>
    <col min="776" max="776" width="11.36328125" style="558" customWidth="1"/>
    <col min="777" max="777" width="1.36328125" style="558" customWidth="1"/>
    <col min="778" max="778" width="9.08984375" style="558" customWidth="1"/>
    <col min="779" max="779" width="1.6328125" style="558" customWidth="1"/>
    <col min="780" max="780" width="11" style="558" customWidth="1"/>
    <col min="781" max="781" width="1.36328125" style="558" customWidth="1"/>
    <col min="782" max="782" width="10.81640625" style="558" customWidth="1"/>
    <col min="783" max="783" width="1.36328125" style="558" customWidth="1"/>
    <col min="784" max="784" width="10" style="558" customWidth="1"/>
    <col min="785" max="785" width="1.36328125" style="558" customWidth="1"/>
    <col min="786" max="786" width="9.36328125" style="558" customWidth="1"/>
    <col min="787" max="787" width="1.36328125" style="558" customWidth="1"/>
    <col min="788" max="788" width="7.81640625" style="558" customWidth="1"/>
    <col min="789" max="789" width="1.36328125" style="558" customWidth="1"/>
    <col min="790" max="790" width="0.81640625" style="558" customWidth="1"/>
    <col min="791" max="791" width="9.36328125" style="558" customWidth="1"/>
    <col min="792" max="792" width="1.36328125" style="558" customWidth="1"/>
    <col min="793" max="793" width="0.90625" style="558" customWidth="1"/>
    <col min="794" max="794" width="9.54296875" style="558" bestFit="1" customWidth="1"/>
    <col min="795" max="796" width="0.6328125" style="558" customWidth="1"/>
    <col min="797" max="797" width="9.6328125" style="558" customWidth="1"/>
    <col min="798" max="798" width="1.08984375" style="558" customWidth="1"/>
    <col min="799" max="799" width="8.54296875" style="558" customWidth="1"/>
    <col min="800" max="800" width="14.54296875" style="558" customWidth="1"/>
    <col min="801" max="801" width="10" style="558" customWidth="1"/>
    <col min="802" max="802" width="7.81640625" style="558" bestFit="1" customWidth="1"/>
    <col min="803" max="803" width="9.90625" style="558" customWidth="1"/>
    <col min="804" max="1020" width="8.90625" style="558"/>
    <col min="1021" max="1021" width="38.453125" style="558" customWidth="1"/>
    <col min="1022" max="1022" width="8.54296875" style="558" customWidth="1"/>
    <col min="1023" max="1023" width="1.36328125" style="558" customWidth="1"/>
    <col min="1024" max="1024" width="8.90625" style="558" customWidth="1"/>
    <col min="1025" max="1025" width="1.36328125" style="558" customWidth="1"/>
    <col min="1026" max="1026" width="9.36328125" style="558" customWidth="1"/>
    <col min="1027" max="1027" width="1.36328125" style="558" customWidth="1"/>
    <col min="1028" max="1028" width="10" style="558" customWidth="1"/>
    <col min="1029" max="1029" width="1.36328125" style="558" customWidth="1"/>
    <col min="1030" max="1030" width="9.08984375" style="558" customWidth="1"/>
    <col min="1031" max="1031" width="1.36328125" style="558" customWidth="1"/>
    <col min="1032" max="1032" width="11.36328125" style="558" customWidth="1"/>
    <col min="1033" max="1033" width="1.36328125" style="558" customWidth="1"/>
    <col min="1034" max="1034" width="9.08984375" style="558" customWidth="1"/>
    <col min="1035" max="1035" width="1.6328125" style="558" customWidth="1"/>
    <col min="1036" max="1036" width="11" style="558" customWidth="1"/>
    <col min="1037" max="1037" width="1.36328125" style="558" customWidth="1"/>
    <col min="1038" max="1038" width="10.81640625" style="558" customWidth="1"/>
    <col min="1039" max="1039" width="1.36328125" style="558" customWidth="1"/>
    <col min="1040" max="1040" width="10" style="558" customWidth="1"/>
    <col min="1041" max="1041" width="1.36328125" style="558" customWidth="1"/>
    <col min="1042" max="1042" width="9.36328125" style="558" customWidth="1"/>
    <col min="1043" max="1043" width="1.36328125" style="558" customWidth="1"/>
    <col min="1044" max="1044" width="7.81640625" style="558" customWidth="1"/>
    <col min="1045" max="1045" width="1.36328125" style="558" customWidth="1"/>
    <col min="1046" max="1046" width="0.81640625" style="558" customWidth="1"/>
    <col min="1047" max="1047" width="9.36328125" style="558" customWidth="1"/>
    <col min="1048" max="1048" width="1.36328125" style="558" customWidth="1"/>
    <col min="1049" max="1049" width="0.90625" style="558" customWidth="1"/>
    <col min="1050" max="1050" width="9.54296875" style="558" bestFit="1" customWidth="1"/>
    <col min="1051" max="1052" width="0.6328125" style="558" customWidth="1"/>
    <col min="1053" max="1053" width="9.6328125" style="558" customWidth="1"/>
    <col min="1054" max="1054" width="1.08984375" style="558" customWidth="1"/>
    <col min="1055" max="1055" width="8.54296875" style="558" customWidth="1"/>
    <col min="1056" max="1056" width="14.54296875" style="558" customWidth="1"/>
    <col min="1057" max="1057" width="10" style="558" customWidth="1"/>
    <col min="1058" max="1058" width="7.81640625" style="558" bestFit="1" customWidth="1"/>
    <col min="1059" max="1059" width="9.90625" style="558" customWidth="1"/>
    <col min="1060" max="1276" width="8.90625" style="558"/>
    <col min="1277" max="1277" width="38.453125" style="558" customWidth="1"/>
    <col min="1278" max="1278" width="8.54296875" style="558" customWidth="1"/>
    <col min="1279" max="1279" width="1.36328125" style="558" customWidth="1"/>
    <col min="1280" max="1280" width="8.90625" style="558" customWidth="1"/>
    <col min="1281" max="1281" width="1.36328125" style="558" customWidth="1"/>
    <col min="1282" max="1282" width="9.36328125" style="558" customWidth="1"/>
    <col min="1283" max="1283" width="1.36328125" style="558" customWidth="1"/>
    <col min="1284" max="1284" width="10" style="558" customWidth="1"/>
    <col min="1285" max="1285" width="1.36328125" style="558" customWidth="1"/>
    <col min="1286" max="1286" width="9.08984375" style="558" customWidth="1"/>
    <col min="1287" max="1287" width="1.36328125" style="558" customWidth="1"/>
    <col min="1288" max="1288" width="11.36328125" style="558" customWidth="1"/>
    <col min="1289" max="1289" width="1.36328125" style="558" customWidth="1"/>
    <col min="1290" max="1290" width="9.08984375" style="558" customWidth="1"/>
    <col min="1291" max="1291" width="1.6328125" style="558" customWidth="1"/>
    <col min="1292" max="1292" width="11" style="558" customWidth="1"/>
    <col min="1293" max="1293" width="1.36328125" style="558" customWidth="1"/>
    <col min="1294" max="1294" width="10.81640625" style="558" customWidth="1"/>
    <col min="1295" max="1295" width="1.36328125" style="558" customWidth="1"/>
    <col min="1296" max="1296" width="10" style="558" customWidth="1"/>
    <col min="1297" max="1297" width="1.36328125" style="558" customWidth="1"/>
    <col min="1298" max="1298" width="9.36328125" style="558" customWidth="1"/>
    <col min="1299" max="1299" width="1.36328125" style="558" customWidth="1"/>
    <col min="1300" max="1300" width="7.81640625" style="558" customWidth="1"/>
    <col min="1301" max="1301" width="1.36328125" style="558" customWidth="1"/>
    <col min="1302" max="1302" width="0.81640625" style="558" customWidth="1"/>
    <col min="1303" max="1303" width="9.36328125" style="558" customWidth="1"/>
    <col min="1304" max="1304" width="1.36328125" style="558" customWidth="1"/>
    <col min="1305" max="1305" width="0.90625" style="558" customWidth="1"/>
    <col min="1306" max="1306" width="9.54296875" style="558" bestFit="1" customWidth="1"/>
    <col min="1307" max="1308" width="0.6328125" style="558" customWidth="1"/>
    <col min="1309" max="1309" width="9.6328125" style="558" customWidth="1"/>
    <col min="1310" max="1310" width="1.08984375" style="558" customWidth="1"/>
    <col min="1311" max="1311" width="8.54296875" style="558" customWidth="1"/>
    <col min="1312" max="1312" width="14.54296875" style="558" customWidth="1"/>
    <col min="1313" max="1313" width="10" style="558" customWidth="1"/>
    <col min="1314" max="1314" width="7.81640625" style="558" bestFit="1" customWidth="1"/>
    <col min="1315" max="1315" width="9.90625" style="558" customWidth="1"/>
    <col min="1316" max="1532" width="8.90625" style="558"/>
    <col min="1533" max="1533" width="38.453125" style="558" customWidth="1"/>
    <col min="1534" max="1534" width="8.54296875" style="558" customWidth="1"/>
    <col min="1535" max="1535" width="1.36328125" style="558" customWidth="1"/>
    <col min="1536" max="1536" width="8.90625" style="558" customWidth="1"/>
    <col min="1537" max="1537" width="1.36328125" style="558" customWidth="1"/>
    <col min="1538" max="1538" width="9.36328125" style="558" customWidth="1"/>
    <col min="1539" max="1539" width="1.36328125" style="558" customWidth="1"/>
    <col min="1540" max="1540" width="10" style="558" customWidth="1"/>
    <col min="1541" max="1541" width="1.36328125" style="558" customWidth="1"/>
    <col min="1542" max="1542" width="9.08984375" style="558" customWidth="1"/>
    <col min="1543" max="1543" width="1.36328125" style="558" customWidth="1"/>
    <col min="1544" max="1544" width="11.36328125" style="558" customWidth="1"/>
    <col min="1545" max="1545" width="1.36328125" style="558" customWidth="1"/>
    <col min="1546" max="1546" width="9.08984375" style="558" customWidth="1"/>
    <col min="1547" max="1547" width="1.6328125" style="558" customWidth="1"/>
    <col min="1548" max="1548" width="11" style="558" customWidth="1"/>
    <col min="1549" max="1549" width="1.36328125" style="558" customWidth="1"/>
    <col min="1550" max="1550" width="10.81640625" style="558" customWidth="1"/>
    <col min="1551" max="1551" width="1.36328125" style="558" customWidth="1"/>
    <col min="1552" max="1552" width="10" style="558" customWidth="1"/>
    <col min="1553" max="1553" width="1.36328125" style="558" customWidth="1"/>
    <col min="1554" max="1554" width="9.36328125" style="558" customWidth="1"/>
    <col min="1555" max="1555" width="1.36328125" style="558" customWidth="1"/>
    <col min="1556" max="1556" width="7.81640625" style="558" customWidth="1"/>
    <col min="1557" max="1557" width="1.36328125" style="558" customWidth="1"/>
    <col min="1558" max="1558" width="0.81640625" style="558" customWidth="1"/>
    <col min="1559" max="1559" width="9.36328125" style="558" customWidth="1"/>
    <col min="1560" max="1560" width="1.36328125" style="558" customWidth="1"/>
    <col min="1561" max="1561" width="0.90625" style="558" customWidth="1"/>
    <col min="1562" max="1562" width="9.54296875" style="558" bestFit="1" customWidth="1"/>
    <col min="1563" max="1564" width="0.6328125" style="558" customWidth="1"/>
    <col min="1565" max="1565" width="9.6328125" style="558" customWidth="1"/>
    <col min="1566" max="1566" width="1.08984375" style="558" customWidth="1"/>
    <col min="1567" max="1567" width="8.54296875" style="558" customWidth="1"/>
    <col min="1568" max="1568" width="14.54296875" style="558" customWidth="1"/>
    <col min="1569" max="1569" width="10" style="558" customWidth="1"/>
    <col min="1570" max="1570" width="7.81640625" style="558" bestFit="1" customWidth="1"/>
    <col min="1571" max="1571" width="9.90625" style="558" customWidth="1"/>
    <col min="1572" max="1788" width="8.90625" style="558"/>
    <col min="1789" max="1789" width="38.453125" style="558" customWidth="1"/>
    <col min="1790" max="1790" width="8.54296875" style="558" customWidth="1"/>
    <col min="1791" max="1791" width="1.36328125" style="558" customWidth="1"/>
    <col min="1792" max="1792" width="8.90625" style="558" customWidth="1"/>
    <col min="1793" max="1793" width="1.36328125" style="558" customWidth="1"/>
    <col min="1794" max="1794" width="9.36328125" style="558" customWidth="1"/>
    <col min="1795" max="1795" width="1.36328125" style="558" customWidth="1"/>
    <col min="1796" max="1796" width="10" style="558" customWidth="1"/>
    <col min="1797" max="1797" width="1.36328125" style="558" customWidth="1"/>
    <col min="1798" max="1798" width="9.08984375" style="558" customWidth="1"/>
    <col min="1799" max="1799" width="1.36328125" style="558" customWidth="1"/>
    <col min="1800" max="1800" width="11.36328125" style="558" customWidth="1"/>
    <col min="1801" max="1801" width="1.36328125" style="558" customWidth="1"/>
    <col min="1802" max="1802" width="9.08984375" style="558" customWidth="1"/>
    <col min="1803" max="1803" width="1.6328125" style="558" customWidth="1"/>
    <col min="1804" max="1804" width="11" style="558" customWidth="1"/>
    <col min="1805" max="1805" width="1.36328125" style="558" customWidth="1"/>
    <col min="1806" max="1806" width="10.81640625" style="558" customWidth="1"/>
    <col min="1807" max="1807" width="1.36328125" style="558" customWidth="1"/>
    <col min="1808" max="1808" width="10" style="558" customWidth="1"/>
    <col min="1809" max="1809" width="1.36328125" style="558" customWidth="1"/>
    <col min="1810" max="1810" width="9.36328125" style="558" customWidth="1"/>
    <col min="1811" max="1811" width="1.36328125" style="558" customWidth="1"/>
    <col min="1812" max="1812" width="7.81640625" style="558" customWidth="1"/>
    <col min="1813" max="1813" width="1.36328125" style="558" customWidth="1"/>
    <col min="1814" max="1814" width="0.81640625" style="558" customWidth="1"/>
    <col min="1815" max="1815" width="9.36328125" style="558" customWidth="1"/>
    <col min="1816" max="1816" width="1.36328125" style="558" customWidth="1"/>
    <col min="1817" max="1817" width="0.90625" style="558" customWidth="1"/>
    <col min="1818" max="1818" width="9.54296875" style="558" bestFit="1" customWidth="1"/>
    <col min="1819" max="1820" width="0.6328125" style="558" customWidth="1"/>
    <col min="1821" max="1821" width="9.6328125" style="558" customWidth="1"/>
    <col min="1822" max="1822" width="1.08984375" style="558" customWidth="1"/>
    <col min="1823" max="1823" width="8.54296875" style="558" customWidth="1"/>
    <col min="1824" max="1824" width="14.54296875" style="558" customWidth="1"/>
    <col min="1825" max="1825" width="10" style="558" customWidth="1"/>
    <col min="1826" max="1826" width="7.81640625" style="558" bestFit="1" customWidth="1"/>
    <col min="1827" max="1827" width="9.90625" style="558" customWidth="1"/>
    <col min="1828" max="2044" width="8.90625" style="558"/>
    <col min="2045" max="2045" width="38.453125" style="558" customWidth="1"/>
    <col min="2046" max="2046" width="8.54296875" style="558" customWidth="1"/>
    <col min="2047" max="2047" width="1.36328125" style="558" customWidth="1"/>
    <col min="2048" max="2048" width="8.90625" style="558" customWidth="1"/>
    <col min="2049" max="2049" width="1.36328125" style="558" customWidth="1"/>
    <col min="2050" max="2050" width="9.36328125" style="558" customWidth="1"/>
    <col min="2051" max="2051" width="1.36328125" style="558" customWidth="1"/>
    <col min="2052" max="2052" width="10" style="558" customWidth="1"/>
    <col min="2053" max="2053" width="1.36328125" style="558" customWidth="1"/>
    <col min="2054" max="2054" width="9.08984375" style="558" customWidth="1"/>
    <col min="2055" max="2055" width="1.36328125" style="558" customWidth="1"/>
    <col min="2056" max="2056" width="11.36328125" style="558" customWidth="1"/>
    <col min="2057" max="2057" width="1.36328125" style="558" customWidth="1"/>
    <col min="2058" max="2058" width="9.08984375" style="558" customWidth="1"/>
    <col min="2059" max="2059" width="1.6328125" style="558" customWidth="1"/>
    <col min="2060" max="2060" width="11" style="558" customWidth="1"/>
    <col min="2061" max="2061" width="1.36328125" style="558" customWidth="1"/>
    <col min="2062" max="2062" width="10.81640625" style="558" customWidth="1"/>
    <col min="2063" max="2063" width="1.36328125" style="558" customWidth="1"/>
    <col min="2064" max="2064" width="10" style="558" customWidth="1"/>
    <col min="2065" max="2065" width="1.36328125" style="558" customWidth="1"/>
    <col min="2066" max="2066" width="9.36328125" style="558" customWidth="1"/>
    <col min="2067" max="2067" width="1.36328125" style="558" customWidth="1"/>
    <col min="2068" max="2068" width="7.81640625" style="558" customWidth="1"/>
    <col min="2069" max="2069" width="1.36328125" style="558" customWidth="1"/>
    <col min="2070" max="2070" width="0.81640625" style="558" customWidth="1"/>
    <col min="2071" max="2071" width="9.36328125" style="558" customWidth="1"/>
    <col min="2072" max="2072" width="1.36328125" style="558" customWidth="1"/>
    <col min="2073" max="2073" width="0.90625" style="558" customWidth="1"/>
    <col min="2074" max="2074" width="9.54296875" style="558" bestFit="1" customWidth="1"/>
    <col min="2075" max="2076" width="0.6328125" style="558" customWidth="1"/>
    <col min="2077" max="2077" width="9.6328125" style="558" customWidth="1"/>
    <col min="2078" max="2078" width="1.08984375" style="558" customWidth="1"/>
    <col min="2079" max="2079" width="8.54296875" style="558" customWidth="1"/>
    <col min="2080" max="2080" width="14.54296875" style="558" customWidth="1"/>
    <col min="2081" max="2081" width="10" style="558" customWidth="1"/>
    <col min="2082" max="2082" width="7.81640625" style="558" bestFit="1" customWidth="1"/>
    <col min="2083" max="2083" width="9.90625" style="558" customWidth="1"/>
    <col min="2084" max="2300" width="8.90625" style="558"/>
    <col min="2301" max="2301" width="38.453125" style="558" customWidth="1"/>
    <col min="2302" max="2302" width="8.54296875" style="558" customWidth="1"/>
    <col min="2303" max="2303" width="1.36328125" style="558" customWidth="1"/>
    <col min="2304" max="2304" width="8.90625" style="558" customWidth="1"/>
    <col min="2305" max="2305" width="1.36328125" style="558" customWidth="1"/>
    <col min="2306" max="2306" width="9.36328125" style="558" customWidth="1"/>
    <col min="2307" max="2307" width="1.36328125" style="558" customWidth="1"/>
    <col min="2308" max="2308" width="10" style="558" customWidth="1"/>
    <col min="2309" max="2309" width="1.36328125" style="558" customWidth="1"/>
    <col min="2310" max="2310" width="9.08984375" style="558" customWidth="1"/>
    <col min="2311" max="2311" width="1.36328125" style="558" customWidth="1"/>
    <col min="2312" max="2312" width="11.36328125" style="558" customWidth="1"/>
    <col min="2313" max="2313" width="1.36328125" style="558" customWidth="1"/>
    <col min="2314" max="2314" width="9.08984375" style="558" customWidth="1"/>
    <col min="2315" max="2315" width="1.6328125" style="558" customWidth="1"/>
    <col min="2316" max="2316" width="11" style="558" customWidth="1"/>
    <col min="2317" max="2317" width="1.36328125" style="558" customWidth="1"/>
    <col min="2318" max="2318" width="10.81640625" style="558" customWidth="1"/>
    <col min="2319" max="2319" width="1.36328125" style="558" customWidth="1"/>
    <col min="2320" max="2320" width="10" style="558" customWidth="1"/>
    <col min="2321" max="2321" width="1.36328125" style="558" customWidth="1"/>
    <col min="2322" max="2322" width="9.36328125" style="558" customWidth="1"/>
    <col min="2323" max="2323" width="1.36328125" style="558" customWidth="1"/>
    <col min="2324" max="2324" width="7.81640625" style="558" customWidth="1"/>
    <col min="2325" max="2325" width="1.36328125" style="558" customWidth="1"/>
    <col min="2326" max="2326" width="0.81640625" style="558" customWidth="1"/>
    <col min="2327" max="2327" width="9.36328125" style="558" customWidth="1"/>
    <col min="2328" max="2328" width="1.36328125" style="558" customWidth="1"/>
    <col min="2329" max="2329" width="0.90625" style="558" customWidth="1"/>
    <col min="2330" max="2330" width="9.54296875" style="558" bestFit="1" customWidth="1"/>
    <col min="2331" max="2332" width="0.6328125" style="558" customWidth="1"/>
    <col min="2333" max="2333" width="9.6328125" style="558" customWidth="1"/>
    <col min="2334" max="2334" width="1.08984375" style="558" customWidth="1"/>
    <col min="2335" max="2335" width="8.54296875" style="558" customWidth="1"/>
    <col min="2336" max="2336" width="14.54296875" style="558" customWidth="1"/>
    <col min="2337" max="2337" width="10" style="558" customWidth="1"/>
    <col min="2338" max="2338" width="7.81640625" style="558" bestFit="1" customWidth="1"/>
    <col min="2339" max="2339" width="9.90625" style="558" customWidth="1"/>
    <col min="2340" max="2556" width="8.90625" style="558"/>
    <col min="2557" max="2557" width="38.453125" style="558" customWidth="1"/>
    <col min="2558" max="2558" width="8.54296875" style="558" customWidth="1"/>
    <col min="2559" max="2559" width="1.36328125" style="558" customWidth="1"/>
    <col min="2560" max="2560" width="8.90625" style="558" customWidth="1"/>
    <col min="2561" max="2561" width="1.36328125" style="558" customWidth="1"/>
    <col min="2562" max="2562" width="9.36328125" style="558" customWidth="1"/>
    <col min="2563" max="2563" width="1.36328125" style="558" customWidth="1"/>
    <col min="2564" max="2564" width="10" style="558" customWidth="1"/>
    <col min="2565" max="2565" width="1.36328125" style="558" customWidth="1"/>
    <col min="2566" max="2566" width="9.08984375" style="558" customWidth="1"/>
    <col min="2567" max="2567" width="1.36328125" style="558" customWidth="1"/>
    <col min="2568" max="2568" width="11.36328125" style="558" customWidth="1"/>
    <col min="2569" max="2569" width="1.36328125" style="558" customWidth="1"/>
    <col min="2570" max="2570" width="9.08984375" style="558" customWidth="1"/>
    <col min="2571" max="2571" width="1.6328125" style="558" customWidth="1"/>
    <col min="2572" max="2572" width="11" style="558" customWidth="1"/>
    <col min="2573" max="2573" width="1.36328125" style="558" customWidth="1"/>
    <col min="2574" max="2574" width="10.81640625" style="558" customWidth="1"/>
    <col min="2575" max="2575" width="1.36328125" style="558" customWidth="1"/>
    <col min="2576" max="2576" width="10" style="558" customWidth="1"/>
    <col min="2577" max="2577" width="1.36328125" style="558" customWidth="1"/>
    <col min="2578" max="2578" width="9.36328125" style="558" customWidth="1"/>
    <col min="2579" max="2579" width="1.36328125" style="558" customWidth="1"/>
    <col min="2580" max="2580" width="7.81640625" style="558" customWidth="1"/>
    <col min="2581" max="2581" width="1.36328125" style="558" customWidth="1"/>
    <col min="2582" max="2582" width="0.81640625" style="558" customWidth="1"/>
    <col min="2583" max="2583" width="9.36328125" style="558" customWidth="1"/>
    <col min="2584" max="2584" width="1.36328125" style="558" customWidth="1"/>
    <col min="2585" max="2585" width="0.90625" style="558" customWidth="1"/>
    <col min="2586" max="2586" width="9.54296875" style="558" bestFit="1" customWidth="1"/>
    <col min="2587" max="2588" width="0.6328125" style="558" customWidth="1"/>
    <col min="2589" max="2589" width="9.6328125" style="558" customWidth="1"/>
    <col min="2590" max="2590" width="1.08984375" style="558" customWidth="1"/>
    <col min="2591" max="2591" width="8.54296875" style="558" customWidth="1"/>
    <col min="2592" max="2592" width="14.54296875" style="558" customWidth="1"/>
    <col min="2593" max="2593" width="10" style="558" customWidth="1"/>
    <col min="2594" max="2594" width="7.81640625" style="558" bestFit="1" customWidth="1"/>
    <col min="2595" max="2595" width="9.90625" style="558" customWidth="1"/>
    <col min="2596" max="2812" width="8.90625" style="558"/>
    <col min="2813" max="2813" width="38.453125" style="558" customWidth="1"/>
    <col min="2814" max="2814" width="8.54296875" style="558" customWidth="1"/>
    <col min="2815" max="2815" width="1.36328125" style="558" customWidth="1"/>
    <col min="2816" max="2816" width="8.90625" style="558" customWidth="1"/>
    <col min="2817" max="2817" width="1.36328125" style="558" customWidth="1"/>
    <col min="2818" max="2818" width="9.36328125" style="558" customWidth="1"/>
    <col min="2819" max="2819" width="1.36328125" style="558" customWidth="1"/>
    <col min="2820" max="2820" width="10" style="558" customWidth="1"/>
    <col min="2821" max="2821" width="1.36328125" style="558" customWidth="1"/>
    <col min="2822" max="2822" width="9.08984375" style="558" customWidth="1"/>
    <col min="2823" max="2823" width="1.36328125" style="558" customWidth="1"/>
    <col min="2824" max="2824" width="11.36328125" style="558" customWidth="1"/>
    <col min="2825" max="2825" width="1.36328125" style="558" customWidth="1"/>
    <col min="2826" max="2826" width="9.08984375" style="558" customWidth="1"/>
    <col min="2827" max="2827" width="1.6328125" style="558" customWidth="1"/>
    <col min="2828" max="2828" width="11" style="558" customWidth="1"/>
    <col min="2829" max="2829" width="1.36328125" style="558" customWidth="1"/>
    <col min="2830" max="2830" width="10.81640625" style="558" customWidth="1"/>
    <col min="2831" max="2831" width="1.36328125" style="558" customWidth="1"/>
    <col min="2832" max="2832" width="10" style="558" customWidth="1"/>
    <col min="2833" max="2833" width="1.36328125" style="558" customWidth="1"/>
    <col min="2834" max="2834" width="9.36328125" style="558" customWidth="1"/>
    <col min="2835" max="2835" width="1.36328125" style="558" customWidth="1"/>
    <col min="2836" max="2836" width="7.81640625" style="558" customWidth="1"/>
    <col min="2837" max="2837" width="1.36328125" style="558" customWidth="1"/>
    <col min="2838" max="2838" width="0.81640625" style="558" customWidth="1"/>
    <col min="2839" max="2839" width="9.36328125" style="558" customWidth="1"/>
    <col min="2840" max="2840" width="1.36328125" style="558" customWidth="1"/>
    <col min="2841" max="2841" width="0.90625" style="558" customWidth="1"/>
    <col min="2842" max="2842" width="9.54296875" style="558" bestFit="1" customWidth="1"/>
    <col min="2843" max="2844" width="0.6328125" style="558" customWidth="1"/>
    <col min="2845" max="2845" width="9.6328125" style="558" customWidth="1"/>
    <col min="2846" max="2846" width="1.08984375" style="558" customWidth="1"/>
    <col min="2847" max="2847" width="8.54296875" style="558" customWidth="1"/>
    <col min="2848" max="2848" width="14.54296875" style="558" customWidth="1"/>
    <col min="2849" max="2849" width="10" style="558" customWidth="1"/>
    <col min="2850" max="2850" width="7.81640625" style="558" bestFit="1" customWidth="1"/>
    <col min="2851" max="2851" width="9.90625" style="558" customWidth="1"/>
    <col min="2852" max="3068" width="8.90625" style="558"/>
    <col min="3069" max="3069" width="38.453125" style="558" customWidth="1"/>
    <col min="3070" max="3070" width="8.54296875" style="558" customWidth="1"/>
    <col min="3071" max="3071" width="1.36328125" style="558" customWidth="1"/>
    <col min="3072" max="3072" width="8.90625" style="558" customWidth="1"/>
    <col min="3073" max="3073" width="1.36328125" style="558" customWidth="1"/>
    <col min="3074" max="3074" width="9.36328125" style="558" customWidth="1"/>
    <col min="3075" max="3075" width="1.36328125" style="558" customWidth="1"/>
    <col min="3076" max="3076" width="10" style="558" customWidth="1"/>
    <col min="3077" max="3077" width="1.36328125" style="558" customWidth="1"/>
    <col min="3078" max="3078" width="9.08984375" style="558" customWidth="1"/>
    <col min="3079" max="3079" width="1.36328125" style="558" customWidth="1"/>
    <col min="3080" max="3080" width="11.36328125" style="558" customWidth="1"/>
    <col min="3081" max="3081" width="1.36328125" style="558" customWidth="1"/>
    <col min="3082" max="3082" width="9.08984375" style="558" customWidth="1"/>
    <col min="3083" max="3083" width="1.6328125" style="558" customWidth="1"/>
    <col min="3084" max="3084" width="11" style="558" customWidth="1"/>
    <col min="3085" max="3085" width="1.36328125" style="558" customWidth="1"/>
    <col min="3086" max="3086" width="10.81640625" style="558" customWidth="1"/>
    <col min="3087" max="3087" width="1.36328125" style="558" customWidth="1"/>
    <col min="3088" max="3088" width="10" style="558" customWidth="1"/>
    <col min="3089" max="3089" width="1.36328125" style="558" customWidth="1"/>
    <col min="3090" max="3090" width="9.36328125" style="558" customWidth="1"/>
    <col min="3091" max="3091" width="1.36328125" style="558" customWidth="1"/>
    <col min="3092" max="3092" width="7.81640625" style="558" customWidth="1"/>
    <col min="3093" max="3093" width="1.36328125" style="558" customWidth="1"/>
    <col min="3094" max="3094" width="0.81640625" style="558" customWidth="1"/>
    <col min="3095" max="3095" width="9.36328125" style="558" customWidth="1"/>
    <col min="3096" max="3096" width="1.36328125" style="558" customWidth="1"/>
    <col min="3097" max="3097" width="0.90625" style="558" customWidth="1"/>
    <col min="3098" max="3098" width="9.54296875" style="558" bestFit="1" customWidth="1"/>
    <col min="3099" max="3100" width="0.6328125" style="558" customWidth="1"/>
    <col min="3101" max="3101" width="9.6328125" style="558" customWidth="1"/>
    <col min="3102" max="3102" width="1.08984375" style="558" customWidth="1"/>
    <col min="3103" max="3103" width="8.54296875" style="558" customWidth="1"/>
    <col min="3104" max="3104" width="14.54296875" style="558" customWidth="1"/>
    <col min="3105" max="3105" width="10" style="558" customWidth="1"/>
    <col min="3106" max="3106" width="7.81640625" style="558" bestFit="1" customWidth="1"/>
    <col min="3107" max="3107" width="9.90625" style="558" customWidth="1"/>
    <col min="3108" max="3324" width="8.90625" style="558"/>
    <col min="3325" max="3325" width="38.453125" style="558" customWidth="1"/>
    <col min="3326" max="3326" width="8.54296875" style="558" customWidth="1"/>
    <col min="3327" max="3327" width="1.36328125" style="558" customWidth="1"/>
    <col min="3328" max="3328" width="8.90625" style="558" customWidth="1"/>
    <col min="3329" max="3329" width="1.36328125" style="558" customWidth="1"/>
    <col min="3330" max="3330" width="9.36328125" style="558" customWidth="1"/>
    <col min="3331" max="3331" width="1.36328125" style="558" customWidth="1"/>
    <col min="3332" max="3332" width="10" style="558" customWidth="1"/>
    <col min="3333" max="3333" width="1.36328125" style="558" customWidth="1"/>
    <col min="3334" max="3334" width="9.08984375" style="558" customWidth="1"/>
    <col min="3335" max="3335" width="1.36328125" style="558" customWidth="1"/>
    <col min="3336" max="3336" width="11.36328125" style="558" customWidth="1"/>
    <col min="3337" max="3337" width="1.36328125" style="558" customWidth="1"/>
    <col min="3338" max="3338" width="9.08984375" style="558" customWidth="1"/>
    <col min="3339" max="3339" width="1.6328125" style="558" customWidth="1"/>
    <col min="3340" max="3340" width="11" style="558" customWidth="1"/>
    <col min="3341" max="3341" width="1.36328125" style="558" customWidth="1"/>
    <col min="3342" max="3342" width="10.81640625" style="558" customWidth="1"/>
    <col min="3343" max="3343" width="1.36328125" style="558" customWidth="1"/>
    <col min="3344" max="3344" width="10" style="558" customWidth="1"/>
    <col min="3345" max="3345" width="1.36328125" style="558" customWidth="1"/>
    <col min="3346" max="3346" width="9.36328125" style="558" customWidth="1"/>
    <col min="3347" max="3347" width="1.36328125" style="558" customWidth="1"/>
    <col min="3348" max="3348" width="7.81640625" style="558" customWidth="1"/>
    <col min="3349" max="3349" width="1.36328125" style="558" customWidth="1"/>
    <col min="3350" max="3350" width="0.81640625" style="558" customWidth="1"/>
    <col min="3351" max="3351" width="9.36328125" style="558" customWidth="1"/>
    <col min="3352" max="3352" width="1.36328125" style="558" customWidth="1"/>
    <col min="3353" max="3353" width="0.90625" style="558" customWidth="1"/>
    <col min="3354" max="3354" width="9.54296875" style="558" bestFit="1" customWidth="1"/>
    <col min="3355" max="3356" width="0.6328125" style="558" customWidth="1"/>
    <col min="3357" max="3357" width="9.6328125" style="558" customWidth="1"/>
    <col min="3358" max="3358" width="1.08984375" style="558" customWidth="1"/>
    <col min="3359" max="3359" width="8.54296875" style="558" customWidth="1"/>
    <col min="3360" max="3360" width="14.54296875" style="558" customWidth="1"/>
    <col min="3361" max="3361" width="10" style="558" customWidth="1"/>
    <col min="3362" max="3362" width="7.81640625" style="558" bestFit="1" customWidth="1"/>
    <col min="3363" max="3363" width="9.90625" style="558" customWidth="1"/>
    <col min="3364" max="3580" width="8.90625" style="558"/>
    <col min="3581" max="3581" width="38.453125" style="558" customWidth="1"/>
    <col min="3582" max="3582" width="8.54296875" style="558" customWidth="1"/>
    <col min="3583" max="3583" width="1.36328125" style="558" customWidth="1"/>
    <col min="3584" max="3584" width="8.90625" style="558" customWidth="1"/>
    <col min="3585" max="3585" width="1.36328125" style="558" customWidth="1"/>
    <col min="3586" max="3586" width="9.36328125" style="558" customWidth="1"/>
    <col min="3587" max="3587" width="1.36328125" style="558" customWidth="1"/>
    <col min="3588" max="3588" width="10" style="558" customWidth="1"/>
    <col min="3589" max="3589" width="1.36328125" style="558" customWidth="1"/>
    <col min="3590" max="3590" width="9.08984375" style="558" customWidth="1"/>
    <col min="3591" max="3591" width="1.36328125" style="558" customWidth="1"/>
    <col min="3592" max="3592" width="11.36328125" style="558" customWidth="1"/>
    <col min="3593" max="3593" width="1.36328125" style="558" customWidth="1"/>
    <col min="3594" max="3594" width="9.08984375" style="558" customWidth="1"/>
    <col min="3595" max="3595" width="1.6328125" style="558" customWidth="1"/>
    <col min="3596" max="3596" width="11" style="558" customWidth="1"/>
    <col min="3597" max="3597" width="1.36328125" style="558" customWidth="1"/>
    <col min="3598" max="3598" width="10.81640625" style="558" customWidth="1"/>
    <col min="3599" max="3599" width="1.36328125" style="558" customWidth="1"/>
    <col min="3600" max="3600" width="10" style="558" customWidth="1"/>
    <col min="3601" max="3601" width="1.36328125" style="558" customWidth="1"/>
    <col min="3602" max="3602" width="9.36328125" style="558" customWidth="1"/>
    <col min="3603" max="3603" width="1.36328125" style="558" customWidth="1"/>
    <col min="3604" max="3604" width="7.81640625" style="558" customWidth="1"/>
    <col min="3605" max="3605" width="1.36328125" style="558" customWidth="1"/>
    <col min="3606" max="3606" width="0.81640625" style="558" customWidth="1"/>
    <col min="3607" max="3607" width="9.36328125" style="558" customWidth="1"/>
    <col min="3608" max="3608" width="1.36328125" style="558" customWidth="1"/>
    <col min="3609" max="3609" width="0.90625" style="558" customWidth="1"/>
    <col min="3610" max="3610" width="9.54296875" style="558" bestFit="1" customWidth="1"/>
    <col min="3611" max="3612" width="0.6328125" style="558" customWidth="1"/>
    <col min="3613" max="3613" width="9.6328125" style="558" customWidth="1"/>
    <col min="3614" max="3614" width="1.08984375" style="558" customWidth="1"/>
    <col min="3615" max="3615" width="8.54296875" style="558" customWidth="1"/>
    <col min="3616" max="3616" width="14.54296875" style="558" customWidth="1"/>
    <col min="3617" max="3617" width="10" style="558" customWidth="1"/>
    <col min="3618" max="3618" width="7.81640625" style="558" bestFit="1" customWidth="1"/>
    <col min="3619" max="3619" width="9.90625" style="558" customWidth="1"/>
    <col min="3620" max="3836" width="8.90625" style="558"/>
    <col min="3837" max="3837" width="38.453125" style="558" customWidth="1"/>
    <col min="3838" max="3838" width="8.54296875" style="558" customWidth="1"/>
    <col min="3839" max="3839" width="1.36328125" style="558" customWidth="1"/>
    <col min="3840" max="3840" width="8.90625" style="558" customWidth="1"/>
    <col min="3841" max="3841" width="1.36328125" style="558" customWidth="1"/>
    <col min="3842" max="3842" width="9.36328125" style="558" customWidth="1"/>
    <col min="3843" max="3843" width="1.36328125" style="558" customWidth="1"/>
    <col min="3844" max="3844" width="10" style="558" customWidth="1"/>
    <col min="3845" max="3845" width="1.36328125" style="558" customWidth="1"/>
    <col min="3846" max="3846" width="9.08984375" style="558" customWidth="1"/>
    <col min="3847" max="3847" width="1.36328125" style="558" customWidth="1"/>
    <col min="3848" max="3848" width="11.36328125" style="558" customWidth="1"/>
    <col min="3849" max="3849" width="1.36328125" style="558" customWidth="1"/>
    <col min="3850" max="3850" width="9.08984375" style="558" customWidth="1"/>
    <col min="3851" max="3851" width="1.6328125" style="558" customWidth="1"/>
    <col min="3852" max="3852" width="11" style="558" customWidth="1"/>
    <col min="3853" max="3853" width="1.36328125" style="558" customWidth="1"/>
    <col min="3854" max="3854" width="10.81640625" style="558" customWidth="1"/>
    <col min="3855" max="3855" width="1.36328125" style="558" customWidth="1"/>
    <col min="3856" max="3856" width="10" style="558" customWidth="1"/>
    <col min="3857" max="3857" width="1.36328125" style="558" customWidth="1"/>
    <col min="3858" max="3858" width="9.36328125" style="558" customWidth="1"/>
    <col min="3859" max="3859" width="1.36328125" style="558" customWidth="1"/>
    <col min="3860" max="3860" width="7.81640625" style="558" customWidth="1"/>
    <col min="3861" max="3861" width="1.36328125" style="558" customWidth="1"/>
    <col min="3862" max="3862" width="0.81640625" style="558" customWidth="1"/>
    <col min="3863" max="3863" width="9.36328125" style="558" customWidth="1"/>
    <col min="3864" max="3864" width="1.36328125" style="558" customWidth="1"/>
    <col min="3865" max="3865" width="0.90625" style="558" customWidth="1"/>
    <col min="3866" max="3866" width="9.54296875" style="558" bestFit="1" customWidth="1"/>
    <col min="3867" max="3868" width="0.6328125" style="558" customWidth="1"/>
    <col min="3869" max="3869" width="9.6328125" style="558" customWidth="1"/>
    <col min="3870" max="3870" width="1.08984375" style="558" customWidth="1"/>
    <col min="3871" max="3871" width="8.54296875" style="558" customWidth="1"/>
    <col min="3872" max="3872" width="14.54296875" style="558" customWidth="1"/>
    <col min="3873" max="3873" width="10" style="558" customWidth="1"/>
    <col min="3874" max="3874" width="7.81640625" style="558" bestFit="1" customWidth="1"/>
    <col min="3875" max="3875" width="9.90625" style="558" customWidth="1"/>
    <col min="3876" max="4092" width="8.90625" style="558"/>
    <col min="4093" max="4093" width="38.453125" style="558" customWidth="1"/>
    <col min="4094" max="4094" width="8.54296875" style="558" customWidth="1"/>
    <col min="4095" max="4095" width="1.36328125" style="558" customWidth="1"/>
    <col min="4096" max="4096" width="8.90625" style="558" customWidth="1"/>
    <col min="4097" max="4097" width="1.36328125" style="558" customWidth="1"/>
    <col min="4098" max="4098" width="9.36328125" style="558" customWidth="1"/>
    <col min="4099" max="4099" width="1.36328125" style="558" customWidth="1"/>
    <col min="4100" max="4100" width="10" style="558" customWidth="1"/>
    <col min="4101" max="4101" width="1.36328125" style="558" customWidth="1"/>
    <col min="4102" max="4102" width="9.08984375" style="558" customWidth="1"/>
    <col min="4103" max="4103" width="1.36328125" style="558" customWidth="1"/>
    <col min="4104" max="4104" width="11.36328125" style="558" customWidth="1"/>
    <col min="4105" max="4105" width="1.36328125" style="558" customWidth="1"/>
    <col min="4106" max="4106" width="9.08984375" style="558" customWidth="1"/>
    <col min="4107" max="4107" width="1.6328125" style="558" customWidth="1"/>
    <col min="4108" max="4108" width="11" style="558" customWidth="1"/>
    <col min="4109" max="4109" width="1.36328125" style="558" customWidth="1"/>
    <col min="4110" max="4110" width="10.81640625" style="558" customWidth="1"/>
    <col min="4111" max="4111" width="1.36328125" style="558" customWidth="1"/>
    <col min="4112" max="4112" width="10" style="558" customWidth="1"/>
    <col min="4113" max="4113" width="1.36328125" style="558" customWidth="1"/>
    <col min="4114" max="4114" width="9.36328125" style="558" customWidth="1"/>
    <col min="4115" max="4115" width="1.36328125" style="558" customWidth="1"/>
    <col min="4116" max="4116" width="7.81640625" style="558" customWidth="1"/>
    <col min="4117" max="4117" width="1.36328125" style="558" customWidth="1"/>
    <col min="4118" max="4118" width="0.81640625" style="558" customWidth="1"/>
    <col min="4119" max="4119" width="9.36328125" style="558" customWidth="1"/>
    <col min="4120" max="4120" width="1.36328125" style="558" customWidth="1"/>
    <col min="4121" max="4121" width="0.90625" style="558" customWidth="1"/>
    <col min="4122" max="4122" width="9.54296875" style="558" bestFit="1" customWidth="1"/>
    <col min="4123" max="4124" width="0.6328125" style="558" customWidth="1"/>
    <col min="4125" max="4125" width="9.6328125" style="558" customWidth="1"/>
    <col min="4126" max="4126" width="1.08984375" style="558" customWidth="1"/>
    <col min="4127" max="4127" width="8.54296875" style="558" customWidth="1"/>
    <col min="4128" max="4128" width="14.54296875" style="558" customWidth="1"/>
    <col min="4129" max="4129" width="10" style="558" customWidth="1"/>
    <col min="4130" max="4130" width="7.81640625" style="558" bestFit="1" customWidth="1"/>
    <col min="4131" max="4131" width="9.90625" style="558" customWidth="1"/>
    <col min="4132" max="4348" width="8.90625" style="558"/>
    <col min="4349" max="4349" width="38.453125" style="558" customWidth="1"/>
    <col min="4350" max="4350" width="8.54296875" style="558" customWidth="1"/>
    <col min="4351" max="4351" width="1.36328125" style="558" customWidth="1"/>
    <col min="4352" max="4352" width="8.90625" style="558" customWidth="1"/>
    <col min="4353" max="4353" width="1.36328125" style="558" customWidth="1"/>
    <col min="4354" max="4354" width="9.36328125" style="558" customWidth="1"/>
    <col min="4355" max="4355" width="1.36328125" style="558" customWidth="1"/>
    <col min="4356" max="4356" width="10" style="558" customWidth="1"/>
    <col min="4357" max="4357" width="1.36328125" style="558" customWidth="1"/>
    <col min="4358" max="4358" width="9.08984375" style="558" customWidth="1"/>
    <col min="4359" max="4359" width="1.36328125" style="558" customWidth="1"/>
    <col min="4360" max="4360" width="11.36328125" style="558" customWidth="1"/>
    <col min="4361" max="4361" width="1.36328125" style="558" customWidth="1"/>
    <col min="4362" max="4362" width="9.08984375" style="558" customWidth="1"/>
    <col min="4363" max="4363" width="1.6328125" style="558" customWidth="1"/>
    <col min="4364" max="4364" width="11" style="558" customWidth="1"/>
    <col min="4365" max="4365" width="1.36328125" style="558" customWidth="1"/>
    <col min="4366" max="4366" width="10.81640625" style="558" customWidth="1"/>
    <col min="4367" max="4367" width="1.36328125" style="558" customWidth="1"/>
    <col min="4368" max="4368" width="10" style="558" customWidth="1"/>
    <col min="4369" max="4369" width="1.36328125" style="558" customWidth="1"/>
    <col min="4370" max="4370" width="9.36328125" style="558" customWidth="1"/>
    <col min="4371" max="4371" width="1.36328125" style="558" customWidth="1"/>
    <col min="4372" max="4372" width="7.81640625" style="558" customWidth="1"/>
    <col min="4373" max="4373" width="1.36328125" style="558" customWidth="1"/>
    <col min="4374" max="4374" width="0.81640625" style="558" customWidth="1"/>
    <col min="4375" max="4375" width="9.36328125" style="558" customWidth="1"/>
    <col min="4376" max="4376" width="1.36328125" style="558" customWidth="1"/>
    <col min="4377" max="4377" width="0.90625" style="558" customWidth="1"/>
    <col min="4378" max="4378" width="9.54296875" style="558" bestFit="1" customWidth="1"/>
    <col min="4379" max="4380" width="0.6328125" style="558" customWidth="1"/>
    <col min="4381" max="4381" width="9.6328125" style="558" customWidth="1"/>
    <col min="4382" max="4382" width="1.08984375" style="558" customWidth="1"/>
    <col min="4383" max="4383" width="8.54296875" style="558" customWidth="1"/>
    <col min="4384" max="4384" width="14.54296875" style="558" customWidth="1"/>
    <col min="4385" max="4385" width="10" style="558" customWidth="1"/>
    <col min="4386" max="4386" width="7.81640625" style="558" bestFit="1" customWidth="1"/>
    <col min="4387" max="4387" width="9.90625" style="558" customWidth="1"/>
    <col min="4388" max="4604" width="8.90625" style="558"/>
    <col min="4605" max="4605" width="38.453125" style="558" customWidth="1"/>
    <col min="4606" max="4606" width="8.54296875" style="558" customWidth="1"/>
    <col min="4607" max="4607" width="1.36328125" style="558" customWidth="1"/>
    <col min="4608" max="4608" width="8.90625" style="558" customWidth="1"/>
    <col min="4609" max="4609" width="1.36328125" style="558" customWidth="1"/>
    <col min="4610" max="4610" width="9.36328125" style="558" customWidth="1"/>
    <col min="4611" max="4611" width="1.36328125" style="558" customWidth="1"/>
    <col min="4612" max="4612" width="10" style="558" customWidth="1"/>
    <col min="4613" max="4613" width="1.36328125" style="558" customWidth="1"/>
    <col min="4614" max="4614" width="9.08984375" style="558" customWidth="1"/>
    <col min="4615" max="4615" width="1.36328125" style="558" customWidth="1"/>
    <col min="4616" max="4616" width="11.36328125" style="558" customWidth="1"/>
    <col min="4617" max="4617" width="1.36328125" style="558" customWidth="1"/>
    <col min="4618" max="4618" width="9.08984375" style="558" customWidth="1"/>
    <col min="4619" max="4619" width="1.6328125" style="558" customWidth="1"/>
    <col min="4620" max="4620" width="11" style="558" customWidth="1"/>
    <col min="4621" max="4621" width="1.36328125" style="558" customWidth="1"/>
    <col min="4622" max="4622" width="10.81640625" style="558" customWidth="1"/>
    <col min="4623" max="4623" width="1.36328125" style="558" customWidth="1"/>
    <col min="4624" max="4624" width="10" style="558" customWidth="1"/>
    <col min="4625" max="4625" width="1.36328125" style="558" customWidth="1"/>
    <col min="4626" max="4626" width="9.36328125" style="558" customWidth="1"/>
    <col min="4627" max="4627" width="1.36328125" style="558" customWidth="1"/>
    <col min="4628" max="4628" width="7.81640625" style="558" customWidth="1"/>
    <col min="4629" max="4629" width="1.36328125" style="558" customWidth="1"/>
    <col min="4630" max="4630" width="0.81640625" style="558" customWidth="1"/>
    <col min="4631" max="4631" width="9.36328125" style="558" customWidth="1"/>
    <col min="4632" max="4632" width="1.36328125" style="558" customWidth="1"/>
    <col min="4633" max="4633" width="0.90625" style="558" customWidth="1"/>
    <col min="4634" max="4634" width="9.54296875" style="558" bestFit="1" customWidth="1"/>
    <col min="4635" max="4636" width="0.6328125" style="558" customWidth="1"/>
    <col min="4637" max="4637" width="9.6328125" style="558" customWidth="1"/>
    <col min="4638" max="4638" width="1.08984375" style="558" customWidth="1"/>
    <col min="4639" max="4639" width="8.54296875" style="558" customWidth="1"/>
    <col min="4640" max="4640" width="14.54296875" style="558" customWidth="1"/>
    <col min="4641" max="4641" width="10" style="558" customWidth="1"/>
    <col min="4642" max="4642" width="7.81640625" style="558" bestFit="1" customWidth="1"/>
    <col min="4643" max="4643" width="9.90625" style="558" customWidth="1"/>
    <col min="4644" max="4860" width="8.90625" style="558"/>
    <col min="4861" max="4861" width="38.453125" style="558" customWidth="1"/>
    <col min="4862" max="4862" width="8.54296875" style="558" customWidth="1"/>
    <col min="4863" max="4863" width="1.36328125" style="558" customWidth="1"/>
    <col min="4864" max="4864" width="8.90625" style="558" customWidth="1"/>
    <col min="4865" max="4865" width="1.36328125" style="558" customWidth="1"/>
    <col min="4866" max="4866" width="9.36328125" style="558" customWidth="1"/>
    <col min="4867" max="4867" width="1.36328125" style="558" customWidth="1"/>
    <col min="4868" max="4868" width="10" style="558" customWidth="1"/>
    <col min="4869" max="4869" width="1.36328125" style="558" customWidth="1"/>
    <col min="4870" max="4870" width="9.08984375" style="558" customWidth="1"/>
    <col min="4871" max="4871" width="1.36328125" style="558" customWidth="1"/>
    <col min="4872" max="4872" width="11.36328125" style="558" customWidth="1"/>
    <col min="4873" max="4873" width="1.36328125" style="558" customWidth="1"/>
    <col min="4874" max="4874" width="9.08984375" style="558" customWidth="1"/>
    <col min="4875" max="4875" width="1.6328125" style="558" customWidth="1"/>
    <col min="4876" max="4876" width="11" style="558" customWidth="1"/>
    <col min="4877" max="4877" width="1.36328125" style="558" customWidth="1"/>
    <col min="4878" max="4878" width="10.81640625" style="558" customWidth="1"/>
    <col min="4879" max="4879" width="1.36328125" style="558" customWidth="1"/>
    <col min="4880" max="4880" width="10" style="558" customWidth="1"/>
    <col min="4881" max="4881" width="1.36328125" style="558" customWidth="1"/>
    <col min="4882" max="4882" width="9.36328125" style="558" customWidth="1"/>
    <col min="4883" max="4883" width="1.36328125" style="558" customWidth="1"/>
    <col min="4884" max="4884" width="7.81640625" style="558" customWidth="1"/>
    <col min="4885" max="4885" width="1.36328125" style="558" customWidth="1"/>
    <col min="4886" max="4886" width="0.81640625" style="558" customWidth="1"/>
    <col min="4887" max="4887" width="9.36328125" style="558" customWidth="1"/>
    <col min="4888" max="4888" width="1.36328125" style="558" customWidth="1"/>
    <col min="4889" max="4889" width="0.90625" style="558" customWidth="1"/>
    <col min="4890" max="4890" width="9.54296875" style="558" bestFit="1" customWidth="1"/>
    <col min="4891" max="4892" width="0.6328125" style="558" customWidth="1"/>
    <col min="4893" max="4893" width="9.6328125" style="558" customWidth="1"/>
    <col min="4894" max="4894" width="1.08984375" style="558" customWidth="1"/>
    <col min="4895" max="4895" width="8.54296875" style="558" customWidth="1"/>
    <col min="4896" max="4896" width="14.54296875" style="558" customWidth="1"/>
    <col min="4897" max="4897" width="10" style="558" customWidth="1"/>
    <col min="4898" max="4898" width="7.81640625" style="558" bestFit="1" customWidth="1"/>
    <col min="4899" max="4899" width="9.90625" style="558" customWidth="1"/>
    <col min="4900" max="5116" width="8.90625" style="558"/>
    <col min="5117" max="5117" width="38.453125" style="558" customWidth="1"/>
    <col min="5118" max="5118" width="8.54296875" style="558" customWidth="1"/>
    <col min="5119" max="5119" width="1.36328125" style="558" customWidth="1"/>
    <col min="5120" max="5120" width="8.90625" style="558" customWidth="1"/>
    <col min="5121" max="5121" width="1.36328125" style="558" customWidth="1"/>
    <col min="5122" max="5122" width="9.36328125" style="558" customWidth="1"/>
    <col min="5123" max="5123" width="1.36328125" style="558" customWidth="1"/>
    <col min="5124" max="5124" width="10" style="558" customWidth="1"/>
    <col min="5125" max="5125" width="1.36328125" style="558" customWidth="1"/>
    <col min="5126" max="5126" width="9.08984375" style="558" customWidth="1"/>
    <col min="5127" max="5127" width="1.36328125" style="558" customWidth="1"/>
    <col min="5128" max="5128" width="11.36328125" style="558" customWidth="1"/>
    <col min="5129" max="5129" width="1.36328125" style="558" customWidth="1"/>
    <col min="5130" max="5130" width="9.08984375" style="558" customWidth="1"/>
    <col min="5131" max="5131" width="1.6328125" style="558" customWidth="1"/>
    <col min="5132" max="5132" width="11" style="558" customWidth="1"/>
    <col min="5133" max="5133" width="1.36328125" style="558" customWidth="1"/>
    <col min="5134" max="5134" width="10.81640625" style="558" customWidth="1"/>
    <col min="5135" max="5135" width="1.36328125" style="558" customWidth="1"/>
    <col min="5136" max="5136" width="10" style="558" customWidth="1"/>
    <col min="5137" max="5137" width="1.36328125" style="558" customWidth="1"/>
    <col min="5138" max="5138" width="9.36328125" style="558" customWidth="1"/>
    <col min="5139" max="5139" width="1.36328125" style="558" customWidth="1"/>
    <col min="5140" max="5140" width="7.81640625" style="558" customWidth="1"/>
    <col min="5141" max="5141" width="1.36328125" style="558" customWidth="1"/>
    <col min="5142" max="5142" width="0.81640625" style="558" customWidth="1"/>
    <col min="5143" max="5143" width="9.36328125" style="558" customWidth="1"/>
    <col min="5144" max="5144" width="1.36328125" style="558" customWidth="1"/>
    <col min="5145" max="5145" width="0.90625" style="558" customWidth="1"/>
    <col min="5146" max="5146" width="9.54296875" style="558" bestFit="1" customWidth="1"/>
    <col min="5147" max="5148" width="0.6328125" style="558" customWidth="1"/>
    <col min="5149" max="5149" width="9.6328125" style="558" customWidth="1"/>
    <col min="5150" max="5150" width="1.08984375" style="558" customWidth="1"/>
    <col min="5151" max="5151" width="8.54296875" style="558" customWidth="1"/>
    <col min="5152" max="5152" width="14.54296875" style="558" customWidth="1"/>
    <col min="5153" max="5153" width="10" style="558" customWidth="1"/>
    <col min="5154" max="5154" width="7.81640625" style="558" bestFit="1" customWidth="1"/>
    <col min="5155" max="5155" width="9.90625" style="558" customWidth="1"/>
    <col min="5156" max="5372" width="8.90625" style="558"/>
    <col min="5373" max="5373" width="38.453125" style="558" customWidth="1"/>
    <col min="5374" max="5374" width="8.54296875" style="558" customWidth="1"/>
    <col min="5375" max="5375" width="1.36328125" style="558" customWidth="1"/>
    <col min="5376" max="5376" width="8.90625" style="558" customWidth="1"/>
    <col min="5377" max="5377" width="1.36328125" style="558" customWidth="1"/>
    <col min="5378" max="5378" width="9.36328125" style="558" customWidth="1"/>
    <col min="5379" max="5379" width="1.36328125" style="558" customWidth="1"/>
    <col min="5380" max="5380" width="10" style="558" customWidth="1"/>
    <col min="5381" max="5381" width="1.36328125" style="558" customWidth="1"/>
    <col min="5382" max="5382" width="9.08984375" style="558" customWidth="1"/>
    <col min="5383" max="5383" width="1.36328125" style="558" customWidth="1"/>
    <col min="5384" max="5384" width="11.36328125" style="558" customWidth="1"/>
    <col min="5385" max="5385" width="1.36328125" style="558" customWidth="1"/>
    <col min="5386" max="5386" width="9.08984375" style="558" customWidth="1"/>
    <col min="5387" max="5387" width="1.6328125" style="558" customWidth="1"/>
    <col min="5388" max="5388" width="11" style="558" customWidth="1"/>
    <col min="5389" max="5389" width="1.36328125" style="558" customWidth="1"/>
    <col min="5390" max="5390" width="10.81640625" style="558" customWidth="1"/>
    <col min="5391" max="5391" width="1.36328125" style="558" customWidth="1"/>
    <col min="5392" max="5392" width="10" style="558" customWidth="1"/>
    <col min="5393" max="5393" width="1.36328125" style="558" customWidth="1"/>
    <col min="5394" max="5394" width="9.36328125" style="558" customWidth="1"/>
    <col min="5395" max="5395" width="1.36328125" style="558" customWidth="1"/>
    <col min="5396" max="5396" width="7.81640625" style="558" customWidth="1"/>
    <col min="5397" max="5397" width="1.36328125" style="558" customWidth="1"/>
    <col min="5398" max="5398" width="0.81640625" style="558" customWidth="1"/>
    <col min="5399" max="5399" width="9.36328125" style="558" customWidth="1"/>
    <col min="5400" max="5400" width="1.36328125" style="558" customWidth="1"/>
    <col min="5401" max="5401" width="0.90625" style="558" customWidth="1"/>
    <col min="5402" max="5402" width="9.54296875" style="558" bestFit="1" customWidth="1"/>
    <col min="5403" max="5404" width="0.6328125" style="558" customWidth="1"/>
    <col min="5405" max="5405" width="9.6328125" style="558" customWidth="1"/>
    <col min="5406" max="5406" width="1.08984375" style="558" customWidth="1"/>
    <col min="5407" max="5407" width="8.54296875" style="558" customWidth="1"/>
    <col min="5408" max="5408" width="14.54296875" style="558" customWidth="1"/>
    <col min="5409" max="5409" width="10" style="558" customWidth="1"/>
    <col min="5410" max="5410" width="7.81640625" style="558" bestFit="1" customWidth="1"/>
    <col min="5411" max="5411" width="9.90625" style="558" customWidth="1"/>
    <col min="5412" max="5628" width="8.90625" style="558"/>
    <col min="5629" max="5629" width="38.453125" style="558" customWidth="1"/>
    <col min="5630" max="5630" width="8.54296875" style="558" customWidth="1"/>
    <col min="5631" max="5631" width="1.36328125" style="558" customWidth="1"/>
    <col min="5632" max="5632" width="8.90625" style="558" customWidth="1"/>
    <col min="5633" max="5633" width="1.36328125" style="558" customWidth="1"/>
    <col min="5634" max="5634" width="9.36328125" style="558" customWidth="1"/>
    <col min="5635" max="5635" width="1.36328125" style="558" customWidth="1"/>
    <col min="5636" max="5636" width="10" style="558" customWidth="1"/>
    <col min="5637" max="5637" width="1.36328125" style="558" customWidth="1"/>
    <col min="5638" max="5638" width="9.08984375" style="558" customWidth="1"/>
    <col min="5639" max="5639" width="1.36328125" style="558" customWidth="1"/>
    <col min="5640" max="5640" width="11.36328125" style="558" customWidth="1"/>
    <col min="5641" max="5641" width="1.36328125" style="558" customWidth="1"/>
    <col min="5642" max="5642" width="9.08984375" style="558" customWidth="1"/>
    <col min="5643" max="5643" width="1.6328125" style="558" customWidth="1"/>
    <col min="5644" max="5644" width="11" style="558" customWidth="1"/>
    <col min="5645" max="5645" width="1.36328125" style="558" customWidth="1"/>
    <col min="5646" max="5646" width="10.81640625" style="558" customWidth="1"/>
    <col min="5647" max="5647" width="1.36328125" style="558" customWidth="1"/>
    <col min="5648" max="5648" width="10" style="558" customWidth="1"/>
    <col min="5649" max="5649" width="1.36328125" style="558" customWidth="1"/>
    <col min="5650" max="5650" width="9.36328125" style="558" customWidth="1"/>
    <col min="5651" max="5651" width="1.36328125" style="558" customWidth="1"/>
    <col min="5652" max="5652" width="7.81640625" style="558" customWidth="1"/>
    <col min="5653" max="5653" width="1.36328125" style="558" customWidth="1"/>
    <col min="5654" max="5654" width="0.81640625" style="558" customWidth="1"/>
    <col min="5655" max="5655" width="9.36328125" style="558" customWidth="1"/>
    <col min="5656" max="5656" width="1.36328125" style="558" customWidth="1"/>
    <col min="5657" max="5657" width="0.90625" style="558" customWidth="1"/>
    <col min="5658" max="5658" width="9.54296875" style="558" bestFit="1" customWidth="1"/>
    <col min="5659" max="5660" width="0.6328125" style="558" customWidth="1"/>
    <col min="5661" max="5661" width="9.6328125" style="558" customWidth="1"/>
    <col min="5662" max="5662" width="1.08984375" style="558" customWidth="1"/>
    <col min="5663" max="5663" width="8.54296875" style="558" customWidth="1"/>
    <col min="5664" max="5664" width="14.54296875" style="558" customWidth="1"/>
    <col min="5665" max="5665" width="10" style="558" customWidth="1"/>
    <col min="5666" max="5666" width="7.81640625" style="558" bestFit="1" customWidth="1"/>
    <col min="5667" max="5667" width="9.90625" style="558" customWidth="1"/>
    <col min="5668" max="5884" width="8.90625" style="558"/>
    <col min="5885" max="5885" width="38.453125" style="558" customWidth="1"/>
    <col min="5886" max="5886" width="8.54296875" style="558" customWidth="1"/>
    <col min="5887" max="5887" width="1.36328125" style="558" customWidth="1"/>
    <col min="5888" max="5888" width="8.90625" style="558" customWidth="1"/>
    <col min="5889" max="5889" width="1.36328125" style="558" customWidth="1"/>
    <col min="5890" max="5890" width="9.36328125" style="558" customWidth="1"/>
    <col min="5891" max="5891" width="1.36328125" style="558" customWidth="1"/>
    <col min="5892" max="5892" width="10" style="558" customWidth="1"/>
    <col min="5893" max="5893" width="1.36328125" style="558" customWidth="1"/>
    <col min="5894" max="5894" width="9.08984375" style="558" customWidth="1"/>
    <col min="5895" max="5895" width="1.36328125" style="558" customWidth="1"/>
    <col min="5896" max="5896" width="11.36328125" style="558" customWidth="1"/>
    <col min="5897" max="5897" width="1.36328125" style="558" customWidth="1"/>
    <col min="5898" max="5898" width="9.08984375" style="558" customWidth="1"/>
    <col min="5899" max="5899" width="1.6328125" style="558" customWidth="1"/>
    <col min="5900" max="5900" width="11" style="558" customWidth="1"/>
    <col min="5901" max="5901" width="1.36328125" style="558" customWidth="1"/>
    <col min="5902" max="5902" width="10.81640625" style="558" customWidth="1"/>
    <col min="5903" max="5903" width="1.36328125" style="558" customWidth="1"/>
    <col min="5904" max="5904" width="10" style="558" customWidth="1"/>
    <col min="5905" max="5905" width="1.36328125" style="558" customWidth="1"/>
    <col min="5906" max="5906" width="9.36328125" style="558" customWidth="1"/>
    <col min="5907" max="5907" width="1.36328125" style="558" customWidth="1"/>
    <col min="5908" max="5908" width="7.81640625" style="558" customWidth="1"/>
    <col min="5909" max="5909" width="1.36328125" style="558" customWidth="1"/>
    <col min="5910" max="5910" width="0.81640625" style="558" customWidth="1"/>
    <col min="5911" max="5911" width="9.36328125" style="558" customWidth="1"/>
    <col min="5912" max="5912" width="1.36328125" style="558" customWidth="1"/>
    <col min="5913" max="5913" width="0.90625" style="558" customWidth="1"/>
    <col min="5914" max="5914" width="9.54296875" style="558" bestFit="1" customWidth="1"/>
    <col min="5915" max="5916" width="0.6328125" style="558" customWidth="1"/>
    <col min="5917" max="5917" width="9.6328125" style="558" customWidth="1"/>
    <col min="5918" max="5918" width="1.08984375" style="558" customWidth="1"/>
    <col min="5919" max="5919" width="8.54296875" style="558" customWidth="1"/>
    <col min="5920" max="5920" width="14.54296875" style="558" customWidth="1"/>
    <col min="5921" max="5921" width="10" style="558" customWidth="1"/>
    <col min="5922" max="5922" width="7.81640625" style="558" bestFit="1" customWidth="1"/>
    <col min="5923" max="5923" width="9.90625" style="558" customWidth="1"/>
    <col min="5924" max="6140" width="8.90625" style="558"/>
    <col min="6141" max="6141" width="38.453125" style="558" customWidth="1"/>
    <col min="6142" max="6142" width="8.54296875" style="558" customWidth="1"/>
    <col min="6143" max="6143" width="1.36328125" style="558" customWidth="1"/>
    <col min="6144" max="6144" width="8.90625" style="558" customWidth="1"/>
    <col min="6145" max="6145" width="1.36328125" style="558" customWidth="1"/>
    <col min="6146" max="6146" width="9.36328125" style="558" customWidth="1"/>
    <col min="6147" max="6147" width="1.36328125" style="558" customWidth="1"/>
    <col min="6148" max="6148" width="10" style="558" customWidth="1"/>
    <col min="6149" max="6149" width="1.36328125" style="558" customWidth="1"/>
    <col min="6150" max="6150" width="9.08984375" style="558" customWidth="1"/>
    <col min="6151" max="6151" width="1.36328125" style="558" customWidth="1"/>
    <col min="6152" max="6152" width="11.36328125" style="558" customWidth="1"/>
    <col min="6153" max="6153" width="1.36328125" style="558" customWidth="1"/>
    <col min="6154" max="6154" width="9.08984375" style="558" customWidth="1"/>
    <col min="6155" max="6155" width="1.6328125" style="558" customWidth="1"/>
    <col min="6156" max="6156" width="11" style="558" customWidth="1"/>
    <col min="6157" max="6157" width="1.36328125" style="558" customWidth="1"/>
    <col min="6158" max="6158" width="10.81640625" style="558" customWidth="1"/>
    <col min="6159" max="6159" width="1.36328125" style="558" customWidth="1"/>
    <col min="6160" max="6160" width="10" style="558" customWidth="1"/>
    <col min="6161" max="6161" width="1.36328125" style="558" customWidth="1"/>
    <col min="6162" max="6162" width="9.36328125" style="558" customWidth="1"/>
    <col min="6163" max="6163" width="1.36328125" style="558" customWidth="1"/>
    <col min="6164" max="6164" width="7.81640625" style="558" customWidth="1"/>
    <col min="6165" max="6165" width="1.36328125" style="558" customWidth="1"/>
    <col min="6166" max="6166" width="0.81640625" style="558" customWidth="1"/>
    <col min="6167" max="6167" width="9.36328125" style="558" customWidth="1"/>
    <col min="6168" max="6168" width="1.36328125" style="558" customWidth="1"/>
    <col min="6169" max="6169" width="0.90625" style="558" customWidth="1"/>
    <col min="6170" max="6170" width="9.54296875" style="558" bestFit="1" customWidth="1"/>
    <col min="6171" max="6172" width="0.6328125" style="558" customWidth="1"/>
    <col min="6173" max="6173" width="9.6328125" style="558" customWidth="1"/>
    <col min="6174" max="6174" width="1.08984375" style="558" customWidth="1"/>
    <col min="6175" max="6175" width="8.54296875" style="558" customWidth="1"/>
    <col min="6176" max="6176" width="14.54296875" style="558" customWidth="1"/>
    <col min="6177" max="6177" width="10" style="558" customWidth="1"/>
    <col min="6178" max="6178" width="7.81640625" style="558" bestFit="1" customWidth="1"/>
    <col min="6179" max="6179" width="9.90625" style="558" customWidth="1"/>
    <col min="6180" max="6396" width="8.90625" style="558"/>
    <col min="6397" max="6397" width="38.453125" style="558" customWidth="1"/>
    <col min="6398" max="6398" width="8.54296875" style="558" customWidth="1"/>
    <col min="6399" max="6399" width="1.36328125" style="558" customWidth="1"/>
    <col min="6400" max="6400" width="8.90625" style="558" customWidth="1"/>
    <col min="6401" max="6401" width="1.36328125" style="558" customWidth="1"/>
    <col min="6402" max="6402" width="9.36328125" style="558" customWidth="1"/>
    <col min="6403" max="6403" width="1.36328125" style="558" customWidth="1"/>
    <col min="6404" max="6404" width="10" style="558" customWidth="1"/>
    <col min="6405" max="6405" width="1.36328125" style="558" customWidth="1"/>
    <col min="6406" max="6406" width="9.08984375" style="558" customWidth="1"/>
    <col min="6407" max="6407" width="1.36328125" style="558" customWidth="1"/>
    <col min="6408" max="6408" width="11.36328125" style="558" customWidth="1"/>
    <col min="6409" max="6409" width="1.36328125" style="558" customWidth="1"/>
    <col min="6410" max="6410" width="9.08984375" style="558" customWidth="1"/>
    <col min="6411" max="6411" width="1.6328125" style="558" customWidth="1"/>
    <col min="6412" max="6412" width="11" style="558" customWidth="1"/>
    <col min="6413" max="6413" width="1.36328125" style="558" customWidth="1"/>
    <col min="6414" max="6414" width="10.81640625" style="558" customWidth="1"/>
    <col min="6415" max="6415" width="1.36328125" style="558" customWidth="1"/>
    <col min="6416" max="6416" width="10" style="558" customWidth="1"/>
    <col min="6417" max="6417" width="1.36328125" style="558" customWidth="1"/>
    <col min="6418" max="6418" width="9.36328125" style="558" customWidth="1"/>
    <col min="6419" max="6419" width="1.36328125" style="558" customWidth="1"/>
    <col min="6420" max="6420" width="7.81640625" style="558" customWidth="1"/>
    <col min="6421" max="6421" width="1.36328125" style="558" customWidth="1"/>
    <col min="6422" max="6422" width="0.81640625" style="558" customWidth="1"/>
    <col min="6423" max="6423" width="9.36328125" style="558" customWidth="1"/>
    <col min="6424" max="6424" width="1.36328125" style="558" customWidth="1"/>
    <col min="6425" max="6425" width="0.90625" style="558" customWidth="1"/>
    <col min="6426" max="6426" width="9.54296875" style="558" bestFit="1" customWidth="1"/>
    <col min="6427" max="6428" width="0.6328125" style="558" customWidth="1"/>
    <col min="6429" max="6429" width="9.6328125" style="558" customWidth="1"/>
    <col min="6430" max="6430" width="1.08984375" style="558" customWidth="1"/>
    <col min="6431" max="6431" width="8.54296875" style="558" customWidth="1"/>
    <col min="6432" max="6432" width="14.54296875" style="558" customWidth="1"/>
    <col min="6433" max="6433" width="10" style="558" customWidth="1"/>
    <col min="6434" max="6434" width="7.81640625" style="558" bestFit="1" customWidth="1"/>
    <col min="6435" max="6435" width="9.90625" style="558" customWidth="1"/>
    <col min="6436" max="6652" width="8.90625" style="558"/>
    <col min="6653" max="6653" width="38.453125" style="558" customWidth="1"/>
    <col min="6654" max="6654" width="8.54296875" style="558" customWidth="1"/>
    <col min="6655" max="6655" width="1.36328125" style="558" customWidth="1"/>
    <col min="6656" max="6656" width="8.90625" style="558" customWidth="1"/>
    <col min="6657" max="6657" width="1.36328125" style="558" customWidth="1"/>
    <col min="6658" max="6658" width="9.36328125" style="558" customWidth="1"/>
    <col min="6659" max="6659" width="1.36328125" style="558" customWidth="1"/>
    <col min="6660" max="6660" width="10" style="558" customWidth="1"/>
    <col min="6661" max="6661" width="1.36328125" style="558" customWidth="1"/>
    <col min="6662" max="6662" width="9.08984375" style="558" customWidth="1"/>
    <col min="6663" max="6663" width="1.36328125" style="558" customWidth="1"/>
    <col min="6664" max="6664" width="11.36328125" style="558" customWidth="1"/>
    <col min="6665" max="6665" width="1.36328125" style="558" customWidth="1"/>
    <col min="6666" max="6666" width="9.08984375" style="558" customWidth="1"/>
    <col min="6667" max="6667" width="1.6328125" style="558" customWidth="1"/>
    <col min="6668" max="6668" width="11" style="558" customWidth="1"/>
    <col min="6669" max="6669" width="1.36328125" style="558" customWidth="1"/>
    <col min="6670" max="6670" width="10.81640625" style="558" customWidth="1"/>
    <col min="6671" max="6671" width="1.36328125" style="558" customWidth="1"/>
    <col min="6672" max="6672" width="10" style="558" customWidth="1"/>
    <col min="6673" max="6673" width="1.36328125" style="558" customWidth="1"/>
    <col min="6674" max="6674" width="9.36328125" style="558" customWidth="1"/>
    <col min="6675" max="6675" width="1.36328125" style="558" customWidth="1"/>
    <col min="6676" max="6676" width="7.81640625" style="558" customWidth="1"/>
    <col min="6677" max="6677" width="1.36328125" style="558" customWidth="1"/>
    <col min="6678" max="6678" width="0.81640625" style="558" customWidth="1"/>
    <col min="6679" max="6679" width="9.36328125" style="558" customWidth="1"/>
    <col min="6680" max="6680" width="1.36328125" style="558" customWidth="1"/>
    <col min="6681" max="6681" width="0.90625" style="558" customWidth="1"/>
    <col min="6682" max="6682" width="9.54296875" style="558" bestFit="1" customWidth="1"/>
    <col min="6683" max="6684" width="0.6328125" style="558" customWidth="1"/>
    <col min="6685" max="6685" width="9.6328125" style="558" customWidth="1"/>
    <col min="6686" max="6686" width="1.08984375" style="558" customWidth="1"/>
    <col min="6687" max="6687" width="8.54296875" style="558" customWidth="1"/>
    <col min="6688" max="6688" width="14.54296875" style="558" customWidth="1"/>
    <col min="6689" max="6689" width="10" style="558" customWidth="1"/>
    <col min="6690" max="6690" width="7.81640625" style="558" bestFit="1" customWidth="1"/>
    <col min="6691" max="6691" width="9.90625" style="558" customWidth="1"/>
    <col min="6692" max="6908" width="8.90625" style="558"/>
    <col min="6909" max="6909" width="38.453125" style="558" customWidth="1"/>
    <col min="6910" max="6910" width="8.54296875" style="558" customWidth="1"/>
    <col min="6911" max="6911" width="1.36328125" style="558" customWidth="1"/>
    <col min="6912" max="6912" width="8.90625" style="558" customWidth="1"/>
    <col min="6913" max="6913" width="1.36328125" style="558" customWidth="1"/>
    <col min="6914" max="6914" width="9.36328125" style="558" customWidth="1"/>
    <col min="6915" max="6915" width="1.36328125" style="558" customWidth="1"/>
    <col min="6916" max="6916" width="10" style="558" customWidth="1"/>
    <col min="6917" max="6917" width="1.36328125" style="558" customWidth="1"/>
    <col min="6918" max="6918" width="9.08984375" style="558" customWidth="1"/>
    <col min="6919" max="6919" width="1.36328125" style="558" customWidth="1"/>
    <col min="6920" max="6920" width="11.36328125" style="558" customWidth="1"/>
    <col min="6921" max="6921" width="1.36328125" style="558" customWidth="1"/>
    <col min="6922" max="6922" width="9.08984375" style="558" customWidth="1"/>
    <col min="6923" max="6923" width="1.6328125" style="558" customWidth="1"/>
    <col min="6924" max="6924" width="11" style="558" customWidth="1"/>
    <col min="6925" max="6925" width="1.36328125" style="558" customWidth="1"/>
    <col min="6926" max="6926" width="10.81640625" style="558" customWidth="1"/>
    <col min="6927" max="6927" width="1.36328125" style="558" customWidth="1"/>
    <col min="6928" max="6928" width="10" style="558" customWidth="1"/>
    <col min="6929" max="6929" width="1.36328125" style="558" customWidth="1"/>
    <col min="6930" max="6930" width="9.36328125" style="558" customWidth="1"/>
    <col min="6931" max="6931" width="1.36328125" style="558" customWidth="1"/>
    <col min="6932" max="6932" width="7.81640625" style="558" customWidth="1"/>
    <col min="6933" max="6933" width="1.36328125" style="558" customWidth="1"/>
    <col min="6934" max="6934" width="0.81640625" style="558" customWidth="1"/>
    <col min="6935" max="6935" width="9.36328125" style="558" customWidth="1"/>
    <col min="6936" max="6936" width="1.36328125" style="558" customWidth="1"/>
    <col min="6937" max="6937" width="0.90625" style="558" customWidth="1"/>
    <col min="6938" max="6938" width="9.54296875" style="558" bestFit="1" customWidth="1"/>
    <col min="6939" max="6940" width="0.6328125" style="558" customWidth="1"/>
    <col min="6941" max="6941" width="9.6328125" style="558" customWidth="1"/>
    <col min="6942" max="6942" width="1.08984375" style="558" customWidth="1"/>
    <col min="6943" max="6943" width="8.54296875" style="558" customWidth="1"/>
    <col min="6944" max="6944" width="14.54296875" style="558" customWidth="1"/>
    <col min="6945" max="6945" width="10" style="558" customWidth="1"/>
    <col min="6946" max="6946" width="7.81640625" style="558" bestFit="1" customWidth="1"/>
    <col min="6947" max="6947" width="9.90625" style="558" customWidth="1"/>
    <col min="6948" max="7164" width="8.90625" style="558"/>
    <col min="7165" max="7165" width="38.453125" style="558" customWidth="1"/>
    <col min="7166" max="7166" width="8.54296875" style="558" customWidth="1"/>
    <col min="7167" max="7167" width="1.36328125" style="558" customWidth="1"/>
    <col min="7168" max="7168" width="8.90625" style="558" customWidth="1"/>
    <col min="7169" max="7169" width="1.36328125" style="558" customWidth="1"/>
    <col min="7170" max="7170" width="9.36328125" style="558" customWidth="1"/>
    <col min="7171" max="7171" width="1.36328125" style="558" customWidth="1"/>
    <col min="7172" max="7172" width="10" style="558" customWidth="1"/>
    <col min="7173" max="7173" width="1.36328125" style="558" customWidth="1"/>
    <col min="7174" max="7174" width="9.08984375" style="558" customWidth="1"/>
    <col min="7175" max="7175" width="1.36328125" style="558" customWidth="1"/>
    <col min="7176" max="7176" width="11.36328125" style="558" customWidth="1"/>
    <col min="7177" max="7177" width="1.36328125" style="558" customWidth="1"/>
    <col min="7178" max="7178" width="9.08984375" style="558" customWidth="1"/>
    <col min="7179" max="7179" width="1.6328125" style="558" customWidth="1"/>
    <col min="7180" max="7180" width="11" style="558" customWidth="1"/>
    <col min="7181" max="7181" width="1.36328125" style="558" customWidth="1"/>
    <col min="7182" max="7182" width="10.81640625" style="558" customWidth="1"/>
    <col min="7183" max="7183" width="1.36328125" style="558" customWidth="1"/>
    <col min="7184" max="7184" width="10" style="558" customWidth="1"/>
    <col min="7185" max="7185" width="1.36328125" style="558" customWidth="1"/>
    <col min="7186" max="7186" width="9.36328125" style="558" customWidth="1"/>
    <col min="7187" max="7187" width="1.36328125" style="558" customWidth="1"/>
    <col min="7188" max="7188" width="7.81640625" style="558" customWidth="1"/>
    <col min="7189" max="7189" width="1.36328125" style="558" customWidth="1"/>
    <col min="7190" max="7190" width="0.81640625" style="558" customWidth="1"/>
    <col min="7191" max="7191" width="9.36328125" style="558" customWidth="1"/>
    <col min="7192" max="7192" width="1.36328125" style="558" customWidth="1"/>
    <col min="7193" max="7193" width="0.90625" style="558" customWidth="1"/>
    <col min="7194" max="7194" width="9.54296875" style="558" bestFit="1" customWidth="1"/>
    <col min="7195" max="7196" width="0.6328125" style="558" customWidth="1"/>
    <col min="7197" max="7197" width="9.6328125" style="558" customWidth="1"/>
    <col min="7198" max="7198" width="1.08984375" style="558" customWidth="1"/>
    <col min="7199" max="7199" width="8.54296875" style="558" customWidth="1"/>
    <col min="7200" max="7200" width="14.54296875" style="558" customWidth="1"/>
    <col min="7201" max="7201" width="10" style="558" customWidth="1"/>
    <col min="7202" max="7202" width="7.81640625" style="558" bestFit="1" customWidth="1"/>
    <col min="7203" max="7203" width="9.90625" style="558" customWidth="1"/>
    <col min="7204" max="7420" width="8.90625" style="558"/>
    <col min="7421" max="7421" width="38.453125" style="558" customWidth="1"/>
    <col min="7422" max="7422" width="8.54296875" style="558" customWidth="1"/>
    <col min="7423" max="7423" width="1.36328125" style="558" customWidth="1"/>
    <col min="7424" max="7424" width="8.90625" style="558" customWidth="1"/>
    <col min="7425" max="7425" width="1.36328125" style="558" customWidth="1"/>
    <col min="7426" max="7426" width="9.36328125" style="558" customWidth="1"/>
    <col min="7427" max="7427" width="1.36328125" style="558" customWidth="1"/>
    <col min="7428" max="7428" width="10" style="558" customWidth="1"/>
    <col min="7429" max="7429" width="1.36328125" style="558" customWidth="1"/>
    <col min="7430" max="7430" width="9.08984375" style="558" customWidth="1"/>
    <col min="7431" max="7431" width="1.36328125" style="558" customWidth="1"/>
    <col min="7432" max="7432" width="11.36328125" style="558" customWidth="1"/>
    <col min="7433" max="7433" width="1.36328125" style="558" customWidth="1"/>
    <col min="7434" max="7434" width="9.08984375" style="558" customWidth="1"/>
    <col min="7435" max="7435" width="1.6328125" style="558" customWidth="1"/>
    <col min="7436" max="7436" width="11" style="558" customWidth="1"/>
    <col min="7437" max="7437" width="1.36328125" style="558" customWidth="1"/>
    <col min="7438" max="7438" width="10.81640625" style="558" customWidth="1"/>
    <col min="7439" max="7439" width="1.36328125" style="558" customWidth="1"/>
    <col min="7440" max="7440" width="10" style="558" customWidth="1"/>
    <col min="7441" max="7441" width="1.36328125" style="558" customWidth="1"/>
    <col min="7442" max="7442" width="9.36328125" style="558" customWidth="1"/>
    <col min="7443" max="7443" width="1.36328125" style="558" customWidth="1"/>
    <col min="7444" max="7444" width="7.81640625" style="558" customWidth="1"/>
    <col min="7445" max="7445" width="1.36328125" style="558" customWidth="1"/>
    <col min="7446" max="7446" width="0.81640625" style="558" customWidth="1"/>
    <col min="7447" max="7447" width="9.36328125" style="558" customWidth="1"/>
    <col min="7448" max="7448" width="1.36328125" style="558" customWidth="1"/>
    <col min="7449" max="7449" width="0.90625" style="558" customWidth="1"/>
    <col min="7450" max="7450" width="9.54296875" style="558" bestFit="1" customWidth="1"/>
    <col min="7451" max="7452" width="0.6328125" style="558" customWidth="1"/>
    <col min="7453" max="7453" width="9.6328125" style="558" customWidth="1"/>
    <col min="7454" max="7454" width="1.08984375" style="558" customWidth="1"/>
    <col min="7455" max="7455" width="8.54296875" style="558" customWidth="1"/>
    <col min="7456" max="7456" width="14.54296875" style="558" customWidth="1"/>
    <col min="7457" max="7457" width="10" style="558" customWidth="1"/>
    <col min="7458" max="7458" width="7.81640625" style="558" bestFit="1" customWidth="1"/>
    <col min="7459" max="7459" width="9.90625" style="558" customWidth="1"/>
    <col min="7460" max="7676" width="8.90625" style="558"/>
    <col min="7677" max="7677" width="38.453125" style="558" customWidth="1"/>
    <col min="7678" max="7678" width="8.54296875" style="558" customWidth="1"/>
    <col min="7679" max="7679" width="1.36328125" style="558" customWidth="1"/>
    <col min="7680" max="7680" width="8.90625" style="558" customWidth="1"/>
    <col min="7681" max="7681" width="1.36328125" style="558" customWidth="1"/>
    <col min="7682" max="7682" width="9.36328125" style="558" customWidth="1"/>
    <col min="7683" max="7683" width="1.36328125" style="558" customWidth="1"/>
    <col min="7684" max="7684" width="10" style="558" customWidth="1"/>
    <col min="7685" max="7685" width="1.36328125" style="558" customWidth="1"/>
    <col min="7686" max="7686" width="9.08984375" style="558" customWidth="1"/>
    <col min="7687" max="7687" width="1.36328125" style="558" customWidth="1"/>
    <col min="7688" max="7688" width="11.36328125" style="558" customWidth="1"/>
    <col min="7689" max="7689" width="1.36328125" style="558" customWidth="1"/>
    <col min="7690" max="7690" width="9.08984375" style="558" customWidth="1"/>
    <col min="7691" max="7691" width="1.6328125" style="558" customWidth="1"/>
    <col min="7692" max="7692" width="11" style="558" customWidth="1"/>
    <col min="7693" max="7693" width="1.36328125" style="558" customWidth="1"/>
    <col min="7694" max="7694" width="10.81640625" style="558" customWidth="1"/>
    <col min="7695" max="7695" width="1.36328125" style="558" customWidth="1"/>
    <col min="7696" max="7696" width="10" style="558" customWidth="1"/>
    <col min="7697" max="7697" width="1.36328125" style="558" customWidth="1"/>
    <col min="7698" max="7698" width="9.36328125" style="558" customWidth="1"/>
    <col min="7699" max="7699" width="1.36328125" style="558" customWidth="1"/>
    <col min="7700" max="7700" width="7.81640625" style="558" customWidth="1"/>
    <col min="7701" max="7701" width="1.36328125" style="558" customWidth="1"/>
    <col min="7702" max="7702" width="0.81640625" style="558" customWidth="1"/>
    <col min="7703" max="7703" width="9.36328125" style="558" customWidth="1"/>
    <col min="7704" max="7704" width="1.36328125" style="558" customWidth="1"/>
    <col min="7705" max="7705" width="0.90625" style="558" customWidth="1"/>
    <col min="7706" max="7706" width="9.54296875" style="558" bestFit="1" customWidth="1"/>
    <col min="7707" max="7708" width="0.6328125" style="558" customWidth="1"/>
    <col min="7709" max="7709" width="9.6328125" style="558" customWidth="1"/>
    <col min="7710" max="7710" width="1.08984375" style="558" customWidth="1"/>
    <col min="7711" max="7711" width="8.54296875" style="558" customWidth="1"/>
    <col min="7712" max="7712" width="14.54296875" style="558" customWidth="1"/>
    <col min="7713" max="7713" width="10" style="558" customWidth="1"/>
    <col min="7714" max="7714" width="7.81640625" style="558" bestFit="1" customWidth="1"/>
    <col min="7715" max="7715" width="9.90625" style="558" customWidth="1"/>
    <col min="7716" max="7932" width="8.90625" style="558"/>
    <col min="7933" max="7933" width="38.453125" style="558" customWidth="1"/>
    <col min="7934" max="7934" width="8.54296875" style="558" customWidth="1"/>
    <col min="7935" max="7935" width="1.36328125" style="558" customWidth="1"/>
    <col min="7936" max="7936" width="8.90625" style="558" customWidth="1"/>
    <col min="7937" max="7937" width="1.36328125" style="558" customWidth="1"/>
    <col min="7938" max="7938" width="9.36328125" style="558" customWidth="1"/>
    <col min="7939" max="7939" width="1.36328125" style="558" customWidth="1"/>
    <col min="7940" max="7940" width="10" style="558" customWidth="1"/>
    <col min="7941" max="7941" width="1.36328125" style="558" customWidth="1"/>
    <col min="7942" max="7942" width="9.08984375" style="558" customWidth="1"/>
    <col min="7943" max="7943" width="1.36328125" style="558" customWidth="1"/>
    <col min="7944" max="7944" width="11.36328125" style="558" customWidth="1"/>
    <col min="7945" max="7945" width="1.36328125" style="558" customWidth="1"/>
    <col min="7946" max="7946" width="9.08984375" style="558" customWidth="1"/>
    <col min="7947" max="7947" width="1.6328125" style="558" customWidth="1"/>
    <col min="7948" max="7948" width="11" style="558" customWidth="1"/>
    <col min="7949" max="7949" width="1.36328125" style="558" customWidth="1"/>
    <col min="7950" max="7950" width="10.81640625" style="558" customWidth="1"/>
    <col min="7951" max="7951" width="1.36328125" style="558" customWidth="1"/>
    <col min="7952" max="7952" width="10" style="558" customWidth="1"/>
    <col min="7953" max="7953" width="1.36328125" style="558" customWidth="1"/>
    <col min="7954" max="7954" width="9.36328125" style="558" customWidth="1"/>
    <col min="7955" max="7955" width="1.36328125" style="558" customWidth="1"/>
    <col min="7956" max="7956" width="7.81640625" style="558" customWidth="1"/>
    <col min="7957" max="7957" width="1.36328125" style="558" customWidth="1"/>
    <col min="7958" max="7958" width="0.81640625" style="558" customWidth="1"/>
    <col min="7959" max="7959" width="9.36328125" style="558" customWidth="1"/>
    <col min="7960" max="7960" width="1.36328125" style="558" customWidth="1"/>
    <col min="7961" max="7961" width="0.90625" style="558" customWidth="1"/>
    <col min="7962" max="7962" width="9.54296875" style="558" bestFit="1" customWidth="1"/>
    <col min="7963" max="7964" width="0.6328125" style="558" customWidth="1"/>
    <col min="7965" max="7965" width="9.6328125" style="558" customWidth="1"/>
    <col min="7966" max="7966" width="1.08984375" style="558" customWidth="1"/>
    <col min="7967" max="7967" width="8.54296875" style="558" customWidth="1"/>
    <col min="7968" max="7968" width="14.54296875" style="558" customWidth="1"/>
    <col min="7969" max="7969" width="10" style="558" customWidth="1"/>
    <col min="7970" max="7970" width="7.81640625" style="558" bestFit="1" customWidth="1"/>
    <col min="7971" max="7971" width="9.90625" style="558" customWidth="1"/>
    <col min="7972" max="8188" width="8.90625" style="558"/>
    <col min="8189" max="8189" width="38.453125" style="558" customWidth="1"/>
    <col min="8190" max="8190" width="8.54296875" style="558" customWidth="1"/>
    <col min="8191" max="8191" width="1.36328125" style="558" customWidth="1"/>
    <col min="8192" max="8192" width="8.90625" style="558" customWidth="1"/>
    <col min="8193" max="8193" width="1.36328125" style="558" customWidth="1"/>
    <col min="8194" max="8194" width="9.36328125" style="558" customWidth="1"/>
    <col min="8195" max="8195" width="1.36328125" style="558" customWidth="1"/>
    <col min="8196" max="8196" width="10" style="558" customWidth="1"/>
    <col min="8197" max="8197" width="1.36328125" style="558" customWidth="1"/>
    <col min="8198" max="8198" width="9.08984375" style="558" customWidth="1"/>
    <col min="8199" max="8199" width="1.36328125" style="558" customWidth="1"/>
    <col min="8200" max="8200" width="11.36328125" style="558" customWidth="1"/>
    <col min="8201" max="8201" width="1.36328125" style="558" customWidth="1"/>
    <col min="8202" max="8202" width="9.08984375" style="558" customWidth="1"/>
    <col min="8203" max="8203" width="1.6328125" style="558" customWidth="1"/>
    <col min="8204" max="8204" width="11" style="558" customWidth="1"/>
    <col min="8205" max="8205" width="1.36328125" style="558" customWidth="1"/>
    <col min="8206" max="8206" width="10.81640625" style="558" customWidth="1"/>
    <col min="8207" max="8207" width="1.36328125" style="558" customWidth="1"/>
    <col min="8208" max="8208" width="10" style="558" customWidth="1"/>
    <col min="8209" max="8209" width="1.36328125" style="558" customWidth="1"/>
    <col min="8210" max="8210" width="9.36328125" style="558" customWidth="1"/>
    <col min="8211" max="8211" width="1.36328125" style="558" customWidth="1"/>
    <col min="8212" max="8212" width="7.81640625" style="558" customWidth="1"/>
    <col min="8213" max="8213" width="1.36328125" style="558" customWidth="1"/>
    <col min="8214" max="8214" width="0.81640625" style="558" customWidth="1"/>
    <col min="8215" max="8215" width="9.36328125" style="558" customWidth="1"/>
    <col min="8216" max="8216" width="1.36328125" style="558" customWidth="1"/>
    <col min="8217" max="8217" width="0.90625" style="558" customWidth="1"/>
    <col min="8218" max="8218" width="9.54296875" style="558" bestFit="1" customWidth="1"/>
    <col min="8219" max="8220" width="0.6328125" style="558" customWidth="1"/>
    <col min="8221" max="8221" width="9.6328125" style="558" customWidth="1"/>
    <col min="8222" max="8222" width="1.08984375" style="558" customWidth="1"/>
    <col min="8223" max="8223" width="8.54296875" style="558" customWidth="1"/>
    <col min="8224" max="8224" width="14.54296875" style="558" customWidth="1"/>
    <col min="8225" max="8225" width="10" style="558" customWidth="1"/>
    <col min="8226" max="8226" width="7.81640625" style="558" bestFit="1" customWidth="1"/>
    <col min="8227" max="8227" width="9.90625" style="558" customWidth="1"/>
    <col min="8228" max="8444" width="8.90625" style="558"/>
    <col min="8445" max="8445" width="38.453125" style="558" customWidth="1"/>
    <col min="8446" max="8446" width="8.54296875" style="558" customWidth="1"/>
    <col min="8447" max="8447" width="1.36328125" style="558" customWidth="1"/>
    <col min="8448" max="8448" width="8.90625" style="558" customWidth="1"/>
    <col min="8449" max="8449" width="1.36328125" style="558" customWidth="1"/>
    <col min="8450" max="8450" width="9.36328125" style="558" customWidth="1"/>
    <col min="8451" max="8451" width="1.36328125" style="558" customWidth="1"/>
    <col min="8452" max="8452" width="10" style="558" customWidth="1"/>
    <col min="8453" max="8453" width="1.36328125" style="558" customWidth="1"/>
    <col min="8454" max="8454" width="9.08984375" style="558" customWidth="1"/>
    <col min="8455" max="8455" width="1.36328125" style="558" customWidth="1"/>
    <col min="8456" max="8456" width="11.36328125" style="558" customWidth="1"/>
    <col min="8457" max="8457" width="1.36328125" style="558" customWidth="1"/>
    <col min="8458" max="8458" width="9.08984375" style="558" customWidth="1"/>
    <col min="8459" max="8459" width="1.6328125" style="558" customWidth="1"/>
    <col min="8460" max="8460" width="11" style="558" customWidth="1"/>
    <col min="8461" max="8461" width="1.36328125" style="558" customWidth="1"/>
    <col min="8462" max="8462" width="10.81640625" style="558" customWidth="1"/>
    <col min="8463" max="8463" width="1.36328125" style="558" customWidth="1"/>
    <col min="8464" max="8464" width="10" style="558" customWidth="1"/>
    <col min="8465" max="8465" width="1.36328125" style="558" customWidth="1"/>
    <col min="8466" max="8466" width="9.36328125" style="558" customWidth="1"/>
    <col min="8467" max="8467" width="1.36328125" style="558" customWidth="1"/>
    <col min="8468" max="8468" width="7.81640625" style="558" customWidth="1"/>
    <col min="8469" max="8469" width="1.36328125" style="558" customWidth="1"/>
    <col min="8470" max="8470" width="0.81640625" style="558" customWidth="1"/>
    <col min="8471" max="8471" width="9.36328125" style="558" customWidth="1"/>
    <col min="8472" max="8472" width="1.36328125" style="558" customWidth="1"/>
    <col min="8473" max="8473" width="0.90625" style="558" customWidth="1"/>
    <col min="8474" max="8474" width="9.54296875" style="558" bestFit="1" customWidth="1"/>
    <col min="8475" max="8476" width="0.6328125" style="558" customWidth="1"/>
    <col min="8477" max="8477" width="9.6328125" style="558" customWidth="1"/>
    <col min="8478" max="8478" width="1.08984375" style="558" customWidth="1"/>
    <col min="8479" max="8479" width="8.54296875" style="558" customWidth="1"/>
    <col min="8480" max="8480" width="14.54296875" style="558" customWidth="1"/>
    <col min="8481" max="8481" width="10" style="558" customWidth="1"/>
    <col min="8482" max="8482" width="7.81640625" style="558" bestFit="1" customWidth="1"/>
    <col min="8483" max="8483" width="9.90625" style="558" customWidth="1"/>
    <col min="8484" max="8700" width="8.90625" style="558"/>
    <col min="8701" max="8701" width="38.453125" style="558" customWidth="1"/>
    <col min="8702" max="8702" width="8.54296875" style="558" customWidth="1"/>
    <col min="8703" max="8703" width="1.36328125" style="558" customWidth="1"/>
    <col min="8704" max="8704" width="8.90625" style="558" customWidth="1"/>
    <col min="8705" max="8705" width="1.36328125" style="558" customWidth="1"/>
    <col min="8706" max="8706" width="9.36328125" style="558" customWidth="1"/>
    <col min="8707" max="8707" width="1.36328125" style="558" customWidth="1"/>
    <col min="8708" max="8708" width="10" style="558" customWidth="1"/>
    <col min="8709" max="8709" width="1.36328125" style="558" customWidth="1"/>
    <col min="8710" max="8710" width="9.08984375" style="558" customWidth="1"/>
    <col min="8711" max="8711" width="1.36328125" style="558" customWidth="1"/>
    <col min="8712" max="8712" width="11.36328125" style="558" customWidth="1"/>
    <col min="8713" max="8713" width="1.36328125" style="558" customWidth="1"/>
    <col min="8714" max="8714" width="9.08984375" style="558" customWidth="1"/>
    <col min="8715" max="8715" width="1.6328125" style="558" customWidth="1"/>
    <col min="8716" max="8716" width="11" style="558" customWidth="1"/>
    <col min="8717" max="8717" width="1.36328125" style="558" customWidth="1"/>
    <col min="8718" max="8718" width="10.81640625" style="558" customWidth="1"/>
    <col min="8719" max="8719" width="1.36328125" style="558" customWidth="1"/>
    <col min="8720" max="8720" width="10" style="558" customWidth="1"/>
    <col min="8721" max="8721" width="1.36328125" style="558" customWidth="1"/>
    <col min="8722" max="8722" width="9.36328125" style="558" customWidth="1"/>
    <col min="8723" max="8723" width="1.36328125" style="558" customWidth="1"/>
    <col min="8724" max="8724" width="7.81640625" style="558" customWidth="1"/>
    <col min="8725" max="8725" width="1.36328125" style="558" customWidth="1"/>
    <col min="8726" max="8726" width="0.81640625" style="558" customWidth="1"/>
    <col min="8727" max="8727" width="9.36328125" style="558" customWidth="1"/>
    <col min="8728" max="8728" width="1.36328125" style="558" customWidth="1"/>
    <col min="8729" max="8729" width="0.90625" style="558" customWidth="1"/>
    <col min="8730" max="8730" width="9.54296875" style="558" bestFit="1" customWidth="1"/>
    <col min="8731" max="8732" width="0.6328125" style="558" customWidth="1"/>
    <col min="8733" max="8733" width="9.6328125" style="558" customWidth="1"/>
    <col min="8734" max="8734" width="1.08984375" style="558" customWidth="1"/>
    <col min="8735" max="8735" width="8.54296875" style="558" customWidth="1"/>
    <col min="8736" max="8736" width="14.54296875" style="558" customWidth="1"/>
    <col min="8737" max="8737" width="10" style="558" customWidth="1"/>
    <col min="8738" max="8738" width="7.81640625" style="558" bestFit="1" customWidth="1"/>
    <col min="8739" max="8739" width="9.90625" style="558" customWidth="1"/>
    <col min="8740" max="8956" width="8.90625" style="558"/>
    <col min="8957" max="8957" width="38.453125" style="558" customWidth="1"/>
    <col min="8958" max="8958" width="8.54296875" style="558" customWidth="1"/>
    <col min="8959" max="8959" width="1.36328125" style="558" customWidth="1"/>
    <col min="8960" max="8960" width="8.90625" style="558" customWidth="1"/>
    <col min="8961" max="8961" width="1.36328125" style="558" customWidth="1"/>
    <col min="8962" max="8962" width="9.36328125" style="558" customWidth="1"/>
    <col min="8963" max="8963" width="1.36328125" style="558" customWidth="1"/>
    <col min="8964" max="8964" width="10" style="558" customWidth="1"/>
    <col min="8965" max="8965" width="1.36328125" style="558" customWidth="1"/>
    <col min="8966" max="8966" width="9.08984375" style="558" customWidth="1"/>
    <col min="8967" max="8967" width="1.36328125" style="558" customWidth="1"/>
    <col min="8968" max="8968" width="11.36328125" style="558" customWidth="1"/>
    <col min="8969" max="8969" width="1.36328125" style="558" customWidth="1"/>
    <col min="8970" max="8970" width="9.08984375" style="558" customWidth="1"/>
    <col min="8971" max="8971" width="1.6328125" style="558" customWidth="1"/>
    <col min="8972" max="8972" width="11" style="558" customWidth="1"/>
    <col min="8973" max="8973" width="1.36328125" style="558" customWidth="1"/>
    <col min="8974" max="8974" width="10.81640625" style="558" customWidth="1"/>
    <col min="8975" max="8975" width="1.36328125" style="558" customWidth="1"/>
    <col min="8976" max="8976" width="10" style="558" customWidth="1"/>
    <col min="8977" max="8977" width="1.36328125" style="558" customWidth="1"/>
    <col min="8978" max="8978" width="9.36328125" style="558" customWidth="1"/>
    <col min="8979" max="8979" width="1.36328125" style="558" customWidth="1"/>
    <col min="8980" max="8980" width="7.81640625" style="558" customWidth="1"/>
    <col min="8981" max="8981" width="1.36328125" style="558" customWidth="1"/>
    <col min="8982" max="8982" width="0.81640625" style="558" customWidth="1"/>
    <col min="8983" max="8983" width="9.36328125" style="558" customWidth="1"/>
    <col min="8984" max="8984" width="1.36328125" style="558" customWidth="1"/>
    <col min="8985" max="8985" width="0.90625" style="558" customWidth="1"/>
    <col min="8986" max="8986" width="9.54296875" style="558" bestFit="1" customWidth="1"/>
    <col min="8987" max="8988" width="0.6328125" style="558" customWidth="1"/>
    <col min="8989" max="8989" width="9.6328125" style="558" customWidth="1"/>
    <col min="8990" max="8990" width="1.08984375" style="558" customWidth="1"/>
    <col min="8991" max="8991" width="8.54296875" style="558" customWidth="1"/>
    <col min="8992" max="8992" width="14.54296875" style="558" customWidth="1"/>
    <col min="8993" max="8993" width="10" style="558" customWidth="1"/>
    <col min="8994" max="8994" width="7.81640625" style="558" bestFit="1" customWidth="1"/>
    <col min="8995" max="8995" width="9.90625" style="558" customWidth="1"/>
    <col min="8996" max="9212" width="8.90625" style="558"/>
    <col min="9213" max="9213" width="38.453125" style="558" customWidth="1"/>
    <col min="9214" max="9214" width="8.54296875" style="558" customWidth="1"/>
    <col min="9215" max="9215" width="1.36328125" style="558" customWidth="1"/>
    <col min="9216" max="9216" width="8.90625" style="558" customWidth="1"/>
    <col min="9217" max="9217" width="1.36328125" style="558" customWidth="1"/>
    <col min="9218" max="9218" width="9.36328125" style="558" customWidth="1"/>
    <col min="9219" max="9219" width="1.36328125" style="558" customWidth="1"/>
    <col min="9220" max="9220" width="10" style="558" customWidth="1"/>
    <col min="9221" max="9221" width="1.36328125" style="558" customWidth="1"/>
    <col min="9222" max="9222" width="9.08984375" style="558" customWidth="1"/>
    <col min="9223" max="9223" width="1.36328125" style="558" customWidth="1"/>
    <col min="9224" max="9224" width="11.36328125" style="558" customWidth="1"/>
    <col min="9225" max="9225" width="1.36328125" style="558" customWidth="1"/>
    <col min="9226" max="9226" width="9.08984375" style="558" customWidth="1"/>
    <col min="9227" max="9227" width="1.6328125" style="558" customWidth="1"/>
    <col min="9228" max="9228" width="11" style="558" customWidth="1"/>
    <col min="9229" max="9229" width="1.36328125" style="558" customWidth="1"/>
    <col min="9230" max="9230" width="10.81640625" style="558" customWidth="1"/>
    <col min="9231" max="9231" width="1.36328125" style="558" customWidth="1"/>
    <col min="9232" max="9232" width="10" style="558" customWidth="1"/>
    <col min="9233" max="9233" width="1.36328125" style="558" customWidth="1"/>
    <col min="9234" max="9234" width="9.36328125" style="558" customWidth="1"/>
    <col min="9235" max="9235" width="1.36328125" style="558" customWidth="1"/>
    <col min="9236" max="9236" width="7.81640625" style="558" customWidth="1"/>
    <col min="9237" max="9237" width="1.36328125" style="558" customWidth="1"/>
    <col min="9238" max="9238" width="0.81640625" style="558" customWidth="1"/>
    <col min="9239" max="9239" width="9.36328125" style="558" customWidth="1"/>
    <col min="9240" max="9240" width="1.36328125" style="558" customWidth="1"/>
    <col min="9241" max="9241" width="0.90625" style="558" customWidth="1"/>
    <col min="9242" max="9242" width="9.54296875" style="558" bestFit="1" customWidth="1"/>
    <col min="9243" max="9244" width="0.6328125" style="558" customWidth="1"/>
    <col min="9245" max="9245" width="9.6328125" style="558" customWidth="1"/>
    <col min="9246" max="9246" width="1.08984375" style="558" customWidth="1"/>
    <col min="9247" max="9247" width="8.54296875" style="558" customWidth="1"/>
    <col min="9248" max="9248" width="14.54296875" style="558" customWidth="1"/>
    <col min="9249" max="9249" width="10" style="558" customWidth="1"/>
    <col min="9250" max="9250" width="7.81640625" style="558" bestFit="1" customWidth="1"/>
    <col min="9251" max="9251" width="9.90625" style="558" customWidth="1"/>
    <col min="9252" max="9468" width="8.90625" style="558"/>
    <col min="9469" max="9469" width="38.453125" style="558" customWidth="1"/>
    <col min="9470" max="9470" width="8.54296875" style="558" customWidth="1"/>
    <col min="9471" max="9471" width="1.36328125" style="558" customWidth="1"/>
    <col min="9472" max="9472" width="8.90625" style="558" customWidth="1"/>
    <col min="9473" max="9473" width="1.36328125" style="558" customWidth="1"/>
    <col min="9474" max="9474" width="9.36328125" style="558" customWidth="1"/>
    <col min="9475" max="9475" width="1.36328125" style="558" customWidth="1"/>
    <col min="9476" max="9476" width="10" style="558" customWidth="1"/>
    <col min="9477" max="9477" width="1.36328125" style="558" customWidth="1"/>
    <col min="9478" max="9478" width="9.08984375" style="558" customWidth="1"/>
    <col min="9479" max="9479" width="1.36328125" style="558" customWidth="1"/>
    <col min="9480" max="9480" width="11.36328125" style="558" customWidth="1"/>
    <col min="9481" max="9481" width="1.36328125" style="558" customWidth="1"/>
    <col min="9482" max="9482" width="9.08984375" style="558" customWidth="1"/>
    <col min="9483" max="9483" width="1.6328125" style="558" customWidth="1"/>
    <col min="9484" max="9484" width="11" style="558" customWidth="1"/>
    <col min="9485" max="9485" width="1.36328125" style="558" customWidth="1"/>
    <col min="9486" max="9486" width="10.81640625" style="558" customWidth="1"/>
    <col min="9487" max="9487" width="1.36328125" style="558" customWidth="1"/>
    <col min="9488" max="9488" width="10" style="558" customWidth="1"/>
    <col min="9489" max="9489" width="1.36328125" style="558" customWidth="1"/>
    <col min="9490" max="9490" width="9.36328125" style="558" customWidth="1"/>
    <col min="9491" max="9491" width="1.36328125" style="558" customWidth="1"/>
    <col min="9492" max="9492" width="7.81640625" style="558" customWidth="1"/>
    <col min="9493" max="9493" width="1.36328125" style="558" customWidth="1"/>
    <col min="9494" max="9494" width="0.81640625" style="558" customWidth="1"/>
    <col min="9495" max="9495" width="9.36328125" style="558" customWidth="1"/>
    <col min="9496" max="9496" width="1.36328125" style="558" customWidth="1"/>
    <col min="9497" max="9497" width="0.90625" style="558" customWidth="1"/>
    <col min="9498" max="9498" width="9.54296875" style="558" bestFit="1" customWidth="1"/>
    <col min="9499" max="9500" width="0.6328125" style="558" customWidth="1"/>
    <col min="9501" max="9501" width="9.6328125" style="558" customWidth="1"/>
    <col min="9502" max="9502" width="1.08984375" style="558" customWidth="1"/>
    <col min="9503" max="9503" width="8.54296875" style="558" customWidth="1"/>
    <col min="9504" max="9504" width="14.54296875" style="558" customWidth="1"/>
    <col min="9505" max="9505" width="10" style="558" customWidth="1"/>
    <col min="9506" max="9506" width="7.81640625" style="558" bestFit="1" customWidth="1"/>
    <col min="9507" max="9507" width="9.90625" style="558" customWidth="1"/>
    <col min="9508" max="9724" width="8.90625" style="558"/>
    <col min="9725" max="9725" width="38.453125" style="558" customWidth="1"/>
    <col min="9726" max="9726" width="8.54296875" style="558" customWidth="1"/>
    <col min="9727" max="9727" width="1.36328125" style="558" customWidth="1"/>
    <col min="9728" max="9728" width="8.90625" style="558" customWidth="1"/>
    <col min="9729" max="9729" width="1.36328125" style="558" customWidth="1"/>
    <col min="9730" max="9730" width="9.36328125" style="558" customWidth="1"/>
    <col min="9731" max="9731" width="1.36328125" style="558" customWidth="1"/>
    <col min="9732" max="9732" width="10" style="558" customWidth="1"/>
    <col min="9733" max="9733" width="1.36328125" style="558" customWidth="1"/>
    <col min="9734" max="9734" width="9.08984375" style="558" customWidth="1"/>
    <col min="9735" max="9735" width="1.36328125" style="558" customWidth="1"/>
    <col min="9736" max="9736" width="11.36328125" style="558" customWidth="1"/>
    <col min="9737" max="9737" width="1.36328125" style="558" customWidth="1"/>
    <col min="9738" max="9738" width="9.08984375" style="558" customWidth="1"/>
    <col min="9739" max="9739" width="1.6328125" style="558" customWidth="1"/>
    <col min="9740" max="9740" width="11" style="558" customWidth="1"/>
    <col min="9741" max="9741" width="1.36328125" style="558" customWidth="1"/>
    <col min="9742" max="9742" width="10.81640625" style="558" customWidth="1"/>
    <col min="9743" max="9743" width="1.36328125" style="558" customWidth="1"/>
    <col min="9744" max="9744" width="10" style="558" customWidth="1"/>
    <col min="9745" max="9745" width="1.36328125" style="558" customWidth="1"/>
    <col min="9746" max="9746" width="9.36328125" style="558" customWidth="1"/>
    <col min="9747" max="9747" width="1.36328125" style="558" customWidth="1"/>
    <col min="9748" max="9748" width="7.81640625" style="558" customWidth="1"/>
    <col min="9749" max="9749" width="1.36328125" style="558" customWidth="1"/>
    <col min="9750" max="9750" width="0.81640625" style="558" customWidth="1"/>
    <col min="9751" max="9751" width="9.36328125" style="558" customWidth="1"/>
    <col min="9752" max="9752" width="1.36328125" style="558" customWidth="1"/>
    <col min="9753" max="9753" width="0.90625" style="558" customWidth="1"/>
    <col min="9754" max="9754" width="9.54296875" style="558" bestFit="1" customWidth="1"/>
    <col min="9755" max="9756" width="0.6328125" style="558" customWidth="1"/>
    <col min="9757" max="9757" width="9.6328125" style="558" customWidth="1"/>
    <col min="9758" max="9758" width="1.08984375" style="558" customWidth="1"/>
    <col min="9759" max="9759" width="8.54296875" style="558" customWidth="1"/>
    <col min="9760" max="9760" width="14.54296875" style="558" customWidth="1"/>
    <col min="9761" max="9761" width="10" style="558" customWidth="1"/>
    <col min="9762" max="9762" width="7.81640625" style="558" bestFit="1" customWidth="1"/>
    <col min="9763" max="9763" width="9.90625" style="558" customWidth="1"/>
    <col min="9764" max="9980" width="8.90625" style="558"/>
    <col min="9981" max="9981" width="38.453125" style="558" customWidth="1"/>
    <col min="9982" max="9982" width="8.54296875" style="558" customWidth="1"/>
    <col min="9983" max="9983" width="1.36328125" style="558" customWidth="1"/>
    <col min="9984" max="9984" width="8.90625" style="558" customWidth="1"/>
    <col min="9985" max="9985" width="1.36328125" style="558" customWidth="1"/>
    <col min="9986" max="9986" width="9.36328125" style="558" customWidth="1"/>
    <col min="9987" max="9987" width="1.36328125" style="558" customWidth="1"/>
    <col min="9988" max="9988" width="10" style="558" customWidth="1"/>
    <col min="9989" max="9989" width="1.36328125" style="558" customWidth="1"/>
    <col min="9990" max="9990" width="9.08984375" style="558" customWidth="1"/>
    <col min="9991" max="9991" width="1.36328125" style="558" customWidth="1"/>
    <col min="9992" max="9992" width="11.36328125" style="558" customWidth="1"/>
    <col min="9993" max="9993" width="1.36328125" style="558" customWidth="1"/>
    <col min="9994" max="9994" width="9.08984375" style="558" customWidth="1"/>
    <col min="9995" max="9995" width="1.6328125" style="558" customWidth="1"/>
    <col min="9996" max="9996" width="11" style="558" customWidth="1"/>
    <col min="9997" max="9997" width="1.36328125" style="558" customWidth="1"/>
    <col min="9998" max="9998" width="10.81640625" style="558" customWidth="1"/>
    <col min="9999" max="9999" width="1.36328125" style="558" customWidth="1"/>
    <col min="10000" max="10000" width="10" style="558" customWidth="1"/>
    <col min="10001" max="10001" width="1.36328125" style="558" customWidth="1"/>
    <col min="10002" max="10002" width="9.36328125" style="558" customWidth="1"/>
    <col min="10003" max="10003" width="1.36328125" style="558" customWidth="1"/>
    <col min="10004" max="10004" width="7.81640625" style="558" customWidth="1"/>
    <col min="10005" max="10005" width="1.36328125" style="558" customWidth="1"/>
    <col min="10006" max="10006" width="0.81640625" style="558" customWidth="1"/>
    <col min="10007" max="10007" width="9.36328125" style="558" customWidth="1"/>
    <col min="10008" max="10008" width="1.36328125" style="558" customWidth="1"/>
    <col min="10009" max="10009" width="0.90625" style="558" customWidth="1"/>
    <col min="10010" max="10010" width="9.54296875" style="558" bestFit="1" customWidth="1"/>
    <col min="10011" max="10012" width="0.6328125" style="558" customWidth="1"/>
    <col min="10013" max="10013" width="9.6328125" style="558" customWidth="1"/>
    <col min="10014" max="10014" width="1.08984375" style="558" customWidth="1"/>
    <col min="10015" max="10015" width="8.54296875" style="558" customWidth="1"/>
    <col min="10016" max="10016" width="14.54296875" style="558" customWidth="1"/>
    <col min="10017" max="10017" width="10" style="558" customWidth="1"/>
    <col min="10018" max="10018" width="7.81640625" style="558" bestFit="1" customWidth="1"/>
    <col min="10019" max="10019" width="9.90625" style="558" customWidth="1"/>
    <col min="10020" max="10236" width="8.90625" style="558"/>
    <col min="10237" max="10237" width="38.453125" style="558" customWidth="1"/>
    <col min="10238" max="10238" width="8.54296875" style="558" customWidth="1"/>
    <col min="10239" max="10239" width="1.36328125" style="558" customWidth="1"/>
    <col min="10240" max="10240" width="8.90625" style="558" customWidth="1"/>
    <col min="10241" max="10241" width="1.36328125" style="558" customWidth="1"/>
    <col min="10242" max="10242" width="9.36328125" style="558" customWidth="1"/>
    <col min="10243" max="10243" width="1.36328125" style="558" customWidth="1"/>
    <col min="10244" max="10244" width="10" style="558" customWidth="1"/>
    <col min="10245" max="10245" width="1.36328125" style="558" customWidth="1"/>
    <col min="10246" max="10246" width="9.08984375" style="558" customWidth="1"/>
    <col min="10247" max="10247" width="1.36328125" style="558" customWidth="1"/>
    <col min="10248" max="10248" width="11.36328125" style="558" customWidth="1"/>
    <col min="10249" max="10249" width="1.36328125" style="558" customWidth="1"/>
    <col min="10250" max="10250" width="9.08984375" style="558" customWidth="1"/>
    <col min="10251" max="10251" width="1.6328125" style="558" customWidth="1"/>
    <col min="10252" max="10252" width="11" style="558" customWidth="1"/>
    <col min="10253" max="10253" width="1.36328125" style="558" customWidth="1"/>
    <col min="10254" max="10254" width="10.81640625" style="558" customWidth="1"/>
    <col min="10255" max="10255" width="1.36328125" style="558" customWidth="1"/>
    <col min="10256" max="10256" width="10" style="558" customWidth="1"/>
    <col min="10257" max="10257" width="1.36328125" style="558" customWidth="1"/>
    <col min="10258" max="10258" width="9.36328125" style="558" customWidth="1"/>
    <col min="10259" max="10259" width="1.36328125" style="558" customWidth="1"/>
    <col min="10260" max="10260" width="7.81640625" style="558" customWidth="1"/>
    <col min="10261" max="10261" width="1.36328125" style="558" customWidth="1"/>
    <col min="10262" max="10262" width="0.81640625" style="558" customWidth="1"/>
    <col min="10263" max="10263" width="9.36328125" style="558" customWidth="1"/>
    <col min="10264" max="10264" width="1.36328125" style="558" customWidth="1"/>
    <col min="10265" max="10265" width="0.90625" style="558" customWidth="1"/>
    <col min="10266" max="10266" width="9.54296875" style="558" bestFit="1" customWidth="1"/>
    <col min="10267" max="10268" width="0.6328125" style="558" customWidth="1"/>
    <col min="10269" max="10269" width="9.6328125" style="558" customWidth="1"/>
    <col min="10270" max="10270" width="1.08984375" style="558" customWidth="1"/>
    <col min="10271" max="10271" width="8.54296875" style="558" customWidth="1"/>
    <col min="10272" max="10272" width="14.54296875" style="558" customWidth="1"/>
    <col min="10273" max="10273" width="10" style="558" customWidth="1"/>
    <col min="10274" max="10274" width="7.81640625" style="558" bestFit="1" customWidth="1"/>
    <col min="10275" max="10275" width="9.90625" style="558" customWidth="1"/>
    <col min="10276" max="10492" width="8.90625" style="558"/>
    <col min="10493" max="10493" width="38.453125" style="558" customWidth="1"/>
    <col min="10494" max="10494" width="8.54296875" style="558" customWidth="1"/>
    <col min="10495" max="10495" width="1.36328125" style="558" customWidth="1"/>
    <col min="10496" max="10496" width="8.90625" style="558" customWidth="1"/>
    <col min="10497" max="10497" width="1.36328125" style="558" customWidth="1"/>
    <col min="10498" max="10498" width="9.36328125" style="558" customWidth="1"/>
    <col min="10499" max="10499" width="1.36328125" style="558" customWidth="1"/>
    <col min="10500" max="10500" width="10" style="558" customWidth="1"/>
    <col min="10501" max="10501" width="1.36328125" style="558" customWidth="1"/>
    <col min="10502" max="10502" width="9.08984375" style="558" customWidth="1"/>
    <col min="10503" max="10503" width="1.36328125" style="558" customWidth="1"/>
    <col min="10504" max="10504" width="11.36328125" style="558" customWidth="1"/>
    <col min="10505" max="10505" width="1.36328125" style="558" customWidth="1"/>
    <col min="10506" max="10506" width="9.08984375" style="558" customWidth="1"/>
    <col min="10507" max="10507" width="1.6328125" style="558" customWidth="1"/>
    <col min="10508" max="10508" width="11" style="558" customWidth="1"/>
    <col min="10509" max="10509" width="1.36328125" style="558" customWidth="1"/>
    <col min="10510" max="10510" width="10.81640625" style="558" customWidth="1"/>
    <col min="10511" max="10511" width="1.36328125" style="558" customWidth="1"/>
    <col min="10512" max="10512" width="10" style="558" customWidth="1"/>
    <col min="10513" max="10513" width="1.36328125" style="558" customWidth="1"/>
    <col min="10514" max="10514" width="9.36328125" style="558" customWidth="1"/>
    <col min="10515" max="10515" width="1.36328125" style="558" customWidth="1"/>
    <col min="10516" max="10516" width="7.81640625" style="558" customWidth="1"/>
    <col min="10517" max="10517" width="1.36328125" style="558" customWidth="1"/>
    <col min="10518" max="10518" width="0.81640625" style="558" customWidth="1"/>
    <col min="10519" max="10519" width="9.36328125" style="558" customWidth="1"/>
    <col min="10520" max="10520" width="1.36328125" style="558" customWidth="1"/>
    <col min="10521" max="10521" width="0.90625" style="558" customWidth="1"/>
    <col min="10522" max="10522" width="9.54296875" style="558" bestFit="1" customWidth="1"/>
    <col min="10523" max="10524" width="0.6328125" style="558" customWidth="1"/>
    <col min="10525" max="10525" width="9.6328125" style="558" customWidth="1"/>
    <col min="10526" max="10526" width="1.08984375" style="558" customWidth="1"/>
    <col min="10527" max="10527" width="8.54296875" style="558" customWidth="1"/>
    <col min="10528" max="10528" width="14.54296875" style="558" customWidth="1"/>
    <col min="10529" max="10529" width="10" style="558" customWidth="1"/>
    <col min="10530" max="10530" width="7.81640625" style="558" bestFit="1" customWidth="1"/>
    <col min="10531" max="10531" width="9.90625" style="558" customWidth="1"/>
    <col min="10532" max="10748" width="8.90625" style="558"/>
    <col min="10749" max="10749" width="38.453125" style="558" customWidth="1"/>
    <col min="10750" max="10750" width="8.54296875" style="558" customWidth="1"/>
    <col min="10751" max="10751" width="1.36328125" style="558" customWidth="1"/>
    <col min="10752" max="10752" width="8.90625" style="558" customWidth="1"/>
    <col min="10753" max="10753" width="1.36328125" style="558" customWidth="1"/>
    <col min="10754" max="10754" width="9.36328125" style="558" customWidth="1"/>
    <col min="10755" max="10755" width="1.36328125" style="558" customWidth="1"/>
    <col min="10756" max="10756" width="10" style="558" customWidth="1"/>
    <col min="10757" max="10757" width="1.36328125" style="558" customWidth="1"/>
    <col min="10758" max="10758" width="9.08984375" style="558" customWidth="1"/>
    <col min="10759" max="10759" width="1.36328125" style="558" customWidth="1"/>
    <col min="10760" max="10760" width="11.36328125" style="558" customWidth="1"/>
    <col min="10761" max="10761" width="1.36328125" style="558" customWidth="1"/>
    <col min="10762" max="10762" width="9.08984375" style="558" customWidth="1"/>
    <col min="10763" max="10763" width="1.6328125" style="558" customWidth="1"/>
    <col min="10764" max="10764" width="11" style="558" customWidth="1"/>
    <col min="10765" max="10765" width="1.36328125" style="558" customWidth="1"/>
    <col min="10766" max="10766" width="10.81640625" style="558" customWidth="1"/>
    <col min="10767" max="10767" width="1.36328125" style="558" customWidth="1"/>
    <col min="10768" max="10768" width="10" style="558" customWidth="1"/>
    <col min="10769" max="10769" width="1.36328125" style="558" customWidth="1"/>
    <col min="10770" max="10770" width="9.36328125" style="558" customWidth="1"/>
    <col min="10771" max="10771" width="1.36328125" style="558" customWidth="1"/>
    <col min="10772" max="10772" width="7.81640625" style="558" customWidth="1"/>
    <col min="10773" max="10773" width="1.36328125" style="558" customWidth="1"/>
    <col min="10774" max="10774" width="0.81640625" style="558" customWidth="1"/>
    <col min="10775" max="10775" width="9.36328125" style="558" customWidth="1"/>
    <col min="10776" max="10776" width="1.36328125" style="558" customWidth="1"/>
    <col min="10777" max="10777" width="0.90625" style="558" customWidth="1"/>
    <col min="10778" max="10778" width="9.54296875" style="558" bestFit="1" customWidth="1"/>
    <col min="10779" max="10780" width="0.6328125" style="558" customWidth="1"/>
    <col min="10781" max="10781" width="9.6328125" style="558" customWidth="1"/>
    <col min="10782" max="10782" width="1.08984375" style="558" customWidth="1"/>
    <col min="10783" max="10783" width="8.54296875" style="558" customWidth="1"/>
    <col min="10784" max="10784" width="14.54296875" style="558" customWidth="1"/>
    <col min="10785" max="10785" width="10" style="558" customWidth="1"/>
    <col min="10786" max="10786" width="7.81640625" style="558" bestFit="1" customWidth="1"/>
    <col min="10787" max="10787" width="9.90625" style="558" customWidth="1"/>
    <col min="10788" max="11004" width="8.90625" style="558"/>
    <col min="11005" max="11005" width="38.453125" style="558" customWidth="1"/>
    <col min="11006" max="11006" width="8.54296875" style="558" customWidth="1"/>
    <col min="11007" max="11007" width="1.36328125" style="558" customWidth="1"/>
    <col min="11008" max="11008" width="8.90625" style="558" customWidth="1"/>
    <col min="11009" max="11009" width="1.36328125" style="558" customWidth="1"/>
    <col min="11010" max="11010" width="9.36328125" style="558" customWidth="1"/>
    <col min="11011" max="11011" width="1.36328125" style="558" customWidth="1"/>
    <col min="11012" max="11012" width="10" style="558" customWidth="1"/>
    <col min="11013" max="11013" width="1.36328125" style="558" customWidth="1"/>
    <col min="11014" max="11014" width="9.08984375" style="558" customWidth="1"/>
    <col min="11015" max="11015" width="1.36328125" style="558" customWidth="1"/>
    <col min="11016" max="11016" width="11.36328125" style="558" customWidth="1"/>
    <col min="11017" max="11017" width="1.36328125" style="558" customWidth="1"/>
    <col min="11018" max="11018" width="9.08984375" style="558" customWidth="1"/>
    <col min="11019" max="11019" width="1.6328125" style="558" customWidth="1"/>
    <col min="11020" max="11020" width="11" style="558" customWidth="1"/>
    <col min="11021" max="11021" width="1.36328125" style="558" customWidth="1"/>
    <col min="11022" max="11022" width="10.81640625" style="558" customWidth="1"/>
    <col min="11023" max="11023" width="1.36328125" style="558" customWidth="1"/>
    <col min="11024" max="11024" width="10" style="558" customWidth="1"/>
    <col min="11025" max="11025" width="1.36328125" style="558" customWidth="1"/>
    <col min="11026" max="11026" width="9.36328125" style="558" customWidth="1"/>
    <col min="11027" max="11027" width="1.36328125" style="558" customWidth="1"/>
    <col min="11028" max="11028" width="7.81640625" style="558" customWidth="1"/>
    <col min="11029" max="11029" width="1.36328125" style="558" customWidth="1"/>
    <col min="11030" max="11030" width="0.81640625" style="558" customWidth="1"/>
    <col min="11031" max="11031" width="9.36328125" style="558" customWidth="1"/>
    <col min="11032" max="11032" width="1.36328125" style="558" customWidth="1"/>
    <col min="11033" max="11033" width="0.90625" style="558" customWidth="1"/>
    <col min="11034" max="11034" width="9.54296875" style="558" bestFit="1" customWidth="1"/>
    <col min="11035" max="11036" width="0.6328125" style="558" customWidth="1"/>
    <col min="11037" max="11037" width="9.6328125" style="558" customWidth="1"/>
    <col min="11038" max="11038" width="1.08984375" style="558" customWidth="1"/>
    <col min="11039" max="11039" width="8.54296875" style="558" customWidth="1"/>
    <col min="11040" max="11040" width="14.54296875" style="558" customWidth="1"/>
    <col min="11041" max="11041" width="10" style="558" customWidth="1"/>
    <col min="11042" max="11042" width="7.81640625" style="558" bestFit="1" customWidth="1"/>
    <col min="11043" max="11043" width="9.90625" style="558" customWidth="1"/>
    <col min="11044" max="11260" width="8.90625" style="558"/>
    <col min="11261" max="11261" width="38.453125" style="558" customWidth="1"/>
    <col min="11262" max="11262" width="8.54296875" style="558" customWidth="1"/>
    <col min="11263" max="11263" width="1.36328125" style="558" customWidth="1"/>
    <col min="11264" max="11264" width="8.90625" style="558" customWidth="1"/>
    <col min="11265" max="11265" width="1.36328125" style="558" customWidth="1"/>
    <col min="11266" max="11266" width="9.36328125" style="558" customWidth="1"/>
    <col min="11267" max="11267" width="1.36328125" style="558" customWidth="1"/>
    <col min="11268" max="11268" width="10" style="558" customWidth="1"/>
    <col min="11269" max="11269" width="1.36328125" style="558" customWidth="1"/>
    <col min="11270" max="11270" width="9.08984375" style="558" customWidth="1"/>
    <col min="11271" max="11271" width="1.36328125" style="558" customWidth="1"/>
    <col min="11272" max="11272" width="11.36328125" style="558" customWidth="1"/>
    <col min="11273" max="11273" width="1.36328125" style="558" customWidth="1"/>
    <col min="11274" max="11274" width="9.08984375" style="558" customWidth="1"/>
    <col min="11275" max="11275" width="1.6328125" style="558" customWidth="1"/>
    <col min="11276" max="11276" width="11" style="558" customWidth="1"/>
    <col min="11277" max="11277" width="1.36328125" style="558" customWidth="1"/>
    <col min="11278" max="11278" width="10.81640625" style="558" customWidth="1"/>
    <col min="11279" max="11279" width="1.36328125" style="558" customWidth="1"/>
    <col min="11280" max="11280" width="10" style="558" customWidth="1"/>
    <col min="11281" max="11281" width="1.36328125" style="558" customWidth="1"/>
    <col min="11282" max="11282" width="9.36328125" style="558" customWidth="1"/>
    <col min="11283" max="11283" width="1.36328125" style="558" customWidth="1"/>
    <col min="11284" max="11284" width="7.81640625" style="558" customWidth="1"/>
    <col min="11285" max="11285" width="1.36328125" style="558" customWidth="1"/>
    <col min="11286" max="11286" width="0.81640625" style="558" customWidth="1"/>
    <col min="11287" max="11287" width="9.36328125" style="558" customWidth="1"/>
    <col min="11288" max="11288" width="1.36328125" style="558" customWidth="1"/>
    <col min="11289" max="11289" width="0.90625" style="558" customWidth="1"/>
    <col min="11290" max="11290" width="9.54296875" style="558" bestFit="1" customWidth="1"/>
    <col min="11291" max="11292" width="0.6328125" style="558" customWidth="1"/>
    <col min="11293" max="11293" width="9.6328125" style="558" customWidth="1"/>
    <col min="11294" max="11294" width="1.08984375" style="558" customWidth="1"/>
    <col min="11295" max="11295" width="8.54296875" style="558" customWidth="1"/>
    <col min="11296" max="11296" width="14.54296875" style="558" customWidth="1"/>
    <col min="11297" max="11297" width="10" style="558" customWidth="1"/>
    <col min="11298" max="11298" width="7.81640625" style="558" bestFit="1" customWidth="1"/>
    <col min="11299" max="11299" width="9.90625" style="558" customWidth="1"/>
    <col min="11300" max="11516" width="8.90625" style="558"/>
    <col min="11517" max="11517" width="38.453125" style="558" customWidth="1"/>
    <col min="11518" max="11518" width="8.54296875" style="558" customWidth="1"/>
    <col min="11519" max="11519" width="1.36328125" style="558" customWidth="1"/>
    <col min="11520" max="11520" width="8.90625" style="558" customWidth="1"/>
    <col min="11521" max="11521" width="1.36328125" style="558" customWidth="1"/>
    <col min="11522" max="11522" width="9.36328125" style="558" customWidth="1"/>
    <col min="11523" max="11523" width="1.36328125" style="558" customWidth="1"/>
    <col min="11524" max="11524" width="10" style="558" customWidth="1"/>
    <col min="11525" max="11525" width="1.36328125" style="558" customWidth="1"/>
    <col min="11526" max="11526" width="9.08984375" style="558" customWidth="1"/>
    <col min="11527" max="11527" width="1.36328125" style="558" customWidth="1"/>
    <col min="11528" max="11528" width="11.36328125" style="558" customWidth="1"/>
    <col min="11529" max="11529" width="1.36328125" style="558" customWidth="1"/>
    <col min="11530" max="11530" width="9.08984375" style="558" customWidth="1"/>
    <col min="11531" max="11531" width="1.6328125" style="558" customWidth="1"/>
    <col min="11532" max="11532" width="11" style="558" customWidth="1"/>
    <col min="11533" max="11533" width="1.36328125" style="558" customWidth="1"/>
    <col min="11534" max="11534" width="10.81640625" style="558" customWidth="1"/>
    <col min="11535" max="11535" width="1.36328125" style="558" customWidth="1"/>
    <col min="11536" max="11536" width="10" style="558" customWidth="1"/>
    <col min="11537" max="11537" width="1.36328125" style="558" customWidth="1"/>
    <col min="11538" max="11538" width="9.36328125" style="558" customWidth="1"/>
    <col min="11539" max="11539" width="1.36328125" style="558" customWidth="1"/>
    <col min="11540" max="11540" width="7.81640625" style="558" customWidth="1"/>
    <col min="11541" max="11541" width="1.36328125" style="558" customWidth="1"/>
    <col min="11542" max="11542" width="0.81640625" style="558" customWidth="1"/>
    <col min="11543" max="11543" width="9.36328125" style="558" customWidth="1"/>
    <col min="11544" max="11544" width="1.36328125" style="558" customWidth="1"/>
    <col min="11545" max="11545" width="0.90625" style="558" customWidth="1"/>
    <col min="11546" max="11546" width="9.54296875" style="558" bestFit="1" customWidth="1"/>
    <col min="11547" max="11548" width="0.6328125" style="558" customWidth="1"/>
    <col min="11549" max="11549" width="9.6328125" style="558" customWidth="1"/>
    <col min="11550" max="11550" width="1.08984375" style="558" customWidth="1"/>
    <col min="11551" max="11551" width="8.54296875" style="558" customWidth="1"/>
    <col min="11552" max="11552" width="14.54296875" style="558" customWidth="1"/>
    <col min="11553" max="11553" width="10" style="558" customWidth="1"/>
    <col min="11554" max="11554" width="7.81640625" style="558" bestFit="1" customWidth="1"/>
    <col min="11555" max="11555" width="9.90625" style="558" customWidth="1"/>
    <col min="11556" max="11772" width="8.90625" style="558"/>
    <col min="11773" max="11773" width="38.453125" style="558" customWidth="1"/>
    <col min="11774" max="11774" width="8.54296875" style="558" customWidth="1"/>
    <col min="11775" max="11775" width="1.36328125" style="558" customWidth="1"/>
    <col min="11776" max="11776" width="8.90625" style="558" customWidth="1"/>
    <col min="11777" max="11777" width="1.36328125" style="558" customWidth="1"/>
    <col min="11778" max="11778" width="9.36328125" style="558" customWidth="1"/>
    <col min="11779" max="11779" width="1.36328125" style="558" customWidth="1"/>
    <col min="11780" max="11780" width="10" style="558" customWidth="1"/>
    <col min="11781" max="11781" width="1.36328125" style="558" customWidth="1"/>
    <col min="11782" max="11782" width="9.08984375" style="558" customWidth="1"/>
    <col min="11783" max="11783" width="1.36328125" style="558" customWidth="1"/>
    <col min="11784" max="11784" width="11.36328125" style="558" customWidth="1"/>
    <col min="11785" max="11785" width="1.36328125" style="558" customWidth="1"/>
    <col min="11786" max="11786" width="9.08984375" style="558" customWidth="1"/>
    <col min="11787" max="11787" width="1.6328125" style="558" customWidth="1"/>
    <col min="11788" max="11788" width="11" style="558" customWidth="1"/>
    <col min="11789" max="11789" width="1.36328125" style="558" customWidth="1"/>
    <col min="11790" max="11790" width="10.81640625" style="558" customWidth="1"/>
    <col min="11791" max="11791" width="1.36328125" style="558" customWidth="1"/>
    <col min="11792" max="11792" width="10" style="558" customWidth="1"/>
    <col min="11793" max="11793" width="1.36328125" style="558" customWidth="1"/>
    <col min="11794" max="11794" width="9.36328125" style="558" customWidth="1"/>
    <col min="11795" max="11795" width="1.36328125" style="558" customWidth="1"/>
    <col min="11796" max="11796" width="7.81640625" style="558" customWidth="1"/>
    <col min="11797" max="11797" width="1.36328125" style="558" customWidth="1"/>
    <col min="11798" max="11798" width="0.81640625" style="558" customWidth="1"/>
    <col min="11799" max="11799" width="9.36328125" style="558" customWidth="1"/>
    <col min="11800" max="11800" width="1.36328125" style="558" customWidth="1"/>
    <col min="11801" max="11801" width="0.90625" style="558" customWidth="1"/>
    <col min="11802" max="11802" width="9.54296875" style="558" bestFit="1" customWidth="1"/>
    <col min="11803" max="11804" width="0.6328125" style="558" customWidth="1"/>
    <col min="11805" max="11805" width="9.6328125" style="558" customWidth="1"/>
    <col min="11806" max="11806" width="1.08984375" style="558" customWidth="1"/>
    <col min="11807" max="11807" width="8.54296875" style="558" customWidth="1"/>
    <col min="11808" max="11808" width="14.54296875" style="558" customWidth="1"/>
    <col min="11809" max="11809" width="10" style="558" customWidth="1"/>
    <col min="11810" max="11810" width="7.81640625" style="558" bestFit="1" customWidth="1"/>
    <col min="11811" max="11811" width="9.90625" style="558" customWidth="1"/>
    <col min="11812" max="12028" width="8.90625" style="558"/>
    <col min="12029" max="12029" width="38.453125" style="558" customWidth="1"/>
    <col min="12030" max="12030" width="8.54296875" style="558" customWidth="1"/>
    <col min="12031" max="12031" width="1.36328125" style="558" customWidth="1"/>
    <col min="12032" max="12032" width="8.90625" style="558" customWidth="1"/>
    <col min="12033" max="12033" width="1.36328125" style="558" customWidth="1"/>
    <col min="12034" max="12034" width="9.36328125" style="558" customWidth="1"/>
    <col min="12035" max="12035" width="1.36328125" style="558" customWidth="1"/>
    <col min="12036" max="12036" width="10" style="558" customWidth="1"/>
    <col min="12037" max="12037" width="1.36328125" style="558" customWidth="1"/>
    <col min="12038" max="12038" width="9.08984375" style="558" customWidth="1"/>
    <col min="12039" max="12039" width="1.36328125" style="558" customWidth="1"/>
    <col min="12040" max="12040" width="11.36328125" style="558" customWidth="1"/>
    <col min="12041" max="12041" width="1.36328125" style="558" customWidth="1"/>
    <col min="12042" max="12042" width="9.08984375" style="558" customWidth="1"/>
    <col min="12043" max="12043" width="1.6328125" style="558" customWidth="1"/>
    <col min="12044" max="12044" width="11" style="558" customWidth="1"/>
    <col min="12045" max="12045" width="1.36328125" style="558" customWidth="1"/>
    <col min="12046" max="12046" width="10.81640625" style="558" customWidth="1"/>
    <col min="12047" max="12047" width="1.36328125" style="558" customWidth="1"/>
    <col min="12048" max="12048" width="10" style="558" customWidth="1"/>
    <col min="12049" max="12049" width="1.36328125" style="558" customWidth="1"/>
    <col min="12050" max="12050" width="9.36328125" style="558" customWidth="1"/>
    <col min="12051" max="12051" width="1.36328125" style="558" customWidth="1"/>
    <col min="12052" max="12052" width="7.81640625" style="558" customWidth="1"/>
    <col min="12053" max="12053" width="1.36328125" style="558" customWidth="1"/>
    <col min="12054" max="12054" width="0.81640625" style="558" customWidth="1"/>
    <col min="12055" max="12055" width="9.36328125" style="558" customWidth="1"/>
    <col min="12056" max="12056" width="1.36328125" style="558" customWidth="1"/>
    <col min="12057" max="12057" width="0.90625" style="558" customWidth="1"/>
    <col min="12058" max="12058" width="9.54296875" style="558" bestFit="1" customWidth="1"/>
    <col min="12059" max="12060" width="0.6328125" style="558" customWidth="1"/>
    <col min="12061" max="12061" width="9.6328125" style="558" customWidth="1"/>
    <col min="12062" max="12062" width="1.08984375" style="558" customWidth="1"/>
    <col min="12063" max="12063" width="8.54296875" style="558" customWidth="1"/>
    <col min="12064" max="12064" width="14.54296875" style="558" customWidth="1"/>
    <col min="12065" max="12065" width="10" style="558" customWidth="1"/>
    <col min="12066" max="12066" width="7.81640625" style="558" bestFit="1" customWidth="1"/>
    <col min="12067" max="12067" width="9.90625" style="558" customWidth="1"/>
    <col min="12068" max="12284" width="8.90625" style="558"/>
    <col min="12285" max="12285" width="38.453125" style="558" customWidth="1"/>
    <col min="12286" max="12286" width="8.54296875" style="558" customWidth="1"/>
    <col min="12287" max="12287" width="1.36328125" style="558" customWidth="1"/>
    <col min="12288" max="12288" width="8.90625" style="558" customWidth="1"/>
    <col min="12289" max="12289" width="1.36328125" style="558" customWidth="1"/>
    <col min="12290" max="12290" width="9.36328125" style="558" customWidth="1"/>
    <col min="12291" max="12291" width="1.36328125" style="558" customWidth="1"/>
    <col min="12292" max="12292" width="10" style="558" customWidth="1"/>
    <col min="12293" max="12293" width="1.36328125" style="558" customWidth="1"/>
    <col min="12294" max="12294" width="9.08984375" style="558" customWidth="1"/>
    <col min="12295" max="12295" width="1.36328125" style="558" customWidth="1"/>
    <col min="12296" max="12296" width="11.36328125" style="558" customWidth="1"/>
    <col min="12297" max="12297" width="1.36328125" style="558" customWidth="1"/>
    <col min="12298" max="12298" width="9.08984375" style="558" customWidth="1"/>
    <col min="12299" max="12299" width="1.6328125" style="558" customWidth="1"/>
    <col min="12300" max="12300" width="11" style="558" customWidth="1"/>
    <col min="12301" max="12301" width="1.36328125" style="558" customWidth="1"/>
    <col min="12302" max="12302" width="10.81640625" style="558" customWidth="1"/>
    <col min="12303" max="12303" width="1.36328125" style="558" customWidth="1"/>
    <col min="12304" max="12304" width="10" style="558" customWidth="1"/>
    <col min="12305" max="12305" width="1.36328125" style="558" customWidth="1"/>
    <col min="12306" max="12306" width="9.36328125" style="558" customWidth="1"/>
    <col min="12307" max="12307" width="1.36328125" style="558" customWidth="1"/>
    <col min="12308" max="12308" width="7.81640625" style="558" customWidth="1"/>
    <col min="12309" max="12309" width="1.36328125" style="558" customWidth="1"/>
    <col min="12310" max="12310" width="0.81640625" style="558" customWidth="1"/>
    <col min="12311" max="12311" width="9.36328125" style="558" customWidth="1"/>
    <col min="12312" max="12312" width="1.36328125" style="558" customWidth="1"/>
    <col min="12313" max="12313" width="0.90625" style="558" customWidth="1"/>
    <col min="12314" max="12314" width="9.54296875" style="558" bestFit="1" customWidth="1"/>
    <col min="12315" max="12316" width="0.6328125" style="558" customWidth="1"/>
    <col min="12317" max="12317" width="9.6328125" style="558" customWidth="1"/>
    <col min="12318" max="12318" width="1.08984375" style="558" customWidth="1"/>
    <col min="12319" max="12319" width="8.54296875" style="558" customWidth="1"/>
    <col min="12320" max="12320" width="14.54296875" style="558" customWidth="1"/>
    <col min="12321" max="12321" width="10" style="558" customWidth="1"/>
    <col min="12322" max="12322" width="7.81640625" style="558" bestFit="1" customWidth="1"/>
    <col min="12323" max="12323" width="9.90625" style="558" customWidth="1"/>
    <col min="12324" max="12540" width="8.90625" style="558"/>
    <col min="12541" max="12541" width="38.453125" style="558" customWidth="1"/>
    <col min="12542" max="12542" width="8.54296875" style="558" customWidth="1"/>
    <col min="12543" max="12543" width="1.36328125" style="558" customWidth="1"/>
    <col min="12544" max="12544" width="8.90625" style="558" customWidth="1"/>
    <col min="12545" max="12545" width="1.36328125" style="558" customWidth="1"/>
    <col min="12546" max="12546" width="9.36328125" style="558" customWidth="1"/>
    <col min="12547" max="12547" width="1.36328125" style="558" customWidth="1"/>
    <col min="12548" max="12548" width="10" style="558" customWidth="1"/>
    <col min="12549" max="12549" width="1.36328125" style="558" customWidth="1"/>
    <col min="12550" max="12550" width="9.08984375" style="558" customWidth="1"/>
    <col min="12551" max="12551" width="1.36328125" style="558" customWidth="1"/>
    <col min="12552" max="12552" width="11.36328125" style="558" customWidth="1"/>
    <col min="12553" max="12553" width="1.36328125" style="558" customWidth="1"/>
    <col min="12554" max="12554" width="9.08984375" style="558" customWidth="1"/>
    <col min="12555" max="12555" width="1.6328125" style="558" customWidth="1"/>
    <col min="12556" max="12556" width="11" style="558" customWidth="1"/>
    <col min="12557" max="12557" width="1.36328125" style="558" customWidth="1"/>
    <col min="12558" max="12558" width="10.81640625" style="558" customWidth="1"/>
    <col min="12559" max="12559" width="1.36328125" style="558" customWidth="1"/>
    <col min="12560" max="12560" width="10" style="558" customWidth="1"/>
    <col min="12561" max="12561" width="1.36328125" style="558" customWidth="1"/>
    <col min="12562" max="12562" width="9.36328125" style="558" customWidth="1"/>
    <col min="12563" max="12563" width="1.36328125" style="558" customWidth="1"/>
    <col min="12564" max="12564" width="7.81640625" style="558" customWidth="1"/>
    <col min="12565" max="12565" width="1.36328125" style="558" customWidth="1"/>
    <col min="12566" max="12566" width="0.81640625" style="558" customWidth="1"/>
    <col min="12567" max="12567" width="9.36328125" style="558" customWidth="1"/>
    <col min="12568" max="12568" width="1.36328125" style="558" customWidth="1"/>
    <col min="12569" max="12569" width="0.90625" style="558" customWidth="1"/>
    <col min="12570" max="12570" width="9.54296875" style="558" bestFit="1" customWidth="1"/>
    <col min="12571" max="12572" width="0.6328125" style="558" customWidth="1"/>
    <col min="12573" max="12573" width="9.6328125" style="558" customWidth="1"/>
    <col min="12574" max="12574" width="1.08984375" style="558" customWidth="1"/>
    <col min="12575" max="12575" width="8.54296875" style="558" customWidth="1"/>
    <col min="12576" max="12576" width="14.54296875" style="558" customWidth="1"/>
    <col min="12577" max="12577" width="10" style="558" customWidth="1"/>
    <col min="12578" max="12578" width="7.81640625" style="558" bestFit="1" customWidth="1"/>
    <col min="12579" max="12579" width="9.90625" style="558" customWidth="1"/>
    <col min="12580" max="12796" width="8.90625" style="558"/>
    <col min="12797" max="12797" width="38.453125" style="558" customWidth="1"/>
    <col min="12798" max="12798" width="8.54296875" style="558" customWidth="1"/>
    <col min="12799" max="12799" width="1.36328125" style="558" customWidth="1"/>
    <col min="12800" max="12800" width="8.90625" style="558" customWidth="1"/>
    <col min="12801" max="12801" width="1.36328125" style="558" customWidth="1"/>
    <col min="12802" max="12802" width="9.36328125" style="558" customWidth="1"/>
    <col min="12803" max="12803" width="1.36328125" style="558" customWidth="1"/>
    <col min="12804" max="12804" width="10" style="558" customWidth="1"/>
    <col min="12805" max="12805" width="1.36328125" style="558" customWidth="1"/>
    <col min="12806" max="12806" width="9.08984375" style="558" customWidth="1"/>
    <col min="12807" max="12807" width="1.36328125" style="558" customWidth="1"/>
    <col min="12808" max="12808" width="11.36328125" style="558" customWidth="1"/>
    <col min="12809" max="12809" width="1.36328125" style="558" customWidth="1"/>
    <col min="12810" max="12810" width="9.08984375" style="558" customWidth="1"/>
    <col min="12811" max="12811" width="1.6328125" style="558" customWidth="1"/>
    <col min="12812" max="12812" width="11" style="558" customWidth="1"/>
    <col min="12813" max="12813" width="1.36328125" style="558" customWidth="1"/>
    <col min="12814" max="12814" width="10.81640625" style="558" customWidth="1"/>
    <col min="12815" max="12815" width="1.36328125" style="558" customWidth="1"/>
    <col min="12816" max="12816" width="10" style="558" customWidth="1"/>
    <col min="12817" max="12817" width="1.36328125" style="558" customWidth="1"/>
    <col min="12818" max="12818" width="9.36328125" style="558" customWidth="1"/>
    <col min="12819" max="12819" width="1.36328125" style="558" customWidth="1"/>
    <col min="12820" max="12820" width="7.81640625" style="558" customWidth="1"/>
    <col min="12821" max="12821" width="1.36328125" style="558" customWidth="1"/>
    <col min="12822" max="12822" width="0.81640625" style="558" customWidth="1"/>
    <col min="12823" max="12823" width="9.36328125" style="558" customWidth="1"/>
    <col min="12824" max="12824" width="1.36328125" style="558" customWidth="1"/>
    <col min="12825" max="12825" width="0.90625" style="558" customWidth="1"/>
    <col min="12826" max="12826" width="9.54296875" style="558" bestFit="1" customWidth="1"/>
    <col min="12827" max="12828" width="0.6328125" style="558" customWidth="1"/>
    <col min="12829" max="12829" width="9.6328125" style="558" customWidth="1"/>
    <col min="12830" max="12830" width="1.08984375" style="558" customWidth="1"/>
    <col min="12831" max="12831" width="8.54296875" style="558" customWidth="1"/>
    <col min="12832" max="12832" width="14.54296875" style="558" customWidth="1"/>
    <col min="12833" max="12833" width="10" style="558" customWidth="1"/>
    <col min="12834" max="12834" width="7.81640625" style="558" bestFit="1" customWidth="1"/>
    <col min="12835" max="12835" width="9.90625" style="558" customWidth="1"/>
    <col min="12836" max="13052" width="8.90625" style="558"/>
    <col min="13053" max="13053" width="38.453125" style="558" customWidth="1"/>
    <col min="13054" max="13054" width="8.54296875" style="558" customWidth="1"/>
    <col min="13055" max="13055" width="1.36328125" style="558" customWidth="1"/>
    <col min="13056" max="13056" width="8.90625" style="558" customWidth="1"/>
    <col min="13057" max="13057" width="1.36328125" style="558" customWidth="1"/>
    <col min="13058" max="13058" width="9.36328125" style="558" customWidth="1"/>
    <col min="13059" max="13059" width="1.36328125" style="558" customWidth="1"/>
    <col min="13060" max="13060" width="10" style="558" customWidth="1"/>
    <col min="13061" max="13061" width="1.36328125" style="558" customWidth="1"/>
    <col min="13062" max="13062" width="9.08984375" style="558" customWidth="1"/>
    <col min="13063" max="13063" width="1.36328125" style="558" customWidth="1"/>
    <col min="13064" max="13064" width="11.36328125" style="558" customWidth="1"/>
    <col min="13065" max="13065" width="1.36328125" style="558" customWidth="1"/>
    <col min="13066" max="13066" width="9.08984375" style="558" customWidth="1"/>
    <col min="13067" max="13067" width="1.6328125" style="558" customWidth="1"/>
    <col min="13068" max="13068" width="11" style="558" customWidth="1"/>
    <col min="13069" max="13069" width="1.36328125" style="558" customWidth="1"/>
    <col min="13070" max="13070" width="10.81640625" style="558" customWidth="1"/>
    <col min="13071" max="13071" width="1.36328125" style="558" customWidth="1"/>
    <col min="13072" max="13072" width="10" style="558" customWidth="1"/>
    <col min="13073" max="13073" width="1.36328125" style="558" customWidth="1"/>
    <col min="13074" max="13074" width="9.36328125" style="558" customWidth="1"/>
    <col min="13075" max="13075" width="1.36328125" style="558" customWidth="1"/>
    <col min="13076" max="13076" width="7.81640625" style="558" customWidth="1"/>
    <col min="13077" max="13077" width="1.36328125" style="558" customWidth="1"/>
    <col min="13078" max="13078" width="0.81640625" style="558" customWidth="1"/>
    <col min="13079" max="13079" width="9.36328125" style="558" customWidth="1"/>
    <col min="13080" max="13080" width="1.36328125" style="558" customWidth="1"/>
    <col min="13081" max="13081" width="0.90625" style="558" customWidth="1"/>
    <col min="13082" max="13082" width="9.54296875" style="558" bestFit="1" customWidth="1"/>
    <col min="13083" max="13084" width="0.6328125" style="558" customWidth="1"/>
    <col min="13085" max="13085" width="9.6328125" style="558" customWidth="1"/>
    <col min="13086" max="13086" width="1.08984375" style="558" customWidth="1"/>
    <col min="13087" max="13087" width="8.54296875" style="558" customWidth="1"/>
    <col min="13088" max="13088" width="14.54296875" style="558" customWidth="1"/>
    <col min="13089" max="13089" width="10" style="558" customWidth="1"/>
    <col min="13090" max="13090" width="7.81640625" style="558" bestFit="1" customWidth="1"/>
    <col min="13091" max="13091" width="9.90625" style="558" customWidth="1"/>
    <col min="13092" max="13308" width="8.90625" style="558"/>
    <col min="13309" max="13309" width="38.453125" style="558" customWidth="1"/>
    <col min="13310" max="13310" width="8.54296875" style="558" customWidth="1"/>
    <col min="13311" max="13311" width="1.36328125" style="558" customWidth="1"/>
    <col min="13312" max="13312" width="8.90625" style="558" customWidth="1"/>
    <col min="13313" max="13313" width="1.36328125" style="558" customWidth="1"/>
    <col min="13314" max="13314" width="9.36328125" style="558" customWidth="1"/>
    <col min="13315" max="13315" width="1.36328125" style="558" customWidth="1"/>
    <col min="13316" max="13316" width="10" style="558" customWidth="1"/>
    <col min="13317" max="13317" width="1.36328125" style="558" customWidth="1"/>
    <col min="13318" max="13318" width="9.08984375" style="558" customWidth="1"/>
    <col min="13319" max="13319" width="1.36328125" style="558" customWidth="1"/>
    <col min="13320" max="13320" width="11.36328125" style="558" customWidth="1"/>
    <col min="13321" max="13321" width="1.36328125" style="558" customWidth="1"/>
    <col min="13322" max="13322" width="9.08984375" style="558" customWidth="1"/>
    <col min="13323" max="13323" width="1.6328125" style="558" customWidth="1"/>
    <col min="13324" max="13324" width="11" style="558" customWidth="1"/>
    <col min="13325" max="13325" width="1.36328125" style="558" customWidth="1"/>
    <col min="13326" max="13326" width="10.81640625" style="558" customWidth="1"/>
    <col min="13327" max="13327" width="1.36328125" style="558" customWidth="1"/>
    <col min="13328" max="13328" width="10" style="558" customWidth="1"/>
    <col min="13329" max="13329" width="1.36328125" style="558" customWidth="1"/>
    <col min="13330" max="13330" width="9.36328125" style="558" customWidth="1"/>
    <col min="13331" max="13331" width="1.36328125" style="558" customWidth="1"/>
    <col min="13332" max="13332" width="7.81640625" style="558" customWidth="1"/>
    <col min="13333" max="13333" width="1.36328125" style="558" customWidth="1"/>
    <col min="13334" max="13334" width="0.81640625" style="558" customWidth="1"/>
    <col min="13335" max="13335" width="9.36328125" style="558" customWidth="1"/>
    <col min="13336" max="13336" width="1.36328125" style="558" customWidth="1"/>
    <col min="13337" max="13337" width="0.90625" style="558" customWidth="1"/>
    <col min="13338" max="13338" width="9.54296875" style="558" bestFit="1" customWidth="1"/>
    <col min="13339" max="13340" width="0.6328125" style="558" customWidth="1"/>
    <col min="13341" max="13341" width="9.6328125" style="558" customWidth="1"/>
    <col min="13342" max="13342" width="1.08984375" style="558" customWidth="1"/>
    <col min="13343" max="13343" width="8.54296875" style="558" customWidth="1"/>
    <col min="13344" max="13344" width="14.54296875" style="558" customWidth="1"/>
    <col min="13345" max="13345" width="10" style="558" customWidth="1"/>
    <col min="13346" max="13346" width="7.81640625" style="558" bestFit="1" customWidth="1"/>
    <col min="13347" max="13347" width="9.90625" style="558" customWidth="1"/>
    <col min="13348" max="13564" width="8.90625" style="558"/>
    <col min="13565" max="13565" width="38.453125" style="558" customWidth="1"/>
    <col min="13566" max="13566" width="8.54296875" style="558" customWidth="1"/>
    <col min="13567" max="13567" width="1.36328125" style="558" customWidth="1"/>
    <col min="13568" max="13568" width="8.90625" style="558" customWidth="1"/>
    <col min="13569" max="13569" width="1.36328125" style="558" customWidth="1"/>
    <col min="13570" max="13570" width="9.36328125" style="558" customWidth="1"/>
    <col min="13571" max="13571" width="1.36328125" style="558" customWidth="1"/>
    <col min="13572" max="13572" width="10" style="558" customWidth="1"/>
    <col min="13573" max="13573" width="1.36328125" style="558" customWidth="1"/>
    <col min="13574" max="13574" width="9.08984375" style="558" customWidth="1"/>
    <col min="13575" max="13575" width="1.36328125" style="558" customWidth="1"/>
    <col min="13576" max="13576" width="11.36328125" style="558" customWidth="1"/>
    <col min="13577" max="13577" width="1.36328125" style="558" customWidth="1"/>
    <col min="13578" max="13578" width="9.08984375" style="558" customWidth="1"/>
    <col min="13579" max="13579" width="1.6328125" style="558" customWidth="1"/>
    <col min="13580" max="13580" width="11" style="558" customWidth="1"/>
    <col min="13581" max="13581" width="1.36328125" style="558" customWidth="1"/>
    <col min="13582" max="13582" width="10.81640625" style="558" customWidth="1"/>
    <col min="13583" max="13583" width="1.36328125" style="558" customWidth="1"/>
    <col min="13584" max="13584" width="10" style="558" customWidth="1"/>
    <col min="13585" max="13585" width="1.36328125" style="558" customWidth="1"/>
    <col min="13586" max="13586" width="9.36328125" style="558" customWidth="1"/>
    <col min="13587" max="13587" width="1.36328125" style="558" customWidth="1"/>
    <col min="13588" max="13588" width="7.81640625" style="558" customWidth="1"/>
    <col min="13589" max="13589" width="1.36328125" style="558" customWidth="1"/>
    <col min="13590" max="13590" width="0.81640625" style="558" customWidth="1"/>
    <col min="13591" max="13591" width="9.36328125" style="558" customWidth="1"/>
    <col min="13592" max="13592" width="1.36328125" style="558" customWidth="1"/>
    <col min="13593" max="13593" width="0.90625" style="558" customWidth="1"/>
    <col min="13594" max="13594" width="9.54296875" style="558" bestFit="1" customWidth="1"/>
    <col min="13595" max="13596" width="0.6328125" style="558" customWidth="1"/>
    <col min="13597" max="13597" width="9.6328125" style="558" customWidth="1"/>
    <col min="13598" max="13598" width="1.08984375" style="558" customWidth="1"/>
    <col min="13599" max="13599" width="8.54296875" style="558" customWidth="1"/>
    <col min="13600" max="13600" width="14.54296875" style="558" customWidth="1"/>
    <col min="13601" max="13601" width="10" style="558" customWidth="1"/>
    <col min="13602" max="13602" width="7.81640625" style="558" bestFit="1" customWidth="1"/>
    <col min="13603" max="13603" width="9.90625" style="558" customWidth="1"/>
    <col min="13604" max="13820" width="8.90625" style="558"/>
    <col min="13821" max="13821" width="38.453125" style="558" customWidth="1"/>
    <col min="13822" max="13822" width="8.54296875" style="558" customWidth="1"/>
    <col min="13823" max="13823" width="1.36328125" style="558" customWidth="1"/>
    <col min="13824" max="13824" width="8.90625" style="558" customWidth="1"/>
    <col min="13825" max="13825" width="1.36328125" style="558" customWidth="1"/>
    <col min="13826" max="13826" width="9.36328125" style="558" customWidth="1"/>
    <col min="13827" max="13827" width="1.36328125" style="558" customWidth="1"/>
    <col min="13828" max="13828" width="10" style="558" customWidth="1"/>
    <col min="13829" max="13829" width="1.36328125" style="558" customWidth="1"/>
    <col min="13830" max="13830" width="9.08984375" style="558" customWidth="1"/>
    <col min="13831" max="13831" width="1.36328125" style="558" customWidth="1"/>
    <col min="13832" max="13832" width="11.36328125" style="558" customWidth="1"/>
    <col min="13833" max="13833" width="1.36328125" style="558" customWidth="1"/>
    <col min="13834" max="13834" width="9.08984375" style="558" customWidth="1"/>
    <col min="13835" max="13835" width="1.6328125" style="558" customWidth="1"/>
    <col min="13836" max="13836" width="11" style="558" customWidth="1"/>
    <col min="13837" max="13837" width="1.36328125" style="558" customWidth="1"/>
    <col min="13838" max="13838" width="10.81640625" style="558" customWidth="1"/>
    <col min="13839" max="13839" width="1.36328125" style="558" customWidth="1"/>
    <col min="13840" max="13840" width="10" style="558" customWidth="1"/>
    <col min="13841" max="13841" width="1.36328125" style="558" customWidth="1"/>
    <col min="13842" max="13842" width="9.36328125" style="558" customWidth="1"/>
    <col min="13843" max="13843" width="1.36328125" style="558" customWidth="1"/>
    <col min="13844" max="13844" width="7.81640625" style="558" customWidth="1"/>
    <col min="13845" max="13845" width="1.36328125" style="558" customWidth="1"/>
    <col min="13846" max="13846" width="0.81640625" style="558" customWidth="1"/>
    <col min="13847" max="13847" width="9.36328125" style="558" customWidth="1"/>
    <col min="13848" max="13848" width="1.36328125" style="558" customWidth="1"/>
    <col min="13849" max="13849" width="0.90625" style="558" customWidth="1"/>
    <col min="13850" max="13850" width="9.54296875" style="558" bestFit="1" customWidth="1"/>
    <col min="13851" max="13852" width="0.6328125" style="558" customWidth="1"/>
    <col min="13853" max="13853" width="9.6328125" style="558" customWidth="1"/>
    <col min="13854" max="13854" width="1.08984375" style="558" customWidth="1"/>
    <col min="13855" max="13855" width="8.54296875" style="558" customWidth="1"/>
    <col min="13856" max="13856" width="14.54296875" style="558" customWidth="1"/>
    <col min="13857" max="13857" width="10" style="558" customWidth="1"/>
    <col min="13858" max="13858" width="7.81640625" style="558" bestFit="1" customWidth="1"/>
    <col min="13859" max="13859" width="9.90625" style="558" customWidth="1"/>
    <col min="13860" max="14076" width="8.90625" style="558"/>
    <col min="14077" max="14077" width="38.453125" style="558" customWidth="1"/>
    <col min="14078" max="14078" width="8.54296875" style="558" customWidth="1"/>
    <col min="14079" max="14079" width="1.36328125" style="558" customWidth="1"/>
    <col min="14080" max="14080" width="8.90625" style="558" customWidth="1"/>
    <col min="14081" max="14081" width="1.36328125" style="558" customWidth="1"/>
    <col min="14082" max="14082" width="9.36328125" style="558" customWidth="1"/>
    <col min="14083" max="14083" width="1.36328125" style="558" customWidth="1"/>
    <col min="14084" max="14084" width="10" style="558" customWidth="1"/>
    <col min="14085" max="14085" width="1.36328125" style="558" customWidth="1"/>
    <col min="14086" max="14086" width="9.08984375" style="558" customWidth="1"/>
    <col min="14087" max="14087" width="1.36328125" style="558" customWidth="1"/>
    <col min="14088" max="14088" width="11.36328125" style="558" customWidth="1"/>
    <col min="14089" max="14089" width="1.36328125" style="558" customWidth="1"/>
    <col min="14090" max="14090" width="9.08984375" style="558" customWidth="1"/>
    <col min="14091" max="14091" width="1.6328125" style="558" customWidth="1"/>
    <col min="14092" max="14092" width="11" style="558" customWidth="1"/>
    <col min="14093" max="14093" width="1.36328125" style="558" customWidth="1"/>
    <col min="14094" max="14094" width="10.81640625" style="558" customWidth="1"/>
    <col min="14095" max="14095" width="1.36328125" style="558" customWidth="1"/>
    <col min="14096" max="14096" width="10" style="558" customWidth="1"/>
    <col min="14097" max="14097" width="1.36328125" style="558" customWidth="1"/>
    <col min="14098" max="14098" width="9.36328125" style="558" customWidth="1"/>
    <col min="14099" max="14099" width="1.36328125" style="558" customWidth="1"/>
    <col min="14100" max="14100" width="7.81640625" style="558" customWidth="1"/>
    <col min="14101" max="14101" width="1.36328125" style="558" customWidth="1"/>
    <col min="14102" max="14102" width="0.81640625" style="558" customWidth="1"/>
    <col min="14103" max="14103" width="9.36328125" style="558" customWidth="1"/>
    <col min="14104" max="14104" width="1.36328125" style="558" customWidth="1"/>
    <col min="14105" max="14105" width="0.90625" style="558" customWidth="1"/>
    <col min="14106" max="14106" width="9.54296875" style="558" bestFit="1" customWidth="1"/>
    <col min="14107" max="14108" width="0.6328125" style="558" customWidth="1"/>
    <col min="14109" max="14109" width="9.6328125" style="558" customWidth="1"/>
    <col min="14110" max="14110" width="1.08984375" style="558" customWidth="1"/>
    <col min="14111" max="14111" width="8.54296875" style="558" customWidth="1"/>
    <col min="14112" max="14112" width="14.54296875" style="558" customWidth="1"/>
    <col min="14113" max="14113" width="10" style="558" customWidth="1"/>
    <col min="14114" max="14114" width="7.81640625" style="558" bestFit="1" customWidth="1"/>
    <col min="14115" max="14115" width="9.90625" style="558" customWidth="1"/>
    <col min="14116" max="14332" width="8.90625" style="558"/>
    <col min="14333" max="14333" width="38.453125" style="558" customWidth="1"/>
    <col min="14334" max="14334" width="8.54296875" style="558" customWidth="1"/>
    <col min="14335" max="14335" width="1.36328125" style="558" customWidth="1"/>
    <col min="14336" max="14336" width="8.90625" style="558" customWidth="1"/>
    <col min="14337" max="14337" width="1.36328125" style="558" customWidth="1"/>
    <col min="14338" max="14338" width="9.36328125" style="558" customWidth="1"/>
    <col min="14339" max="14339" width="1.36328125" style="558" customWidth="1"/>
    <col min="14340" max="14340" width="10" style="558" customWidth="1"/>
    <col min="14341" max="14341" width="1.36328125" style="558" customWidth="1"/>
    <col min="14342" max="14342" width="9.08984375" style="558" customWidth="1"/>
    <col min="14343" max="14343" width="1.36328125" style="558" customWidth="1"/>
    <col min="14344" max="14344" width="11.36328125" style="558" customWidth="1"/>
    <col min="14345" max="14345" width="1.36328125" style="558" customWidth="1"/>
    <col min="14346" max="14346" width="9.08984375" style="558" customWidth="1"/>
    <col min="14347" max="14347" width="1.6328125" style="558" customWidth="1"/>
    <col min="14348" max="14348" width="11" style="558" customWidth="1"/>
    <col min="14349" max="14349" width="1.36328125" style="558" customWidth="1"/>
    <col min="14350" max="14350" width="10.81640625" style="558" customWidth="1"/>
    <col min="14351" max="14351" width="1.36328125" style="558" customWidth="1"/>
    <col min="14352" max="14352" width="10" style="558" customWidth="1"/>
    <col min="14353" max="14353" width="1.36328125" style="558" customWidth="1"/>
    <col min="14354" max="14354" width="9.36328125" style="558" customWidth="1"/>
    <col min="14355" max="14355" width="1.36328125" style="558" customWidth="1"/>
    <col min="14356" max="14356" width="7.81640625" style="558" customWidth="1"/>
    <col min="14357" max="14357" width="1.36328125" style="558" customWidth="1"/>
    <col min="14358" max="14358" width="0.81640625" style="558" customWidth="1"/>
    <col min="14359" max="14359" width="9.36328125" style="558" customWidth="1"/>
    <col min="14360" max="14360" width="1.36328125" style="558" customWidth="1"/>
    <col min="14361" max="14361" width="0.90625" style="558" customWidth="1"/>
    <col min="14362" max="14362" width="9.54296875" style="558" bestFit="1" customWidth="1"/>
    <col min="14363" max="14364" width="0.6328125" style="558" customWidth="1"/>
    <col min="14365" max="14365" width="9.6328125" style="558" customWidth="1"/>
    <col min="14366" max="14366" width="1.08984375" style="558" customWidth="1"/>
    <col min="14367" max="14367" width="8.54296875" style="558" customWidth="1"/>
    <col min="14368" max="14368" width="14.54296875" style="558" customWidth="1"/>
    <col min="14369" max="14369" width="10" style="558" customWidth="1"/>
    <col min="14370" max="14370" width="7.81640625" style="558" bestFit="1" customWidth="1"/>
    <col min="14371" max="14371" width="9.90625" style="558" customWidth="1"/>
    <col min="14372" max="14588" width="8.90625" style="558"/>
    <col min="14589" max="14589" width="38.453125" style="558" customWidth="1"/>
    <col min="14590" max="14590" width="8.54296875" style="558" customWidth="1"/>
    <col min="14591" max="14591" width="1.36328125" style="558" customWidth="1"/>
    <col min="14592" max="14592" width="8.90625" style="558" customWidth="1"/>
    <col min="14593" max="14593" width="1.36328125" style="558" customWidth="1"/>
    <col min="14594" max="14594" width="9.36328125" style="558" customWidth="1"/>
    <col min="14595" max="14595" width="1.36328125" style="558" customWidth="1"/>
    <col min="14596" max="14596" width="10" style="558" customWidth="1"/>
    <col min="14597" max="14597" width="1.36328125" style="558" customWidth="1"/>
    <col min="14598" max="14598" width="9.08984375" style="558" customWidth="1"/>
    <col min="14599" max="14599" width="1.36328125" style="558" customWidth="1"/>
    <col min="14600" max="14600" width="11.36328125" style="558" customWidth="1"/>
    <col min="14601" max="14601" width="1.36328125" style="558" customWidth="1"/>
    <col min="14602" max="14602" width="9.08984375" style="558" customWidth="1"/>
    <col min="14603" max="14603" width="1.6328125" style="558" customWidth="1"/>
    <col min="14604" max="14604" width="11" style="558" customWidth="1"/>
    <col min="14605" max="14605" width="1.36328125" style="558" customWidth="1"/>
    <col min="14606" max="14606" width="10.81640625" style="558" customWidth="1"/>
    <col min="14607" max="14607" width="1.36328125" style="558" customWidth="1"/>
    <col min="14608" max="14608" width="10" style="558" customWidth="1"/>
    <col min="14609" max="14609" width="1.36328125" style="558" customWidth="1"/>
    <col min="14610" max="14610" width="9.36328125" style="558" customWidth="1"/>
    <col min="14611" max="14611" width="1.36328125" style="558" customWidth="1"/>
    <col min="14612" max="14612" width="7.81640625" style="558" customWidth="1"/>
    <col min="14613" max="14613" width="1.36328125" style="558" customWidth="1"/>
    <col min="14614" max="14614" width="0.81640625" style="558" customWidth="1"/>
    <col min="14615" max="14615" width="9.36328125" style="558" customWidth="1"/>
    <col min="14616" max="14616" width="1.36328125" style="558" customWidth="1"/>
    <col min="14617" max="14617" width="0.90625" style="558" customWidth="1"/>
    <col min="14618" max="14618" width="9.54296875" style="558" bestFit="1" customWidth="1"/>
    <col min="14619" max="14620" width="0.6328125" style="558" customWidth="1"/>
    <col min="14621" max="14621" width="9.6328125" style="558" customWidth="1"/>
    <col min="14622" max="14622" width="1.08984375" style="558" customWidth="1"/>
    <col min="14623" max="14623" width="8.54296875" style="558" customWidth="1"/>
    <col min="14624" max="14624" width="14.54296875" style="558" customWidth="1"/>
    <col min="14625" max="14625" width="10" style="558" customWidth="1"/>
    <col min="14626" max="14626" width="7.81640625" style="558" bestFit="1" customWidth="1"/>
    <col min="14627" max="14627" width="9.90625" style="558" customWidth="1"/>
    <col min="14628" max="14844" width="8.90625" style="558"/>
    <col min="14845" max="14845" width="38.453125" style="558" customWidth="1"/>
    <col min="14846" max="14846" width="8.54296875" style="558" customWidth="1"/>
    <col min="14847" max="14847" width="1.36328125" style="558" customWidth="1"/>
    <col min="14848" max="14848" width="8.90625" style="558" customWidth="1"/>
    <col min="14849" max="14849" width="1.36328125" style="558" customWidth="1"/>
    <col min="14850" max="14850" width="9.36328125" style="558" customWidth="1"/>
    <col min="14851" max="14851" width="1.36328125" style="558" customWidth="1"/>
    <col min="14852" max="14852" width="10" style="558" customWidth="1"/>
    <col min="14853" max="14853" width="1.36328125" style="558" customWidth="1"/>
    <col min="14854" max="14854" width="9.08984375" style="558" customWidth="1"/>
    <col min="14855" max="14855" width="1.36328125" style="558" customWidth="1"/>
    <col min="14856" max="14856" width="11.36328125" style="558" customWidth="1"/>
    <col min="14857" max="14857" width="1.36328125" style="558" customWidth="1"/>
    <col min="14858" max="14858" width="9.08984375" style="558" customWidth="1"/>
    <col min="14859" max="14859" width="1.6328125" style="558" customWidth="1"/>
    <col min="14860" max="14860" width="11" style="558" customWidth="1"/>
    <col min="14861" max="14861" width="1.36328125" style="558" customWidth="1"/>
    <col min="14862" max="14862" width="10.81640625" style="558" customWidth="1"/>
    <col min="14863" max="14863" width="1.36328125" style="558" customWidth="1"/>
    <col min="14864" max="14864" width="10" style="558" customWidth="1"/>
    <col min="14865" max="14865" width="1.36328125" style="558" customWidth="1"/>
    <col min="14866" max="14866" width="9.36328125" style="558" customWidth="1"/>
    <col min="14867" max="14867" width="1.36328125" style="558" customWidth="1"/>
    <col min="14868" max="14868" width="7.81640625" style="558" customWidth="1"/>
    <col min="14869" max="14869" width="1.36328125" style="558" customWidth="1"/>
    <col min="14870" max="14870" width="0.81640625" style="558" customWidth="1"/>
    <col min="14871" max="14871" width="9.36328125" style="558" customWidth="1"/>
    <col min="14872" max="14872" width="1.36328125" style="558" customWidth="1"/>
    <col min="14873" max="14873" width="0.90625" style="558" customWidth="1"/>
    <col min="14874" max="14874" width="9.54296875" style="558" bestFit="1" customWidth="1"/>
    <col min="14875" max="14876" width="0.6328125" style="558" customWidth="1"/>
    <col min="14877" max="14877" width="9.6328125" style="558" customWidth="1"/>
    <col min="14878" max="14878" width="1.08984375" style="558" customWidth="1"/>
    <col min="14879" max="14879" width="8.54296875" style="558" customWidth="1"/>
    <col min="14880" max="14880" width="14.54296875" style="558" customWidth="1"/>
    <col min="14881" max="14881" width="10" style="558" customWidth="1"/>
    <col min="14882" max="14882" width="7.81640625" style="558" bestFit="1" customWidth="1"/>
    <col min="14883" max="14883" width="9.90625" style="558" customWidth="1"/>
    <col min="14884" max="15100" width="8.90625" style="558"/>
    <col min="15101" max="15101" width="38.453125" style="558" customWidth="1"/>
    <col min="15102" max="15102" width="8.54296875" style="558" customWidth="1"/>
    <col min="15103" max="15103" width="1.36328125" style="558" customWidth="1"/>
    <col min="15104" max="15104" width="8.90625" style="558" customWidth="1"/>
    <col min="15105" max="15105" width="1.36328125" style="558" customWidth="1"/>
    <col min="15106" max="15106" width="9.36328125" style="558" customWidth="1"/>
    <col min="15107" max="15107" width="1.36328125" style="558" customWidth="1"/>
    <col min="15108" max="15108" width="10" style="558" customWidth="1"/>
    <col min="15109" max="15109" width="1.36328125" style="558" customWidth="1"/>
    <col min="15110" max="15110" width="9.08984375" style="558" customWidth="1"/>
    <col min="15111" max="15111" width="1.36328125" style="558" customWidth="1"/>
    <col min="15112" max="15112" width="11.36328125" style="558" customWidth="1"/>
    <col min="15113" max="15113" width="1.36328125" style="558" customWidth="1"/>
    <col min="15114" max="15114" width="9.08984375" style="558" customWidth="1"/>
    <col min="15115" max="15115" width="1.6328125" style="558" customWidth="1"/>
    <col min="15116" max="15116" width="11" style="558" customWidth="1"/>
    <col min="15117" max="15117" width="1.36328125" style="558" customWidth="1"/>
    <col min="15118" max="15118" width="10.81640625" style="558" customWidth="1"/>
    <col min="15119" max="15119" width="1.36328125" style="558" customWidth="1"/>
    <col min="15120" max="15120" width="10" style="558" customWidth="1"/>
    <col min="15121" max="15121" width="1.36328125" style="558" customWidth="1"/>
    <col min="15122" max="15122" width="9.36328125" style="558" customWidth="1"/>
    <col min="15123" max="15123" width="1.36328125" style="558" customWidth="1"/>
    <col min="15124" max="15124" width="7.81640625" style="558" customWidth="1"/>
    <col min="15125" max="15125" width="1.36328125" style="558" customWidth="1"/>
    <col min="15126" max="15126" width="0.81640625" style="558" customWidth="1"/>
    <col min="15127" max="15127" width="9.36328125" style="558" customWidth="1"/>
    <col min="15128" max="15128" width="1.36328125" style="558" customWidth="1"/>
    <col min="15129" max="15129" width="0.90625" style="558" customWidth="1"/>
    <col min="15130" max="15130" width="9.54296875" style="558" bestFit="1" customWidth="1"/>
    <col min="15131" max="15132" width="0.6328125" style="558" customWidth="1"/>
    <col min="15133" max="15133" width="9.6328125" style="558" customWidth="1"/>
    <col min="15134" max="15134" width="1.08984375" style="558" customWidth="1"/>
    <col min="15135" max="15135" width="8.54296875" style="558" customWidth="1"/>
    <col min="15136" max="15136" width="14.54296875" style="558" customWidth="1"/>
    <col min="15137" max="15137" width="10" style="558" customWidth="1"/>
    <col min="15138" max="15138" width="7.81640625" style="558" bestFit="1" customWidth="1"/>
    <col min="15139" max="15139" width="9.90625" style="558" customWidth="1"/>
    <col min="15140" max="15356" width="8.90625" style="558"/>
    <col min="15357" max="15357" width="38.453125" style="558" customWidth="1"/>
    <col min="15358" max="15358" width="8.54296875" style="558" customWidth="1"/>
    <col min="15359" max="15359" width="1.36328125" style="558" customWidth="1"/>
    <col min="15360" max="15360" width="8.90625" style="558" customWidth="1"/>
    <col min="15361" max="15361" width="1.36328125" style="558" customWidth="1"/>
    <col min="15362" max="15362" width="9.36328125" style="558" customWidth="1"/>
    <col min="15363" max="15363" width="1.36328125" style="558" customWidth="1"/>
    <col min="15364" max="15364" width="10" style="558" customWidth="1"/>
    <col min="15365" max="15365" width="1.36328125" style="558" customWidth="1"/>
    <col min="15366" max="15366" width="9.08984375" style="558" customWidth="1"/>
    <col min="15367" max="15367" width="1.36328125" style="558" customWidth="1"/>
    <col min="15368" max="15368" width="11.36328125" style="558" customWidth="1"/>
    <col min="15369" max="15369" width="1.36328125" style="558" customWidth="1"/>
    <col min="15370" max="15370" width="9.08984375" style="558" customWidth="1"/>
    <col min="15371" max="15371" width="1.6328125" style="558" customWidth="1"/>
    <col min="15372" max="15372" width="11" style="558" customWidth="1"/>
    <col min="15373" max="15373" width="1.36328125" style="558" customWidth="1"/>
    <col min="15374" max="15374" width="10.81640625" style="558" customWidth="1"/>
    <col min="15375" max="15375" width="1.36328125" style="558" customWidth="1"/>
    <col min="15376" max="15376" width="10" style="558" customWidth="1"/>
    <col min="15377" max="15377" width="1.36328125" style="558" customWidth="1"/>
    <col min="15378" max="15378" width="9.36328125" style="558" customWidth="1"/>
    <col min="15379" max="15379" width="1.36328125" style="558" customWidth="1"/>
    <col min="15380" max="15380" width="7.81640625" style="558" customWidth="1"/>
    <col min="15381" max="15381" width="1.36328125" style="558" customWidth="1"/>
    <col min="15382" max="15382" width="0.81640625" style="558" customWidth="1"/>
    <col min="15383" max="15383" width="9.36328125" style="558" customWidth="1"/>
    <col min="15384" max="15384" width="1.36328125" style="558" customWidth="1"/>
    <col min="15385" max="15385" width="0.90625" style="558" customWidth="1"/>
    <col min="15386" max="15386" width="9.54296875" style="558" bestFit="1" customWidth="1"/>
    <col min="15387" max="15388" width="0.6328125" style="558" customWidth="1"/>
    <col min="15389" max="15389" width="9.6328125" style="558" customWidth="1"/>
    <col min="15390" max="15390" width="1.08984375" style="558" customWidth="1"/>
    <col min="15391" max="15391" width="8.54296875" style="558" customWidth="1"/>
    <col min="15392" max="15392" width="14.54296875" style="558" customWidth="1"/>
    <col min="15393" max="15393" width="10" style="558" customWidth="1"/>
    <col min="15394" max="15394" width="7.81640625" style="558" bestFit="1" customWidth="1"/>
    <col min="15395" max="15395" width="9.90625" style="558" customWidth="1"/>
    <col min="15396" max="15612" width="8.90625" style="558"/>
    <col min="15613" max="15613" width="38.453125" style="558" customWidth="1"/>
    <col min="15614" max="15614" width="8.54296875" style="558" customWidth="1"/>
    <col min="15615" max="15615" width="1.36328125" style="558" customWidth="1"/>
    <col min="15616" max="15616" width="8.90625" style="558" customWidth="1"/>
    <col min="15617" max="15617" width="1.36328125" style="558" customWidth="1"/>
    <col min="15618" max="15618" width="9.36328125" style="558" customWidth="1"/>
    <col min="15619" max="15619" width="1.36328125" style="558" customWidth="1"/>
    <col min="15620" max="15620" width="10" style="558" customWidth="1"/>
    <col min="15621" max="15621" width="1.36328125" style="558" customWidth="1"/>
    <col min="15622" max="15622" width="9.08984375" style="558" customWidth="1"/>
    <col min="15623" max="15623" width="1.36328125" style="558" customWidth="1"/>
    <col min="15624" max="15624" width="11.36328125" style="558" customWidth="1"/>
    <col min="15625" max="15625" width="1.36328125" style="558" customWidth="1"/>
    <col min="15626" max="15626" width="9.08984375" style="558" customWidth="1"/>
    <col min="15627" max="15627" width="1.6328125" style="558" customWidth="1"/>
    <col min="15628" max="15628" width="11" style="558" customWidth="1"/>
    <col min="15629" max="15629" width="1.36328125" style="558" customWidth="1"/>
    <col min="15630" max="15630" width="10.81640625" style="558" customWidth="1"/>
    <col min="15631" max="15631" width="1.36328125" style="558" customWidth="1"/>
    <col min="15632" max="15632" width="10" style="558" customWidth="1"/>
    <col min="15633" max="15633" width="1.36328125" style="558" customWidth="1"/>
    <col min="15634" max="15634" width="9.36328125" style="558" customWidth="1"/>
    <col min="15635" max="15635" width="1.36328125" style="558" customWidth="1"/>
    <col min="15636" max="15636" width="7.81640625" style="558" customWidth="1"/>
    <col min="15637" max="15637" width="1.36328125" style="558" customWidth="1"/>
    <col min="15638" max="15638" width="0.81640625" style="558" customWidth="1"/>
    <col min="15639" max="15639" width="9.36328125" style="558" customWidth="1"/>
    <col min="15640" max="15640" width="1.36328125" style="558" customWidth="1"/>
    <col min="15641" max="15641" width="0.90625" style="558" customWidth="1"/>
    <col min="15642" max="15642" width="9.54296875" style="558" bestFit="1" customWidth="1"/>
    <col min="15643" max="15644" width="0.6328125" style="558" customWidth="1"/>
    <col min="15645" max="15645" width="9.6328125" style="558" customWidth="1"/>
    <col min="15646" max="15646" width="1.08984375" style="558" customWidth="1"/>
    <col min="15647" max="15647" width="8.54296875" style="558" customWidth="1"/>
    <col min="15648" max="15648" width="14.54296875" style="558" customWidth="1"/>
    <col min="15649" max="15649" width="10" style="558" customWidth="1"/>
    <col min="15650" max="15650" width="7.81640625" style="558" bestFit="1" customWidth="1"/>
    <col min="15651" max="15651" width="9.90625" style="558" customWidth="1"/>
    <col min="15652" max="15868" width="8.90625" style="558"/>
    <col min="15869" max="15869" width="38.453125" style="558" customWidth="1"/>
    <col min="15870" max="15870" width="8.54296875" style="558" customWidth="1"/>
    <col min="15871" max="15871" width="1.36328125" style="558" customWidth="1"/>
    <col min="15872" max="15872" width="8.90625" style="558" customWidth="1"/>
    <col min="15873" max="15873" width="1.36328125" style="558" customWidth="1"/>
    <col min="15874" max="15874" width="9.36328125" style="558" customWidth="1"/>
    <col min="15875" max="15875" width="1.36328125" style="558" customWidth="1"/>
    <col min="15876" max="15876" width="10" style="558" customWidth="1"/>
    <col min="15877" max="15877" width="1.36328125" style="558" customWidth="1"/>
    <col min="15878" max="15878" width="9.08984375" style="558" customWidth="1"/>
    <col min="15879" max="15879" width="1.36328125" style="558" customWidth="1"/>
    <col min="15880" max="15880" width="11.36328125" style="558" customWidth="1"/>
    <col min="15881" max="15881" width="1.36328125" style="558" customWidth="1"/>
    <col min="15882" max="15882" width="9.08984375" style="558" customWidth="1"/>
    <col min="15883" max="15883" width="1.6328125" style="558" customWidth="1"/>
    <col min="15884" max="15884" width="11" style="558" customWidth="1"/>
    <col min="15885" max="15885" width="1.36328125" style="558" customWidth="1"/>
    <col min="15886" max="15886" width="10.81640625" style="558" customWidth="1"/>
    <col min="15887" max="15887" width="1.36328125" style="558" customWidth="1"/>
    <col min="15888" max="15888" width="10" style="558" customWidth="1"/>
    <col min="15889" max="15889" width="1.36328125" style="558" customWidth="1"/>
    <col min="15890" max="15890" width="9.36328125" style="558" customWidth="1"/>
    <col min="15891" max="15891" width="1.36328125" style="558" customWidth="1"/>
    <col min="15892" max="15892" width="7.81640625" style="558" customWidth="1"/>
    <col min="15893" max="15893" width="1.36328125" style="558" customWidth="1"/>
    <col min="15894" max="15894" width="0.81640625" style="558" customWidth="1"/>
    <col min="15895" max="15895" width="9.36328125" style="558" customWidth="1"/>
    <col min="15896" max="15896" width="1.36328125" style="558" customWidth="1"/>
    <col min="15897" max="15897" width="0.90625" style="558" customWidth="1"/>
    <col min="15898" max="15898" width="9.54296875" style="558" bestFit="1" customWidth="1"/>
    <col min="15899" max="15900" width="0.6328125" style="558" customWidth="1"/>
    <col min="15901" max="15901" width="9.6328125" style="558" customWidth="1"/>
    <col min="15902" max="15902" width="1.08984375" style="558" customWidth="1"/>
    <col min="15903" max="15903" width="8.54296875" style="558" customWidth="1"/>
    <col min="15904" max="15904" width="14.54296875" style="558" customWidth="1"/>
    <col min="15905" max="15905" width="10" style="558" customWidth="1"/>
    <col min="15906" max="15906" width="7.81640625" style="558" bestFit="1" customWidth="1"/>
    <col min="15907" max="15907" width="9.90625" style="558" customWidth="1"/>
    <col min="15908" max="16124" width="8.90625" style="558"/>
    <col min="16125" max="16125" width="38.453125" style="558" customWidth="1"/>
    <col min="16126" max="16126" width="8.54296875" style="558" customWidth="1"/>
    <col min="16127" max="16127" width="1.36328125" style="558" customWidth="1"/>
    <col min="16128" max="16128" width="8.90625" style="558" customWidth="1"/>
    <col min="16129" max="16129" width="1.36328125" style="558" customWidth="1"/>
    <col min="16130" max="16130" width="9.36328125" style="558" customWidth="1"/>
    <col min="16131" max="16131" width="1.36328125" style="558" customWidth="1"/>
    <col min="16132" max="16132" width="10" style="558" customWidth="1"/>
    <col min="16133" max="16133" width="1.36328125" style="558" customWidth="1"/>
    <col min="16134" max="16134" width="9.08984375" style="558" customWidth="1"/>
    <col min="16135" max="16135" width="1.36328125" style="558" customWidth="1"/>
    <col min="16136" max="16136" width="11.36328125" style="558" customWidth="1"/>
    <col min="16137" max="16137" width="1.36328125" style="558" customWidth="1"/>
    <col min="16138" max="16138" width="9.08984375" style="558" customWidth="1"/>
    <col min="16139" max="16139" width="1.6328125" style="558" customWidth="1"/>
    <col min="16140" max="16140" width="11" style="558" customWidth="1"/>
    <col min="16141" max="16141" width="1.36328125" style="558" customWidth="1"/>
    <col min="16142" max="16142" width="10.81640625" style="558" customWidth="1"/>
    <col min="16143" max="16143" width="1.36328125" style="558" customWidth="1"/>
    <col min="16144" max="16144" width="10" style="558" customWidth="1"/>
    <col min="16145" max="16145" width="1.36328125" style="558" customWidth="1"/>
    <col min="16146" max="16146" width="9.36328125" style="558" customWidth="1"/>
    <col min="16147" max="16147" width="1.36328125" style="558" customWidth="1"/>
    <col min="16148" max="16148" width="7.81640625" style="558" customWidth="1"/>
    <col min="16149" max="16149" width="1.36328125" style="558" customWidth="1"/>
    <col min="16150" max="16150" width="0.81640625" style="558" customWidth="1"/>
    <col min="16151" max="16151" width="9.36328125" style="558" customWidth="1"/>
    <col min="16152" max="16152" width="1.36328125" style="558" customWidth="1"/>
    <col min="16153" max="16153" width="0.90625" style="558" customWidth="1"/>
    <col min="16154" max="16154" width="9.54296875" style="558" bestFit="1" customWidth="1"/>
    <col min="16155" max="16156" width="0.6328125" style="558" customWidth="1"/>
    <col min="16157" max="16157" width="9.6328125" style="558" customWidth="1"/>
    <col min="16158" max="16158" width="1.08984375" style="558" customWidth="1"/>
    <col min="16159" max="16159" width="8.54296875" style="558" customWidth="1"/>
    <col min="16160" max="16160" width="14.54296875" style="558" customWidth="1"/>
    <col min="16161" max="16161" width="10" style="558" customWidth="1"/>
    <col min="16162" max="16162" width="7.81640625" style="558" bestFit="1" customWidth="1"/>
    <col min="16163" max="16163" width="9.90625" style="558" customWidth="1"/>
    <col min="16164" max="16384" width="8.90625" style="558"/>
  </cols>
  <sheetData>
    <row r="1" spans="1:36" ht="15">
      <c r="A1" s="1184" t="s">
        <v>1217</v>
      </c>
    </row>
    <row r="2" spans="1:36" ht="10.5" customHeight="1">
      <c r="A2" s="556"/>
      <c r="B2" s="556"/>
      <c r="C2" s="556"/>
      <c r="D2" s="556"/>
      <c r="E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row>
    <row r="3" spans="1:36" ht="17.399999999999999">
      <c r="A3" s="559" t="s">
        <v>0</v>
      </c>
      <c r="B3" s="556"/>
      <c r="C3" s="556"/>
      <c r="D3" s="556"/>
      <c r="E3" s="556"/>
      <c r="G3" s="556"/>
      <c r="H3" s="556"/>
      <c r="I3" s="556"/>
      <c r="J3" s="556"/>
      <c r="K3" s="556"/>
      <c r="L3" s="556"/>
      <c r="M3" s="556"/>
      <c r="N3" s="556"/>
      <c r="O3" s="556"/>
      <c r="P3" s="556"/>
      <c r="Q3" s="556"/>
      <c r="R3" s="556"/>
      <c r="S3" s="556"/>
      <c r="T3" s="556"/>
      <c r="U3" s="556"/>
      <c r="V3" s="556"/>
      <c r="W3" s="556"/>
      <c r="X3" s="556"/>
      <c r="Y3" s="556"/>
      <c r="Z3" s="556"/>
      <c r="AA3" s="556"/>
      <c r="AB3" s="556"/>
      <c r="AC3" s="556"/>
      <c r="AD3" s="556"/>
      <c r="AE3" s="556"/>
      <c r="AF3" s="556"/>
      <c r="AG3" s="556"/>
      <c r="AI3" s="2388" t="s">
        <v>1437</v>
      </c>
    </row>
    <row r="4" spans="1:36" ht="17.399999999999999">
      <c r="A4" s="561" t="s">
        <v>191</v>
      </c>
      <c r="B4" s="556"/>
      <c r="C4" s="556"/>
      <c r="D4" s="556"/>
      <c r="E4" s="556"/>
      <c r="G4" s="556"/>
      <c r="H4" s="556"/>
      <c r="I4" s="556"/>
      <c r="J4" s="556"/>
      <c r="K4" s="556"/>
      <c r="L4" s="556"/>
      <c r="M4" s="556"/>
      <c r="N4" s="556"/>
      <c r="O4" s="556"/>
      <c r="P4" s="556"/>
      <c r="Q4" s="556"/>
      <c r="R4" s="556"/>
      <c r="S4" s="556"/>
      <c r="T4" s="556"/>
      <c r="U4" s="556"/>
      <c r="V4" s="556"/>
      <c r="W4" s="556"/>
      <c r="X4" s="556"/>
      <c r="Y4" s="556"/>
      <c r="Z4" s="556"/>
      <c r="AC4" s="556"/>
      <c r="AD4" s="556"/>
      <c r="AE4" s="556"/>
      <c r="AF4" s="556"/>
    </row>
    <row r="5" spans="1:36" ht="17.399999999999999">
      <c r="A5" s="561" t="s">
        <v>153</v>
      </c>
      <c r="B5" s="556"/>
      <c r="C5" s="556"/>
      <c r="D5" s="556"/>
      <c r="E5" s="556"/>
      <c r="G5" s="556"/>
      <c r="H5" s="556"/>
      <c r="I5" s="556"/>
      <c r="J5" s="556"/>
      <c r="K5" s="556"/>
      <c r="L5" s="556"/>
      <c r="M5" s="556"/>
      <c r="N5" s="556"/>
      <c r="O5" s="556"/>
      <c r="P5" s="556"/>
      <c r="Q5" s="556"/>
      <c r="R5" s="556"/>
      <c r="S5" s="556"/>
      <c r="T5" s="556"/>
      <c r="U5" s="556"/>
      <c r="V5" s="556"/>
      <c r="W5" s="556"/>
      <c r="X5" s="556"/>
      <c r="Y5" s="556"/>
      <c r="Z5" s="556"/>
      <c r="AA5" s="556"/>
      <c r="AB5" s="3576"/>
      <c r="AC5" s="3577"/>
      <c r="AD5" s="3577"/>
      <c r="AE5" s="560"/>
      <c r="AF5" s="560"/>
      <c r="AG5" s="560"/>
      <c r="AH5" s="560"/>
      <c r="AI5" s="560"/>
      <c r="AJ5" s="1027"/>
    </row>
    <row r="6" spans="1:36" ht="17.399999999999999">
      <c r="A6" s="559" t="s">
        <v>1528</v>
      </c>
      <c r="B6" s="556"/>
      <c r="C6" s="556"/>
      <c r="D6" s="556"/>
      <c r="E6" s="556"/>
      <c r="G6" s="556"/>
      <c r="H6" s="556"/>
      <c r="I6" s="556"/>
      <c r="J6" s="556"/>
      <c r="K6" s="556"/>
      <c r="L6" s="556"/>
      <c r="M6" s="556"/>
      <c r="N6" s="556"/>
      <c r="O6" s="556"/>
      <c r="P6" s="556"/>
      <c r="Q6" s="556"/>
      <c r="R6" s="556"/>
      <c r="S6" s="556"/>
      <c r="T6" s="556"/>
      <c r="U6" s="556"/>
      <c r="V6" s="556"/>
      <c r="W6" s="556"/>
      <c r="X6" s="556"/>
      <c r="Y6" s="556"/>
      <c r="Z6" s="556"/>
      <c r="AA6" s="556"/>
      <c r="AB6" s="556"/>
      <c r="AC6" s="556"/>
      <c r="AD6" s="556"/>
      <c r="AE6" s="556"/>
      <c r="AF6" s="556"/>
      <c r="AG6" s="556"/>
    </row>
    <row r="7" spans="1:36" ht="17.399999999999999">
      <c r="A7" s="561" t="s">
        <v>1103</v>
      </c>
      <c r="B7" s="556"/>
      <c r="C7" s="556"/>
      <c r="D7" s="556"/>
      <c r="E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row>
    <row r="8" spans="1:36" ht="15.6">
      <c r="A8" s="556"/>
      <c r="B8" s="556"/>
      <c r="C8" s="556"/>
      <c r="D8" s="556"/>
      <c r="E8" s="556"/>
      <c r="G8" s="556"/>
      <c r="H8" s="556"/>
      <c r="I8" s="556"/>
      <c r="J8" s="556"/>
      <c r="K8" s="556"/>
      <c r="L8" s="556"/>
      <c r="M8" s="556"/>
      <c r="N8" s="556"/>
      <c r="O8" s="556"/>
      <c r="P8" s="556"/>
      <c r="Q8" s="556"/>
      <c r="R8" s="556"/>
      <c r="S8" s="556"/>
      <c r="T8" s="556"/>
      <c r="U8" s="556"/>
      <c r="V8" s="556"/>
      <c r="W8" s="556"/>
      <c r="X8" s="556"/>
      <c r="Y8" s="556"/>
      <c r="Z8" s="556"/>
      <c r="AA8" s="3578" t="s">
        <v>1664</v>
      </c>
      <c r="AB8" s="3579"/>
      <c r="AC8" s="3579"/>
      <c r="AD8" s="3579"/>
      <c r="AE8" s="3579"/>
      <c r="AF8" s="3579"/>
      <c r="AG8" s="3579"/>
      <c r="AH8" s="3579"/>
      <c r="AI8" s="3579"/>
    </row>
    <row r="9" spans="1:36" ht="15.6">
      <c r="A9" s="556"/>
      <c r="B9" s="1529">
        <v>2015</v>
      </c>
      <c r="C9" s="589"/>
      <c r="D9" s="589"/>
      <c r="E9" s="589"/>
      <c r="F9" s="1530"/>
      <c r="G9" s="589"/>
      <c r="H9" s="589"/>
      <c r="I9" s="589"/>
      <c r="J9" s="589"/>
      <c r="K9" s="589"/>
      <c r="L9" s="589"/>
      <c r="M9" s="589"/>
      <c r="N9" s="589"/>
      <c r="O9" s="589"/>
      <c r="P9" s="589"/>
      <c r="Q9" s="589"/>
      <c r="R9" s="589"/>
      <c r="S9" s="589"/>
      <c r="T9" s="1529">
        <v>2016</v>
      </c>
      <c r="U9" s="589"/>
      <c r="V9" s="589"/>
      <c r="W9" s="589"/>
      <c r="X9" s="564"/>
      <c r="Y9" s="589"/>
      <c r="Z9" s="589"/>
      <c r="AA9" s="589"/>
      <c r="AB9" s="589"/>
      <c r="AC9" s="589"/>
      <c r="AD9" s="589"/>
      <c r="AE9" s="1531"/>
      <c r="AF9" s="589"/>
      <c r="AG9" s="1532" t="s">
        <v>8</v>
      </c>
      <c r="AH9" s="1533"/>
      <c r="AI9" s="1534" t="s">
        <v>9</v>
      </c>
      <c r="AJ9" s="1027"/>
    </row>
    <row r="10" spans="1:36" ht="15.6">
      <c r="A10" s="556"/>
      <c r="B10" s="1496" t="s">
        <v>129</v>
      </c>
      <c r="C10" s="589"/>
      <c r="D10" s="1496" t="s">
        <v>130</v>
      </c>
      <c r="E10" s="564"/>
      <c r="F10" s="1535" t="s">
        <v>131</v>
      </c>
      <c r="G10" s="564"/>
      <c r="H10" s="1496" t="s">
        <v>132</v>
      </c>
      <c r="I10" s="564"/>
      <c r="J10" s="1496" t="s">
        <v>133</v>
      </c>
      <c r="K10" s="564"/>
      <c r="L10" s="1495" t="s">
        <v>148</v>
      </c>
      <c r="M10" s="564"/>
      <c r="N10" s="1496" t="s">
        <v>149</v>
      </c>
      <c r="O10" s="564"/>
      <c r="P10" s="1496" t="s">
        <v>136</v>
      </c>
      <c r="Q10" s="564"/>
      <c r="R10" s="1496" t="s">
        <v>137</v>
      </c>
      <c r="S10" s="589"/>
      <c r="T10" s="1496" t="s">
        <v>138</v>
      </c>
      <c r="U10" s="564"/>
      <c r="V10" s="1496" t="s">
        <v>139</v>
      </c>
      <c r="W10" s="564"/>
      <c r="X10" s="1496" t="s">
        <v>192</v>
      </c>
      <c r="Y10" s="564"/>
      <c r="Z10" s="564"/>
      <c r="AA10" s="1536">
        <v>2015</v>
      </c>
      <c r="AB10" s="564"/>
      <c r="AC10" s="564"/>
      <c r="AD10" s="1536">
        <v>2014</v>
      </c>
      <c r="AE10" s="1537"/>
      <c r="AF10" s="1537"/>
      <c r="AG10" s="1538" t="s">
        <v>13</v>
      </c>
      <c r="AH10" s="1539"/>
      <c r="AI10" s="1538" t="s">
        <v>14</v>
      </c>
      <c r="AJ10" s="1027"/>
    </row>
    <row r="11" spans="1:36" ht="3" customHeight="1">
      <c r="A11" s="556"/>
      <c r="B11" s="568"/>
      <c r="C11" s="562"/>
      <c r="D11" s="568"/>
      <c r="E11" s="566"/>
      <c r="F11" s="569"/>
      <c r="G11" s="566"/>
      <c r="H11" s="568"/>
      <c r="I11" s="566"/>
      <c r="J11" s="568"/>
      <c r="K11" s="566"/>
      <c r="L11" s="570"/>
      <c r="M11" s="566"/>
      <c r="N11" s="568"/>
      <c r="O11" s="566"/>
      <c r="P11" s="568"/>
      <c r="Q11" s="566"/>
      <c r="R11" s="568"/>
      <c r="S11" s="562"/>
      <c r="T11" s="571"/>
      <c r="U11" s="566"/>
      <c r="V11" s="568"/>
      <c r="W11" s="566"/>
      <c r="X11" s="568"/>
      <c r="Y11" s="566"/>
      <c r="Z11" s="566"/>
      <c r="AA11" s="567"/>
      <c r="AB11" s="566"/>
      <c r="AC11" s="566"/>
      <c r="AD11" s="567"/>
      <c r="AE11" s="567"/>
      <c r="AF11" s="572"/>
      <c r="AG11" s="567"/>
      <c r="AH11" s="573"/>
      <c r="AI11" s="574"/>
    </row>
    <row r="12" spans="1:36" ht="15.6">
      <c r="A12" s="575" t="s">
        <v>193</v>
      </c>
      <c r="B12" s="576">
        <v>118.7</v>
      </c>
      <c r="C12" s="576"/>
      <c r="D12" s="577">
        <f>B73</f>
        <v>414.6</v>
      </c>
      <c r="E12" s="576"/>
      <c r="F12" s="577">
        <f>D73</f>
        <v>452</v>
      </c>
      <c r="G12" s="576"/>
      <c r="H12" s="577">
        <f>F73</f>
        <v>215.8</v>
      </c>
      <c r="I12" s="576"/>
      <c r="J12" s="577">
        <f>H73</f>
        <v>687.5</v>
      </c>
      <c r="K12" s="576"/>
      <c r="L12" s="577">
        <f>J73</f>
        <v>929.9</v>
      </c>
      <c r="M12" s="576"/>
      <c r="N12" s="577">
        <f>L73</f>
        <v>332.6</v>
      </c>
      <c r="O12" s="576"/>
      <c r="P12" s="577">
        <f>N73</f>
        <v>615.4</v>
      </c>
      <c r="Q12" s="576"/>
      <c r="R12" s="577">
        <f>P73</f>
        <v>710.5</v>
      </c>
      <c r="S12" s="576"/>
      <c r="T12" s="577"/>
      <c r="U12" s="576"/>
      <c r="V12" s="577"/>
      <c r="W12" s="576"/>
      <c r="X12" s="578"/>
      <c r="Y12" s="579"/>
      <c r="Z12" s="576"/>
      <c r="AA12" s="576">
        <v>118.7</v>
      </c>
      <c r="AB12" s="579"/>
      <c r="AC12" s="576"/>
      <c r="AD12" s="3158">
        <v>65.099999999999994</v>
      </c>
      <c r="AE12" s="580"/>
      <c r="AF12" s="581"/>
      <c r="AG12" s="582">
        <f>ROUND(SUM(AA12-AD12),1)</f>
        <v>53.6</v>
      </c>
      <c r="AH12" s="583"/>
      <c r="AI12" s="584">
        <f>ROUND(SUM(AG12/AD12),3)</f>
        <v>0.82299999999999995</v>
      </c>
      <c r="AJ12" s="1027"/>
    </row>
    <row r="13" spans="1:36" ht="12.75" customHeight="1">
      <c r="A13" s="562"/>
      <c r="B13" s="562"/>
      <c r="C13" s="562"/>
      <c r="D13" s="562"/>
      <c r="E13" s="562"/>
      <c r="F13" s="563"/>
      <c r="G13" s="562"/>
      <c r="H13" s="562"/>
      <c r="I13" s="562"/>
      <c r="J13" s="562"/>
      <c r="K13" s="562"/>
      <c r="L13" s="562"/>
      <c r="M13" s="562"/>
      <c r="N13" s="562"/>
      <c r="O13" s="562"/>
      <c r="P13" s="562"/>
      <c r="Q13" s="562"/>
      <c r="R13" s="562"/>
      <c r="S13" s="562"/>
      <c r="T13" s="562"/>
      <c r="U13" s="562"/>
      <c r="V13" s="562"/>
      <c r="W13" s="562"/>
      <c r="X13" s="562"/>
      <c r="Y13" s="585"/>
      <c r="Z13" s="562"/>
      <c r="AA13" s="563"/>
      <c r="AB13" s="586"/>
      <c r="AC13" s="563"/>
      <c r="AD13" s="3156"/>
      <c r="AE13" s="567"/>
      <c r="AF13" s="587"/>
      <c r="AG13" s="588"/>
      <c r="AH13" s="573"/>
      <c r="AI13" s="574"/>
    </row>
    <row r="14" spans="1:36" ht="14.25" customHeight="1">
      <c r="A14" s="589" t="s">
        <v>15</v>
      </c>
      <c r="B14" s="562"/>
      <c r="C14" s="562"/>
      <c r="D14" s="562"/>
      <c r="E14" s="562"/>
      <c r="F14" s="563"/>
      <c r="G14" s="562"/>
      <c r="H14" s="562"/>
      <c r="I14" s="562"/>
      <c r="J14" s="562"/>
      <c r="K14" s="562"/>
      <c r="L14" s="562"/>
      <c r="M14" s="562"/>
      <c r="N14" s="562"/>
      <c r="O14" s="562"/>
      <c r="P14" s="562"/>
      <c r="Q14" s="562"/>
      <c r="R14" s="562"/>
      <c r="S14" s="562"/>
      <c r="T14" s="562"/>
      <c r="U14" s="562"/>
      <c r="V14" s="562"/>
      <c r="W14" s="562"/>
      <c r="X14" s="562"/>
      <c r="Y14" s="585"/>
      <c r="Z14" s="562"/>
      <c r="AA14" s="563"/>
      <c r="AB14" s="586"/>
      <c r="AC14" s="563"/>
      <c r="AD14" s="3156"/>
      <c r="AE14" s="567"/>
      <c r="AF14" s="587"/>
      <c r="AG14" s="588"/>
      <c r="AH14" s="573"/>
      <c r="AI14" s="574"/>
    </row>
    <row r="15" spans="1:36" ht="14.25" customHeight="1">
      <c r="A15" s="490" t="s">
        <v>1359</v>
      </c>
      <c r="B15" s="430"/>
      <c r="C15" s="430"/>
      <c r="D15" s="430"/>
      <c r="E15" s="989"/>
      <c r="F15" s="430"/>
      <c r="G15" s="989"/>
      <c r="H15" s="562"/>
      <c r="I15" s="562"/>
      <c r="J15" s="562"/>
      <c r="K15" s="562"/>
      <c r="L15" s="562"/>
      <c r="M15" s="562"/>
      <c r="N15" s="562"/>
      <c r="O15" s="562"/>
      <c r="P15" s="562"/>
      <c r="Q15" s="562"/>
      <c r="R15" s="562"/>
      <c r="S15" s="562"/>
      <c r="T15" s="562"/>
      <c r="U15" s="562"/>
      <c r="V15" s="562"/>
      <c r="W15" s="562"/>
      <c r="X15" s="562"/>
      <c r="Y15" s="2078"/>
      <c r="Z15" s="562"/>
      <c r="AA15" s="563"/>
      <c r="AB15" s="2079"/>
      <c r="AC15" s="563"/>
      <c r="AD15" s="3153"/>
      <c r="AE15" s="567"/>
      <c r="AF15" s="587"/>
      <c r="AG15" s="588"/>
      <c r="AH15" s="573"/>
      <c r="AI15" s="574"/>
    </row>
    <row r="16" spans="1:36" ht="14.25" customHeight="1">
      <c r="A16" s="2385" t="s">
        <v>1364</v>
      </c>
      <c r="B16" s="1202">
        <v>1679.6</v>
      </c>
      <c r="C16" s="1136"/>
      <c r="D16" s="1202">
        <v>580.20000000000005</v>
      </c>
      <c r="E16" s="1136"/>
      <c r="F16" s="1202">
        <v>1201.2</v>
      </c>
      <c r="G16" s="223"/>
      <c r="H16" s="1202">
        <v>680.5</v>
      </c>
      <c r="I16" s="562"/>
      <c r="J16" s="1202">
        <v>636.20000000000005</v>
      </c>
      <c r="K16" s="562"/>
      <c r="L16" s="1202">
        <v>1280.7</v>
      </c>
      <c r="M16" s="562"/>
      <c r="N16" s="1202">
        <v>612.70000000000005</v>
      </c>
      <c r="O16" s="562"/>
      <c r="P16" s="1202">
        <v>585.1</v>
      </c>
      <c r="Q16" s="562"/>
      <c r="R16" s="1202">
        <v>1248.9000000000001</v>
      </c>
      <c r="S16" s="562"/>
      <c r="T16" s="1202"/>
      <c r="U16" s="562"/>
      <c r="V16" s="1202"/>
      <c r="W16" s="562"/>
      <c r="X16" s="1202"/>
      <c r="Y16" s="2078"/>
      <c r="Z16" s="562"/>
      <c r="AA16" s="319">
        <f>ROUND(SUM(B16:X16),1)</f>
        <v>8505.1</v>
      </c>
      <c r="AB16" s="2079"/>
      <c r="AC16" s="563"/>
      <c r="AD16" s="3166">
        <v>7543.5</v>
      </c>
      <c r="AE16" s="567"/>
      <c r="AF16" s="587"/>
      <c r="AG16" s="597">
        <f>ROUND(SUM(AA16-AD16),1)</f>
        <v>961.6</v>
      </c>
      <c r="AH16" s="573"/>
      <c r="AI16" s="2802">
        <f>ROUND(IF(AD16=0,0,AG16/ABS(AD16)),3)</f>
        <v>0.127</v>
      </c>
    </row>
    <row r="17" spans="1:35" ht="6" customHeight="1">
      <c r="A17" s="2385"/>
      <c r="B17" s="1202"/>
      <c r="C17" s="1136"/>
      <c r="D17" s="1202"/>
      <c r="E17" s="1136"/>
      <c r="F17" s="1202"/>
      <c r="G17" s="223"/>
      <c r="H17" s="1202"/>
      <c r="I17" s="562"/>
      <c r="J17" s="1202"/>
      <c r="K17" s="562"/>
      <c r="L17" s="1202"/>
      <c r="M17" s="562"/>
      <c r="N17" s="1202"/>
      <c r="O17" s="562"/>
      <c r="P17" s="1202"/>
      <c r="Q17" s="562"/>
      <c r="R17" s="1202"/>
      <c r="S17" s="562"/>
      <c r="T17" s="1202"/>
      <c r="U17" s="562"/>
      <c r="V17" s="1202"/>
      <c r="W17" s="562"/>
      <c r="X17" s="1202"/>
      <c r="Y17" s="2699"/>
      <c r="Z17" s="562"/>
      <c r="AA17" s="319"/>
      <c r="AB17" s="2702"/>
      <c r="AC17" s="563"/>
      <c r="AD17" s="3166"/>
      <c r="AE17" s="567"/>
      <c r="AF17" s="587"/>
      <c r="AG17" s="597"/>
      <c r="AH17" s="573"/>
      <c r="AI17" s="2802"/>
    </row>
    <row r="18" spans="1:35" ht="14.25" customHeight="1">
      <c r="A18" s="2076" t="s">
        <v>1430</v>
      </c>
      <c r="B18" s="273"/>
      <c r="C18" s="261"/>
      <c r="D18" s="273"/>
      <c r="E18" s="261"/>
      <c r="F18" s="273"/>
      <c r="G18" s="261"/>
      <c r="H18" s="273"/>
      <c r="I18" s="562"/>
      <c r="J18" s="273"/>
      <c r="K18" s="562"/>
      <c r="L18" s="273"/>
      <c r="M18" s="562"/>
      <c r="N18" s="273"/>
      <c r="O18" s="562"/>
      <c r="P18" s="273"/>
      <c r="Q18" s="562"/>
      <c r="R18" s="273"/>
      <c r="S18" s="562"/>
      <c r="T18" s="273"/>
      <c r="U18" s="562"/>
      <c r="V18" s="273"/>
      <c r="W18" s="562"/>
      <c r="X18" s="273"/>
      <c r="Y18" s="2078"/>
      <c r="Z18" s="562"/>
      <c r="AA18" s="316"/>
      <c r="AB18" s="2079"/>
      <c r="AC18" s="563"/>
      <c r="AD18" s="3152"/>
      <c r="AE18" s="567"/>
      <c r="AF18" s="587"/>
      <c r="AG18" s="588"/>
      <c r="AH18" s="573"/>
      <c r="AI18" s="2839"/>
    </row>
    <row r="19" spans="1:35" ht="14.25" customHeight="1">
      <c r="A19" s="1270" t="s">
        <v>1379</v>
      </c>
      <c r="B19" s="1136">
        <v>479.9</v>
      </c>
      <c r="C19" s="1136"/>
      <c r="D19" s="1136">
        <v>465.4</v>
      </c>
      <c r="E19" s="1136"/>
      <c r="F19" s="1136">
        <v>639.70000000000005</v>
      </c>
      <c r="G19" s="261"/>
      <c r="H19" s="1136">
        <v>496.8</v>
      </c>
      <c r="I19" s="562"/>
      <c r="J19" s="1136">
        <v>483.6</v>
      </c>
      <c r="K19" s="562"/>
      <c r="L19" s="1136">
        <v>640.6</v>
      </c>
      <c r="M19" s="562"/>
      <c r="N19" s="1136">
        <v>436.6</v>
      </c>
      <c r="O19" s="562"/>
      <c r="P19" s="1136">
        <v>482.3</v>
      </c>
      <c r="Q19" s="562"/>
      <c r="R19" s="1136">
        <v>594.4</v>
      </c>
      <c r="S19" s="562"/>
      <c r="T19" s="1136"/>
      <c r="U19" s="562"/>
      <c r="V19" s="1136"/>
      <c r="W19" s="562"/>
      <c r="X19" s="1136"/>
      <c r="Y19" s="2078"/>
      <c r="Z19" s="562"/>
      <c r="AA19" s="319">
        <f>ROUND(SUM(B19:X19),1)</f>
        <v>4719.3</v>
      </c>
      <c r="AB19" s="2079"/>
      <c r="AC19" s="563"/>
      <c r="AD19" s="3150">
        <v>4595</v>
      </c>
      <c r="AE19" s="567"/>
      <c r="AF19" s="587"/>
      <c r="AG19" s="597">
        <f>ROUND(SUM(AA19-AD19),1)</f>
        <v>124.3</v>
      </c>
      <c r="AH19" s="573"/>
      <c r="AI19" s="2802">
        <f>ROUND(IF(AD19=0,0,AG19/ABS(AD19)),3)</f>
        <v>2.7E-2</v>
      </c>
    </row>
    <row r="20" spans="1:35" ht="14.25" customHeight="1">
      <c r="A20" s="589" t="s">
        <v>1378</v>
      </c>
      <c r="B20" s="1283">
        <f>ROUND(SUM(B19:B19),1)</f>
        <v>479.9</v>
      </c>
      <c r="C20" s="1886"/>
      <c r="D20" s="1283">
        <f>ROUND(SUM(D19:D19),1)</f>
        <v>465.4</v>
      </c>
      <c r="E20" s="1886"/>
      <c r="F20" s="1283">
        <f>ROUND(SUM(F19:F19),1)</f>
        <v>639.70000000000005</v>
      </c>
      <c r="G20" s="1886"/>
      <c r="H20" s="1283">
        <f>ROUND(SUM(H19:H19),1)</f>
        <v>496.8</v>
      </c>
      <c r="I20" s="562"/>
      <c r="J20" s="1283">
        <f>ROUND(SUM(J19:J19),1)</f>
        <v>483.6</v>
      </c>
      <c r="K20" s="562"/>
      <c r="L20" s="1283">
        <f>ROUND(SUM(L19:L19),1)</f>
        <v>640.6</v>
      </c>
      <c r="M20" s="562"/>
      <c r="N20" s="1283">
        <f>ROUND(SUM(N19:N19),1)</f>
        <v>436.6</v>
      </c>
      <c r="O20" s="562"/>
      <c r="P20" s="1283">
        <f>ROUND(SUM(P19:P19),1)</f>
        <v>482.3</v>
      </c>
      <c r="Q20" s="562"/>
      <c r="R20" s="1283">
        <f>ROUND(SUM(R19:R19),1)</f>
        <v>594.4</v>
      </c>
      <c r="S20" s="562"/>
      <c r="T20" s="1283">
        <f>ROUND(SUM(T19:T19),1)</f>
        <v>0</v>
      </c>
      <c r="U20" s="562"/>
      <c r="V20" s="1283">
        <f>ROUND(SUM(V19:V19),1)</f>
        <v>0</v>
      </c>
      <c r="W20" s="562"/>
      <c r="X20" s="1283">
        <f>ROUND(SUM(X19:X19),1)</f>
        <v>0</v>
      </c>
      <c r="Y20" s="2078"/>
      <c r="Z20" s="562"/>
      <c r="AA20" s="1283">
        <f>ROUND(SUM(AA19:AA19),1)</f>
        <v>4719.3</v>
      </c>
      <c r="AB20" s="2079"/>
      <c r="AC20" s="563"/>
      <c r="AD20" s="3167">
        <f>ROUND(SUM(AD19:AD19),1)</f>
        <v>4595</v>
      </c>
      <c r="AE20" s="567"/>
      <c r="AF20" s="587"/>
      <c r="AG20" s="2242">
        <f>ROUND(SUM(AA20-AD20),1)</f>
        <v>124.3</v>
      </c>
      <c r="AH20" s="583"/>
      <c r="AI20" s="2821">
        <f>ROUND(IF(AD20=0,0,AG20/ABS(AD20)),3)</f>
        <v>2.7E-2</v>
      </c>
    </row>
    <row r="21" spans="1:35" ht="14.25" customHeight="1">
      <c r="A21" s="2076" t="s">
        <v>1432</v>
      </c>
      <c r="B21" s="273"/>
      <c r="C21" s="1886"/>
      <c r="D21" s="273"/>
      <c r="E21" s="1886"/>
      <c r="F21" s="273"/>
      <c r="G21" s="1886"/>
      <c r="H21" s="273"/>
      <c r="I21" s="562"/>
      <c r="J21" s="273"/>
      <c r="K21" s="562"/>
      <c r="L21" s="273"/>
      <c r="M21" s="562"/>
      <c r="N21" s="273"/>
      <c r="O21" s="562"/>
      <c r="P21" s="273"/>
      <c r="Q21" s="562"/>
      <c r="R21" s="273"/>
      <c r="S21" s="562"/>
      <c r="T21" s="273"/>
      <c r="U21" s="562"/>
      <c r="V21" s="273"/>
      <c r="W21" s="562"/>
      <c r="X21" s="273"/>
      <c r="Y21" s="2078"/>
      <c r="Z21" s="562"/>
      <c r="AA21" s="316"/>
      <c r="AB21" s="2079"/>
      <c r="AC21" s="563"/>
      <c r="AD21" s="3152"/>
      <c r="AE21" s="567"/>
      <c r="AF21" s="587"/>
      <c r="AG21" s="588"/>
      <c r="AH21" s="573"/>
      <c r="AI21" s="2839"/>
    </row>
    <row r="22" spans="1:35" ht="14.25" customHeight="1">
      <c r="A22" s="1270" t="s">
        <v>1397</v>
      </c>
      <c r="B22" s="1202">
        <v>86.3</v>
      </c>
      <c r="C22" s="1136"/>
      <c r="D22" s="1202">
        <v>97</v>
      </c>
      <c r="E22" s="1136"/>
      <c r="F22" s="1202">
        <v>81.900000000000006</v>
      </c>
      <c r="G22" s="1886"/>
      <c r="H22" s="1202">
        <v>81.7</v>
      </c>
      <c r="I22" s="562"/>
      <c r="J22" s="1202">
        <v>87.1</v>
      </c>
      <c r="K22" s="562"/>
      <c r="L22" s="1202">
        <v>101</v>
      </c>
      <c r="M22" s="562"/>
      <c r="N22" s="1202">
        <v>95.2</v>
      </c>
      <c r="O22" s="562"/>
      <c r="P22" s="1202">
        <v>68.5</v>
      </c>
      <c r="Q22" s="562"/>
      <c r="R22" s="1202">
        <v>84.3</v>
      </c>
      <c r="S22" s="562"/>
      <c r="T22" s="1202"/>
      <c r="U22" s="562"/>
      <c r="V22" s="1202"/>
      <c r="W22" s="562"/>
      <c r="X22" s="1202"/>
      <c r="Y22" s="2078"/>
      <c r="Z22" s="562"/>
      <c r="AA22" s="319">
        <f>ROUND(SUM(B22:X22),1)</f>
        <v>783</v>
      </c>
      <c r="AB22" s="2079"/>
      <c r="AC22" s="563"/>
      <c r="AD22" s="3166">
        <v>692.6</v>
      </c>
      <c r="AE22" s="567"/>
      <c r="AF22" s="587"/>
      <c r="AG22" s="597">
        <f>ROUND(SUM(AA22-AD22),1)</f>
        <v>90.4</v>
      </c>
      <c r="AH22" s="573"/>
      <c r="AI22" s="2802">
        <f>ROUND(IF(AD22=0,0,AG22/ABS(AD22)),3)</f>
        <v>0.13100000000000001</v>
      </c>
    </row>
    <row r="23" spans="1:35" ht="14.25" customHeight="1">
      <c r="A23" s="589" t="s">
        <v>1392</v>
      </c>
      <c r="B23" s="2352">
        <f>ROUND(SUM(B22:B22),1)</f>
        <v>86.3</v>
      </c>
      <c r="C23" s="1886"/>
      <c r="D23" s="484">
        <f>ROUND(SUM(D22:D22),1)</f>
        <v>97</v>
      </c>
      <c r="E23" s="1886"/>
      <c r="F23" s="484">
        <f>ROUND(SUM(F22:F22),1)</f>
        <v>81.900000000000006</v>
      </c>
      <c r="G23" s="1886"/>
      <c r="H23" s="484">
        <f>ROUND(SUM(H22:H22),1)</f>
        <v>81.7</v>
      </c>
      <c r="I23" s="562"/>
      <c r="J23" s="484">
        <f>ROUND(SUM(J22:J22),1)</f>
        <v>87.1</v>
      </c>
      <c r="K23" s="562"/>
      <c r="L23" s="484">
        <f>ROUND(SUM(L22:L22),1)</f>
        <v>101</v>
      </c>
      <c r="M23" s="562"/>
      <c r="N23" s="484">
        <f>ROUND(SUM(N22:N22),1)</f>
        <v>95.2</v>
      </c>
      <c r="O23" s="562"/>
      <c r="P23" s="484">
        <f>ROUND(SUM(P22:P22),1)</f>
        <v>68.5</v>
      </c>
      <c r="Q23" s="562"/>
      <c r="R23" s="484">
        <f>ROUND(SUM(R22:R22),1)</f>
        <v>84.3</v>
      </c>
      <c r="S23" s="562"/>
      <c r="T23" s="484">
        <f>ROUND(SUM(T22:T22),1)</f>
        <v>0</v>
      </c>
      <c r="U23" s="562"/>
      <c r="V23" s="484">
        <f>ROUND(SUM(V22:V22),1)</f>
        <v>0</v>
      </c>
      <c r="W23" s="562"/>
      <c r="X23" s="484">
        <f>ROUND(SUM(X22:X22),1)</f>
        <v>0</v>
      </c>
      <c r="Y23" s="2078"/>
      <c r="Z23" s="562"/>
      <c r="AA23" s="1283">
        <f>SUM(AA22:AA22)</f>
        <v>783</v>
      </c>
      <c r="AB23" s="2079"/>
      <c r="AC23" s="563"/>
      <c r="AD23" s="3167">
        <f>SUM(AD22:AD22)</f>
        <v>692.6</v>
      </c>
      <c r="AE23" s="567"/>
      <c r="AF23" s="587"/>
      <c r="AG23" s="2354">
        <f>ROUND(SUM(AA23-AD23),1)</f>
        <v>90.4</v>
      </c>
      <c r="AH23" s="583"/>
      <c r="AI23" s="2840">
        <f>ROUND(IF(AD23=0,0,AG23/ABS(AD23)),3)</f>
        <v>0.13100000000000001</v>
      </c>
    </row>
    <row r="24" spans="1:35" ht="14.25" customHeight="1">
      <c r="A24" s="589"/>
      <c r="B24" s="2352"/>
      <c r="C24" s="1886"/>
      <c r="D24" s="273"/>
      <c r="E24" s="1886"/>
      <c r="F24" s="273"/>
      <c r="G24" s="273"/>
      <c r="H24" s="273"/>
      <c r="I24" s="565"/>
      <c r="J24" s="273"/>
      <c r="K24" s="565"/>
      <c r="L24" s="273"/>
      <c r="M24" s="565"/>
      <c r="N24" s="273"/>
      <c r="O24" s="565"/>
      <c r="P24" s="273"/>
      <c r="Q24" s="565"/>
      <c r="R24" s="273"/>
      <c r="S24" s="565"/>
      <c r="T24" s="273"/>
      <c r="U24" s="565"/>
      <c r="V24" s="273"/>
      <c r="W24" s="565"/>
      <c r="X24" s="273"/>
      <c r="Y24" s="2078"/>
      <c r="Z24" s="562"/>
      <c r="AA24" s="316"/>
      <c r="AB24" s="2079"/>
      <c r="AC24" s="563"/>
      <c r="AD24" s="3169"/>
      <c r="AE24" s="567"/>
      <c r="AF24" s="587"/>
      <c r="AG24" s="588"/>
      <c r="AH24" s="573"/>
      <c r="AI24" s="2841"/>
    </row>
    <row r="25" spans="1:35" ht="14.25" customHeight="1">
      <c r="A25" s="589" t="s">
        <v>1393</v>
      </c>
      <c r="B25" s="616">
        <f>ROUND(SUM(B16+B20+B23),1)</f>
        <v>2245.8000000000002</v>
      </c>
      <c r="C25" s="261"/>
      <c r="D25" s="616">
        <f>ROUND(SUM(D16+D20+D23),1)</f>
        <v>1142.5999999999999</v>
      </c>
      <c r="E25" s="261"/>
      <c r="F25" s="616">
        <f>ROUND(SUM(F16+F20+F23),1)</f>
        <v>1922.8</v>
      </c>
      <c r="G25" s="261"/>
      <c r="H25" s="616">
        <f>ROUND(SUM(H16+H20+H23),1)</f>
        <v>1259</v>
      </c>
      <c r="I25" s="562"/>
      <c r="J25" s="616">
        <f>ROUND(SUM(J16+J20+J23),1)</f>
        <v>1206.9000000000001</v>
      </c>
      <c r="K25" s="562"/>
      <c r="L25" s="616">
        <f>ROUND(SUM(L16+L20+L23),1)</f>
        <v>2022.3</v>
      </c>
      <c r="M25" s="562"/>
      <c r="N25" s="616">
        <f>ROUND(SUM(N16+N20+N23),1)</f>
        <v>1144.5</v>
      </c>
      <c r="O25" s="562"/>
      <c r="P25" s="616">
        <f>ROUND(SUM(P16+P20+P23),1)</f>
        <v>1135.9000000000001</v>
      </c>
      <c r="Q25" s="562"/>
      <c r="R25" s="616">
        <f>ROUND(SUM(R16+R20+R23),1)</f>
        <v>1927.6</v>
      </c>
      <c r="S25" s="562"/>
      <c r="T25" s="616">
        <f>ROUND(SUM(T16+T20+T23),1)</f>
        <v>0</v>
      </c>
      <c r="U25" s="562"/>
      <c r="V25" s="616">
        <f>ROUND(SUM(V16+V20+V23),1)</f>
        <v>0</v>
      </c>
      <c r="W25" s="562"/>
      <c r="X25" s="616">
        <f>ROUND(SUM(X16+X20+X23),1)</f>
        <v>0</v>
      </c>
      <c r="Y25" s="2078"/>
      <c r="Z25" s="562"/>
      <c r="AA25" s="616">
        <f>ROUND(SUM(AA16+AA20+AA23),1)</f>
        <v>14007.4</v>
      </c>
      <c r="AB25" s="2079"/>
      <c r="AC25" s="563"/>
      <c r="AD25" s="616">
        <f>ROUND(SUM(AD16+AD20+AD23),1)</f>
        <v>12831.1</v>
      </c>
      <c r="AE25" s="567"/>
      <c r="AF25" s="587"/>
      <c r="AG25" s="616">
        <f>ROUND(SUM(AG16+AG20+AG23),1)</f>
        <v>1176.3</v>
      </c>
      <c r="AH25" s="583"/>
      <c r="AI25" s="2842">
        <f>ROUND(IF(AD25=0,0,AG25/ABS(AD25)),3)</f>
        <v>9.1999999999999998E-2</v>
      </c>
    </row>
    <row r="26" spans="1:35" ht="14.25" customHeight="1">
      <c r="A26" s="490"/>
      <c r="B26" s="261"/>
      <c r="C26" s="261"/>
      <c r="D26" s="261"/>
      <c r="E26" s="261"/>
      <c r="F26" s="261"/>
      <c r="G26" s="261"/>
      <c r="H26" s="261"/>
      <c r="I26" s="562"/>
      <c r="J26" s="261"/>
      <c r="K26" s="562"/>
      <c r="L26" s="261"/>
      <c r="M26" s="562"/>
      <c r="N26" s="261"/>
      <c r="O26" s="562"/>
      <c r="P26" s="261"/>
      <c r="Q26" s="562"/>
      <c r="R26" s="261"/>
      <c r="S26" s="562"/>
      <c r="T26" s="261"/>
      <c r="U26" s="562"/>
      <c r="V26" s="261"/>
      <c r="W26" s="562"/>
      <c r="X26" s="261"/>
      <c r="Y26" s="2078"/>
      <c r="Z26" s="562"/>
      <c r="AA26" s="563"/>
      <c r="AB26" s="2079"/>
      <c r="AC26" s="563"/>
      <c r="AD26" s="3151"/>
      <c r="AE26" s="567"/>
      <c r="AF26" s="587"/>
      <c r="AG26" s="588"/>
      <c r="AH26" s="573"/>
      <c r="AI26" s="2839"/>
    </row>
    <row r="27" spans="1:35" ht="14.25" customHeight="1">
      <c r="A27" s="490" t="s">
        <v>1294</v>
      </c>
      <c r="B27" s="599"/>
      <c r="C27" s="592"/>
      <c r="D27" s="592"/>
      <c r="E27" s="592"/>
      <c r="F27" s="592"/>
      <c r="G27" s="592"/>
      <c r="H27" s="592"/>
      <c r="I27" s="592"/>
      <c r="J27" s="592"/>
      <c r="K27" s="592"/>
      <c r="L27" s="592"/>
      <c r="M27" s="592"/>
      <c r="N27" s="592"/>
      <c r="O27" s="592"/>
      <c r="P27" s="592"/>
      <c r="Q27" s="592"/>
      <c r="R27" s="592"/>
      <c r="S27" s="592"/>
      <c r="T27" s="592"/>
      <c r="U27" s="592"/>
      <c r="V27" s="592"/>
      <c r="W27" s="592"/>
      <c r="X27" s="592"/>
      <c r="Y27" s="1981"/>
      <c r="Z27" s="592"/>
      <c r="AA27" s="591"/>
      <c r="AB27" s="1981"/>
      <c r="AC27" s="592"/>
      <c r="AD27" s="3161"/>
      <c r="AE27" s="595"/>
      <c r="AF27" s="596"/>
      <c r="AG27" s="597"/>
      <c r="AH27" s="573"/>
      <c r="AI27" s="2843"/>
    </row>
    <row r="28" spans="1:35" ht="14.25" customHeight="1">
      <c r="A28" s="1830" t="s">
        <v>1423</v>
      </c>
      <c r="B28" s="599"/>
      <c r="C28" s="592"/>
      <c r="D28" s="592"/>
      <c r="E28" s="592"/>
      <c r="F28" s="592"/>
      <c r="G28" s="592"/>
      <c r="H28" s="592"/>
      <c r="I28" s="592"/>
      <c r="J28" s="592"/>
      <c r="K28" s="592"/>
      <c r="L28" s="592"/>
      <c r="M28" s="592"/>
      <c r="N28" s="592"/>
      <c r="O28" s="592"/>
      <c r="P28" s="592"/>
      <c r="Q28" s="592"/>
      <c r="R28" s="592"/>
      <c r="S28" s="592"/>
      <c r="T28" s="592"/>
      <c r="U28" s="592"/>
      <c r="V28" s="592"/>
      <c r="W28" s="592"/>
      <c r="X28" s="592"/>
      <c r="Y28" s="2891"/>
      <c r="Z28" s="592"/>
      <c r="AA28" s="591"/>
      <c r="AB28" s="2891"/>
      <c r="AC28" s="592"/>
      <c r="AD28" s="3161"/>
      <c r="AE28" s="595"/>
      <c r="AF28" s="596"/>
      <c r="AG28" s="597"/>
      <c r="AH28" s="573"/>
      <c r="AI28" s="2843"/>
    </row>
    <row r="29" spans="1:35" ht="14.25" customHeight="1">
      <c r="A29" s="1830" t="s">
        <v>1298</v>
      </c>
      <c r="B29" s="599">
        <v>0</v>
      </c>
      <c r="C29" s="592"/>
      <c r="D29" s="592">
        <v>0</v>
      </c>
      <c r="E29" s="592"/>
      <c r="F29" s="592">
        <v>0</v>
      </c>
      <c r="G29" s="592"/>
      <c r="H29" s="592">
        <v>0</v>
      </c>
      <c r="I29" s="592"/>
      <c r="J29" s="592">
        <v>0</v>
      </c>
      <c r="K29" s="592"/>
      <c r="L29" s="592">
        <v>0</v>
      </c>
      <c r="M29" s="592"/>
      <c r="N29" s="592">
        <v>0</v>
      </c>
      <c r="O29" s="592"/>
      <c r="P29" s="592">
        <v>0</v>
      </c>
      <c r="Q29" s="592"/>
      <c r="R29" s="592">
        <v>0</v>
      </c>
      <c r="S29" s="592"/>
      <c r="T29" s="592"/>
      <c r="U29" s="592"/>
      <c r="V29" s="592"/>
      <c r="W29" s="592"/>
      <c r="X29" s="592"/>
      <c r="Y29" s="2891"/>
      <c r="Z29" s="592"/>
      <c r="AA29" s="591">
        <f t="shared" ref="AA29:AA36" si="0">ROUND(SUM(B29:X29),1)</f>
        <v>0</v>
      </c>
      <c r="AB29" s="2891"/>
      <c r="AC29" s="592"/>
      <c r="AD29" s="3161">
        <v>0.4</v>
      </c>
      <c r="AE29" s="595"/>
      <c r="AF29" s="596"/>
      <c r="AG29" s="597">
        <f>ROUND(SUM(AA29-AD29),1)</f>
        <v>-0.4</v>
      </c>
      <c r="AH29" s="573"/>
      <c r="AI29" s="2802">
        <f>ROUND(IF(AD29=0,0,AG29/ABS(AD29)),3)</f>
        <v>-1</v>
      </c>
    </row>
    <row r="30" spans="1:35" ht="14.25" customHeight="1">
      <c r="A30" s="1830" t="s">
        <v>1428</v>
      </c>
      <c r="B30" s="599"/>
      <c r="C30" s="592"/>
      <c r="D30" s="592"/>
      <c r="E30" s="592"/>
      <c r="F30" s="592"/>
      <c r="G30" s="592"/>
      <c r="H30" s="592"/>
      <c r="I30" s="592"/>
      <c r="J30" s="592"/>
      <c r="K30" s="592"/>
      <c r="L30" s="592"/>
      <c r="M30" s="592"/>
      <c r="N30" s="592"/>
      <c r="O30" s="592"/>
      <c r="P30" s="592"/>
      <c r="Q30" s="592"/>
      <c r="R30" s="592"/>
      <c r="S30" s="592"/>
      <c r="T30" s="592"/>
      <c r="U30" s="592"/>
      <c r="V30" s="592"/>
      <c r="W30" s="592"/>
      <c r="X30" s="592"/>
      <c r="Y30" s="2697"/>
      <c r="Z30" s="592"/>
      <c r="AA30" s="591"/>
      <c r="AB30" s="2697"/>
      <c r="AC30" s="592"/>
      <c r="AD30" s="3161"/>
      <c r="AE30" s="595"/>
      <c r="AF30" s="596"/>
      <c r="AG30" s="597"/>
      <c r="AH30" s="573"/>
      <c r="AI30" s="2843"/>
    </row>
    <row r="31" spans="1:35" ht="14.25" customHeight="1">
      <c r="A31" s="1830" t="s">
        <v>1301</v>
      </c>
      <c r="B31" s="599">
        <v>0</v>
      </c>
      <c r="C31" s="592"/>
      <c r="D31" s="599">
        <v>0</v>
      </c>
      <c r="E31" s="592"/>
      <c r="F31" s="599">
        <v>0</v>
      </c>
      <c r="G31" s="592"/>
      <c r="H31" s="599">
        <v>0</v>
      </c>
      <c r="I31" s="592"/>
      <c r="J31" s="599">
        <v>0</v>
      </c>
      <c r="K31" s="592"/>
      <c r="L31" s="599">
        <v>0</v>
      </c>
      <c r="M31" s="592"/>
      <c r="N31" s="599">
        <v>0</v>
      </c>
      <c r="O31" s="592"/>
      <c r="P31" s="599">
        <v>0</v>
      </c>
      <c r="Q31" s="592"/>
      <c r="R31" s="599">
        <v>0</v>
      </c>
      <c r="S31" s="592"/>
      <c r="T31" s="599"/>
      <c r="U31" s="592"/>
      <c r="V31" s="599"/>
      <c r="W31" s="592"/>
      <c r="X31" s="599"/>
      <c r="Y31" s="2697"/>
      <c r="Z31" s="592"/>
      <c r="AA31" s="591">
        <f t="shared" si="0"/>
        <v>0</v>
      </c>
      <c r="AB31" s="2697"/>
      <c r="AC31" s="592"/>
      <c r="AD31" s="3161">
        <v>0</v>
      </c>
      <c r="AE31" s="595"/>
      <c r="AF31" s="596"/>
      <c r="AG31" s="597">
        <f t="shared" ref="AG31:AG39" si="1">ROUND(SUM(AA31-AD31),1)</f>
        <v>0</v>
      </c>
      <c r="AH31" s="573"/>
      <c r="AI31" s="2802">
        <f t="shared" ref="AI31:AI39" si="2">ROUND(IF(AD31=0,0,AG31/ABS(AD31)),3)</f>
        <v>0</v>
      </c>
    </row>
    <row r="32" spans="1:35" ht="14.25" customHeight="1">
      <c r="A32" s="1830" t="s">
        <v>1302</v>
      </c>
      <c r="B32" s="599">
        <v>0</v>
      </c>
      <c r="C32" s="592"/>
      <c r="D32" s="599">
        <v>0</v>
      </c>
      <c r="E32" s="592"/>
      <c r="F32" s="599">
        <v>0</v>
      </c>
      <c r="G32" s="592"/>
      <c r="H32" s="599">
        <v>0</v>
      </c>
      <c r="I32" s="592"/>
      <c r="J32" s="599">
        <v>0</v>
      </c>
      <c r="K32" s="592"/>
      <c r="L32" s="599">
        <v>0</v>
      </c>
      <c r="M32" s="592"/>
      <c r="N32" s="599">
        <v>0</v>
      </c>
      <c r="O32" s="592"/>
      <c r="P32" s="599">
        <v>0</v>
      </c>
      <c r="Q32" s="592"/>
      <c r="R32" s="599">
        <v>0</v>
      </c>
      <c r="S32" s="592"/>
      <c r="T32" s="599"/>
      <c r="U32" s="592"/>
      <c r="V32" s="599"/>
      <c r="W32" s="592"/>
      <c r="X32" s="599"/>
      <c r="Y32" s="2697"/>
      <c r="Z32" s="592"/>
      <c r="AA32" s="591">
        <f t="shared" si="0"/>
        <v>0</v>
      </c>
      <c r="AB32" s="2697"/>
      <c r="AC32" s="592"/>
      <c r="AD32" s="3161">
        <v>0</v>
      </c>
      <c r="AE32" s="595"/>
      <c r="AF32" s="596"/>
      <c r="AG32" s="597">
        <f t="shared" si="1"/>
        <v>0</v>
      </c>
      <c r="AH32" s="573"/>
      <c r="AI32" s="2802">
        <f t="shared" si="2"/>
        <v>0</v>
      </c>
    </row>
    <row r="33" spans="1:36" ht="14.25" customHeight="1">
      <c r="A33" s="1830" t="s">
        <v>1303</v>
      </c>
      <c r="B33" s="599">
        <v>0</v>
      </c>
      <c r="C33" s="592"/>
      <c r="D33" s="599">
        <v>0</v>
      </c>
      <c r="E33" s="592"/>
      <c r="F33" s="599">
        <v>0</v>
      </c>
      <c r="G33" s="592"/>
      <c r="H33" s="599">
        <v>0</v>
      </c>
      <c r="I33" s="592"/>
      <c r="J33" s="599">
        <v>0</v>
      </c>
      <c r="K33" s="592"/>
      <c r="L33" s="599">
        <v>0</v>
      </c>
      <c r="M33" s="592"/>
      <c r="N33" s="599">
        <v>0</v>
      </c>
      <c r="O33" s="592"/>
      <c r="P33" s="599">
        <v>0</v>
      </c>
      <c r="Q33" s="592"/>
      <c r="R33" s="599">
        <v>0</v>
      </c>
      <c r="S33" s="592"/>
      <c r="T33" s="599"/>
      <c r="U33" s="592"/>
      <c r="V33" s="599"/>
      <c r="W33" s="592"/>
      <c r="X33" s="599"/>
      <c r="Y33" s="2697"/>
      <c r="Z33" s="592"/>
      <c r="AA33" s="591">
        <f t="shared" si="0"/>
        <v>0</v>
      </c>
      <c r="AB33" s="2697"/>
      <c r="AC33" s="592"/>
      <c r="AD33" s="3161">
        <v>0</v>
      </c>
      <c r="AE33" s="595"/>
      <c r="AF33" s="596"/>
      <c r="AG33" s="597">
        <f t="shared" si="1"/>
        <v>0</v>
      </c>
      <c r="AH33" s="573"/>
      <c r="AI33" s="2802">
        <f t="shared" si="2"/>
        <v>0</v>
      </c>
    </row>
    <row r="34" spans="1:36" ht="14.25" customHeight="1">
      <c r="A34" s="1830" t="s">
        <v>1304</v>
      </c>
      <c r="B34" s="599">
        <v>0</v>
      </c>
      <c r="C34" s="592"/>
      <c r="D34" s="599">
        <v>0</v>
      </c>
      <c r="E34" s="592"/>
      <c r="F34" s="599">
        <v>0</v>
      </c>
      <c r="G34" s="592"/>
      <c r="H34" s="599">
        <v>0</v>
      </c>
      <c r="I34" s="592"/>
      <c r="J34" s="599">
        <v>0</v>
      </c>
      <c r="K34" s="592"/>
      <c r="L34" s="599">
        <v>0</v>
      </c>
      <c r="M34" s="592"/>
      <c r="N34" s="599">
        <v>0</v>
      </c>
      <c r="O34" s="592"/>
      <c r="P34" s="599">
        <v>0</v>
      </c>
      <c r="Q34" s="592"/>
      <c r="R34" s="599">
        <v>0</v>
      </c>
      <c r="S34" s="592"/>
      <c r="T34" s="599"/>
      <c r="U34" s="592"/>
      <c r="V34" s="599"/>
      <c r="W34" s="592"/>
      <c r="X34" s="599"/>
      <c r="Y34" s="2697"/>
      <c r="Z34" s="592"/>
      <c r="AA34" s="591">
        <f t="shared" si="0"/>
        <v>0</v>
      </c>
      <c r="AB34" s="2697"/>
      <c r="AC34" s="592"/>
      <c r="AD34" s="3161">
        <v>0</v>
      </c>
      <c r="AE34" s="595"/>
      <c r="AF34" s="596"/>
      <c r="AG34" s="597">
        <f t="shared" si="1"/>
        <v>0</v>
      </c>
      <c r="AH34" s="573"/>
      <c r="AI34" s="2802">
        <f t="shared" si="2"/>
        <v>0</v>
      </c>
    </row>
    <row r="35" spans="1:36" ht="14.25" customHeight="1">
      <c r="A35" s="1830" t="s">
        <v>1305</v>
      </c>
      <c r="B35" s="599">
        <v>0</v>
      </c>
      <c r="C35" s="592"/>
      <c r="D35" s="599">
        <v>0</v>
      </c>
      <c r="E35" s="592"/>
      <c r="F35" s="599">
        <v>0</v>
      </c>
      <c r="G35" s="592"/>
      <c r="H35" s="599">
        <v>0</v>
      </c>
      <c r="I35" s="592"/>
      <c r="J35" s="599">
        <v>0</v>
      </c>
      <c r="K35" s="592"/>
      <c r="L35" s="599">
        <v>0</v>
      </c>
      <c r="M35" s="592"/>
      <c r="N35" s="599">
        <v>0</v>
      </c>
      <c r="O35" s="592"/>
      <c r="P35" s="599">
        <v>0</v>
      </c>
      <c r="Q35" s="592"/>
      <c r="R35" s="599">
        <v>0</v>
      </c>
      <c r="S35" s="592"/>
      <c r="T35" s="599"/>
      <c r="U35" s="592"/>
      <c r="V35" s="599"/>
      <c r="W35" s="592"/>
      <c r="X35" s="599"/>
      <c r="Y35" s="2697"/>
      <c r="Z35" s="592"/>
      <c r="AA35" s="591">
        <f t="shared" si="0"/>
        <v>0</v>
      </c>
      <c r="AB35" s="2697"/>
      <c r="AC35" s="592"/>
      <c r="AD35" s="3161">
        <v>0</v>
      </c>
      <c r="AE35" s="595"/>
      <c r="AF35" s="596"/>
      <c r="AG35" s="597">
        <f t="shared" si="1"/>
        <v>0</v>
      </c>
      <c r="AH35" s="573"/>
      <c r="AI35" s="2802">
        <f t="shared" si="2"/>
        <v>0</v>
      </c>
    </row>
    <row r="36" spans="1:36" ht="14.25" customHeight="1">
      <c r="A36" s="1830" t="s">
        <v>1306</v>
      </c>
      <c r="B36" s="599">
        <v>0</v>
      </c>
      <c r="C36" s="592"/>
      <c r="D36" s="599">
        <v>0</v>
      </c>
      <c r="E36" s="592"/>
      <c r="F36" s="599">
        <v>0</v>
      </c>
      <c r="G36" s="592"/>
      <c r="H36" s="599">
        <v>0</v>
      </c>
      <c r="I36" s="592"/>
      <c r="J36" s="599">
        <v>0</v>
      </c>
      <c r="K36" s="592"/>
      <c r="L36" s="599">
        <v>0</v>
      </c>
      <c r="M36" s="592"/>
      <c r="N36" s="599">
        <v>0</v>
      </c>
      <c r="O36" s="592"/>
      <c r="P36" s="599">
        <v>0</v>
      </c>
      <c r="Q36" s="592"/>
      <c r="R36" s="599">
        <v>0</v>
      </c>
      <c r="S36" s="592"/>
      <c r="T36" s="599"/>
      <c r="U36" s="592"/>
      <c r="V36" s="599"/>
      <c r="W36" s="592"/>
      <c r="X36" s="599"/>
      <c r="Y36" s="2697"/>
      <c r="Z36" s="592"/>
      <c r="AA36" s="591">
        <f t="shared" si="0"/>
        <v>0</v>
      </c>
      <c r="AB36" s="2697"/>
      <c r="AC36" s="592"/>
      <c r="AD36" s="3161">
        <v>0</v>
      </c>
      <c r="AE36" s="595"/>
      <c r="AF36" s="596"/>
      <c r="AG36" s="597">
        <f t="shared" si="1"/>
        <v>0</v>
      </c>
      <c r="AH36" s="573"/>
      <c r="AI36" s="2802">
        <f t="shared" si="2"/>
        <v>0</v>
      </c>
    </row>
    <row r="37" spans="1:36" ht="14.25" customHeight="1">
      <c r="A37" s="1830" t="s">
        <v>1296</v>
      </c>
      <c r="B37" s="599">
        <v>0</v>
      </c>
      <c r="C37" s="592"/>
      <c r="D37" s="599">
        <v>0</v>
      </c>
      <c r="E37" s="592"/>
      <c r="F37" s="599">
        <v>0</v>
      </c>
      <c r="G37" s="592"/>
      <c r="H37" s="599">
        <v>0</v>
      </c>
      <c r="I37" s="592"/>
      <c r="J37" s="599">
        <v>0</v>
      </c>
      <c r="K37" s="592"/>
      <c r="L37" s="599">
        <v>0</v>
      </c>
      <c r="M37" s="592"/>
      <c r="N37" s="599">
        <v>0</v>
      </c>
      <c r="O37" s="592"/>
      <c r="P37" s="599">
        <v>0.1</v>
      </c>
      <c r="Q37" s="592"/>
      <c r="R37" s="599">
        <v>0</v>
      </c>
      <c r="S37" s="592"/>
      <c r="T37" s="599"/>
      <c r="U37" s="592"/>
      <c r="V37" s="599"/>
      <c r="W37" s="592"/>
      <c r="X37" s="599"/>
      <c r="Y37" s="1981"/>
      <c r="Z37" s="592"/>
      <c r="AA37" s="591">
        <f>ROUND(SUM(B37:X37),1)</f>
        <v>0.1</v>
      </c>
      <c r="AB37" s="1981"/>
      <c r="AC37" s="592"/>
      <c r="AD37" s="3161">
        <v>0.2</v>
      </c>
      <c r="AE37" s="595"/>
      <c r="AF37" s="596"/>
      <c r="AG37" s="597">
        <f t="shared" si="1"/>
        <v>-0.1</v>
      </c>
      <c r="AH37" s="573"/>
      <c r="AI37" s="2802">
        <f t="shared" si="2"/>
        <v>-0.5</v>
      </c>
    </row>
    <row r="38" spans="1:36" ht="14.25" customHeight="1">
      <c r="A38" s="1830" t="s">
        <v>1314</v>
      </c>
      <c r="B38" s="599">
        <v>0</v>
      </c>
      <c r="C38" s="592"/>
      <c r="D38" s="599">
        <v>0.5</v>
      </c>
      <c r="E38" s="592"/>
      <c r="F38" s="599">
        <v>0</v>
      </c>
      <c r="G38" s="592"/>
      <c r="H38" s="599">
        <v>0.9</v>
      </c>
      <c r="I38" s="592"/>
      <c r="J38" s="599">
        <v>0.3</v>
      </c>
      <c r="K38" s="592"/>
      <c r="L38" s="599">
        <v>3.1</v>
      </c>
      <c r="M38" s="592"/>
      <c r="N38" s="599">
        <v>0</v>
      </c>
      <c r="O38" s="592"/>
      <c r="P38" s="599">
        <v>0.1</v>
      </c>
      <c r="Q38" s="592"/>
      <c r="R38" s="599">
        <v>0.3</v>
      </c>
      <c r="S38" s="592"/>
      <c r="T38" s="599"/>
      <c r="U38" s="592"/>
      <c r="V38" s="599"/>
      <c r="W38" s="592"/>
      <c r="X38" s="599"/>
      <c r="Y38" s="1981"/>
      <c r="Z38" s="592"/>
      <c r="AA38" s="591">
        <f>ROUND(SUM(B38:X38),1)</f>
        <v>5.2</v>
      </c>
      <c r="AB38" s="1981"/>
      <c r="AC38" s="592"/>
      <c r="AD38" s="3161">
        <v>5.2</v>
      </c>
      <c r="AE38" s="595"/>
      <c r="AF38" s="596"/>
      <c r="AG38" s="597">
        <f t="shared" si="1"/>
        <v>0</v>
      </c>
      <c r="AH38" s="573"/>
      <c r="AI38" s="45">
        <f t="shared" si="2"/>
        <v>0</v>
      </c>
    </row>
    <row r="39" spans="1:36" ht="14.25" customHeight="1">
      <c r="A39" s="1830" t="s">
        <v>1315</v>
      </c>
      <c r="B39" s="599">
        <v>0</v>
      </c>
      <c r="C39" s="592"/>
      <c r="D39" s="599">
        <v>0</v>
      </c>
      <c r="E39" s="592"/>
      <c r="F39" s="599">
        <v>0</v>
      </c>
      <c r="G39" s="592"/>
      <c r="H39" s="599">
        <v>0</v>
      </c>
      <c r="I39" s="592"/>
      <c r="J39" s="599">
        <v>0</v>
      </c>
      <c r="K39" s="592"/>
      <c r="L39" s="599">
        <v>0</v>
      </c>
      <c r="M39" s="592"/>
      <c r="N39" s="599">
        <v>0</v>
      </c>
      <c r="O39" s="592"/>
      <c r="P39" s="599">
        <v>0</v>
      </c>
      <c r="Q39" s="592"/>
      <c r="R39" s="599">
        <v>0</v>
      </c>
      <c r="S39" s="592"/>
      <c r="T39" s="599"/>
      <c r="U39" s="592"/>
      <c r="V39" s="599"/>
      <c r="W39" s="592"/>
      <c r="X39" s="599"/>
      <c r="Y39" s="1981"/>
      <c r="Z39" s="592"/>
      <c r="AA39" s="591">
        <f>ROUND(SUM(B39:X39),1)</f>
        <v>0</v>
      </c>
      <c r="AB39" s="1981"/>
      <c r="AC39" s="592"/>
      <c r="AD39" s="3161">
        <v>0</v>
      </c>
      <c r="AE39" s="595"/>
      <c r="AF39" s="596"/>
      <c r="AG39" s="597">
        <f t="shared" si="1"/>
        <v>0</v>
      </c>
      <c r="AH39" s="573"/>
      <c r="AI39" s="45">
        <f t="shared" si="2"/>
        <v>0</v>
      </c>
    </row>
    <row r="40" spans="1:36" ht="14.25" customHeight="1">
      <c r="A40" s="1830" t="s">
        <v>1427</v>
      </c>
      <c r="B40" s="599"/>
      <c r="C40" s="592"/>
      <c r="D40" s="599"/>
      <c r="E40" s="592"/>
      <c r="F40" s="599"/>
      <c r="G40" s="592"/>
      <c r="H40" s="599"/>
      <c r="I40" s="592"/>
      <c r="J40" s="599"/>
      <c r="K40" s="592"/>
      <c r="L40" s="599"/>
      <c r="M40" s="592"/>
      <c r="N40" s="599"/>
      <c r="O40" s="592"/>
      <c r="P40" s="599"/>
      <c r="Q40" s="592"/>
      <c r="R40" s="599"/>
      <c r="S40" s="592"/>
      <c r="T40" s="599"/>
      <c r="U40" s="592"/>
      <c r="V40" s="599"/>
      <c r="W40" s="592"/>
      <c r="X40" s="599"/>
      <c r="Y40" s="1981"/>
      <c r="Z40" s="592"/>
      <c r="AA40" s="591"/>
      <c r="AB40" s="1981"/>
      <c r="AC40" s="592"/>
      <c r="AD40" s="3161"/>
      <c r="AE40" s="595"/>
      <c r="AF40" s="596"/>
      <c r="AG40" s="597"/>
      <c r="AH40" s="573"/>
      <c r="AI40" s="598"/>
    </row>
    <row r="41" spans="1:36" ht="14.25" customHeight="1">
      <c r="A41" s="1830" t="s">
        <v>1570</v>
      </c>
      <c r="B41" s="599">
        <v>-8.3000000000000007</v>
      </c>
      <c r="C41" s="592"/>
      <c r="D41" s="599">
        <v>94.2</v>
      </c>
      <c r="E41" s="592"/>
      <c r="F41" s="599">
        <v>38.1</v>
      </c>
      <c r="G41" s="592"/>
      <c r="H41" s="599">
        <v>44.8</v>
      </c>
      <c r="I41" s="592"/>
      <c r="J41" s="599">
        <v>62.9</v>
      </c>
      <c r="K41" s="592"/>
      <c r="L41" s="599">
        <v>33.9</v>
      </c>
      <c r="M41" s="592"/>
      <c r="N41" s="599">
        <v>23.3</v>
      </c>
      <c r="O41" s="592"/>
      <c r="P41" s="599">
        <v>27.7</v>
      </c>
      <c r="Q41" s="592"/>
      <c r="R41" s="599">
        <v>34.299999999999997</v>
      </c>
      <c r="S41" s="592"/>
      <c r="T41" s="599"/>
      <c r="U41" s="592"/>
      <c r="V41" s="599"/>
      <c r="W41" s="592"/>
      <c r="X41" s="599"/>
      <c r="Y41" s="1981"/>
      <c r="Z41" s="592"/>
      <c r="AA41" s="591">
        <f>ROUND(SUM(B41:X41),1)</f>
        <v>350.9</v>
      </c>
      <c r="AB41" s="1981"/>
      <c r="AC41" s="592"/>
      <c r="AD41" s="3161">
        <v>371.6</v>
      </c>
      <c r="AE41" s="595"/>
      <c r="AF41" s="596"/>
      <c r="AG41" s="597">
        <f>ROUND(SUM(AA41-AD41),1)</f>
        <v>-20.7</v>
      </c>
      <c r="AH41" s="573"/>
      <c r="AI41" s="45">
        <f>ROUND(IF(AD41=0,0,AG41/ABS(AD41)),3)</f>
        <v>-5.6000000000000001E-2</v>
      </c>
    </row>
    <row r="42" spans="1:36" ht="14.25" customHeight="1">
      <c r="A42" s="1830" t="s">
        <v>1325</v>
      </c>
      <c r="B42" s="599">
        <v>0</v>
      </c>
      <c r="C42" s="592"/>
      <c r="D42" s="599">
        <v>0</v>
      </c>
      <c r="E42" s="592"/>
      <c r="F42" s="599">
        <v>0</v>
      </c>
      <c r="G42" s="592"/>
      <c r="H42" s="599">
        <v>0</v>
      </c>
      <c r="I42" s="592"/>
      <c r="J42" s="599">
        <v>0.1</v>
      </c>
      <c r="K42" s="592"/>
      <c r="L42" s="599">
        <v>0</v>
      </c>
      <c r="M42" s="592"/>
      <c r="N42" s="599">
        <v>0</v>
      </c>
      <c r="O42" s="592"/>
      <c r="P42" s="599">
        <v>0</v>
      </c>
      <c r="Q42" s="592"/>
      <c r="R42" s="599">
        <v>0</v>
      </c>
      <c r="S42" s="592"/>
      <c r="T42" s="599"/>
      <c r="U42" s="592"/>
      <c r="V42" s="599"/>
      <c r="W42" s="592"/>
      <c r="X42" s="599"/>
      <c r="Y42" s="2891"/>
      <c r="Z42" s="592"/>
      <c r="AA42" s="591">
        <f>ROUND(SUM(B42:X42),1)</f>
        <v>0.1</v>
      </c>
      <c r="AB42" s="2891"/>
      <c r="AC42" s="592"/>
      <c r="AD42" s="3161">
        <v>0.1</v>
      </c>
      <c r="AE42" s="595"/>
      <c r="AF42" s="596"/>
      <c r="AG42" s="597">
        <f>ROUND(SUM(AA42-AD42),1)</f>
        <v>0</v>
      </c>
      <c r="AH42" s="573"/>
      <c r="AI42" s="2802">
        <f>ROUND(IF(AD42=0,1,AG42/ABS(AD42)),3)</f>
        <v>0</v>
      </c>
    </row>
    <row r="43" spans="1:36" s="608" customFormat="1" ht="15.6">
      <c r="A43" s="589" t="s">
        <v>1361</v>
      </c>
      <c r="B43" s="256">
        <f>ROUND(SUM(B29:B42),1)</f>
        <v>-8.3000000000000007</v>
      </c>
      <c r="C43" s="2082"/>
      <c r="D43" s="256">
        <f>ROUND(SUM(D29:D42),1)</f>
        <v>94.7</v>
      </c>
      <c r="E43" s="2082"/>
      <c r="F43" s="256">
        <f>ROUND(SUM(F29:F42),1)</f>
        <v>38.1</v>
      </c>
      <c r="G43" s="2082"/>
      <c r="H43" s="256">
        <f>ROUND(SUM(H29:H42),1)</f>
        <v>45.7</v>
      </c>
      <c r="I43" s="603"/>
      <c r="J43" s="256">
        <f>ROUND(SUM(J29:J42),1)</f>
        <v>63.3</v>
      </c>
      <c r="K43" s="603"/>
      <c r="L43" s="256">
        <f>ROUND(SUM(L29:L42),1)</f>
        <v>37</v>
      </c>
      <c r="M43" s="603"/>
      <c r="N43" s="256">
        <f>ROUND(SUM(N29:N42),1)</f>
        <v>23.3</v>
      </c>
      <c r="O43" s="603"/>
      <c r="P43" s="256">
        <f>ROUND(SUM(P29:P42),1)</f>
        <v>27.9</v>
      </c>
      <c r="Q43" s="603"/>
      <c r="R43" s="256">
        <f>ROUND(SUM(R29:R42),1)</f>
        <v>34.6</v>
      </c>
      <c r="S43" s="603"/>
      <c r="T43" s="256">
        <f>ROUND(SUM(T29:T42),1)</f>
        <v>0</v>
      </c>
      <c r="U43" s="603"/>
      <c r="V43" s="256">
        <f>ROUND(SUM(V29:V42),1)</f>
        <v>0</v>
      </c>
      <c r="W43" s="603"/>
      <c r="X43" s="256">
        <f>ROUND(SUM(X29:X42),1)</f>
        <v>0</v>
      </c>
      <c r="Y43" s="605"/>
      <c r="Z43" s="603"/>
      <c r="AA43" s="527">
        <f>ROUND(SUM(AA29:AA42),1)</f>
        <v>356.3</v>
      </c>
      <c r="AB43" s="605"/>
      <c r="AC43" s="603"/>
      <c r="AD43" s="527">
        <f>ROUND(SUM(AD29:AD42),1)</f>
        <v>377.5</v>
      </c>
      <c r="AE43" s="606"/>
      <c r="AF43" s="607"/>
      <c r="AG43" s="256">
        <f>ROUND(SUM(AG29:AG42),1)</f>
        <v>-21.2</v>
      </c>
      <c r="AH43" s="583"/>
      <c r="AI43" s="72">
        <f>ROUND(IF(AD43=0,0,AG43/ABS(AD43)),3)</f>
        <v>-5.6000000000000001E-2</v>
      </c>
      <c r="AJ43" s="1027"/>
    </row>
    <row r="44" spans="1:36" s="608" customFormat="1" ht="14.25" customHeight="1">
      <c r="A44" s="589"/>
      <c r="B44" s="273"/>
      <c r="C44" s="2082"/>
      <c r="D44" s="273"/>
      <c r="E44" s="2082"/>
      <c r="F44" s="273"/>
      <c r="G44" s="2082"/>
      <c r="H44" s="273"/>
      <c r="I44" s="603"/>
      <c r="J44" s="273"/>
      <c r="K44" s="603"/>
      <c r="L44" s="273"/>
      <c r="M44" s="603"/>
      <c r="N44" s="273"/>
      <c r="O44" s="603"/>
      <c r="P44" s="273"/>
      <c r="Q44" s="603"/>
      <c r="R44" s="273"/>
      <c r="S44" s="603"/>
      <c r="T44" s="273"/>
      <c r="U44" s="603"/>
      <c r="V44" s="273"/>
      <c r="W44" s="603"/>
      <c r="X44" s="273"/>
      <c r="Y44" s="2081"/>
      <c r="Z44" s="603"/>
      <c r="AA44" s="2084"/>
      <c r="AB44" s="2081"/>
      <c r="AC44" s="603"/>
      <c r="AD44" s="3152"/>
      <c r="AE44" s="606"/>
      <c r="AF44" s="607"/>
      <c r="AG44" s="2082"/>
      <c r="AH44" s="583"/>
      <c r="AI44" s="584"/>
      <c r="AJ44" s="1027"/>
    </row>
    <row r="45" spans="1:36" ht="15">
      <c r="A45" s="1607" t="s">
        <v>1173</v>
      </c>
      <c r="B45" s="2085">
        <v>0</v>
      </c>
      <c r="C45" s="597"/>
      <c r="D45" s="2085">
        <v>0</v>
      </c>
      <c r="E45" s="597"/>
      <c r="F45" s="2085">
        <v>0</v>
      </c>
      <c r="G45" s="592"/>
      <c r="H45" s="2085">
        <v>1.6</v>
      </c>
      <c r="I45" s="592"/>
      <c r="J45" s="2085">
        <v>34.9</v>
      </c>
      <c r="K45" s="592"/>
      <c r="L45" s="2085">
        <v>0</v>
      </c>
      <c r="M45" s="592"/>
      <c r="N45" s="2085">
        <v>0</v>
      </c>
      <c r="O45" s="592"/>
      <c r="P45" s="2085">
        <v>0</v>
      </c>
      <c r="Q45" s="592"/>
      <c r="R45" s="2085">
        <v>0</v>
      </c>
      <c r="S45" s="592"/>
      <c r="T45" s="2085"/>
      <c r="U45" s="592"/>
      <c r="V45" s="2085"/>
      <c r="W45" s="592"/>
      <c r="X45" s="2085"/>
      <c r="Y45" s="594"/>
      <c r="Z45" s="592"/>
      <c r="AA45" s="600">
        <f>ROUND(SUM(B45:X45),1)</f>
        <v>36.5</v>
      </c>
      <c r="AB45" s="594"/>
      <c r="AC45" s="592"/>
      <c r="AD45" s="3162">
        <v>36.6</v>
      </c>
      <c r="AE45" s="595"/>
      <c r="AF45" s="596"/>
      <c r="AG45" s="601">
        <f>ROUND(SUM(AA45-AD45),1)</f>
        <v>-0.1</v>
      </c>
      <c r="AH45" s="573"/>
      <c r="AI45" s="1847">
        <f>ROUND(IF(AD45=0,0,AG45/ABS(AD45)),3)</f>
        <v>-3.0000000000000001E-3</v>
      </c>
    </row>
    <row r="46" spans="1:36" ht="12" customHeight="1">
      <c r="A46" s="562"/>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4"/>
      <c r="Z46" s="592"/>
      <c r="AA46" s="592"/>
      <c r="AB46" s="594"/>
      <c r="AC46" s="592"/>
      <c r="AD46" s="3159"/>
      <c r="AE46" s="595"/>
      <c r="AF46" s="596"/>
      <c r="AG46" s="597"/>
      <c r="AH46" s="573"/>
      <c r="AI46" s="574"/>
    </row>
    <row r="47" spans="1:36" ht="14.25" customHeight="1">
      <c r="A47" s="589" t="s">
        <v>194</v>
      </c>
      <c r="B47" s="602">
        <f>ROUND(SUM(B25+B43+B45),1)</f>
        <v>2237.5</v>
      </c>
      <c r="C47" s="603"/>
      <c r="D47" s="602">
        <f>ROUND(SUM(D25+D43+D45),1)</f>
        <v>1237.3</v>
      </c>
      <c r="E47" s="604"/>
      <c r="F47" s="602">
        <f>ROUND(SUM(F25+F43+F45),1)</f>
        <v>1960.9</v>
      </c>
      <c r="G47" s="604"/>
      <c r="H47" s="602">
        <f>ROUND(SUM(H25+H43+H45),1)</f>
        <v>1306.3</v>
      </c>
      <c r="I47" s="604"/>
      <c r="J47" s="602">
        <f>ROUND(SUM(J25+J43+J45),1)</f>
        <v>1305.0999999999999</v>
      </c>
      <c r="K47" s="604"/>
      <c r="L47" s="602">
        <f>ROUND(SUM(L25+L43+L45),1)</f>
        <v>2059.3000000000002</v>
      </c>
      <c r="M47" s="604"/>
      <c r="N47" s="602">
        <f>ROUND(SUM(N25+N43+N45),1)</f>
        <v>1167.8</v>
      </c>
      <c r="O47" s="604"/>
      <c r="P47" s="602">
        <f>ROUND(SUM(P25+P43+P45),1)</f>
        <v>1163.8</v>
      </c>
      <c r="Q47" s="604"/>
      <c r="R47" s="602">
        <f>ROUND(SUM(R25+R43+R45),1)</f>
        <v>1962.2</v>
      </c>
      <c r="S47" s="604"/>
      <c r="T47" s="602">
        <f>ROUND(SUM(T25+T43+T45),1)</f>
        <v>0</v>
      </c>
      <c r="U47" s="604"/>
      <c r="V47" s="602">
        <f>ROUND(SUM(V25+V43+V45),1)</f>
        <v>0</v>
      </c>
      <c r="W47" s="604"/>
      <c r="X47" s="602">
        <f>ROUND(SUM(X25+X43+X45),1)</f>
        <v>0</v>
      </c>
      <c r="Y47" s="605"/>
      <c r="Z47" s="603"/>
      <c r="AA47" s="602">
        <f>ROUND(SUM(AA25+AA43+AA45),1)</f>
        <v>14400.2</v>
      </c>
      <c r="AB47" s="605"/>
      <c r="AC47" s="603"/>
      <c r="AD47" s="602">
        <f>ROUND(SUM(AD25+AD43+AD45),1)</f>
        <v>13245.2</v>
      </c>
      <c r="AE47" s="606"/>
      <c r="AF47" s="607"/>
      <c r="AG47" s="602">
        <f>ROUND(SUM(AG25+AG43+AG45),1)</f>
        <v>1155</v>
      </c>
      <c r="AH47" s="583"/>
      <c r="AI47" s="1961">
        <f>ROUND(IF(AD47=0,0,AG47/ABS(AD47)),3)</f>
        <v>8.6999999999999994E-2</v>
      </c>
      <c r="AJ47" s="1028"/>
    </row>
    <row r="48" spans="1:36" ht="19.5" customHeight="1">
      <c r="A48" s="562"/>
      <c r="B48" s="592"/>
      <c r="C48" s="592"/>
      <c r="D48" s="592"/>
      <c r="E48" s="592"/>
      <c r="F48" s="592"/>
      <c r="G48" s="592"/>
      <c r="H48" s="592"/>
      <c r="I48" s="592"/>
      <c r="J48" s="592"/>
      <c r="K48" s="592"/>
      <c r="L48" s="592"/>
      <c r="M48" s="592"/>
      <c r="N48" s="592"/>
      <c r="O48" s="592"/>
      <c r="P48" s="592"/>
      <c r="Q48" s="592"/>
      <c r="R48" s="592"/>
      <c r="S48" s="592"/>
      <c r="T48" s="592"/>
      <c r="U48" s="592"/>
      <c r="V48" s="592"/>
      <c r="W48" s="592"/>
      <c r="X48" s="592"/>
      <c r="Y48" s="594"/>
      <c r="Z48" s="592"/>
      <c r="AA48" s="592"/>
      <c r="AB48" s="594"/>
      <c r="AC48" s="592"/>
      <c r="AD48" s="3159"/>
      <c r="AE48" s="595"/>
      <c r="AF48" s="596"/>
      <c r="AG48" s="597"/>
      <c r="AH48" s="573"/>
      <c r="AI48" s="574"/>
    </row>
    <row r="49" spans="1:36" ht="15.6">
      <c r="A49" s="609" t="s">
        <v>195</v>
      </c>
      <c r="B49" s="592"/>
      <c r="C49" s="592"/>
      <c r="D49" s="592"/>
      <c r="E49" s="592"/>
      <c r="F49" s="592"/>
      <c r="G49" s="592"/>
      <c r="H49" s="592"/>
      <c r="I49" s="592"/>
      <c r="J49" s="592"/>
      <c r="K49" s="592"/>
      <c r="L49" s="592"/>
      <c r="M49" s="592"/>
      <c r="N49" s="592"/>
      <c r="O49" s="592"/>
      <c r="P49" s="592"/>
      <c r="Q49" s="592"/>
      <c r="R49" s="592"/>
      <c r="S49" s="592"/>
      <c r="T49" s="592"/>
      <c r="U49" s="592"/>
      <c r="V49" s="592"/>
      <c r="W49" s="592"/>
      <c r="X49" s="592"/>
      <c r="Y49" s="594"/>
      <c r="Z49" s="592"/>
      <c r="AA49" s="592"/>
      <c r="AB49" s="594"/>
      <c r="AC49" s="592"/>
      <c r="AD49" s="3159"/>
      <c r="AE49" s="595"/>
      <c r="AF49" s="596"/>
      <c r="AG49" s="597"/>
      <c r="AH49" s="573"/>
      <c r="AI49" s="574"/>
    </row>
    <row r="50" spans="1:36" ht="14.25" customHeight="1">
      <c r="A50" s="610" t="s">
        <v>158</v>
      </c>
      <c r="B50" s="592"/>
      <c r="C50" s="592"/>
      <c r="D50" s="592"/>
      <c r="E50" s="592"/>
      <c r="F50" s="592"/>
      <c r="G50" s="592"/>
      <c r="H50" s="592"/>
      <c r="I50" s="592"/>
      <c r="J50" s="592"/>
      <c r="K50" s="592"/>
      <c r="L50" s="592"/>
      <c r="M50" s="592"/>
      <c r="N50" s="592"/>
      <c r="O50" s="592"/>
      <c r="P50" s="592"/>
      <c r="Q50" s="592"/>
      <c r="R50" s="592"/>
      <c r="S50" s="592"/>
      <c r="T50" s="592"/>
      <c r="U50" s="592"/>
      <c r="V50" s="592"/>
      <c r="W50" s="592"/>
      <c r="X50" s="592"/>
      <c r="Y50" s="594"/>
      <c r="Z50" s="592"/>
      <c r="AA50" s="592"/>
      <c r="AB50" s="594"/>
      <c r="AC50" s="592"/>
      <c r="AD50" s="3159"/>
      <c r="AE50" s="595"/>
      <c r="AF50" s="596"/>
      <c r="AG50" s="597"/>
      <c r="AH50" s="573"/>
      <c r="AI50" s="574"/>
    </row>
    <row r="51" spans="1:36" ht="14.25" customHeight="1">
      <c r="A51" s="610" t="s">
        <v>39</v>
      </c>
      <c r="B51" s="599">
        <v>0.4</v>
      </c>
      <c r="C51" s="592"/>
      <c r="D51" s="592">
        <v>1.2</v>
      </c>
      <c r="E51" s="591"/>
      <c r="F51" s="592">
        <v>1.5</v>
      </c>
      <c r="G51" s="592"/>
      <c r="H51" s="592">
        <v>9.6999999999999993</v>
      </c>
      <c r="I51" s="592"/>
      <c r="J51" s="592">
        <v>3.4</v>
      </c>
      <c r="K51" s="592"/>
      <c r="L51" s="592">
        <v>4.0999999999999996</v>
      </c>
      <c r="M51" s="592"/>
      <c r="N51" s="592">
        <v>0</v>
      </c>
      <c r="O51" s="592"/>
      <c r="P51" s="592">
        <v>1.1000000000000001</v>
      </c>
      <c r="Q51" s="592"/>
      <c r="R51" s="592">
        <v>1.4</v>
      </c>
      <c r="S51" s="592"/>
      <c r="T51" s="592"/>
      <c r="U51" s="592"/>
      <c r="V51" s="592"/>
      <c r="W51" s="592"/>
      <c r="X51" s="592"/>
      <c r="Y51" s="594"/>
      <c r="Z51" s="592"/>
      <c r="AA51" s="591">
        <f>ROUND(SUM(B51:X51),1)</f>
        <v>22.8</v>
      </c>
      <c r="AB51" s="594"/>
      <c r="AC51" s="592"/>
      <c r="AD51" s="3161">
        <v>24.4</v>
      </c>
      <c r="AE51" s="595"/>
      <c r="AF51" s="596"/>
      <c r="AG51" s="597">
        <f>ROUND(SUM(AA51-AD51),1)</f>
        <v>-1.6</v>
      </c>
      <c r="AH51" s="573"/>
      <c r="AI51" s="2676">
        <f>ROUND(IF(AD51=0,0,AG51/ABS(AD51)),3)</f>
        <v>-6.6000000000000003E-2</v>
      </c>
    </row>
    <row r="52" spans="1:36" ht="14.25" customHeight="1">
      <c r="A52" s="2386" t="s">
        <v>1435</v>
      </c>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4"/>
      <c r="Z52" s="592"/>
      <c r="AA52" s="592"/>
      <c r="AB52" s="594"/>
      <c r="AC52" s="592"/>
      <c r="AD52" s="3159"/>
      <c r="AE52" s="595"/>
      <c r="AF52" s="596"/>
      <c r="AG52" s="597"/>
      <c r="AH52" s="573"/>
      <c r="AI52" s="574"/>
    </row>
    <row r="53" spans="1:36" ht="14.25" customHeight="1">
      <c r="A53" s="2387" t="s">
        <v>1434</v>
      </c>
      <c r="B53" s="611">
        <v>165.9</v>
      </c>
      <c r="C53" s="592"/>
      <c r="D53" s="611">
        <v>254.6</v>
      </c>
      <c r="E53" s="592"/>
      <c r="F53" s="611">
        <v>164</v>
      </c>
      <c r="G53" s="592"/>
      <c r="H53" s="611">
        <v>84.3</v>
      </c>
      <c r="I53" s="592"/>
      <c r="J53" s="611">
        <v>273.89999999999998</v>
      </c>
      <c r="K53" s="592"/>
      <c r="L53" s="611">
        <v>732.5</v>
      </c>
      <c r="M53" s="592"/>
      <c r="N53" s="611">
        <v>18.5</v>
      </c>
      <c r="O53" s="592"/>
      <c r="P53" s="611">
        <v>102</v>
      </c>
      <c r="Q53" s="592"/>
      <c r="R53" s="611">
        <v>315.60000000000002</v>
      </c>
      <c r="S53" s="592"/>
      <c r="T53" s="611"/>
      <c r="U53" s="592"/>
      <c r="V53" s="611"/>
      <c r="W53" s="592"/>
      <c r="X53" s="611"/>
      <c r="Y53" s="594"/>
      <c r="Z53" s="592"/>
      <c r="AA53" s="600">
        <f>ROUND(SUM(B53:X53),1)</f>
        <v>2111.3000000000002</v>
      </c>
      <c r="AB53" s="594"/>
      <c r="AC53" s="592"/>
      <c r="AD53" s="3163">
        <v>2767.7</v>
      </c>
      <c r="AE53" s="595"/>
      <c r="AF53" s="596"/>
      <c r="AG53" s="611">
        <f>ROUND(SUM(AA53-AD53),1)</f>
        <v>-656.4</v>
      </c>
      <c r="AH53" s="573"/>
      <c r="AI53" s="1847">
        <f>ROUND(IF(AD53=0,0,AG53/ABS(AD53)),3)</f>
        <v>-0.23699999999999999</v>
      </c>
    </row>
    <row r="54" spans="1:36" ht="15">
      <c r="A54" s="562"/>
      <c r="B54" s="592"/>
      <c r="C54" s="592"/>
      <c r="D54" s="592"/>
      <c r="E54" s="592"/>
      <c r="F54" s="592"/>
      <c r="G54" s="592"/>
      <c r="H54" s="592"/>
      <c r="I54" s="592"/>
      <c r="J54" s="592"/>
      <c r="K54" s="592"/>
      <c r="L54" s="592"/>
      <c r="M54" s="592"/>
      <c r="N54" s="592"/>
      <c r="O54" s="592"/>
      <c r="P54" s="592"/>
      <c r="Q54" s="592"/>
      <c r="R54" s="592"/>
      <c r="S54" s="592"/>
      <c r="T54" s="592"/>
      <c r="U54" s="592"/>
      <c r="V54" s="592"/>
      <c r="W54" s="592"/>
      <c r="X54" s="592"/>
      <c r="Y54" s="594"/>
      <c r="Z54" s="592"/>
      <c r="AA54" s="592"/>
      <c r="AB54" s="594"/>
      <c r="AC54" s="592"/>
      <c r="AD54" s="3159"/>
      <c r="AE54" s="595"/>
      <c r="AF54" s="596"/>
      <c r="AG54" s="597"/>
      <c r="AH54" s="573"/>
      <c r="AI54" s="574"/>
    </row>
    <row r="55" spans="1:36" ht="14.25" customHeight="1">
      <c r="A55" s="609" t="s">
        <v>196</v>
      </c>
      <c r="B55" s="602">
        <f>ROUND(SUM(B51:B53),1)</f>
        <v>166.3</v>
      </c>
      <c r="C55" s="603"/>
      <c r="D55" s="602">
        <f>ROUND(SUM(D51:D53),1)</f>
        <v>255.8</v>
      </c>
      <c r="E55" s="604"/>
      <c r="F55" s="602">
        <f>ROUND(SUM(F51:F53),1)</f>
        <v>165.5</v>
      </c>
      <c r="G55" s="604"/>
      <c r="H55" s="602">
        <f>ROUND(SUM(H51:H53),1)</f>
        <v>94</v>
      </c>
      <c r="I55" s="604"/>
      <c r="J55" s="602">
        <f>ROUND(SUM(J51:J53),1)</f>
        <v>277.3</v>
      </c>
      <c r="K55" s="604"/>
      <c r="L55" s="602">
        <f>ROUND(SUM(L51:L53),1)</f>
        <v>736.6</v>
      </c>
      <c r="M55" s="604"/>
      <c r="N55" s="602">
        <f>ROUND(SUM(N51:N53),1)</f>
        <v>18.5</v>
      </c>
      <c r="O55" s="604"/>
      <c r="P55" s="602">
        <f>ROUND(SUM(P51:P53),1)</f>
        <v>103.1</v>
      </c>
      <c r="Q55" s="604"/>
      <c r="R55" s="602">
        <f>ROUND(SUM(R51:R53),1)</f>
        <v>317</v>
      </c>
      <c r="S55" s="604"/>
      <c r="T55" s="602">
        <f>ROUND(SUM(T51:T53),1)</f>
        <v>0</v>
      </c>
      <c r="U55" s="604"/>
      <c r="V55" s="602">
        <f>ROUND(SUM(V51:V53),1)</f>
        <v>0</v>
      </c>
      <c r="W55" s="604"/>
      <c r="X55" s="602">
        <f>ROUND(SUM(X51:X53),1)</f>
        <v>0</v>
      </c>
      <c r="Y55" s="605"/>
      <c r="Z55" s="603"/>
      <c r="AA55" s="602">
        <f>ROUND(SUM(AA51:AA53),1)</f>
        <v>2134.1</v>
      </c>
      <c r="AB55" s="605"/>
      <c r="AC55" s="603"/>
      <c r="AD55" s="602">
        <f>ROUND(SUM(AD51:AD53),1)</f>
        <v>2792.1</v>
      </c>
      <c r="AE55" s="606"/>
      <c r="AF55" s="607"/>
      <c r="AG55" s="602">
        <f>ROUND(SUM(AG51:AG53),1)</f>
        <v>-658</v>
      </c>
      <c r="AH55" s="583"/>
      <c r="AI55" s="1961">
        <f>ROUND(IF(AD55=0,0,AG55/ABS(AD55)),3)</f>
        <v>-0.23599999999999999</v>
      </c>
      <c r="AJ55" s="1029"/>
    </row>
    <row r="56" spans="1:36" ht="12" customHeight="1">
      <c r="A56" s="562"/>
      <c r="B56" s="592"/>
      <c r="C56" s="592"/>
      <c r="D56" s="593"/>
      <c r="E56" s="593"/>
      <c r="F56" s="593"/>
      <c r="G56" s="593"/>
      <c r="H56" s="593"/>
      <c r="I56" s="593"/>
      <c r="J56" s="593"/>
      <c r="K56" s="593"/>
      <c r="L56" s="593"/>
      <c r="M56" s="593"/>
      <c r="N56" s="593"/>
      <c r="O56" s="593"/>
      <c r="P56" s="593"/>
      <c r="Q56" s="593"/>
      <c r="R56" s="593"/>
      <c r="S56" s="593"/>
      <c r="T56" s="593"/>
      <c r="U56" s="593"/>
      <c r="V56" s="593"/>
      <c r="W56" s="593"/>
      <c r="X56" s="593"/>
      <c r="Y56" s="594"/>
      <c r="Z56" s="592"/>
      <c r="AA56" s="592" t="s">
        <v>16</v>
      </c>
      <c r="AB56" s="594"/>
      <c r="AC56" s="592"/>
      <c r="AD56" s="3159"/>
      <c r="AE56" s="595"/>
      <c r="AF56" s="596"/>
      <c r="AG56" s="597"/>
      <c r="AH56" s="573"/>
      <c r="AI56" s="574"/>
    </row>
    <row r="57" spans="1:36" ht="14.25" customHeight="1">
      <c r="A57" s="609" t="s">
        <v>45</v>
      </c>
      <c r="B57" s="592"/>
      <c r="C57" s="592"/>
      <c r="D57" s="593"/>
      <c r="E57" s="593"/>
      <c r="F57" s="593"/>
      <c r="G57" s="593"/>
      <c r="H57" s="593"/>
      <c r="I57" s="593"/>
      <c r="J57" s="593"/>
      <c r="K57" s="593"/>
      <c r="L57" s="593"/>
      <c r="M57" s="593"/>
      <c r="N57" s="593"/>
      <c r="O57" s="593"/>
      <c r="P57" s="593"/>
      <c r="Q57" s="593"/>
      <c r="R57" s="593"/>
      <c r="S57" s="593"/>
      <c r="T57" s="593"/>
      <c r="U57" s="593"/>
      <c r="V57" s="593"/>
      <c r="W57" s="593"/>
      <c r="X57" s="593"/>
      <c r="Y57" s="594"/>
      <c r="Z57" s="592"/>
      <c r="AA57" s="592"/>
      <c r="AB57" s="594"/>
      <c r="AC57" s="592"/>
      <c r="AD57" s="3159"/>
      <c r="AE57" s="595"/>
      <c r="AF57" s="596"/>
      <c r="AG57" s="597"/>
      <c r="AH57" s="573"/>
      <c r="AI57" s="574"/>
    </row>
    <row r="58" spans="1:36" ht="14.25" customHeight="1">
      <c r="A58" s="589" t="s">
        <v>197</v>
      </c>
      <c r="B58" s="602">
        <f>ROUND(SUM(B47-B55),1)</f>
        <v>2071.1999999999998</v>
      </c>
      <c r="C58" s="603"/>
      <c r="D58" s="602">
        <f>ROUND(SUM(D47-D55),1)</f>
        <v>981.5</v>
      </c>
      <c r="E58" s="613"/>
      <c r="F58" s="602">
        <f>ROUND(SUM(F47-F55),1)</f>
        <v>1795.4</v>
      </c>
      <c r="G58" s="604"/>
      <c r="H58" s="602">
        <f>ROUND(SUM(H47-H55),1)</f>
        <v>1212.3</v>
      </c>
      <c r="I58" s="604"/>
      <c r="J58" s="602">
        <f>ROUND(SUM(J47-J55),1)</f>
        <v>1027.8</v>
      </c>
      <c r="K58" s="604"/>
      <c r="L58" s="602">
        <f>ROUND(SUM(L47-L55),1)</f>
        <v>1322.7</v>
      </c>
      <c r="M58" s="604"/>
      <c r="N58" s="602">
        <f>ROUND(SUM(N47-N55),1)</f>
        <v>1149.3</v>
      </c>
      <c r="O58" s="604"/>
      <c r="P58" s="602">
        <f>ROUND(SUM(P47-P55),1)</f>
        <v>1060.7</v>
      </c>
      <c r="Q58" s="604"/>
      <c r="R58" s="602">
        <f>ROUND(SUM(R47-R55),1)</f>
        <v>1645.2</v>
      </c>
      <c r="S58" s="604"/>
      <c r="T58" s="602">
        <f>ROUND(SUM(T47-T55),1)</f>
        <v>0</v>
      </c>
      <c r="U58" s="604"/>
      <c r="V58" s="602">
        <f>ROUND(SUM(V47-V55),1)</f>
        <v>0</v>
      </c>
      <c r="W58" s="604"/>
      <c r="X58" s="602">
        <f>ROUND(SUM(X47-X55),1)</f>
        <v>0</v>
      </c>
      <c r="Y58" s="605"/>
      <c r="Z58" s="603"/>
      <c r="AA58" s="602">
        <f>ROUND(SUM(AA47-AA55),1)</f>
        <v>12266.1</v>
      </c>
      <c r="AB58" s="605"/>
      <c r="AC58" s="603"/>
      <c r="AD58" s="602">
        <f>ROUND(SUM(AD47-AD55),1)</f>
        <v>10453.1</v>
      </c>
      <c r="AE58" s="606"/>
      <c r="AF58" s="607"/>
      <c r="AG58" s="602">
        <f>ROUND(SUM(+AG47-AG55),1)</f>
        <v>1813</v>
      </c>
      <c r="AH58" s="583"/>
      <c r="AI58" s="1961">
        <f>ROUND(IF(AD58=0,0,AG58/ABS(AD58)),3)</f>
        <v>0.17299999999999999</v>
      </c>
      <c r="AJ58" s="1028"/>
    </row>
    <row r="59" spans="1:36" ht="19.5" customHeight="1">
      <c r="A59" s="562"/>
      <c r="B59" s="597"/>
      <c r="C59" s="592"/>
      <c r="D59" s="592"/>
      <c r="E59" s="592"/>
      <c r="F59" s="592"/>
      <c r="G59" s="592"/>
      <c r="H59" s="592"/>
      <c r="I59" s="592"/>
      <c r="J59" s="592"/>
      <c r="K59" s="592"/>
      <c r="L59" s="592"/>
      <c r="M59" s="592"/>
      <c r="N59" s="592"/>
      <c r="O59" s="592"/>
      <c r="P59" s="592"/>
      <c r="Q59" s="592"/>
      <c r="R59" s="592"/>
      <c r="S59" s="592"/>
      <c r="T59" s="592"/>
      <c r="U59" s="592"/>
      <c r="V59" s="592"/>
      <c r="W59" s="592"/>
      <c r="X59" s="592"/>
      <c r="Y59" s="594"/>
      <c r="Z59" s="592"/>
      <c r="AA59" s="597" t="s">
        <v>16</v>
      </c>
      <c r="AB59" s="594"/>
      <c r="AC59" s="592"/>
      <c r="AD59" s="3160"/>
      <c r="AE59" s="595"/>
      <c r="AF59" s="596"/>
      <c r="AG59" s="597"/>
      <c r="AH59" s="573"/>
      <c r="AI59" s="574"/>
    </row>
    <row r="60" spans="1:36" ht="19.5" customHeight="1">
      <c r="A60" s="562"/>
      <c r="B60" s="592"/>
      <c r="C60" s="592"/>
      <c r="D60" s="592"/>
      <c r="E60" s="592"/>
      <c r="F60" s="592"/>
      <c r="G60" s="592"/>
      <c r="H60" s="592"/>
      <c r="I60" s="592"/>
      <c r="J60" s="592"/>
      <c r="K60" s="592"/>
      <c r="L60" s="592"/>
      <c r="M60" s="592"/>
      <c r="N60" s="592"/>
      <c r="O60" s="592"/>
      <c r="P60" s="592"/>
      <c r="Q60" s="592"/>
      <c r="R60" s="592"/>
      <c r="S60" s="592"/>
      <c r="T60" s="592"/>
      <c r="U60" s="592"/>
      <c r="V60" s="592"/>
      <c r="W60" s="592"/>
      <c r="X60" s="592"/>
      <c r="Y60" s="594"/>
      <c r="Z60" s="592"/>
      <c r="AA60" s="592"/>
      <c r="AB60" s="594"/>
      <c r="AC60" s="592"/>
      <c r="AD60" s="3159"/>
      <c r="AE60" s="595"/>
      <c r="AF60" s="596"/>
      <c r="AG60" s="597"/>
      <c r="AH60" s="573"/>
      <c r="AI60" s="574"/>
    </row>
    <row r="61" spans="1:36" ht="14.25" customHeight="1">
      <c r="A61" s="609" t="s">
        <v>47</v>
      </c>
      <c r="B61" s="592"/>
      <c r="C61" s="592"/>
      <c r="D61" s="592"/>
      <c r="E61" s="592"/>
      <c r="F61" s="592"/>
      <c r="G61" s="592"/>
      <c r="H61" s="592"/>
      <c r="I61" s="592"/>
      <c r="J61" s="592"/>
      <c r="K61" s="592"/>
      <c r="L61" s="592"/>
      <c r="M61" s="592"/>
      <c r="N61" s="592"/>
      <c r="O61" s="592"/>
      <c r="P61" s="592"/>
      <c r="Q61" s="592"/>
      <c r="R61" s="592"/>
      <c r="S61" s="592"/>
      <c r="T61" s="592"/>
      <c r="U61" s="592"/>
      <c r="V61" s="592"/>
      <c r="W61" s="592"/>
      <c r="X61" s="592"/>
      <c r="Y61" s="594"/>
      <c r="Z61" s="592"/>
      <c r="AA61" s="592"/>
      <c r="AB61" s="594"/>
      <c r="AC61" s="592"/>
      <c r="AD61" s="3159"/>
      <c r="AE61" s="595"/>
      <c r="AF61" s="596"/>
      <c r="AG61" s="597"/>
      <c r="AH61" s="573"/>
      <c r="AI61" s="574"/>
    </row>
    <row r="62" spans="1:36" ht="14.25" customHeight="1">
      <c r="A62" s="610" t="s">
        <v>188</v>
      </c>
      <c r="B62" s="599">
        <v>526.9</v>
      </c>
      <c r="C62" s="592"/>
      <c r="D62" s="614">
        <v>76.8</v>
      </c>
      <c r="E62" s="592"/>
      <c r="F62" s="614">
        <v>148.4</v>
      </c>
      <c r="G62" s="592"/>
      <c r="H62" s="614">
        <v>429.2</v>
      </c>
      <c r="I62" s="592"/>
      <c r="J62" s="614">
        <v>78.099999999999994</v>
      </c>
      <c r="K62" s="592"/>
      <c r="L62" s="614">
        <v>389.2</v>
      </c>
      <c r="M62" s="592"/>
      <c r="N62" s="614">
        <v>312.89999999999998</v>
      </c>
      <c r="O62" s="592"/>
      <c r="P62" s="614">
        <v>89.5</v>
      </c>
      <c r="Q62" s="592"/>
      <c r="R62" s="614">
        <v>205.6</v>
      </c>
      <c r="S62" s="592"/>
      <c r="T62" s="614"/>
      <c r="U62" s="592"/>
      <c r="V62" s="614"/>
      <c r="W62" s="592"/>
      <c r="X62" s="614"/>
      <c r="Y62" s="594"/>
      <c r="Z62" s="592"/>
      <c r="AA62" s="591">
        <f>ROUND(SUM(B62:X62),1)</f>
        <v>2256.6</v>
      </c>
      <c r="AB62" s="594"/>
      <c r="AC62" s="592"/>
      <c r="AD62" s="3161">
        <v>2567.6999999999998</v>
      </c>
      <c r="AE62" s="595"/>
      <c r="AF62" s="596"/>
      <c r="AG62" s="597">
        <f>ROUND(SUM(AA62-AD62),1)</f>
        <v>-311.10000000000002</v>
      </c>
      <c r="AH62" s="573"/>
      <c r="AI62" s="45">
        <f>ROUND(IF(AD62=0,0,AG62/ABS(AD62)),3)</f>
        <v>-0.121</v>
      </c>
    </row>
    <row r="63" spans="1:36" ht="14.25" customHeight="1">
      <c r="A63" s="610" t="s">
        <v>198</v>
      </c>
      <c r="B63" s="612">
        <v>-2302.1999999999998</v>
      </c>
      <c r="C63" s="592"/>
      <c r="D63" s="612">
        <v>-1020.9</v>
      </c>
      <c r="E63" s="592"/>
      <c r="F63" s="612">
        <v>-2180</v>
      </c>
      <c r="G63" s="592"/>
      <c r="H63" s="612">
        <v>-1169.8</v>
      </c>
      <c r="I63" s="592"/>
      <c r="J63" s="612">
        <v>-863.5</v>
      </c>
      <c r="K63" s="592"/>
      <c r="L63" s="612">
        <v>-2309.1999999999998</v>
      </c>
      <c r="M63" s="592"/>
      <c r="N63" s="612">
        <v>-1179.4000000000001</v>
      </c>
      <c r="O63" s="592"/>
      <c r="P63" s="612">
        <v>-1055.0999999999999</v>
      </c>
      <c r="Q63" s="592"/>
      <c r="R63" s="612">
        <v>-1968</v>
      </c>
      <c r="S63" s="592"/>
      <c r="T63" s="612"/>
      <c r="U63" s="592"/>
      <c r="V63" s="612"/>
      <c r="W63" s="592"/>
      <c r="X63" s="612"/>
      <c r="Y63" s="594"/>
      <c r="Z63" s="592"/>
      <c r="AA63" s="600">
        <f>ROUND(SUM(B63:X63),1)</f>
        <v>-14048.1</v>
      </c>
      <c r="AB63" s="594"/>
      <c r="AC63" s="592"/>
      <c r="AD63" s="3164">
        <v>-12712.9</v>
      </c>
      <c r="AE63" s="595"/>
      <c r="AF63" s="596"/>
      <c r="AG63" s="611">
        <f>ROUND(SUM(-(AA63-AD63)),1)</f>
        <v>1335.2</v>
      </c>
      <c r="AH63" s="573"/>
      <c r="AI63" s="1847">
        <f>ROUND(IF(AD63=0,0,AG63/ABS(AD63)),3)</f>
        <v>0.105</v>
      </c>
    </row>
    <row r="64" spans="1:36" ht="15">
      <c r="A64" s="562"/>
      <c r="B64" s="592"/>
      <c r="C64" s="592"/>
      <c r="D64" s="615"/>
      <c r="E64" s="592"/>
      <c r="F64" s="615"/>
      <c r="G64" s="592"/>
      <c r="H64" s="615"/>
      <c r="I64" s="592"/>
      <c r="J64" s="615"/>
      <c r="K64" s="592"/>
      <c r="L64" s="615"/>
      <c r="M64" s="592"/>
      <c r="N64" s="615"/>
      <c r="O64" s="592"/>
      <c r="P64" s="615"/>
      <c r="Q64" s="592"/>
      <c r="R64" s="615"/>
      <c r="S64" s="592"/>
      <c r="T64" s="615"/>
      <c r="U64" s="592"/>
      <c r="V64" s="615"/>
      <c r="W64" s="592"/>
      <c r="X64" s="615"/>
      <c r="Y64" s="594"/>
      <c r="Z64" s="592"/>
      <c r="AA64" s="592"/>
      <c r="AB64" s="594"/>
      <c r="AC64" s="592"/>
      <c r="AD64" s="3159"/>
      <c r="AE64" s="595"/>
      <c r="AF64" s="596"/>
      <c r="AG64" s="597"/>
      <c r="AH64" s="573"/>
      <c r="AI64" s="574"/>
    </row>
    <row r="65" spans="1:38" ht="14.25" customHeight="1">
      <c r="A65" s="609" t="s">
        <v>1194</v>
      </c>
      <c r="B65" s="616">
        <f>ROUND(SUM(B62:B63),1)</f>
        <v>-1775.3</v>
      </c>
      <c r="C65" s="603"/>
      <c r="D65" s="616">
        <f>ROUND(SUM(D62:D63),1)</f>
        <v>-944.1</v>
      </c>
      <c r="E65" s="604"/>
      <c r="F65" s="616">
        <f>ROUND(SUM(F62:F63),1)</f>
        <v>-2031.6</v>
      </c>
      <c r="G65" s="604"/>
      <c r="H65" s="616">
        <f>ROUND(SUM(H62:H63),1)</f>
        <v>-740.6</v>
      </c>
      <c r="I65" s="604"/>
      <c r="J65" s="616">
        <f>ROUND(SUM(J62:J63),1)</f>
        <v>-785.4</v>
      </c>
      <c r="K65" s="604"/>
      <c r="L65" s="616">
        <f>ROUND(SUM(L62:L63),1)</f>
        <v>-1920</v>
      </c>
      <c r="M65" s="604"/>
      <c r="N65" s="616">
        <f>ROUND(SUM(N62:N63),1)</f>
        <v>-866.5</v>
      </c>
      <c r="O65" s="604"/>
      <c r="P65" s="616">
        <f>ROUND(SUM(P62:P63),1)</f>
        <v>-965.6</v>
      </c>
      <c r="Q65" s="604"/>
      <c r="R65" s="616">
        <f>ROUND(SUM(R62:R63),1)</f>
        <v>-1762.4</v>
      </c>
      <c r="S65" s="604"/>
      <c r="T65" s="616">
        <f>ROUND(SUM(T62:T63),1)</f>
        <v>0</v>
      </c>
      <c r="U65" s="604"/>
      <c r="V65" s="616">
        <f>ROUND(SUM(V62:V63),1)</f>
        <v>0</v>
      </c>
      <c r="W65" s="604"/>
      <c r="X65" s="616">
        <f>ROUND(SUM(X62:X63),1)</f>
        <v>0</v>
      </c>
      <c r="Y65" s="605"/>
      <c r="Z65" s="603"/>
      <c r="AA65" s="616">
        <f>ROUND(SUM(AA62:AA63),1)</f>
        <v>-11791.5</v>
      </c>
      <c r="AB65" s="605"/>
      <c r="AC65" s="603"/>
      <c r="AD65" s="616">
        <f>ROUND(SUM(AD62:AD63),1)</f>
        <v>-10145.200000000001</v>
      </c>
      <c r="AE65" s="606"/>
      <c r="AF65" s="607"/>
      <c r="AG65" s="616">
        <f>ROUND(SUM(AG62-AG63),1)</f>
        <v>-1646.3</v>
      </c>
      <c r="AH65" s="583"/>
      <c r="AI65" s="1961">
        <f>ROUND(IF(AD65=0,0,AG65/ABS(AD65)),3)</f>
        <v>-0.16200000000000001</v>
      </c>
      <c r="AJ65" s="1028"/>
    </row>
    <row r="66" spans="1:38" ht="19.5" customHeight="1">
      <c r="A66" s="562"/>
      <c r="B66" s="592"/>
      <c r="C66" s="592"/>
      <c r="D66" s="615"/>
      <c r="E66" s="592"/>
      <c r="F66" s="615"/>
      <c r="G66" s="592"/>
      <c r="H66" s="615"/>
      <c r="I66" s="592"/>
      <c r="J66" s="615"/>
      <c r="K66" s="592"/>
      <c r="L66" s="615"/>
      <c r="M66" s="592"/>
      <c r="N66" s="615"/>
      <c r="O66" s="592"/>
      <c r="P66" s="615"/>
      <c r="Q66" s="592"/>
      <c r="R66" s="615"/>
      <c r="S66" s="592"/>
      <c r="T66" s="615"/>
      <c r="U66" s="592"/>
      <c r="V66" s="615"/>
      <c r="W66" s="592"/>
      <c r="X66" s="615"/>
      <c r="Y66" s="594"/>
      <c r="Z66" s="592"/>
      <c r="AA66" s="592" t="s">
        <v>16</v>
      </c>
      <c r="AB66" s="594"/>
      <c r="AC66" s="592"/>
      <c r="AD66" s="3159"/>
      <c r="AE66" s="595"/>
      <c r="AF66" s="596"/>
      <c r="AG66" s="597"/>
      <c r="AH66" s="573"/>
      <c r="AI66" s="574"/>
    </row>
    <row r="67" spans="1:38" ht="19.5" customHeight="1">
      <c r="A67" s="562"/>
      <c r="B67" s="592"/>
      <c r="C67" s="592"/>
      <c r="D67" s="615"/>
      <c r="E67" s="592"/>
      <c r="F67" s="615"/>
      <c r="G67" s="592"/>
      <c r="H67" s="615"/>
      <c r="I67" s="592"/>
      <c r="J67" s="615"/>
      <c r="K67" s="592"/>
      <c r="L67" s="615"/>
      <c r="M67" s="592"/>
      <c r="N67" s="615"/>
      <c r="O67" s="592"/>
      <c r="P67" s="615"/>
      <c r="Q67" s="592"/>
      <c r="R67" s="615"/>
      <c r="S67" s="592"/>
      <c r="T67" s="615"/>
      <c r="U67" s="592"/>
      <c r="V67" s="615"/>
      <c r="W67" s="592"/>
      <c r="X67" s="615"/>
      <c r="Y67" s="594"/>
      <c r="Z67" s="592"/>
      <c r="AA67" s="592"/>
      <c r="AB67" s="594"/>
      <c r="AC67" s="592"/>
      <c r="AD67" s="3159"/>
      <c r="AE67" s="595"/>
      <c r="AF67" s="596"/>
      <c r="AG67" s="597"/>
      <c r="AH67" s="573"/>
      <c r="AI67" s="574"/>
    </row>
    <row r="68" spans="1:38" ht="14.25" customHeight="1">
      <c r="A68" s="589" t="s">
        <v>199</v>
      </c>
      <c r="B68" s="592"/>
      <c r="C68" s="592"/>
      <c r="D68" s="593"/>
      <c r="E68" s="592"/>
      <c r="F68" s="593"/>
      <c r="G68" s="592"/>
      <c r="H68" s="593"/>
      <c r="I68" s="592"/>
      <c r="J68" s="593"/>
      <c r="K68" s="592"/>
      <c r="L68" s="593"/>
      <c r="M68" s="592"/>
      <c r="N68" s="593"/>
      <c r="O68" s="592"/>
      <c r="P68" s="593"/>
      <c r="Q68" s="592"/>
      <c r="R68" s="593"/>
      <c r="S68" s="592"/>
      <c r="T68" s="593"/>
      <c r="U68" s="592"/>
      <c r="V68" s="593"/>
      <c r="W68" s="592"/>
      <c r="X68" s="593"/>
      <c r="Y68" s="594"/>
      <c r="Z68" s="592"/>
      <c r="AA68" s="592"/>
      <c r="AB68" s="594"/>
      <c r="AC68" s="592"/>
      <c r="AD68" s="3159"/>
      <c r="AE68" s="595"/>
      <c r="AF68" s="596"/>
      <c r="AG68" s="597"/>
      <c r="AH68" s="573"/>
      <c r="AI68" s="574"/>
    </row>
    <row r="69" spans="1:38" ht="14.25" customHeight="1">
      <c r="A69" s="589" t="s">
        <v>200</v>
      </c>
      <c r="B69" s="592"/>
      <c r="C69" s="592"/>
      <c r="D69" s="593"/>
      <c r="E69" s="592"/>
      <c r="F69" s="593"/>
      <c r="G69" s="592"/>
      <c r="H69" s="593"/>
      <c r="I69" s="592"/>
      <c r="J69" s="593"/>
      <c r="K69" s="592"/>
      <c r="L69" s="593"/>
      <c r="M69" s="592"/>
      <c r="N69" s="593"/>
      <c r="O69" s="592"/>
      <c r="P69" s="593"/>
      <c r="Q69" s="592"/>
      <c r="R69" s="593"/>
      <c r="S69" s="592"/>
      <c r="T69" s="593"/>
      <c r="U69" s="592"/>
      <c r="V69" s="593"/>
      <c r="W69" s="592"/>
      <c r="X69" s="593"/>
      <c r="Y69" s="594"/>
      <c r="Z69" s="592"/>
      <c r="AA69" s="592"/>
      <c r="AB69" s="594"/>
      <c r="AC69" s="592"/>
      <c r="AD69" s="3159"/>
      <c r="AE69" s="595"/>
      <c r="AF69" s="596"/>
      <c r="AG69" s="597"/>
      <c r="AH69" s="573"/>
      <c r="AI69" s="574"/>
    </row>
    <row r="70" spans="1:38" ht="14.25" customHeight="1">
      <c r="A70" s="589" t="s">
        <v>1623</v>
      </c>
      <c r="B70" s="602">
        <f>ROUND(SUM(+B58+B65),1)</f>
        <v>295.89999999999998</v>
      </c>
      <c r="C70" s="603"/>
      <c r="D70" s="602">
        <f>ROUND(SUM(+D58+D65),1)</f>
        <v>37.4</v>
      </c>
      <c r="E70" s="603"/>
      <c r="F70" s="602">
        <f>ROUND(SUM(+F58+F65),1)</f>
        <v>-236.2</v>
      </c>
      <c r="G70" s="603"/>
      <c r="H70" s="602">
        <f>ROUND(SUM(+H58+H65),1)</f>
        <v>471.7</v>
      </c>
      <c r="I70" s="603"/>
      <c r="J70" s="602">
        <f>ROUND(SUM(+J58+J65),1)</f>
        <v>242.4</v>
      </c>
      <c r="K70" s="603"/>
      <c r="L70" s="602">
        <f>ROUND(SUM(+L58+L65),1)</f>
        <v>-597.29999999999995</v>
      </c>
      <c r="M70" s="603"/>
      <c r="N70" s="602">
        <f>ROUND(SUM(+N58+N65),1)</f>
        <v>282.8</v>
      </c>
      <c r="O70" s="603"/>
      <c r="P70" s="602">
        <f>ROUND(SUM(+P58+P65),1)</f>
        <v>95.1</v>
      </c>
      <c r="Q70" s="603"/>
      <c r="R70" s="602">
        <f>ROUND(SUM(+R58+R65),1)</f>
        <v>-117.2</v>
      </c>
      <c r="S70" s="603"/>
      <c r="T70" s="602">
        <f>ROUND(SUM(+T58+T65),1)</f>
        <v>0</v>
      </c>
      <c r="U70" s="603"/>
      <c r="V70" s="602">
        <f>ROUND(SUM(+V58+V65),1)</f>
        <v>0</v>
      </c>
      <c r="W70" s="603"/>
      <c r="X70" s="602">
        <f>ROUND(SUM(+X58+X65),1)</f>
        <v>0</v>
      </c>
      <c r="Y70" s="605"/>
      <c r="Z70" s="603"/>
      <c r="AA70" s="602">
        <f>ROUND(SUM(+AA58+AA65),1)</f>
        <v>474.6</v>
      </c>
      <c r="AB70" s="605"/>
      <c r="AC70" s="603"/>
      <c r="AD70" s="602">
        <f>ROUND(SUM(+AD58+AD65),1)</f>
        <v>307.89999999999998</v>
      </c>
      <c r="AE70" s="606"/>
      <c r="AF70" s="607"/>
      <c r="AG70" s="602">
        <f>ROUND(SUM(+AG58+AG65),1)</f>
        <v>166.7</v>
      </c>
      <c r="AH70" s="583"/>
      <c r="AI70" s="2853">
        <f>ROUND(IF(AD70=0,0,AG70/ABS(AD70)),3)</f>
        <v>0.54100000000000004</v>
      </c>
      <c r="AJ70" s="1028"/>
    </row>
    <row r="71" spans="1:38" ht="15">
      <c r="A71" s="562"/>
      <c r="B71" s="563"/>
      <c r="C71" s="563"/>
      <c r="D71" s="617"/>
      <c r="E71" s="563"/>
      <c r="F71" s="618"/>
      <c r="G71" s="563"/>
      <c r="H71" s="618"/>
      <c r="I71" s="563"/>
      <c r="J71" s="618"/>
      <c r="K71" s="563"/>
      <c r="L71" s="619"/>
      <c r="M71" s="563"/>
      <c r="N71" s="618"/>
      <c r="O71" s="563"/>
      <c r="P71" s="618"/>
      <c r="Q71" s="563"/>
      <c r="R71" s="618"/>
      <c r="S71" s="563"/>
      <c r="T71" s="618"/>
      <c r="U71" s="563"/>
      <c r="V71" s="618"/>
      <c r="W71" s="563"/>
      <c r="X71" s="618"/>
      <c r="Y71" s="586"/>
      <c r="Z71" s="563"/>
      <c r="AA71" s="563" t="s">
        <v>16</v>
      </c>
      <c r="AB71" s="586"/>
      <c r="AC71" s="563"/>
      <c r="AD71" s="3157"/>
      <c r="AE71" s="569"/>
      <c r="AF71" s="587"/>
      <c r="AG71" s="588"/>
      <c r="AH71" s="573"/>
      <c r="AI71" s="574"/>
    </row>
    <row r="72" spans="1:38" ht="15">
      <c r="A72" s="562"/>
      <c r="B72" s="562"/>
      <c r="C72" s="562"/>
      <c r="D72" s="566"/>
      <c r="E72" s="562"/>
      <c r="F72" s="588"/>
      <c r="G72" s="562"/>
      <c r="H72" s="565"/>
      <c r="I72" s="562"/>
      <c r="J72" s="565"/>
      <c r="K72" s="562"/>
      <c r="L72" s="620"/>
      <c r="M72" s="562"/>
      <c r="N72" s="565"/>
      <c r="O72" s="562"/>
      <c r="P72" s="565"/>
      <c r="Q72" s="562"/>
      <c r="R72" s="565"/>
      <c r="S72" s="562"/>
      <c r="T72" s="588"/>
      <c r="U72" s="563"/>
      <c r="V72" s="588"/>
      <c r="W72" s="563"/>
      <c r="X72" s="588"/>
      <c r="Y72" s="585"/>
      <c r="Z72" s="562"/>
      <c r="AA72" s="563"/>
      <c r="AB72" s="586"/>
      <c r="AC72" s="563"/>
      <c r="AD72" s="3156"/>
      <c r="AE72" s="567"/>
      <c r="AF72" s="587"/>
      <c r="AG72" s="588"/>
      <c r="AH72" s="573"/>
      <c r="AI72" s="574"/>
    </row>
    <row r="73" spans="1:38" ht="19.5" customHeight="1" thickBot="1">
      <c r="A73" s="589" t="s">
        <v>146</v>
      </c>
      <c r="B73" s="621">
        <f>ROUND(SUM(B12+B70),1)</f>
        <v>414.6</v>
      </c>
      <c r="C73" s="576"/>
      <c r="D73" s="621">
        <f>ROUND(SUM(D12+D70),1)</f>
        <v>452</v>
      </c>
      <c r="E73" s="576"/>
      <c r="F73" s="621">
        <f>ROUND(SUM(F12+F70),1)</f>
        <v>215.8</v>
      </c>
      <c r="G73" s="576"/>
      <c r="H73" s="621">
        <f>ROUND(SUM(H12+H70),1)</f>
        <v>687.5</v>
      </c>
      <c r="I73" s="576"/>
      <c r="J73" s="621">
        <f>ROUND(SUM(J12+J70),1)</f>
        <v>929.9</v>
      </c>
      <c r="K73" s="576"/>
      <c r="L73" s="621">
        <f>ROUND(SUM(L12+L70),1)</f>
        <v>332.6</v>
      </c>
      <c r="M73" s="576"/>
      <c r="N73" s="621">
        <f>ROUND(SUM(N12+N70),1)</f>
        <v>615.4</v>
      </c>
      <c r="O73" s="576"/>
      <c r="P73" s="621">
        <f>ROUND(SUM(P12+P70),1)</f>
        <v>710.5</v>
      </c>
      <c r="Q73" s="576"/>
      <c r="R73" s="621">
        <f>ROUND(SUM(R12+R70),1)</f>
        <v>593.29999999999995</v>
      </c>
      <c r="S73" s="576"/>
      <c r="T73" s="621">
        <f>ROUND(SUM(T12+T70),1)</f>
        <v>0</v>
      </c>
      <c r="U73" s="576"/>
      <c r="V73" s="621">
        <f>ROUND(SUM(V12+V70),1)</f>
        <v>0</v>
      </c>
      <c r="W73" s="576"/>
      <c r="X73" s="621">
        <f>ROUND(SUM(X12+X70),1)</f>
        <v>0</v>
      </c>
      <c r="Y73" s="579"/>
      <c r="Z73" s="576"/>
      <c r="AA73" s="621">
        <f>ROUND(SUM(AA12+AA70),1)</f>
        <v>593.29999999999995</v>
      </c>
      <c r="AB73" s="579"/>
      <c r="AC73" s="576"/>
      <c r="AD73" s="621">
        <f>ROUND(SUM(AD12+AD70),1)</f>
        <v>373</v>
      </c>
      <c r="AE73" s="622"/>
      <c r="AF73" s="581"/>
      <c r="AG73" s="621">
        <f>ROUND(SUM(+AG12+AG70),1)</f>
        <v>220.3</v>
      </c>
      <c r="AH73" s="583"/>
      <c r="AI73" s="127">
        <f>ROUND(IF(AD73=0,0,AG73/ABS(AD73)),3)</f>
        <v>0.59099999999999997</v>
      </c>
      <c r="AJ73" s="1030"/>
      <c r="AK73" s="608"/>
      <c r="AL73" s="608"/>
    </row>
    <row r="74" spans="1:38" ht="14.25" customHeight="1" thickTop="1">
      <c r="A74" s="623"/>
      <c r="B74" s="624"/>
      <c r="C74" s="625"/>
      <c r="D74" s="624"/>
      <c r="E74" s="556"/>
      <c r="F74" s="624"/>
      <c r="G74" s="556"/>
      <c r="H74" s="626"/>
      <c r="I74" s="556"/>
      <c r="J74" s="626"/>
      <c r="K74" s="556"/>
      <c r="L74" s="626"/>
      <c r="M74" s="556"/>
      <c r="N74" s="626"/>
      <c r="O74" s="556"/>
      <c r="P74" s="626"/>
      <c r="Q74" s="556"/>
      <c r="R74" s="626"/>
      <c r="S74" s="556"/>
      <c r="T74" s="626"/>
      <c r="U74" s="557"/>
      <c r="V74" s="626"/>
      <c r="W74" s="557"/>
      <c r="X74" s="626"/>
      <c r="Y74" s="624"/>
      <c r="Z74" s="625"/>
      <c r="AA74" s="624"/>
      <c r="AB74" s="624"/>
      <c r="AC74" s="625"/>
      <c r="AD74" s="624"/>
      <c r="AE74" s="627"/>
      <c r="AF74" s="624"/>
      <c r="AG74" s="624"/>
      <c r="AH74" s="628"/>
      <c r="AI74" s="629"/>
    </row>
    <row r="75" spans="1:38">
      <c r="L75" s="557"/>
      <c r="T75" s="630"/>
      <c r="U75" s="630"/>
      <c r="V75" s="630"/>
      <c r="W75" s="630"/>
      <c r="X75" s="630"/>
      <c r="AD75" s="2630"/>
    </row>
    <row r="76" spans="1:38" ht="12" customHeight="1">
      <c r="A76" s="574"/>
      <c r="L76" s="557"/>
      <c r="R76" s="631"/>
      <c r="T76" s="625"/>
      <c r="X76" s="625"/>
    </row>
    <row r="77" spans="1:38">
      <c r="L77" s="557"/>
      <c r="R77" s="631"/>
      <c r="T77" s="625"/>
      <c r="X77" s="625"/>
    </row>
    <row r="78" spans="1:38">
      <c r="A78" s="590"/>
      <c r="L78" s="557"/>
    </row>
    <row r="79" spans="1:38">
      <c r="A79" s="632"/>
      <c r="L79" s="557"/>
      <c r="R79" s="633"/>
    </row>
    <row r="80" spans="1:38">
      <c r="A80" s="634"/>
      <c r="L80" s="557"/>
    </row>
    <row r="81" spans="1:35">
      <c r="A81" s="635"/>
      <c r="L81" s="557"/>
      <c r="AI81" s="625"/>
    </row>
    <row r="82" spans="1:35">
      <c r="L82" s="557"/>
    </row>
    <row r="83" spans="1:35">
      <c r="L83" s="557"/>
    </row>
    <row r="84" spans="1:35">
      <c r="L84" s="557"/>
    </row>
    <row r="85" spans="1:35">
      <c r="L85" s="557"/>
    </row>
    <row r="86" spans="1:35">
      <c r="L86" s="557"/>
    </row>
    <row r="87" spans="1:35">
      <c r="L87" s="557"/>
    </row>
    <row r="88" spans="1:35">
      <c r="L88" s="557"/>
    </row>
    <row r="89" spans="1:35">
      <c r="L89" s="557"/>
    </row>
    <row r="90" spans="1:35">
      <c r="L90" s="557"/>
    </row>
    <row r="91" spans="1:35">
      <c r="L91" s="557"/>
    </row>
    <row r="92" spans="1:35">
      <c r="L92" s="557"/>
    </row>
    <row r="93" spans="1:35">
      <c r="L93" s="557"/>
    </row>
    <row r="94" spans="1:35">
      <c r="L94" s="557"/>
    </row>
    <row r="95" spans="1:35">
      <c r="L95" s="557"/>
    </row>
    <row r="96" spans="1:35">
      <c r="L96" s="557"/>
    </row>
    <row r="97" spans="12:12">
      <c r="L97" s="557"/>
    </row>
    <row r="98" spans="12:12">
      <c r="L98" s="557"/>
    </row>
    <row r="99" spans="12:12">
      <c r="L99" s="557"/>
    </row>
    <row r="100" spans="12:12">
      <c r="L100" s="557"/>
    </row>
    <row r="101" spans="12:12">
      <c r="L101" s="557"/>
    </row>
    <row r="102" spans="12:12">
      <c r="L102" s="557"/>
    </row>
    <row r="103" spans="12:12">
      <c r="L103" s="557"/>
    </row>
    <row r="104" spans="12:12">
      <c r="L104" s="557"/>
    </row>
    <row r="105" spans="12:12">
      <c r="L105" s="557"/>
    </row>
    <row r="106" spans="12:12">
      <c r="L106" s="557"/>
    </row>
    <row r="107" spans="12:12">
      <c r="L107" s="557"/>
    </row>
    <row r="108" spans="12:12">
      <c r="L108" s="557"/>
    </row>
    <row r="109" spans="12:12">
      <c r="L109" s="557"/>
    </row>
    <row r="110" spans="12:12">
      <c r="L110" s="557"/>
    </row>
    <row r="111" spans="12:12">
      <c r="L111" s="557"/>
    </row>
    <row r="112" spans="12:12">
      <c r="L112" s="557"/>
    </row>
    <row r="113" spans="12:12">
      <c r="L113" s="557"/>
    </row>
    <row r="114" spans="12:12">
      <c r="L114" s="557"/>
    </row>
    <row r="115" spans="12:12">
      <c r="L115" s="557"/>
    </row>
    <row r="116" spans="12:12">
      <c r="L116" s="557"/>
    </row>
    <row r="117" spans="12:12">
      <c r="L117" s="557"/>
    </row>
    <row r="118" spans="12:12">
      <c r="L118" s="557"/>
    </row>
    <row r="119" spans="12:12">
      <c r="L119" s="557"/>
    </row>
    <row r="120" spans="12:12">
      <c r="L120" s="557"/>
    </row>
    <row r="121" spans="12:12">
      <c r="L121" s="557"/>
    </row>
    <row r="122" spans="12:12">
      <c r="L122" s="557"/>
    </row>
    <row r="123" spans="12:12">
      <c r="L123" s="557"/>
    </row>
    <row r="124" spans="12:12">
      <c r="L124" s="557"/>
    </row>
    <row r="125" spans="12:12">
      <c r="L125" s="557"/>
    </row>
    <row r="126" spans="12:12">
      <c r="L126" s="557"/>
    </row>
    <row r="127" spans="12:12">
      <c r="L127" s="557"/>
    </row>
    <row r="128" spans="12:12">
      <c r="L128" s="557"/>
    </row>
    <row r="129" spans="12:12">
      <c r="L129" s="557"/>
    </row>
    <row r="130" spans="12:12">
      <c r="L130" s="557"/>
    </row>
    <row r="131" spans="12:12">
      <c r="L131" s="557"/>
    </row>
    <row r="132" spans="12:12">
      <c r="L132" s="557"/>
    </row>
    <row r="133" spans="12:12">
      <c r="L133" s="557"/>
    </row>
    <row r="134" spans="12:12">
      <c r="L134" s="557"/>
    </row>
    <row r="135" spans="12:12">
      <c r="L135" s="557"/>
    </row>
    <row r="136" spans="12:12">
      <c r="L136" s="557"/>
    </row>
    <row r="137" spans="12:12">
      <c r="L137" s="557"/>
    </row>
    <row r="138" spans="12:12">
      <c r="L138" s="557"/>
    </row>
    <row r="139" spans="12:12">
      <c r="L139" s="557"/>
    </row>
    <row r="140" spans="12:12">
      <c r="L140" s="557"/>
    </row>
    <row r="141" spans="12:12">
      <c r="L141" s="557"/>
    </row>
    <row r="142" spans="12:12">
      <c r="L142" s="557"/>
    </row>
    <row r="143" spans="12:12">
      <c r="L143" s="557"/>
    </row>
    <row r="144" spans="12:12">
      <c r="L144" s="557"/>
    </row>
    <row r="145" spans="12:12">
      <c r="L145" s="557"/>
    </row>
    <row r="146" spans="12:12">
      <c r="L146" s="557"/>
    </row>
    <row r="147" spans="12:12">
      <c r="L147" s="557"/>
    </row>
    <row r="148" spans="12:12">
      <c r="L148" s="557"/>
    </row>
    <row r="149" spans="12:12">
      <c r="L149" s="557"/>
    </row>
    <row r="150" spans="12:12">
      <c r="L150" s="557"/>
    </row>
    <row r="151" spans="12:12">
      <c r="L151" s="557"/>
    </row>
    <row r="152" spans="12:12">
      <c r="L152" s="557"/>
    </row>
    <row r="153" spans="12:12">
      <c r="L153" s="557"/>
    </row>
    <row r="154" spans="12:12">
      <c r="L154" s="557"/>
    </row>
    <row r="155" spans="12:12">
      <c r="L155" s="557"/>
    </row>
    <row r="156" spans="12:12">
      <c r="L156" s="557"/>
    </row>
    <row r="157" spans="12:12">
      <c r="L157" s="557"/>
    </row>
    <row r="158" spans="12:12">
      <c r="L158" s="557"/>
    </row>
    <row r="159" spans="12:12">
      <c r="L159" s="557"/>
    </row>
    <row r="160" spans="12:12">
      <c r="L160" s="557"/>
    </row>
    <row r="161" spans="12:12">
      <c r="L161" s="557"/>
    </row>
    <row r="162" spans="12:12">
      <c r="L162" s="557"/>
    </row>
    <row r="163" spans="12:12">
      <c r="L163" s="557"/>
    </row>
    <row r="164" spans="12:12">
      <c r="L164" s="557"/>
    </row>
    <row r="165" spans="12:12">
      <c r="L165" s="557"/>
    </row>
    <row r="166" spans="12:12">
      <c r="L166" s="557"/>
    </row>
    <row r="167" spans="12:12">
      <c r="L167" s="557"/>
    </row>
    <row r="168" spans="12:12">
      <c r="L168" s="557"/>
    </row>
    <row r="169" spans="12:12">
      <c r="L169" s="557"/>
    </row>
    <row r="170" spans="12:12">
      <c r="L170" s="557"/>
    </row>
    <row r="171" spans="12:12">
      <c r="L171" s="557"/>
    </row>
    <row r="172" spans="12:12">
      <c r="L172" s="557"/>
    </row>
    <row r="173" spans="12:12">
      <c r="L173" s="557"/>
    </row>
    <row r="174" spans="12:12">
      <c r="L174" s="557"/>
    </row>
    <row r="175" spans="12:12">
      <c r="L175" s="557"/>
    </row>
    <row r="176" spans="12:12">
      <c r="L176" s="557"/>
    </row>
    <row r="177" spans="12:12">
      <c r="L177" s="557"/>
    </row>
    <row r="178" spans="12:12">
      <c r="L178" s="557"/>
    </row>
    <row r="179" spans="12:12">
      <c r="L179" s="557"/>
    </row>
    <row r="180" spans="12:12">
      <c r="L180" s="557"/>
    </row>
    <row r="181" spans="12:12">
      <c r="L181" s="557"/>
    </row>
    <row r="182" spans="12:12">
      <c r="L182" s="557"/>
    </row>
    <row r="183" spans="12:12">
      <c r="L183" s="557"/>
    </row>
    <row r="184" spans="12:12">
      <c r="L184" s="557"/>
    </row>
    <row r="185" spans="12:12">
      <c r="L185" s="557"/>
    </row>
    <row r="186" spans="12:12">
      <c r="L186" s="557"/>
    </row>
    <row r="187" spans="12:12">
      <c r="L187" s="557"/>
    </row>
    <row r="188" spans="12:12">
      <c r="L188" s="557"/>
    </row>
    <row r="189" spans="12:12">
      <c r="L189" s="557"/>
    </row>
    <row r="190" spans="12:12">
      <c r="L190" s="557"/>
    </row>
    <row r="191" spans="12:12">
      <c r="L191" s="557"/>
    </row>
    <row r="192" spans="12:12">
      <c r="L192" s="557"/>
    </row>
    <row r="193" spans="12:12">
      <c r="L193" s="557"/>
    </row>
    <row r="194" spans="12:12">
      <c r="L194" s="557"/>
    </row>
    <row r="195" spans="12:12">
      <c r="L195" s="557"/>
    </row>
    <row r="196" spans="12:12">
      <c r="L196" s="557"/>
    </row>
    <row r="197" spans="12:12">
      <c r="L197" s="557"/>
    </row>
    <row r="198" spans="12:12">
      <c r="L198" s="557"/>
    </row>
    <row r="199" spans="12:12">
      <c r="L199" s="557"/>
    </row>
    <row r="200" spans="12:12">
      <c r="L200" s="557"/>
    </row>
    <row r="201" spans="12:12">
      <c r="L201" s="557"/>
    </row>
    <row r="202" spans="12:12">
      <c r="L202" s="557"/>
    </row>
    <row r="203" spans="12:12">
      <c r="L203" s="557"/>
    </row>
    <row r="204" spans="12:12">
      <c r="L204" s="557"/>
    </row>
    <row r="205" spans="12:12">
      <c r="L205" s="557"/>
    </row>
    <row r="206" spans="12:12">
      <c r="L206" s="557"/>
    </row>
    <row r="207" spans="12:12">
      <c r="L207" s="557"/>
    </row>
    <row r="208" spans="12:12">
      <c r="L208" s="557"/>
    </row>
    <row r="209" spans="12:12">
      <c r="L209" s="557"/>
    </row>
    <row r="210" spans="12:12">
      <c r="L210" s="557"/>
    </row>
    <row r="211" spans="12:12">
      <c r="L211" s="557"/>
    </row>
    <row r="212" spans="12:12">
      <c r="L212" s="557"/>
    </row>
    <row r="213" spans="12:12">
      <c r="L213" s="557"/>
    </row>
    <row r="214" spans="12:12">
      <c r="L214" s="557"/>
    </row>
    <row r="215" spans="12:12">
      <c r="L215" s="557"/>
    </row>
    <row r="216" spans="12:12">
      <c r="L216" s="557"/>
    </row>
    <row r="217" spans="12:12">
      <c r="L217" s="557"/>
    </row>
    <row r="218" spans="12:12">
      <c r="L218" s="557"/>
    </row>
    <row r="219" spans="12:12">
      <c r="L219" s="557"/>
    </row>
    <row r="220" spans="12:12">
      <c r="L220" s="557"/>
    </row>
    <row r="221" spans="12:12">
      <c r="L221" s="557"/>
    </row>
    <row r="222" spans="12:12">
      <c r="L222" s="557"/>
    </row>
    <row r="223" spans="12:12">
      <c r="L223" s="557"/>
    </row>
    <row r="224" spans="12:12">
      <c r="L224" s="557"/>
    </row>
    <row r="225" spans="12:12">
      <c r="L225" s="557"/>
    </row>
    <row r="226" spans="12:12">
      <c r="L226" s="557"/>
    </row>
    <row r="227" spans="12:12">
      <c r="L227" s="557"/>
    </row>
    <row r="228" spans="12:12">
      <c r="L228" s="557"/>
    </row>
    <row r="229" spans="12:12">
      <c r="L229" s="557"/>
    </row>
    <row r="230" spans="12:12">
      <c r="L230" s="557"/>
    </row>
    <row r="231" spans="12:12">
      <c r="L231" s="557"/>
    </row>
    <row r="232" spans="12:12">
      <c r="L232" s="557"/>
    </row>
    <row r="233" spans="12:12">
      <c r="L233" s="557"/>
    </row>
    <row r="234" spans="12:12">
      <c r="L234" s="557"/>
    </row>
    <row r="235" spans="12:12">
      <c r="L235" s="557"/>
    </row>
    <row r="236" spans="12:12">
      <c r="L236" s="557"/>
    </row>
    <row r="237" spans="12:12">
      <c r="L237" s="557"/>
    </row>
    <row r="238" spans="12:12">
      <c r="L238" s="557"/>
    </row>
    <row r="239" spans="12:12">
      <c r="L239" s="557"/>
    </row>
    <row r="240" spans="12:12">
      <c r="L240" s="557"/>
    </row>
    <row r="241" spans="12:12">
      <c r="L241" s="557"/>
    </row>
    <row r="242" spans="12:12">
      <c r="L242" s="557"/>
    </row>
    <row r="243" spans="12:12">
      <c r="L243" s="557"/>
    </row>
    <row r="244" spans="12:12">
      <c r="L244" s="557"/>
    </row>
    <row r="245" spans="12:12">
      <c r="L245" s="557"/>
    </row>
    <row r="246" spans="12:12">
      <c r="L246" s="557"/>
    </row>
    <row r="247" spans="12:12">
      <c r="L247" s="557"/>
    </row>
    <row r="248" spans="12:12">
      <c r="L248" s="557"/>
    </row>
    <row r="249" spans="12:12">
      <c r="L249" s="557"/>
    </row>
    <row r="250" spans="12:12">
      <c r="L250" s="557"/>
    </row>
    <row r="251" spans="12:12">
      <c r="L251" s="557"/>
    </row>
    <row r="252" spans="12:12">
      <c r="L252" s="557"/>
    </row>
    <row r="253" spans="12:12">
      <c r="L253" s="557"/>
    </row>
    <row r="254" spans="12:12">
      <c r="L254" s="557"/>
    </row>
    <row r="255" spans="12:12">
      <c r="L255" s="557"/>
    </row>
    <row r="256" spans="12:12">
      <c r="L256" s="557"/>
    </row>
    <row r="257" spans="12:12">
      <c r="L257" s="557"/>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9"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8:AI39 AI41 AI47 AI45 AI43" unlockedFormula="1"/>
    <ignoredError sqref="C43 E43 G43 I43 K43" formulaRange="1"/>
    <ignoredError sqref="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90625" defaultRowHeight="15"/>
  <cols>
    <col min="1" max="1" width="2.54296875" style="302" customWidth="1"/>
    <col min="2" max="2" width="15.6328125" style="302" customWidth="1"/>
    <col min="3" max="3" width="32.81640625" style="302" customWidth="1"/>
    <col min="4" max="4" width="2" style="302" customWidth="1"/>
    <col min="5" max="5" width="12.54296875" style="302" customWidth="1"/>
    <col min="6" max="6" width="1.81640625" style="302" customWidth="1"/>
    <col min="7" max="7" width="10.6328125" style="302" customWidth="1"/>
    <col min="8" max="8" width="1.81640625" style="302" customWidth="1"/>
    <col min="9" max="9" width="12.6328125" style="302" customWidth="1"/>
    <col min="10" max="10" width="1.81640625" style="302" customWidth="1"/>
    <col min="11" max="11" width="13.1796875" style="302" customWidth="1"/>
    <col min="12" max="12" width="1.1796875" style="302" customWidth="1"/>
    <col min="13" max="13" width="10.54296875" style="302" customWidth="1"/>
    <col min="14" max="14" width="1.81640625" style="302" customWidth="1"/>
    <col min="15" max="15" width="12.453125" style="302" customWidth="1"/>
    <col min="16" max="16" width="1.81640625" style="302" customWidth="1"/>
    <col min="17" max="17" width="12.1796875" style="302" customWidth="1"/>
    <col min="18" max="18" width="1.81640625" style="302" customWidth="1"/>
    <col min="19" max="19" width="12.1796875" style="302" customWidth="1"/>
    <col min="20" max="20" width="1.81640625" style="302" customWidth="1"/>
    <col min="21" max="21" width="10.81640625" style="302" customWidth="1"/>
    <col min="22" max="22" width="1.81640625" style="302" customWidth="1"/>
    <col min="23" max="23" width="10.08984375" style="302" customWidth="1"/>
    <col min="24" max="24" width="1.81640625" style="302" customWidth="1"/>
    <col min="25" max="25" width="10.81640625" style="302" customWidth="1"/>
    <col min="26" max="26" width="1.81640625" style="302" customWidth="1"/>
    <col min="27" max="27" width="9.6328125" style="302" bestFit="1" customWidth="1"/>
    <col min="28" max="29" width="1.81640625" style="302" customWidth="1"/>
    <col min="30" max="30" width="12.6328125" style="302" customWidth="1"/>
    <col min="31" max="32" width="1.08984375" style="302" customWidth="1"/>
    <col min="33" max="33" width="12.6328125" style="302" customWidth="1"/>
    <col min="34" max="35" width="1" style="302" customWidth="1"/>
    <col min="36" max="36" width="13.08984375" style="302" bestFit="1" customWidth="1"/>
    <col min="37" max="37" width="1.36328125" style="302" customWidth="1"/>
    <col min="38" max="38" width="12.36328125" style="302" customWidth="1"/>
    <col min="39" max="16384" width="8.90625" style="302"/>
  </cols>
  <sheetData>
    <row r="1" spans="1:40">
      <c r="B1" s="1184" t="s">
        <v>1217</v>
      </c>
    </row>
    <row r="2" spans="1:40">
      <c r="B2" s="1733"/>
    </row>
    <row r="3" spans="1:40" ht="19.5" customHeight="1">
      <c r="A3" s="636"/>
      <c r="B3" s="642" t="s">
        <v>0</v>
      </c>
      <c r="C3" s="637"/>
      <c r="D3" s="637"/>
      <c r="E3" s="637"/>
      <c r="F3" s="638"/>
      <c r="G3" s="638"/>
      <c r="H3" s="638"/>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I3" s="638"/>
      <c r="AL3" s="741" t="s">
        <v>201</v>
      </c>
    </row>
    <row r="4" spans="1:40" ht="19.5" customHeight="1">
      <c r="A4" s="636"/>
      <c r="B4" s="642" t="s">
        <v>1266</v>
      </c>
      <c r="C4" s="637"/>
      <c r="D4" s="637"/>
      <c r="E4" s="637"/>
      <c r="F4" s="638"/>
      <c r="G4" s="638"/>
      <c r="H4" s="638"/>
      <c r="I4" s="638"/>
      <c r="J4" s="638"/>
      <c r="K4" s="638"/>
      <c r="L4" s="638"/>
      <c r="M4" s="638"/>
      <c r="N4" s="638"/>
      <c r="O4" s="638"/>
      <c r="P4" s="638"/>
      <c r="Q4" s="638"/>
      <c r="R4" s="638"/>
      <c r="S4" s="638"/>
      <c r="T4" s="638"/>
      <c r="U4" s="638"/>
      <c r="V4" s="638"/>
      <c r="W4" s="638"/>
      <c r="X4" s="638"/>
      <c r="Y4" s="638"/>
      <c r="Z4" s="638"/>
      <c r="AA4" s="638"/>
      <c r="AB4" s="638"/>
      <c r="AC4" s="638"/>
      <c r="AE4" s="639"/>
      <c r="AF4" s="639"/>
    </row>
    <row r="5" spans="1:40" ht="19.5" customHeight="1">
      <c r="A5" s="636"/>
      <c r="B5" s="561" t="s">
        <v>153</v>
      </c>
      <c r="C5" s="637"/>
      <c r="D5" s="637"/>
      <c r="E5" s="637"/>
      <c r="F5" s="638"/>
      <c r="G5" s="638"/>
      <c r="H5" s="638"/>
      <c r="I5" s="638"/>
      <c r="J5" s="638"/>
      <c r="K5" s="638"/>
      <c r="L5" s="638"/>
      <c r="M5" s="638"/>
      <c r="N5" s="638"/>
      <c r="O5" s="638"/>
      <c r="P5" s="638"/>
      <c r="Q5" s="638"/>
      <c r="R5" s="638"/>
      <c r="S5" s="638"/>
      <c r="T5" s="638"/>
      <c r="U5" s="638"/>
      <c r="V5" s="638"/>
      <c r="W5" s="638"/>
      <c r="X5" s="638"/>
      <c r="Y5" s="638"/>
      <c r="Z5" s="638"/>
      <c r="AA5" s="638"/>
      <c r="AB5" s="638"/>
      <c r="AC5" s="638"/>
      <c r="AD5" s="638"/>
      <c r="AE5" s="638"/>
      <c r="AF5" s="638"/>
      <c r="AG5" s="638"/>
      <c r="AH5" s="638"/>
      <c r="AI5" s="638"/>
      <c r="AL5" s="507"/>
    </row>
    <row r="6" spans="1:40" ht="19.5" customHeight="1">
      <c r="A6" s="636"/>
      <c r="B6" s="3154" t="s">
        <v>1530</v>
      </c>
      <c r="C6" s="637"/>
      <c r="D6" s="637"/>
      <c r="E6" s="637"/>
      <c r="F6" s="638"/>
      <c r="G6" s="638"/>
      <c r="H6" s="640"/>
      <c r="I6" s="638"/>
      <c r="J6" s="638"/>
      <c r="K6" s="638"/>
      <c r="L6" s="638"/>
      <c r="M6" s="638"/>
      <c r="N6" s="638"/>
      <c r="O6" s="638"/>
      <c r="P6" s="638"/>
      <c r="Q6" s="638"/>
      <c r="R6" s="638"/>
      <c r="S6" s="638"/>
      <c r="T6" s="638"/>
      <c r="U6" s="638"/>
      <c r="V6" s="638"/>
      <c r="W6" s="638"/>
      <c r="X6" s="638"/>
      <c r="Y6" s="638"/>
      <c r="Z6" s="638"/>
      <c r="AA6" s="638"/>
      <c r="AB6" s="638"/>
      <c r="AC6" s="638"/>
      <c r="AD6" s="638"/>
      <c r="AE6" s="641"/>
      <c r="AF6" s="641"/>
      <c r="AG6" s="641"/>
      <c r="AH6" s="641"/>
      <c r="AI6" s="641"/>
    </row>
    <row r="7" spans="1:40" ht="19.5" customHeight="1">
      <c r="A7" s="636"/>
      <c r="B7" s="642" t="s">
        <v>1105</v>
      </c>
      <c r="C7" s="637"/>
      <c r="D7" s="637"/>
      <c r="E7" s="637"/>
      <c r="F7" s="638"/>
      <c r="G7" s="638"/>
      <c r="H7" s="640"/>
      <c r="I7" s="638"/>
      <c r="J7" s="638"/>
      <c r="K7" s="638"/>
      <c r="L7" s="638"/>
      <c r="M7" s="638"/>
      <c r="N7" s="638"/>
      <c r="O7" s="638"/>
      <c r="P7" s="638"/>
      <c r="Q7" s="638"/>
      <c r="R7" s="638"/>
      <c r="S7" s="638"/>
      <c r="T7" s="638"/>
      <c r="U7" s="638"/>
      <c r="V7" s="638"/>
      <c r="W7" s="638"/>
      <c r="X7" s="638"/>
      <c r="Y7" s="638"/>
      <c r="Z7" s="638"/>
      <c r="AA7" s="638"/>
      <c r="AB7" s="638"/>
      <c r="AC7" s="638"/>
      <c r="AD7" s="638"/>
      <c r="AE7" s="641"/>
      <c r="AF7" s="641"/>
      <c r="AG7" s="641"/>
      <c r="AH7" s="641"/>
      <c r="AI7" s="641"/>
    </row>
    <row r="8" spans="1:40" ht="19.5" customHeight="1">
      <c r="A8" s="636"/>
      <c r="C8" s="637"/>
      <c r="D8" s="637"/>
      <c r="E8" s="637"/>
      <c r="F8" s="638"/>
      <c r="G8" s="638"/>
      <c r="H8" s="638"/>
      <c r="I8" s="638"/>
      <c r="J8" s="638"/>
      <c r="K8" s="638"/>
      <c r="L8" s="638"/>
      <c r="M8" s="638"/>
      <c r="N8" s="638"/>
      <c r="O8" s="638"/>
      <c r="P8" s="638"/>
      <c r="Q8" s="638"/>
      <c r="R8" s="638"/>
      <c r="S8" s="638"/>
      <c r="T8" s="638"/>
      <c r="U8" s="638"/>
      <c r="V8" s="638"/>
      <c r="W8" s="638"/>
      <c r="X8" s="638"/>
      <c r="Y8" s="638"/>
      <c r="Z8" s="638"/>
      <c r="AA8" s="638"/>
      <c r="AB8" s="638"/>
      <c r="AC8" s="643"/>
    </row>
    <row r="9" spans="1:40" ht="15.75" customHeight="1">
      <c r="A9" s="636"/>
      <c r="B9" s="642"/>
      <c r="C9" s="637"/>
      <c r="D9" s="637"/>
      <c r="E9" s="637"/>
      <c r="F9" s="638"/>
      <c r="G9" s="638"/>
      <c r="H9" s="638"/>
      <c r="I9" s="638"/>
      <c r="J9" s="638"/>
      <c r="K9" s="638"/>
      <c r="L9" s="638"/>
      <c r="M9" s="638"/>
      <c r="N9" s="638"/>
      <c r="O9" s="638"/>
      <c r="P9" s="638"/>
      <c r="Q9" s="638"/>
      <c r="R9" s="638"/>
      <c r="S9" s="638"/>
      <c r="T9" s="638"/>
      <c r="U9" s="638"/>
      <c r="V9" s="638"/>
      <c r="W9" s="638"/>
      <c r="X9" s="638"/>
      <c r="Y9" s="638"/>
      <c r="Z9" s="638"/>
      <c r="AA9" s="638"/>
      <c r="AB9" s="638"/>
      <c r="AC9" s="643"/>
    </row>
    <row r="10" spans="1:40" ht="15.75" customHeight="1">
      <c r="A10" s="636"/>
      <c r="B10" s="644"/>
      <c r="C10" s="637"/>
      <c r="D10" s="637"/>
      <c r="E10" s="637"/>
      <c r="F10" s="638"/>
      <c r="G10" s="638"/>
      <c r="H10" s="638"/>
      <c r="I10" s="638"/>
      <c r="J10" s="638"/>
      <c r="K10" s="638"/>
      <c r="L10" s="638"/>
      <c r="M10" s="638"/>
      <c r="N10" s="638"/>
      <c r="O10" s="638"/>
      <c r="P10" s="638"/>
      <c r="Q10" s="638"/>
      <c r="R10" s="638"/>
      <c r="S10" s="638"/>
      <c r="T10" s="638"/>
      <c r="U10" s="638"/>
      <c r="V10" s="638"/>
      <c r="W10" s="638"/>
      <c r="X10" s="638"/>
      <c r="Y10" s="638"/>
      <c r="Z10" s="638"/>
      <c r="AA10" s="638"/>
      <c r="AB10" s="638"/>
      <c r="AC10" s="643"/>
      <c r="AD10" s="3573" t="s">
        <v>1665</v>
      </c>
      <c r="AE10" s="3580"/>
      <c r="AF10" s="3580"/>
      <c r="AG10" s="3580"/>
      <c r="AH10" s="3580"/>
      <c r="AI10" s="3580"/>
      <c r="AJ10" s="3580"/>
      <c r="AK10" s="3580"/>
      <c r="AL10" s="3580"/>
    </row>
    <row r="11" spans="1:40" ht="15.75" customHeight="1">
      <c r="A11" s="636"/>
      <c r="B11" s="644"/>
      <c r="C11" s="637"/>
      <c r="D11" s="637"/>
      <c r="E11" s="1540"/>
      <c r="F11" s="1541"/>
      <c r="G11" s="1541"/>
      <c r="H11" s="1541"/>
      <c r="I11" s="1541"/>
      <c r="J11" s="1541"/>
      <c r="K11" s="1541"/>
      <c r="L11" s="1541"/>
      <c r="M11" s="1541"/>
      <c r="N11" s="1541"/>
      <c r="O11" s="1541"/>
      <c r="P11" s="1541"/>
      <c r="Q11" s="1541"/>
      <c r="R11" s="1541"/>
      <c r="S11" s="1541"/>
      <c r="T11" s="1541"/>
      <c r="U11" s="1541"/>
      <c r="V11" s="1541"/>
      <c r="W11" s="1541"/>
      <c r="X11" s="1541"/>
      <c r="Y11" s="1541"/>
      <c r="Z11" s="1541"/>
      <c r="AA11" s="1541"/>
      <c r="AB11" s="1541"/>
      <c r="AC11" s="1542"/>
      <c r="AD11" s="1497"/>
      <c r="AE11" s="1543"/>
      <c r="AF11" s="1543"/>
      <c r="AG11" s="1543"/>
      <c r="AH11" s="1543"/>
      <c r="AI11" s="1543"/>
      <c r="AJ11" s="1543"/>
      <c r="AK11" s="1543"/>
      <c r="AL11" s="1543"/>
    </row>
    <row r="12" spans="1:40" ht="15.75" customHeight="1">
      <c r="A12" s="645"/>
      <c r="B12" s="645"/>
      <c r="C12" s="645"/>
      <c r="D12" s="645"/>
      <c r="E12" s="1512">
        <v>2015</v>
      </c>
      <c r="F12" s="1544"/>
      <c r="G12" s="1544"/>
      <c r="H12" s="1544"/>
      <c r="I12" s="1544"/>
      <c r="J12" s="1544"/>
      <c r="K12" s="1544"/>
      <c r="L12" s="1544"/>
      <c r="M12" s="1544"/>
      <c r="N12" s="1544"/>
      <c r="O12" s="1544"/>
      <c r="P12" s="1544"/>
      <c r="Q12" s="1544"/>
      <c r="R12" s="1544"/>
      <c r="S12" s="1544"/>
      <c r="T12" s="1544"/>
      <c r="U12" s="1544"/>
      <c r="V12" s="1544"/>
      <c r="W12" s="1512">
        <v>2016</v>
      </c>
      <c r="X12" s="1544"/>
      <c r="Y12" s="1544"/>
      <c r="Z12" s="1544"/>
      <c r="AA12" s="1544"/>
      <c r="AB12" s="1544"/>
      <c r="AC12" s="1544"/>
      <c r="AD12" s="1545"/>
      <c r="AE12" s="1545"/>
      <c r="AF12" s="1545"/>
      <c r="AG12" s="1545"/>
      <c r="AH12" s="1545"/>
      <c r="AI12" s="1545"/>
      <c r="AJ12" s="1519" t="s">
        <v>8</v>
      </c>
      <c r="AK12" s="1519"/>
      <c r="AL12" s="1514" t="s">
        <v>9</v>
      </c>
      <c r="AM12" s="1548"/>
    </row>
    <row r="13" spans="1:40" ht="15.75" customHeight="1">
      <c r="A13" s="223"/>
      <c r="B13" s="223"/>
      <c r="C13" s="223"/>
      <c r="D13" s="223"/>
      <c r="E13" s="2240" t="s">
        <v>129</v>
      </c>
      <c r="F13" s="478"/>
      <c r="G13" s="2240" t="s">
        <v>130</v>
      </c>
      <c r="H13" s="478"/>
      <c r="I13" s="2240" t="s">
        <v>131</v>
      </c>
      <c r="J13" s="478"/>
      <c r="K13" s="2240" t="s">
        <v>132</v>
      </c>
      <c r="L13" s="478"/>
      <c r="M13" s="2240" t="s">
        <v>133</v>
      </c>
      <c r="N13" s="478"/>
      <c r="O13" s="2240" t="s">
        <v>134</v>
      </c>
      <c r="P13" s="478"/>
      <c r="Q13" s="2240" t="s">
        <v>135</v>
      </c>
      <c r="R13" s="478"/>
      <c r="S13" s="2240" t="s">
        <v>136</v>
      </c>
      <c r="T13" s="478"/>
      <c r="U13" s="2240" t="s">
        <v>137</v>
      </c>
      <c r="V13" s="478"/>
      <c r="W13" s="2240" t="s">
        <v>154</v>
      </c>
      <c r="X13" s="478"/>
      <c r="Y13" s="2240" t="s">
        <v>139</v>
      </c>
      <c r="Z13" s="478"/>
      <c r="AA13" s="2240" t="s">
        <v>140</v>
      </c>
      <c r="AB13" s="478"/>
      <c r="AC13" s="478"/>
      <c r="AD13" s="2240">
        <v>2015</v>
      </c>
      <c r="AE13" s="478"/>
      <c r="AF13" s="478"/>
      <c r="AG13" s="1546">
        <v>2014</v>
      </c>
      <c r="AH13" s="1547"/>
      <c r="AI13" s="1547"/>
      <c r="AJ13" s="1527" t="s">
        <v>13</v>
      </c>
      <c r="AK13" s="1517"/>
      <c r="AL13" s="1527" t="s">
        <v>14</v>
      </c>
      <c r="AM13" s="2243"/>
      <c r="AN13" s="647"/>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9"/>
      <c r="AJ14" s="647"/>
      <c r="AK14" s="647"/>
      <c r="AL14" s="647"/>
      <c r="AM14" s="647"/>
    </row>
    <row r="15" spans="1:40" ht="15.75" customHeight="1">
      <c r="A15" s="223"/>
      <c r="B15" s="376" t="s">
        <v>1624</v>
      </c>
      <c r="C15" s="221"/>
      <c r="D15" s="223"/>
      <c r="E15" s="295">
        <v>-724.4</v>
      </c>
      <c r="F15" s="295"/>
      <c r="G15" s="295">
        <f>+E103</f>
        <v>-795</v>
      </c>
      <c r="H15" s="295"/>
      <c r="I15" s="295">
        <f>+G103</f>
        <v>-955.8</v>
      </c>
      <c r="J15" s="295"/>
      <c r="K15" s="295">
        <f>+I103</f>
        <v>-526.5</v>
      </c>
      <c r="L15" s="295"/>
      <c r="M15" s="295">
        <f>+K103</f>
        <v>-714.2</v>
      </c>
      <c r="N15" s="295"/>
      <c r="O15" s="295">
        <f>+M103</f>
        <v>-722.4</v>
      </c>
      <c r="P15" s="295"/>
      <c r="Q15" s="295">
        <f>+O103</f>
        <v>-1003.9</v>
      </c>
      <c r="R15" s="295"/>
      <c r="S15" s="295">
        <f>+Q103</f>
        <v>-791.8</v>
      </c>
      <c r="T15" s="295"/>
      <c r="U15" s="295">
        <f>+S103</f>
        <v>-917.1</v>
      </c>
      <c r="V15" s="295"/>
      <c r="W15" s="295"/>
      <c r="X15" s="295"/>
      <c r="Y15" s="295"/>
      <c r="Z15" s="295"/>
      <c r="AA15" s="295"/>
      <c r="AB15" s="295"/>
      <c r="AC15" s="296"/>
      <c r="AD15" s="295">
        <f>+E15</f>
        <v>-724.4</v>
      </c>
      <c r="AE15" s="423"/>
      <c r="AF15" s="424"/>
      <c r="AG15" s="648">
        <v>-628.70000000000005</v>
      </c>
      <c r="AH15" s="295"/>
      <c r="AI15" s="649"/>
      <c r="AJ15" s="648">
        <f>+AD15-AG15</f>
        <v>-95.699999999999932</v>
      </c>
      <c r="AK15" s="650"/>
      <c r="AL15" s="2807">
        <f>ROUND(IF(AG15=0,0,-AJ15/(AG15)),3)</f>
        <v>-0.152</v>
      </c>
      <c r="AM15" s="652"/>
    </row>
    <row r="16" spans="1:40" ht="15.75" customHeight="1">
      <c r="A16" s="223"/>
      <c r="B16" s="221"/>
      <c r="C16" s="221"/>
      <c r="D16" s="223"/>
      <c r="E16" s="36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473"/>
      <c r="AD16" s="368"/>
      <c r="AE16" s="486"/>
      <c r="AF16" s="253"/>
      <c r="AG16" s="368"/>
      <c r="AH16" s="368"/>
      <c r="AI16" s="646"/>
      <c r="AJ16" s="647"/>
      <c r="AK16" s="647"/>
      <c r="AL16" s="647"/>
    </row>
    <row r="17" spans="1:44" ht="15.6">
      <c r="A17" s="223"/>
      <c r="B17" s="221" t="s">
        <v>202</v>
      </c>
      <c r="C17" s="223"/>
      <c r="D17" s="223"/>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473"/>
      <c r="AD17" s="368"/>
      <c r="AE17" s="486"/>
      <c r="AF17" s="253"/>
      <c r="AG17" s="368"/>
      <c r="AH17" s="368"/>
      <c r="AI17" s="646"/>
      <c r="AJ17" s="647"/>
      <c r="AK17" s="647"/>
      <c r="AL17" s="647"/>
    </row>
    <row r="18" spans="1:44" ht="15.6">
      <c r="A18" s="223"/>
      <c r="B18" s="490" t="s">
        <v>1359</v>
      </c>
      <c r="C18" s="223"/>
      <c r="D18" s="223"/>
      <c r="E18" s="368"/>
      <c r="F18" s="368"/>
      <c r="G18" s="368"/>
      <c r="H18" s="368"/>
      <c r="I18" s="368"/>
      <c r="J18" s="368"/>
      <c r="K18" s="368"/>
      <c r="L18" s="368"/>
      <c r="M18" s="368"/>
      <c r="N18" s="368"/>
      <c r="O18" s="368"/>
      <c r="P18" s="368"/>
      <c r="Q18" s="368"/>
      <c r="R18" s="368"/>
      <c r="S18" s="368"/>
      <c r="T18" s="368"/>
      <c r="U18" s="368"/>
      <c r="V18" s="368"/>
      <c r="W18" s="368"/>
      <c r="X18" s="368"/>
      <c r="Y18" s="368"/>
      <c r="Z18" s="368"/>
      <c r="AA18" s="368"/>
      <c r="AB18" s="368"/>
      <c r="AC18" s="473"/>
      <c r="AD18" s="368"/>
      <c r="AE18" s="2096"/>
      <c r="AF18" s="253"/>
      <c r="AG18" s="368"/>
      <c r="AH18" s="368"/>
      <c r="AI18" s="646"/>
      <c r="AJ18" s="647"/>
      <c r="AK18" s="647"/>
      <c r="AL18" s="647"/>
    </row>
    <row r="19" spans="1:44" ht="15.6">
      <c r="A19" s="223"/>
      <c r="B19" s="2076" t="s">
        <v>1430</v>
      </c>
      <c r="C19" s="223"/>
      <c r="D19" s="223"/>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473"/>
      <c r="AD19" s="368"/>
      <c r="AE19" s="2096"/>
      <c r="AF19" s="253"/>
      <c r="AG19" s="368"/>
      <c r="AH19" s="368"/>
      <c r="AI19" s="646"/>
      <c r="AJ19" s="647"/>
      <c r="AK19" s="647"/>
      <c r="AL19" s="647"/>
    </row>
    <row r="20" spans="1:44">
      <c r="A20" s="223"/>
      <c r="B20" s="1270" t="s">
        <v>1380</v>
      </c>
      <c r="C20" s="223"/>
      <c r="D20" s="223"/>
      <c r="E20" s="2671">
        <f>+' Exhibit I State'!E19</f>
        <v>3</v>
      </c>
      <c r="F20" s="2796"/>
      <c r="G20" s="2671">
        <f>+' Exhibit I State'!G19</f>
        <v>0.1</v>
      </c>
      <c r="H20" s="2796"/>
      <c r="I20" s="2671">
        <f>+' Exhibit I State'!I19</f>
        <v>17.7</v>
      </c>
      <c r="J20" s="2844"/>
      <c r="K20" s="2671">
        <f>+' Exhibit I State'!K19</f>
        <v>0.1</v>
      </c>
      <c r="L20" s="2845"/>
      <c r="M20" s="2671">
        <f>+' Exhibit I State'!M19</f>
        <v>0.1</v>
      </c>
      <c r="N20" s="2845"/>
      <c r="O20" s="2671">
        <f>+' Exhibit I State'!O19</f>
        <v>24.5</v>
      </c>
      <c r="P20" s="562"/>
      <c r="Q20" s="2671">
        <f>+' Exhibit I State'!Q19</f>
        <v>0.5</v>
      </c>
      <c r="R20" s="562"/>
      <c r="S20" s="2671">
        <f>+' Exhibit I State'!S19</f>
        <v>0</v>
      </c>
      <c r="T20" s="562"/>
      <c r="U20" s="2671">
        <f>+' Exhibit I State'!U19</f>
        <v>19.3</v>
      </c>
      <c r="V20" s="562"/>
      <c r="W20" s="2901"/>
      <c r="X20" s="562"/>
      <c r="Y20" s="2901"/>
      <c r="Z20" s="562"/>
      <c r="AA20" s="2901"/>
      <c r="AB20" s="2078"/>
      <c r="AC20" s="562"/>
      <c r="AD20" s="261">
        <f>ROUND(SUM(E20:AA20),1)</f>
        <v>65.3</v>
      </c>
      <c r="AE20" s="2079"/>
      <c r="AF20" s="563"/>
      <c r="AG20" s="592">
        <v>61.8</v>
      </c>
      <c r="AH20" s="567"/>
      <c r="AI20" s="587"/>
      <c r="AJ20" s="597">
        <f>ROUND(SUM(AD20-AG20),1)</f>
        <v>3.5</v>
      </c>
      <c r="AK20" s="573"/>
      <c r="AL20" s="45">
        <f>ROUND(IF(AG20=0,0,AJ20/ABS(AG20)),3)</f>
        <v>5.7000000000000002E-2</v>
      </c>
      <c r="AM20" s="1026"/>
    </row>
    <row r="21" spans="1:44">
      <c r="A21" s="223"/>
      <c r="B21" s="1270" t="s">
        <v>1382</v>
      </c>
      <c r="C21" s="223"/>
      <c r="D21" s="223"/>
      <c r="E21" s="2671">
        <f>+' Exhibit I State'!E20</f>
        <v>32.6</v>
      </c>
      <c r="F21" s="2796"/>
      <c r="G21" s="2671">
        <f>+' Exhibit I State'!G20</f>
        <v>33.1</v>
      </c>
      <c r="H21" s="2796"/>
      <c r="I21" s="2671">
        <f>+' Exhibit I State'!I20</f>
        <v>32.299999999999997</v>
      </c>
      <c r="J21" s="2844"/>
      <c r="K21" s="2671">
        <f>+' Exhibit I State'!K20</f>
        <v>33.700000000000003</v>
      </c>
      <c r="L21" s="2845"/>
      <c r="M21" s="2671">
        <f>+' Exhibit I State'!M20</f>
        <v>36.6</v>
      </c>
      <c r="N21" s="2845"/>
      <c r="O21" s="2671">
        <f>+' Exhibit I State'!O20</f>
        <v>30.3</v>
      </c>
      <c r="P21" s="562"/>
      <c r="Q21" s="2671">
        <f>+' Exhibit I State'!Q20</f>
        <v>33.299999999999997</v>
      </c>
      <c r="R21" s="562"/>
      <c r="S21" s="2671">
        <f>+' Exhibit I State'!S20</f>
        <v>32.9</v>
      </c>
      <c r="T21" s="562"/>
      <c r="U21" s="2671">
        <f>+' Exhibit I State'!U20</f>
        <v>32.299999999999997</v>
      </c>
      <c r="V21" s="562"/>
      <c r="W21" s="2901"/>
      <c r="X21" s="562"/>
      <c r="Y21" s="2901"/>
      <c r="Z21" s="562"/>
      <c r="AA21" s="2901"/>
      <c r="AB21" s="2078"/>
      <c r="AC21" s="562"/>
      <c r="AD21" s="261">
        <f>ROUND(SUM(E21:AA21),1)</f>
        <v>297.10000000000002</v>
      </c>
      <c r="AE21" s="2079"/>
      <c r="AF21" s="563"/>
      <c r="AG21" s="592">
        <v>295</v>
      </c>
      <c r="AH21" s="567"/>
      <c r="AI21" s="587"/>
      <c r="AJ21" s="597">
        <f>ROUND(SUM(AD21-AG21),1)</f>
        <v>2.1</v>
      </c>
      <c r="AK21" s="573"/>
      <c r="AL21" s="45">
        <f>ROUND(IF(AG21=0,0,AJ21/ABS(AG21)),3)</f>
        <v>7.0000000000000001E-3</v>
      </c>
      <c r="AM21" s="1026"/>
    </row>
    <row r="22" spans="1:44">
      <c r="A22" s="223"/>
      <c r="B22" s="1270" t="s">
        <v>1384</v>
      </c>
      <c r="C22" s="223"/>
      <c r="D22" s="223"/>
      <c r="E22" s="2671">
        <f>+' Exhibit I State'!E21</f>
        <v>13.4</v>
      </c>
      <c r="F22" s="2796"/>
      <c r="G22" s="2671">
        <f>+' Exhibit I State'!G21</f>
        <v>10.3</v>
      </c>
      <c r="H22" s="2796"/>
      <c r="I22" s="2671">
        <f>+' Exhibit I State'!I21</f>
        <v>13</v>
      </c>
      <c r="J22" s="2844"/>
      <c r="K22" s="2671">
        <f>+' Exhibit I State'!K21</f>
        <v>12.8</v>
      </c>
      <c r="L22" s="2845"/>
      <c r="M22" s="2671">
        <f>+' Exhibit I State'!M21</f>
        <v>11.1</v>
      </c>
      <c r="N22" s="2845"/>
      <c r="O22" s="2671">
        <f>+' Exhibit I State'!O21</f>
        <v>14.9</v>
      </c>
      <c r="P22" s="562"/>
      <c r="Q22" s="2671">
        <f>+' Exhibit I State'!Q21</f>
        <v>15.5</v>
      </c>
      <c r="R22" s="562"/>
      <c r="S22" s="2671">
        <f>+' Exhibit I State'!S21</f>
        <v>18.3</v>
      </c>
      <c r="T22" s="562"/>
      <c r="U22" s="2671">
        <f>+' Exhibit I State'!U21</f>
        <v>16.8</v>
      </c>
      <c r="V22" s="562"/>
      <c r="W22" s="2901"/>
      <c r="X22" s="562"/>
      <c r="Y22" s="2901"/>
      <c r="Z22" s="562"/>
      <c r="AA22" s="2901"/>
      <c r="AB22" s="2078"/>
      <c r="AC22" s="562"/>
      <c r="AD22" s="261">
        <f>ROUND(SUM(E22:AA22),1)</f>
        <v>126.1</v>
      </c>
      <c r="AE22" s="2079"/>
      <c r="AF22" s="563"/>
      <c r="AG22" s="592">
        <v>108.2</v>
      </c>
      <c r="AH22" s="567"/>
      <c r="AI22" s="587"/>
      <c r="AJ22" s="597">
        <f>ROUND(SUM(AD22-AG22),1)</f>
        <v>17.899999999999999</v>
      </c>
      <c r="AK22" s="573"/>
      <c r="AL22" s="45">
        <f>ROUND(IF(AG22=0,0,AJ22/ABS(AG22)),3)</f>
        <v>0.16500000000000001</v>
      </c>
      <c r="AM22" s="1026"/>
    </row>
    <row r="23" spans="1:44" ht="15.6">
      <c r="A23" s="223"/>
      <c r="B23" s="589" t="s">
        <v>1483</v>
      </c>
      <c r="C23" s="223"/>
      <c r="D23" s="223"/>
      <c r="E23" s="2846">
        <f>ROUND(SUM(E20:E22),1)</f>
        <v>49</v>
      </c>
      <c r="F23" s="2847"/>
      <c r="G23" s="2846">
        <f>ROUND(SUM(G20:G22),1)</f>
        <v>43.5</v>
      </c>
      <c r="H23" s="2847"/>
      <c r="I23" s="2846">
        <f>ROUND(SUM(I20:I22),1)</f>
        <v>63</v>
      </c>
      <c r="J23" s="2847"/>
      <c r="K23" s="2846">
        <f>ROUND(SUM(K20:K22),1)</f>
        <v>46.6</v>
      </c>
      <c r="L23" s="2845"/>
      <c r="M23" s="2846">
        <f>ROUND(SUM(M20:M22),1)</f>
        <v>47.8</v>
      </c>
      <c r="N23" s="2845"/>
      <c r="O23" s="2846">
        <f>ROUND(SUM(O20:O22),1)</f>
        <v>69.7</v>
      </c>
      <c r="P23" s="562"/>
      <c r="Q23" s="2846">
        <f>ROUND(SUM(Q20:Q22),1)</f>
        <v>49.3</v>
      </c>
      <c r="R23" s="562"/>
      <c r="S23" s="2846">
        <f>ROUND(SUM(S20:S22),1)</f>
        <v>51.2</v>
      </c>
      <c r="T23" s="562"/>
      <c r="U23" s="2846">
        <f>ROUND(SUM(U20:U22),1)</f>
        <v>68.400000000000006</v>
      </c>
      <c r="V23" s="562"/>
      <c r="W23" s="1283">
        <f>ROUND(SUM(W20:W22),1)</f>
        <v>0</v>
      </c>
      <c r="X23" s="562"/>
      <c r="Y23" s="1283">
        <f>ROUND(SUM(Y20:Y22),1)</f>
        <v>0</v>
      </c>
      <c r="Z23" s="562"/>
      <c r="AA23" s="1283">
        <f>ROUND(SUM(AA20:AA22),1)</f>
        <v>0</v>
      </c>
      <c r="AB23" s="2078"/>
      <c r="AC23" s="562"/>
      <c r="AD23" s="484">
        <f>ROUND(SUM(AD20:AD22),1)</f>
        <v>488.5</v>
      </c>
      <c r="AE23" s="2079"/>
      <c r="AF23" s="563"/>
      <c r="AG23" s="484">
        <f>ROUND(SUM(AG20:AG22),1)</f>
        <v>465</v>
      </c>
      <c r="AH23" s="567"/>
      <c r="AI23" s="587"/>
      <c r="AJ23" s="2242">
        <f>ROUND(SUM(AD23-AG23),1)</f>
        <v>23.5</v>
      </c>
      <c r="AK23" s="583"/>
      <c r="AL23" s="72">
        <f>ROUND(IF(AG23=0,0,AJ23/ABS(AG23)),3)</f>
        <v>5.0999999999999997E-2</v>
      </c>
      <c r="AM23" s="1026"/>
    </row>
    <row r="24" spans="1:44" ht="15.6">
      <c r="A24" s="223"/>
      <c r="B24" s="2076" t="s">
        <v>1431</v>
      </c>
      <c r="C24" s="223"/>
      <c r="D24" s="223"/>
      <c r="E24" s="2848"/>
      <c r="F24" s="2847"/>
      <c r="G24" s="2848"/>
      <c r="H24" s="2847"/>
      <c r="I24" s="2848"/>
      <c r="J24" s="2847"/>
      <c r="K24" s="2848"/>
      <c r="L24" s="2845"/>
      <c r="M24" s="2848"/>
      <c r="N24" s="2845"/>
      <c r="O24" s="2848"/>
      <c r="P24" s="562"/>
      <c r="Q24" s="2848"/>
      <c r="R24" s="562"/>
      <c r="S24" s="2848"/>
      <c r="T24" s="562"/>
      <c r="U24" s="2848"/>
      <c r="V24" s="562"/>
      <c r="W24" s="316"/>
      <c r="X24" s="562"/>
      <c r="Y24" s="316"/>
      <c r="Z24" s="562"/>
      <c r="AA24" s="316"/>
      <c r="AB24" s="2078"/>
      <c r="AC24" s="562"/>
      <c r="AD24" s="273"/>
      <c r="AE24" s="2079"/>
      <c r="AF24" s="563"/>
      <c r="AG24" s="273"/>
      <c r="AH24" s="567"/>
      <c r="AI24" s="587"/>
      <c r="AJ24" s="2082"/>
      <c r="AK24" s="583"/>
      <c r="AL24" s="114"/>
      <c r="AM24" s="1026"/>
    </row>
    <row r="25" spans="1:44" ht="15.6">
      <c r="A25" s="223"/>
      <c r="B25" s="1270" t="s">
        <v>1387</v>
      </c>
      <c r="C25" s="223"/>
      <c r="D25" s="223"/>
      <c r="E25" s="2671">
        <f>+' Exhibit I State'!E24</f>
        <v>0</v>
      </c>
      <c r="F25" s="2847"/>
      <c r="G25" s="2671">
        <f>+' Exhibit I State'!G24</f>
        <v>0</v>
      </c>
      <c r="H25" s="2847"/>
      <c r="I25" s="2671">
        <f>+' Exhibit I State'!I24</f>
        <v>0</v>
      </c>
      <c r="J25" s="2847"/>
      <c r="K25" s="2671">
        <f>+' Exhibit I State'!K24</f>
        <v>0</v>
      </c>
      <c r="L25" s="2845"/>
      <c r="M25" s="2671">
        <f>+' Exhibit I State'!M24</f>
        <v>0</v>
      </c>
      <c r="N25" s="2845"/>
      <c r="O25" s="2671">
        <f>+' Exhibit I State'!O24</f>
        <v>0</v>
      </c>
      <c r="P25" s="562"/>
      <c r="Q25" s="2671">
        <f>+' Exhibit I State'!Q24</f>
        <v>0</v>
      </c>
      <c r="R25" s="562"/>
      <c r="S25" s="2671">
        <f>+' Exhibit I State'!S24</f>
        <v>0</v>
      </c>
      <c r="T25" s="562"/>
      <c r="U25" s="2671">
        <f>+' Exhibit I State'!U24</f>
        <v>0</v>
      </c>
      <c r="V25" s="562"/>
      <c r="W25" s="2901"/>
      <c r="X25" s="562"/>
      <c r="Y25" s="2901"/>
      <c r="Z25" s="562"/>
      <c r="AA25" s="2901"/>
      <c r="AB25" s="2078"/>
      <c r="AC25" s="562"/>
      <c r="AD25" s="1908">
        <v>0</v>
      </c>
      <c r="AE25" s="2079"/>
      <c r="AF25" s="563"/>
      <c r="AG25" s="592">
        <v>0</v>
      </c>
      <c r="AH25" s="567"/>
      <c r="AI25" s="587"/>
      <c r="AJ25" s="597">
        <f>ROUND(SUM(AD25-AG25),1)</f>
        <v>0</v>
      </c>
      <c r="AK25" s="573"/>
      <c r="AL25" s="2843">
        <f>ROUND(IF(AG25=0,0,AJ25/ABS(AG25)),3)</f>
        <v>0</v>
      </c>
      <c r="AM25" s="1026"/>
      <c r="AN25" s="558"/>
      <c r="AO25" s="558"/>
      <c r="AP25" s="558"/>
      <c r="AQ25" s="558"/>
      <c r="AR25" s="558"/>
    </row>
    <row r="26" spans="1:44" ht="15.6">
      <c r="A26" s="223"/>
      <c r="B26" s="1270" t="s">
        <v>1388</v>
      </c>
      <c r="C26" s="223"/>
      <c r="D26" s="223"/>
      <c r="E26" s="2671">
        <f>+' Exhibit I State'!E25</f>
        <v>0.1</v>
      </c>
      <c r="F26" s="2796"/>
      <c r="G26" s="2671">
        <f>+' Exhibit I State'!G25</f>
        <v>0</v>
      </c>
      <c r="H26" s="2796"/>
      <c r="I26" s="2671">
        <f>+' Exhibit I State'!I25</f>
        <v>2.5</v>
      </c>
      <c r="J26" s="2847"/>
      <c r="K26" s="2671">
        <f>+' Exhibit I State'!K25</f>
        <v>0.1</v>
      </c>
      <c r="L26" s="2845"/>
      <c r="M26" s="2671">
        <f>+' Exhibit I State'!M25</f>
        <v>0.1</v>
      </c>
      <c r="N26" s="2845"/>
      <c r="O26" s="2671">
        <f>+' Exhibit I State'!O25</f>
        <v>2.6</v>
      </c>
      <c r="P26" s="562"/>
      <c r="Q26" s="2671">
        <f>+' Exhibit I State'!Q25</f>
        <v>0.1</v>
      </c>
      <c r="R26" s="562"/>
      <c r="S26" s="2671">
        <f>+' Exhibit I State'!S25</f>
        <v>0.2</v>
      </c>
      <c r="T26" s="562"/>
      <c r="U26" s="2671">
        <f>+' Exhibit I State'!U25</f>
        <v>2.2999999999999998</v>
      </c>
      <c r="V26" s="562"/>
      <c r="W26" s="2901"/>
      <c r="X26" s="562"/>
      <c r="Y26" s="2901"/>
      <c r="Z26" s="562"/>
      <c r="AA26" s="2901"/>
      <c r="AB26" s="2078"/>
      <c r="AC26" s="562"/>
      <c r="AD26" s="261">
        <f>ROUND(SUM(E26:AA26),1)</f>
        <v>8</v>
      </c>
      <c r="AE26" s="2079"/>
      <c r="AF26" s="563"/>
      <c r="AG26" s="592">
        <v>6.1</v>
      </c>
      <c r="AH26" s="567"/>
      <c r="AI26" s="587"/>
      <c r="AJ26" s="597">
        <f>ROUND(SUM(AD26-AG26),1)</f>
        <v>1.9</v>
      </c>
      <c r="AK26" s="573"/>
      <c r="AL26" s="2817">
        <f>ROUND(IF(AG26=0,1,AJ26/ABS(AG26)),3)</f>
        <v>0.311</v>
      </c>
      <c r="AM26" s="1026"/>
      <c r="AN26" s="558"/>
      <c r="AO26" s="558"/>
      <c r="AP26" s="558"/>
      <c r="AQ26" s="558"/>
      <c r="AR26" s="558"/>
    </row>
    <row r="27" spans="1:44" ht="15.6">
      <c r="A27" s="223"/>
      <c r="B27" s="1270" t="s">
        <v>1391</v>
      </c>
      <c r="C27" s="223"/>
      <c r="D27" s="223"/>
      <c r="E27" s="2671">
        <f>+' Exhibit I State'!E26</f>
        <v>50.8</v>
      </c>
      <c r="F27" s="2796"/>
      <c r="G27" s="2671">
        <f>+' Exhibit I State'!G26</f>
        <v>49.8</v>
      </c>
      <c r="H27" s="2796"/>
      <c r="I27" s="2671">
        <f>+' Exhibit I State'!I26</f>
        <v>51.4</v>
      </c>
      <c r="J27" s="2847"/>
      <c r="K27" s="2671">
        <f>+' Exhibit I State'!K26</f>
        <v>53.6</v>
      </c>
      <c r="L27" s="2845"/>
      <c r="M27" s="2671">
        <f>+' Exhibit I State'!M26</f>
        <v>57.8</v>
      </c>
      <c r="N27" s="2845"/>
      <c r="O27" s="2671">
        <f>+' Exhibit I State'!O26</f>
        <v>52.9</v>
      </c>
      <c r="P27" s="562"/>
      <c r="Q27" s="2671">
        <f>+' Exhibit I State'!Q26</f>
        <v>53.9</v>
      </c>
      <c r="R27" s="562"/>
      <c r="S27" s="2671">
        <f>+' Exhibit I State'!S26</f>
        <v>51.2</v>
      </c>
      <c r="T27" s="562"/>
      <c r="U27" s="2671">
        <f>+' Exhibit I State'!U26</f>
        <v>50.2</v>
      </c>
      <c r="V27" s="562"/>
      <c r="W27" s="2901"/>
      <c r="X27" s="562"/>
      <c r="Y27" s="2901"/>
      <c r="Z27" s="562"/>
      <c r="AA27" s="2901"/>
      <c r="AB27" s="2078"/>
      <c r="AC27" s="562"/>
      <c r="AD27" s="261">
        <f>ROUND(SUM(E27:AA27),1)</f>
        <v>471.6</v>
      </c>
      <c r="AE27" s="2079"/>
      <c r="AF27" s="563"/>
      <c r="AG27" s="592">
        <v>490.9</v>
      </c>
      <c r="AH27" s="567"/>
      <c r="AI27" s="587"/>
      <c r="AJ27" s="597">
        <f>ROUND(SUM(AD27-AG27),1)</f>
        <v>-19.3</v>
      </c>
      <c r="AK27" s="573"/>
      <c r="AL27" s="2802">
        <f>ROUND(IF(AG27=0,0,AJ27/ABS(AG27)),3)</f>
        <v>-3.9E-2</v>
      </c>
      <c r="AM27" s="1026"/>
      <c r="AN27" s="558"/>
      <c r="AO27" s="558"/>
      <c r="AP27" s="558"/>
      <c r="AQ27" s="558"/>
      <c r="AR27" s="558"/>
    </row>
    <row r="28" spans="1:44" ht="15.6">
      <c r="A28" s="223"/>
      <c r="B28" s="589" t="s">
        <v>1484</v>
      </c>
      <c r="C28" s="223"/>
      <c r="D28" s="223"/>
      <c r="E28" s="2846">
        <f>ROUND(SUM(E25:E27),1)</f>
        <v>50.9</v>
      </c>
      <c r="F28" s="2796"/>
      <c r="G28" s="2846">
        <f>ROUND(SUM(G25:G27),1)</f>
        <v>49.8</v>
      </c>
      <c r="H28" s="2796"/>
      <c r="I28" s="2846">
        <f>ROUND(SUM(I25:I27),1)</f>
        <v>53.9</v>
      </c>
      <c r="J28" s="2847"/>
      <c r="K28" s="2846">
        <f>ROUND(SUM(K25:K27),1)</f>
        <v>53.7</v>
      </c>
      <c r="L28" s="2845"/>
      <c r="M28" s="2846">
        <f>ROUND(SUM(M25:M27),1)</f>
        <v>57.9</v>
      </c>
      <c r="N28" s="2845"/>
      <c r="O28" s="2846">
        <f>ROUND(SUM(O25:O27),1)</f>
        <v>55.5</v>
      </c>
      <c r="P28" s="562"/>
      <c r="Q28" s="2846">
        <f>ROUND(SUM(Q25:Q27),1)</f>
        <v>54</v>
      </c>
      <c r="R28" s="562"/>
      <c r="S28" s="2846">
        <f>ROUND(SUM(S25:S27),1)</f>
        <v>51.4</v>
      </c>
      <c r="T28" s="562"/>
      <c r="U28" s="2846">
        <f>ROUND(SUM(U25:U27),1)</f>
        <v>52.5</v>
      </c>
      <c r="V28" s="562"/>
      <c r="W28" s="1283">
        <f>ROUND(SUM(W25:W27),1)</f>
        <v>0</v>
      </c>
      <c r="X28" s="562"/>
      <c r="Y28" s="1283">
        <f>ROUND(SUM(Y25:Y27),1)</f>
        <v>0</v>
      </c>
      <c r="Z28" s="562"/>
      <c r="AA28" s="1283">
        <f>ROUND(SUM(AA25:AA27),1)</f>
        <v>0</v>
      </c>
      <c r="AB28" s="2078"/>
      <c r="AC28" s="562"/>
      <c r="AD28" s="1283">
        <f>ROUND(SUM(AD25:AD27),1)</f>
        <v>479.6</v>
      </c>
      <c r="AE28" s="2079"/>
      <c r="AF28" s="563"/>
      <c r="AG28" s="1283">
        <f>ROUND(SUM(AG25:AG27),1)</f>
        <v>497</v>
      </c>
      <c r="AH28" s="567"/>
      <c r="AI28" s="587"/>
      <c r="AJ28" s="1283">
        <f>ROUND(SUM(AJ25:AJ27),1)</f>
        <v>-17.399999999999999</v>
      </c>
      <c r="AK28" s="573"/>
      <c r="AL28" s="2840">
        <f>ROUND(IF(AG28=0,0,AJ28/ABS(AG28)),3)</f>
        <v>-3.5000000000000003E-2</v>
      </c>
      <c r="AM28" s="1026"/>
      <c r="AN28" s="558"/>
      <c r="AO28" s="558"/>
      <c r="AP28" s="558"/>
      <c r="AQ28" s="558"/>
      <c r="AR28" s="558"/>
    </row>
    <row r="29" spans="1:44" ht="15.6">
      <c r="A29" s="223"/>
      <c r="B29" s="2076" t="s">
        <v>1432</v>
      </c>
      <c r="C29" s="223"/>
      <c r="D29" s="223"/>
      <c r="E29" s="2849"/>
      <c r="F29" s="2849"/>
      <c r="G29" s="2849"/>
      <c r="H29" s="2849"/>
      <c r="I29" s="2849"/>
      <c r="J29" s="2849"/>
      <c r="K29" s="2849"/>
      <c r="L29" s="2849"/>
      <c r="M29" s="2849"/>
      <c r="N29" s="2849"/>
      <c r="O29" s="2849"/>
      <c r="P29" s="368"/>
      <c r="Q29" s="2849"/>
      <c r="R29" s="368"/>
      <c r="S29" s="2849"/>
      <c r="T29" s="368"/>
      <c r="U29" s="2849"/>
      <c r="V29" s="368"/>
      <c r="W29" s="368"/>
      <c r="X29" s="368"/>
      <c r="Y29" s="368"/>
      <c r="Z29" s="368"/>
      <c r="AA29" s="368"/>
      <c r="AB29" s="368"/>
      <c r="AC29" s="473"/>
      <c r="AD29" s="368"/>
      <c r="AE29" s="2096"/>
      <c r="AF29" s="253"/>
      <c r="AG29" s="368"/>
      <c r="AH29" s="368"/>
      <c r="AI29" s="646"/>
      <c r="AJ29" s="647"/>
      <c r="AK29" s="647"/>
      <c r="AL29" s="2850"/>
    </row>
    <row r="30" spans="1:44" ht="15.6">
      <c r="A30" s="223"/>
      <c r="B30" s="1270" t="s">
        <v>1397</v>
      </c>
      <c r="C30" s="223"/>
      <c r="D30" s="223"/>
      <c r="E30" s="2671">
        <f>+' Exhibit I State'!E29</f>
        <v>0</v>
      </c>
      <c r="F30" s="2796"/>
      <c r="G30" s="2671">
        <f>+' Exhibit I State'!G29</f>
        <v>0</v>
      </c>
      <c r="H30" s="2796"/>
      <c r="I30" s="2671">
        <f>+' Exhibit I State'!I29</f>
        <v>11.9</v>
      </c>
      <c r="J30" s="2847"/>
      <c r="K30" s="2671">
        <f>+' Exhibit I State'!K29</f>
        <v>11.9</v>
      </c>
      <c r="L30" s="2845"/>
      <c r="M30" s="2671">
        <f>+' Exhibit I State'!M29</f>
        <v>11.9</v>
      </c>
      <c r="N30" s="2845"/>
      <c r="O30" s="2671">
        <f>+' Exhibit I State'!O29</f>
        <v>11.9</v>
      </c>
      <c r="P30" s="562"/>
      <c r="Q30" s="2671">
        <f>+' Exhibit I State'!Q29</f>
        <v>12</v>
      </c>
      <c r="R30" s="562"/>
      <c r="S30" s="2671">
        <f>+' Exhibit I State'!S29</f>
        <v>11.9</v>
      </c>
      <c r="T30" s="562"/>
      <c r="U30" s="2671">
        <f>+' Exhibit I State'!U29</f>
        <v>11.9</v>
      </c>
      <c r="V30" s="562"/>
      <c r="W30" s="2901"/>
      <c r="X30" s="562"/>
      <c r="Y30" s="2901"/>
      <c r="Z30" s="562"/>
      <c r="AA30" s="2901"/>
      <c r="AB30" s="2078"/>
      <c r="AC30" s="562"/>
      <c r="AD30" s="261">
        <f>ROUND(SUM(E30:AA30),1)</f>
        <v>83.4</v>
      </c>
      <c r="AE30" s="2079"/>
      <c r="AF30" s="563"/>
      <c r="AG30" s="592">
        <v>83.4</v>
      </c>
      <c r="AH30" s="567"/>
      <c r="AI30" s="587"/>
      <c r="AJ30" s="597">
        <f>ROUND(SUM(AD30-AG30),1)</f>
        <v>0</v>
      </c>
      <c r="AK30" s="573"/>
      <c r="AL30" s="2802">
        <f>ROUND(IF(AG30=0,0,AJ30/ABS(AG30)),3)</f>
        <v>0</v>
      </c>
      <c r="AM30" s="1026"/>
      <c r="AN30" s="558"/>
      <c r="AO30" s="558"/>
      <c r="AP30" s="558"/>
    </row>
    <row r="31" spans="1:44" ht="15.6">
      <c r="A31" s="223"/>
      <c r="B31" s="589" t="s">
        <v>1485</v>
      </c>
      <c r="C31" s="223"/>
      <c r="D31" s="223"/>
      <c r="E31" s="256">
        <f>ROUND(SUM(E30:E30),1)</f>
        <v>0</v>
      </c>
      <c r="F31" s="1886"/>
      <c r="G31" s="256">
        <f>ROUND(SUM(G30:G30),1)</f>
        <v>0</v>
      </c>
      <c r="H31" s="1886"/>
      <c r="I31" s="256">
        <f>ROUND(SUM(I30:I30),1)</f>
        <v>11.9</v>
      </c>
      <c r="J31" s="1886"/>
      <c r="K31" s="256">
        <f>ROUND(SUM(K30:K30),1)</f>
        <v>11.9</v>
      </c>
      <c r="L31" s="562"/>
      <c r="M31" s="256">
        <f>ROUND(SUM(M30:M30),1)</f>
        <v>11.9</v>
      </c>
      <c r="N31" s="562"/>
      <c r="O31" s="256">
        <f>ROUND(SUM(O30:O30),1)</f>
        <v>11.9</v>
      </c>
      <c r="P31" s="562"/>
      <c r="Q31" s="256">
        <f>ROUND(SUM(Q30:Q30),1)</f>
        <v>12</v>
      </c>
      <c r="R31" s="562"/>
      <c r="S31" s="256">
        <f>ROUND(SUM(S30:S30),1)</f>
        <v>11.9</v>
      </c>
      <c r="T31" s="562"/>
      <c r="U31" s="256">
        <f>ROUND(SUM(U30:U30),1)</f>
        <v>11.9</v>
      </c>
      <c r="V31" s="562"/>
      <c r="W31" s="256">
        <f>ROUND(SUM(W30:W30),1)</f>
        <v>0</v>
      </c>
      <c r="X31" s="562"/>
      <c r="Y31" s="256">
        <f>ROUND(SUM(Y30:Y30),1)</f>
        <v>0</v>
      </c>
      <c r="Z31" s="562"/>
      <c r="AA31" s="256">
        <f>ROUND(SUM(AA30:AA30),1)</f>
        <v>0</v>
      </c>
      <c r="AB31" s="2078"/>
      <c r="AC31" s="562"/>
      <c r="AD31" s="256">
        <f>ROUND(SUM(AD30:AD30),1)</f>
        <v>83.4</v>
      </c>
      <c r="AE31" s="2079"/>
      <c r="AF31" s="563"/>
      <c r="AG31" s="256">
        <f>ROUND(SUM(AG30:AG30),1)</f>
        <v>83.4</v>
      </c>
      <c r="AH31" s="567"/>
      <c r="AI31" s="587"/>
      <c r="AJ31" s="2242">
        <f>ROUND(SUM(AD31-AG31),1)</f>
        <v>0</v>
      </c>
      <c r="AK31" s="583"/>
      <c r="AL31" s="2821">
        <f>ROUND(IF(AG31=0,0,AJ31/ABS(AG31)),3)</f>
        <v>0</v>
      </c>
      <c r="AM31" s="1026"/>
      <c r="AN31" s="558"/>
      <c r="AO31" s="558"/>
      <c r="AP31" s="558"/>
    </row>
    <row r="32" spans="1:44" ht="15.6">
      <c r="A32" s="223"/>
      <c r="B32" s="589"/>
      <c r="C32" s="223"/>
      <c r="D32" s="223"/>
      <c r="E32" s="484"/>
      <c r="F32" s="1886"/>
      <c r="G32" s="484"/>
      <c r="H32" s="1886"/>
      <c r="I32" s="484"/>
      <c r="J32" s="1886"/>
      <c r="K32" s="484"/>
      <c r="L32" s="562"/>
      <c r="M32" s="484"/>
      <c r="N32" s="562"/>
      <c r="O32" s="3167"/>
      <c r="P32" s="562"/>
      <c r="Q32" s="3167"/>
      <c r="R32" s="562"/>
      <c r="S32" s="3167"/>
      <c r="T32" s="562"/>
      <c r="U32" s="3167"/>
      <c r="V32" s="562"/>
      <c r="W32" s="1283"/>
      <c r="X32" s="562"/>
      <c r="Y32" s="1283"/>
      <c r="Z32" s="562"/>
      <c r="AA32" s="1283"/>
      <c r="AB32" s="2078"/>
      <c r="AC32" s="562"/>
      <c r="AD32" s="484"/>
      <c r="AE32" s="2079"/>
      <c r="AF32" s="563"/>
      <c r="AG32" s="563"/>
      <c r="AH32" s="567"/>
      <c r="AI32" s="587"/>
      <c r="AJ32" s="588"/>
      <c r="AK32" s="573"/>
      <c r="AL32" s="2839"/>
      <c r="AM32" s="1026"/>
      <c r="AN32" s="558"/>
      <c r="AO32" s="558"/>
      <c r="AP32" s="558"/>
    </row>
    <row r="33" spans="1:42" ht="15.6">
      <c r="A33" s="223"/>
      <c r="B33" s="589" t="s">
        <v>1393</v>
      </c>
      <c r="C33" s="223"/>
      <c r="D33" s="223"/>
      <c r="E33" s="2080">
        <f>ROUND(SUM(E11+E28+E23+E31),1)</f>
        <v>99.9</v>
      </c>
      <c r="F33" s="261"/>
      <c r="G33" s="2080">
        <f>ROUND(SUM(G11+G28+G23+G31),1)</f>
        <v>93.3</v>
      </c>
      <c r="H33" s="261"/>
      <c r="I33" s="2080">
        <f>ROUND(SUM(I11+I28+I23+I31),1)</f>
        <v>128.80000000000001</v>
      </c>
      <c r="J33" s="261"/>
      <c r="K33" s="2080">
        <f>ROUND(SUM(K11+K28+K23+K31),1)</f>
        <v>112.2</v>
      </c>
      <c r="L33" s="562"/>
      <c r="M33" s="2080">
        <f>ROUND(SUM(M11+M28+M23+M31),1)</f>
        <v>117.6</v>
      </c>
      <c r="N33" s="562"/>
      <c r="O33" s="2080">
        <f>ROUND(SUM(O11+O28+O23+O31),1)</f>
        <v>137.1</v>
      </c>
      <c r="P33" s="562"/>
      <c r="Q33" s="2080">
        <f>ROUND(SUM(Q11+Q28+Q23+Q31),1)</f>
        <v>115.3</v>
      </c>
      <c r="R33" s="562"/>
      <c r="S33" s="2080">
        <f>ROUND(SUM(S11+S28+S23+S31),1)</f>
        <v>114.5</v>
      </c>
      <c r="T33" s="562"/>
      <c r="U33" s="2080">
        <f>ROUND(SUM(U11+U28+U23+U31),1)</f>
        <v>132.80000000000001</v>
      </c>
      <c r="V33" s="562"/>
      <c r="W33" s="2080">
        <f>ROUND(SUM(W11+W28+W23+W31),1)</f>
        <v>0</v>
      </c>
      <c r="X33" s="562"/>
      <c r="Y33" s="2080">
        <f>ROUND(SUM(Y11+Y28+Y23+Y31),1)</f>
        <v>0</v>
      </c>
      <c r="Z33" s="562"/>
      <c r="AA33" s="2080">
        <f>ROUND(SUM(AA11+AA28+AA23+AA31),1)</f>
        <v>0</v>
      </c>
      <c r="AB33" s="2078"/>
      <c r="AC33" s="562"/>
      <c r="AD33" s="2080">
        <f>ROUND(SUM(AD11+AD28+AD23+AD31),1)</f>
        <v>1051.5</v>
      </c>
      <c r="AE33" s="2079"/>
      <c r="AF33" s="563"/>
      <c r="AG33" s="2080">
        <f>ROUND(SUM(AG11+AG28+AG23+AG31),1)</f>
        <v>1045.4000000000001</v>
      </c>
      <c r="AH33" s="567"/>
      <c r="AI33" s="587"/>
      <c r="AJ33" s="2242">
        <f>ROUND(SUM(AD33-AG33),1)</f>
        <v>6.1</v>
      </c>
      <c r="AK33" s="583"/>
      <c r="AL33" s="2821">
        <f>ROUND(IF(AG33=0,0,AJ33/ABS(AG33)),3)</f>
        <v>6.0000000000000001E-3</v>
      </c>
      <c r="AM33" s="1026"/>
      <c r="AN33" s="558"/>
      <c r="AO33" s="558"/>
      <c r="AP33" s="558"/>
    </row>
    <row r="34" spans="1:42" ht="15.6">
      <c r="A34" s="223"/>
      <c r="B34" s="589"/>
      <c r="C34" s="223"/>
      <c r="D34" s="223"/>
      <c r="E34" s="2083"/>
      <c r="F34" s="261"/>
      <c r="G34" s="2083"/>
      <c r="H34" s="261"/>
      <c r="I34" s="2083"/>
      <c r="J34" s="261"/>
      <c r="K34" s="2083"/>
      <c r="L34" s="562"/>
      <c r="M34" s="2083"/>
      <c r="N34" s="562"/>
      <c r="O34" s="2083"/>
      <c r="P34" s="562"/>
      <c r="Q34" s="2083"/>
      <c r="R34" s="562"/>
      <c r="S34" s="2083"/>
      <c r="T34" s="562"/>
      <c r="U34" s="2083"/>
      <c r="V34" s="562"/>
      <c r="W34" s="2083"/>
      <c r="X34" s="562"/>
      <c r="Y34" s="2083"/>
      <c r="Z34" s="562"/>
      <c r="AA34" s="2083"/>
      <c r="AB34" s="2699"/>
      <c r="AC34" s="562"/>
      <c r="AD34" s="2083"/>
      <c r="AE34" s="2079"/>
      <c r="AF34" s="563"/>
      <c r="AG34" s="2083"/>
      <c r="AH34" s="567"/>
      <c r="AI34" s="587"/>
      <c r="AJ34" s="2082"/>
      <c r="AK34" s="583"/>
      <c r="AL34" s="2807"/>
      <c r="AM34" s="1026"/>
      <c r="AN34" s="558"/>
      <c r="AO34" s="558"/>
      <c r="AP34" s="558"/>
    </row>
    <row r="35" spans="1:42" ht="15.6">
      <c r="A35" s="223"/>
      <c r="B35" s="490" t="s">
        <v>1294</v>
      </c>
      <c r="C35" s="223"/>
      <c r="D35" s="223"/>
      <c r="E35" s="373"/>
      <c r="F35" s="261"/>
      <c r="G35" s="517"/>
      <c r="H35" s="261"/>
      <c r="I35" s="517"/>
      <c r="J35" s="261"/>
      <c r="K35" s="517"/>
      <c r="L35" s="261"/>
      <c r="M35" s="517"/>
      <c r="N35" s="261"/>
      <c r="O35" s="517"/>
      <c r="P35" s="261"/>
      <c r="Q35" s="517"/>
      <c r="R35" s="261"/>
      <c r="S35" s="517"/>
      <c r="T35" s="261"/>
      <c r="U35" s="517"/>
      <c r="V35" s="261"/>
      <c r="X35" s="261"/>
      <c r="Y35" s="517"/>
      <c r="Z35" s="261"/>
      <c r="AA35" s="517"/>
      <c r="AB35" s="261"/>
      <c r="AC35" s="250"/>
      <c r="AD35" s="517"/>
      <c r="AE35" s="1982"/>
      <c r="AF35" s="255"/>
      <c r="AG35" s="653"/>
      <c r="AH35" s="274"/>
      <c r="AI35" s="656"/>
      <c r="AJ35" s="251"/>
      <c r="AK35" s="654"/>
      <c r="AL35" s="2802"/>
      <c r="AM35" s="647"/>
    </row>
    <row r="36" spans="1:42" ht="15.6">
      <c r="A36" s="223"/>
      <c r="B36" s="1830" t="s">
        <v>1422</v>
      </c>
      <c r="C36" s="223"/>
      <c r="D36" s="223"/>
      <c r="E36" s="373"/>
      <c r="F36" s="261"/>
      <c r="G36" s="517"/>
      <c r="H36" s="261"/>
      <c r="I36" s="517"/>
      <c r="J36" s="261"/>
      <c r="K36" s="517"/>
      <c r="L36" s="261"/>
      <c r="M36" s="517"/>
      <c r="N36" s="261"/>
      <c r="O36" s="517"/>
      <c r="P36" s="261"/>
      <c r="Q36" s="517"/>
      <c r="R36" s="261"/>
      <c r="S36" s="517"/>
      <c r="T36" s="261"/>
      <c r="U36" s="517"/>
      <c r="V36" s="261"/>
      <c r="X36" s="261"/>
      <c r="Y36" s="517"/>
      <c r="Z36" s="261"/>
      <c r="AA36" s="517"/>
      <c r="AB36" s="261"/>
      <c r="AC36" s="250"/>
      <c r="AD36" s="517"/>
      <c r="AE36" s="1982"/>
      <c r="AF36" s="255"/>
      <c r="AG36" s="653"/>
      <c r="AH36" s="274"/>
      <c r="AI36" s="656"/>
      <c r="AJ36" s="251"/>
      <c r="AK36" s="654"/>
      <c r="AL36" s="2802"/>
      <c r="AM36" s="647"/>
    </row>
    <row r="37" spans="1:42" ht="15.6">
      <c r="A37" s="223"/>
      <c r="B37" s="1830" t="s">
        <v>1328</v>
      </c>
      <c r="C37" s="223"/>
      <c r="D37" s="223"/>
      <c r="E37" s="373">
        <f>+' Exhibit I State'!E36+'Exhibit I Federal'!E18</f>
        <v>0</v>
      </c>
      <c r="F37" s="261"/>
      <c r="G37" s="373">
        <f>+' Exhibit I State'!G36+'Exhibit I Federal'!G18</f>
        <v>0</v>
      </c>
      <c r="H37" s="261"/>
      <c r="I37" s="373">
        <f>+' Exhibit I State'!I36+'Exhibit I Federal'!I18</f>
        <v>23</v>
      </c>
      <c r="J37" s="261"/>
      <c r="K37" s="373">
        <f>+' Exhibit I State'!K36+'Exhibit I Federal'!K18</f>
        <v>0</v>
      </c>
      <c r="L37" s="261"/>
      <c r="M37" s="373">
        <f>+' Exhibit I State'!M36+'Exhibit I Federal'!M18</f>
        <v>0</v>
      </c>
      <c r="N37" s="261"/>
      <c r="O37" s="373">
        <f>+' Exhibit I State'!O36+'Exhibit I Federal'!O18</f>
        <v>0</v>
      </c>
      <c r="P37" s="261"/>
      <c r="Q37" s="373">
        <f>+' Exhibit I State'!Q36+'Exhibit I Federal'!Q18</f>
        <v>0</v>
      </c>
      <c r="R37" s="261"/>
      <c r="S37" s="373">
        <f>+' Exhibit I State'!S36+'Exhibit I Federal'!S18</f>
        <v>0</v>
      </c>
      <c r="T37" s="261"/>
      <c r="U37" s="373">
        <f>+' Exhibit I State'!U36+'Exhibit I Federal'!U18</f>
        <v>0</v>
      </c>
      <c r="V37" s="261"/>
      <c r="W37" s="1132"/>
      <c r="X37" s="261"/>
      <c r="Y37" s="1132"/>
      <c r="Z37" s="261"/>
      <c r="AA37" s="1132"/>
      <c r="AB37" s="261"/>
      <c r="AC37" s="250"/>
      <c r="AD37" s="517">
        <f t="shared" ref="AD37:AD60" si="0">ROUND(SUM(E37:AA37),1)</f>
        <v>23</v>
      </c>
      <c r="AE37" s="1982"/>
      <c r="AF37" s="255"/>
      <c r="AG37" s="2200">
        <f>+' Exhibit I State'!AI36</f>
        <v>23</v>
      </c>
      <c r="AH37" s="274"/>
      <c r="AI37" s="656"/>
      <c r="AJ37" s="251">
        <f t="shared" ref="AJ37:AJ60" si="1">ROUND(SUM(+AD37-AG37),1)</f>
        <v>0</v>
      </c>
      <c r="AK37" s="654"/>
      <c r="AL37" s="2802">
        <f>ROUND(IF(AG37=0,0,AJ37/ABS(AG37)),3)</f>
        <v>0</v>
      </c>
      <c r="AM37" s="647"/>
    </row>
    <row r="38" spans="1:42" ht="15.6">
      <c r="A38" s="223"/>
      <c r="B38" s="1830" t="s">
        <v>1423</v>
      </c>
      <c r="C38" s="223"/>
      <c r="D38" s="223"/>
      <c r="E38" s="373"/>
      <c r="F38" s="261"/>
      <c r="G38" s="373"/>
      <c r="H38" s="261"/>
      <c r="I38" s="373"/>
      <c r="J38" s="261"/>
      <c r="K38" s="373"/>
      <c r="L38" s="261"/>
      <c r="M38" s="373"/>
      <c r="N38" s="261"/>
      <c r="O38" s="373"/>
      <c r="P38" s="261"/>
      <c r="Q38" s="373"/>
      <c r="R38" s="261"/>
      <c r="S38" s="373"/>
      <c r="T38" s="261"/>
      <c r="U38" s="373"/>
      <c r="V38" s="261"/>
      <c r="W38" s="1132"/>
      <c r="X38" s="261"/>
      <c r="Y38" s="1132"/>
      <c r="Z38" s="261"/>
      <c r="AA38" s="1132"/>
      <c r="AB38" s="261"/>
      <c r="AC38" s="250"/>
      <c r="AD38" s="517"/>
      <c r="AE38" s="1982"/>
      <c r="AF38" s="255"/>
      <c r="AG38" s="2200"/>
      <c r="AH38" s="274"/>
      <c r="AI38" s="656"/>
      <c r="AJ38" s="251"/>
      <c r="AK38" s="654"/>
      <c r="AL38" s="2802"/>
      <c r="AM38" s="647"/>
    </row>
    <row r="39" spans="1:42" ht="15.6">
      <c r="A39" s="223"/>
      <c r="B39" s="1830" t="s">
        <v>1329</v>
      </c>
      <c r="C39" s="223"/>
      <c r="D39" s="223"/>
      <c r="E39" s="373">
        <f>+' Exhibit I State'!E38+'Exhibit I Federal'!E20</f>
        <v>9.1</v>
      </c>
      <c r="F39" s="261"/>
      <c r="G39" s="373">
        <f>+' Exhibit I State'!G38+'Exhibit I Federal'!G20</f>
        <v>8.6</v>
      </c>
      <c r="H39" s="261"/>
      <c r="I39" s="373">
        <f>+' Exhibit I State'!I38+'Exhibit I Federal'!I20</f>
        <v>7.7</v>
      </c>
      <c r="J39" s="261"/>
      <c r="K39" s="373">
        <f>+' Exhibit I State'!K38+'Exhibit I Federal'!K20</f>
        <v>10.6</v>
      </c>
      <c r="L39" s="261"/>
      <c r="M39" s="373">
        <f>+' Exhibit I State'!M38+'Exhibit I Federal'!M20</f>
        <v>8.1999999999999993</v>
      </c>
      <c r="N39" s="261"/>
      <c r="O39" s="373">
        <f>+' Exhibit I State'!O38+'Exhibit I Federal'!O20</f>
        <v>7.8</v>
      </c>
      <c r="P39" s="261"/>
      <c r="Q39" s="373">
        <f>+' Exhibit I State'!Q38+'Exhibit I Federal'!Q20</f>
        <v>8.1</v>
      </c>
      <c r="R39" s="261"/>
      <c r="S39" s="373">
        <f>+' Exhibit I State'!S38+'Exhibit I Federal'!S20</f>
        <v>7.8</v>
      </c>
      <c r="T39" s="261"/>
      <c r="U39" s="373">
        <f>+' Exhibit I State'!U38+'Exhibit I Federal'!U20</f>
        <v>7.5</v>
      </c>
      <c r="V39" s="261"/>
      <c r="W39" s="1132"/>
      <c r="X39" s="261"/>
      <c r="Y39" s="1132"/>
      <c r="Z39" s="261"/>
      <c r="AA39" s="1132"/>
      <c r="AB39" s="261"/>
      <c r="AC39" s="250"/>
      <c r="AD39" s="517">
        <f t="shared" si="0"/>
        <v>75.400000000000006</v>
      </c>
      <c r="AE39" s="1982"/>
      <c r="AF39" s="255"/>
      <c r="AG39" s="2200">
        <v>71</v>
      </c>
      <c r="AH39" s="274"/>
      <c r="AI39" s="656"/>
      <c r="AJ39" s="251">
        <f t="shared" si="1"/>
        <v>4.4000000000000004</v>
      </c>
      <c r="AK39" s="654"/>
      <c r="AL39" s="2802">
        <f>ROUND(IF(AG39=0,0,AJ39/ABS(AG39)),3)</f>
        <v>6.2E-2</v>
      </c>
      <c r="AM39" s="647"/>
    </row>
    <row r="40" spans="1:42" ht="15.6">
      <c r="A40" s="223"/>
      <c r="B40" s="1830" t="s">
        <v>1428</v>
      </c>
      <c r="C40" s="223"/>
      <c r="D40" s="223"/>
      <c r="E40" s="373"/>
      <c r="F40" s="261"/>
      <c r="G40" s="373"/>
      <c r="H40" s="261"/>
      <c r="I40" s="373"/>
      <c r="J40" s="261"/>
      <c r="K40" s="373"/>
      <c r="L40" s="261"/>
      <c r="M40" s="373"/>
      <c r="N40" s="261"/>
      <c r="O40" s="373"/>
      <c r="P40" s="261"/>
      <c r="Q40" s="373"/>
      <c r="R40" s="261"/>
      <c r="S40" s="373"/>
      <c r="T40" s="261"/>
      <c r="U40" s="373"/>
      <c r="V40" s="261"/>
      <c r="W40" s="1132"/>
      <c r="X40" s="261"/>
      <c r="Y40" s="1132"/>
      <c r="Z40" s="261"/>
      <c r="AA40" s="1132"/>
      <c r="AB40" s="261"/>
      <c r="AC40" s="250"/>
      <c r="AD40" s="517"/>
      <c r="AE40" s="1982"/>
      <c r="AF40" s="255"/>
      <c r="AG40" s="2200"/>
      <c r="AH40" s="274"/>
      <c r="AI40" s="656"/>
      <c r="AJ40" s="251"/>
      <c r="AK40" s="654"/>
      <c r="AL40" s="2802"/>
      <c r="AM40" s="647"/>
    </row>
    <row r="41" spans="1:42" ht="15.6">
      <c r="A41" s="223"/>
      <c r="B41" s="1830" t="s">
        <v>1333</v>
      </c>
      <c r="C41" s="223"/>
      <c r="D41" s="223"/>
      <c r="E41" s="373">
        <f>+' Exhibit I State'!E40+'Exhibit I Federal'!E22</f>
        <v>1.7</v>
      </c>
      <c r="F41" s="261"/>
      <c r="G41" s="373">
        <f>+' Exhibit I State'!G40+'Exhibit I Federal'!G22</f>
        <v>2.2000000000000002</v>
      </c>
      <c r="H41" s="261"/>
      <c r="I41" s="373">
        <f>+' Exhibit I State'!I40+'Exhibit I Federal'!I22</f>
        <v>3.9</v>
      </c>
      <c r="J41" s="261"/>
      <c r="K41" s="373">
        <f>+' Exhibit I State'!K40+'Exhibit I Federal'!K22</f>
        <v>2.8</v>
      </c>
      <c r="L41" s="261"/>
      <c r="M41" s="373">
        <f>+' Exhibit I State'!M40+'Exhibit I Federal'!M22</f>
        <v>3.3</v>
      </c>
      <c r="N41" s="261"/>
      <c r="O41" s="373">
        <f>+' Exhibit I State'!O40+'Exhibit I Federal'!O22</f>
        <v>1.9</v>
      </c>
      <c r="P41" s="261"/>
      <c r="Q41" s="373">
        <f>+' Exhibit I State'!Q40+'Exhibit I Federal'!Q22</f>
        <v>3.4</v>
      </c>
      <c r="R41" s="261"/>
      <c r="S41" s="373">
        <f>+' Exhibit I State'!S40+'Exhibit I Federal'!S22</f>
        <v>7.5</v>
      </c>
      <c r="T41" s="261"/>
      <c r="U41" s="373">
        <f>+' Exhibit I State'!U40+'Exhibit I Federal'!U22</f>
        <v>2.2999999999999998</v>
      </c>
      <c r="V41" s="261"/>
      <c r="W41" s="1132"/>
      <c r="X41" s="261"/>
      <c r="Y41" s="1132"/>
      <c r="Z41" s="261"/>
      <c r="AA41" s="1132"/>
      <c r="AB41" s="261"/>
      <c r="AC41" s="250"/>
      <c r="AD41" s="517">
        <f t="shared" si="0"/>
        <v>29</v>
      </c>
      <c r="AE41" s="1982"/>
      <c r="AF41" s="255"/>
      <c r="AG41" s="2200">
        <v>44.7</v>
      </c>
      <c r="AH41" s="274"/>
      <c r="AI41" s="656"/>
      <c r="AJ41" s="251">
        <f t="shared" si="1"/>
        <v>-15.7</v>
      </c>
      <c r="AK41" s="654"/>
      <c r="AL41" s="2802">
        <f>ROUND(IF(AG41=0,0,AJ41/ABS(AG41)),3)</f>
        <v>-0.35099999999999998</v>
      </c>
      <c r="AM41" s="647"/>
    </row>
    <row r="42" spans="1:42" ht="15.6">
      <c r="A42" s="223"/>
      <c r="B42" s="1830" t="s">
        <v>1511</v>
      </c>
      <c r="C42" s="223"/>
      <c r="D42" s="223"/>
      <c r="E42" s="373">
        <f>+' Exhibit I State'!E41+'Exhibit I Federal'!E23</f>
        <v>0</v>
      </c>
      <c r="F42" s="261"/>
      <c r="G42" s="373">
        <f>+' Exhibit I State'!G41+'Exhibit I Federal'!G23</f>
        <v>0</v>
      </c>
      <c r="H42" s="261"/>
      <c r="I42" s="373">
        <f>+' Exhibit I State'!I41+'Exhibit I Federal'!I23</f>
        <v>0</v>
      </c>
      <c r="J42" s="261"/>
      <c r="K42" s="373">
        <f>+' Exhibit I State'!K41+'Exhibit I Federal'!K23</f>
        <v>0</v>
      </c>
      <c r="L42" s="261"/>
      <c r="M42" s="373">
        <f>+' Exhibit I State'!M41+'Exhibit I Federal'!M23</f>
        <v>0</v>
      </c>
      <c r="N42" s="261"/>
      <c r="O42" s="373">
        <f>+' Exhibit I State'!O41+'Exhibit I Federal'!O23</f>
        <v>0</v>
      </c>
      <c r="P42" s="261"/>
      <c r="Q42" s="373">
        <f>+' Exhibit I State'!Q41+'Exhibit I Federal'!Q23</f>
        <v>0</v>
      </c>
      <c r="R42" s="261"/>
      <c r="S42" s="373">
        <f>+' Exhibit I State'!S41+'Exhibit I Federal'!S23</f>
        <v>0</v>
      </c>
      <c r="T42" s="261"/>
      <c r="U42" s="373">
        <f>+' Exhibit I State'!U41+'Exhibit I Federal'!U23</f>
        <v>0</v>
      </c>
      <c r="V42" s="261"/>
      <c r="W42" s="1132"/>
      <c r="X42" s="261"/>
      <c r="Y42" s="1132"/>
      <c r="Z42" s="261"/>
      <c r="AA42" s="1132"/>
      <c r="AB42" s="261"/>
      <c r="AC42" s="250"/>
      <c r="AD42" s="517">
        <f t="shared" si="0"/>
        <v>0</v>
      </c>
      <c r="AE42" s="2884"/>
      <c r="AF42" s="255"/>
      <c r="AG42" s="2200">
        <f>+' Exhibit I State'!AI41</f>
        <v>0</v>
      </c>
      <c r="AH42" s="274"/>
      <c r="AI42" s="656"/>
      <c r="AJ42" s="251">
        <f>ROUND(SUM(+AD42-AG42),1)</f>
        <v>0</v>
      </c>
      <c r="AK42" s="654"/>
      <c r="AL42" s="2802">
        <f>ROUND(IF(AG42=0,0,AJ42/ABS(AG42)),3)</f>
        <v>0</v>
      </c>
      <c r="AM42" s="647"/>
    </row>
    <row r="43" spans="1:42" ht="15.6">
      <c r="A43" s="223"/>
      <c r="B43" s="1830" t="s">
        <v>1336</v>
      </c>
      <c r="C43" s="223"/>
      <c r="D43" s="223"/>
      <c r="E43" s="373">
        <f>+' Exhibit I State'!E42+'Exhibit I Federal'!E24</f>
        <v>58.6</v>
      </c>
      <c r="F43" s="261"/>
      <c r="G43" s="373">
        <f>+' Exhibit I State'!G42+'Exhibit I Federal'!G24</f>
        <v>71.5</v>
      </c>
      <c r="H43" s="261"/>
      <c r="I43" s="373">
        <f>+' Exhibit I State'!I42+'Exhibit I Federal'!I24</f>
        <v>59.4</v>
      </c>
      <c r="J43" s="261"/>
      <c r="K43" s="373">
        <f>+' Exhibit I State'!K42+'Exhibit I Federal'!K24</f>
        <v>63</v>
      </c>
      <c r="L43" s="261"/>
      <c r="M43" s="373">
        <f>+' Exhibit I State'!M42+'Exhibit I Federal'!M24</f>
        <v>58</v>
      </c>
      <c r="N43" s="261"/>
      <c r="O43" s="373">
        <f>+' Exhibit I State'!O42+'Exhibit I Federal'!O24</f>
        <v>54</v>
      </c>
      <c r="P43" s="261"/>
      <c r="Q43" s="373">
        <f>+' Exhibit I State'!Q42+'Exhibit I Federal'!Q24</f>
        <v>51</v>
      </c>
      <c r="R43" s="261"/>
      <c r="S43" s="373">
        <f>+' Exhibit I State'!S42+'Exhibit I Federal'!S24</f>
        <v>54.9</v>
      </c>
      <c r="T43" s="261"/>
      <c r="U43" s="373">
        <f>+' Exhibit I State'!U42+'Exhibit I Federal'!U24</f>
        <v>53.3</v>
      </c>
      <c r="V43" s="261"/>
      <c r="W43" s="1132"/>
      <c r="X43" s="261"/>
      <c r="Y43" s="1132"/>
      <c r="Z43" s="261"/>
      <c r="AA43" s="1132"/>
      <c r="AB43" s="261"/>
      <c r="AC43" s="250"/>
      <c r="AD43" s="517">
        <f t="shared" si="0"/>
        <v>523.70000000000005</v>
      </c>
      <c r="AE43" s="1982"/>
      <c r="AF43" s="255"/>
      <c r="AG43" s="2200">
        <v>491.5</v>
      </c>
      <c r="AH43" s="274"/>
      <c r="AI43" s="656"/>
      <c r="AJ43" s="251">
        <f t="shared" si="1"/>
        <v>32.200000000000003</v>
      </c>
      <c r="AK43" s="654"/>
      <c r="AL43" s="2802">
        <f>ROUND(IF(AG43=0,0,AJ43/ABS(AG43)),3)</f>
        <v>6.6000000000000003E-2</v>
      </c>
      <c r="AM43" s="647"/>
    </row>
    <row r="44" spans="1:42" ht="15.6">
      <c r="A44" s="223"/>
      <c r="B44" s="1830" t="s">
        <v>1337</v>
      </c>
      <c r="C44" s="223"/>
      <c r="D44" s="223"/>
      <c r="E44" s="373">
        <f>+' Exhibit I State'!E43+'Exhibit I Federal'!E25</f>
        <v>0</v>
      </c>
      <c r="F44" s="261"/>
      <c r="G44" s="373">
        <f>+' Exhibit I State'!G43+'Exhibit I Federal'!G25</f>
        <v>0</v>
      </c>
      <c r="H44" s="261"/>
      <c r="I44" s="373">
        <f>+' Exhibit I State'!I43+'Exhibit I Federal'!I25</f>
        <v>0.4</v>
      </c>
      <c r="J44" s="261"/>
      <c r="K44" s="373">
        <f>+' Exhibit I State'!K43+'Exhibit I Federal'!K25</f>
        <v>0.2</v>
      </c>
      <c r="L44" s="261"/>
      <c r="M44" s="373">
        <f>+' Exhibit I State'!M43+'Exhibit I Federal'!M25</f>
        <v>3</v>
      </c>
      <c r="N44" s="261"/>
      <c r="O44" s="373">
        <f>+' Exhibit I State'!O43+'Exhibit I Federal'!O25</f>
        <v>5.5</v>
      </c>
      <c r="P44" s="261"/>
      <c r="Q44" s="373">
        <f>+' Exhibit I State'!Q43+'Exhibit I Federal'!Q25</f>
        <v>5.5</v>
      </c>
      <c r="R44" s="261"/>
      <c r="S44" s="373">
        <f>+' Exhibit I State'!S43+'Exhibit I Federal'!S25</f>
        <v>9.8000000000000007</v>
      </c>
      <c r="T44" s="261"/>
      <c r="U44" s="373">
        <f>+' Exhibit I State'!U43+'Exhibit I Federal'!U25</f>
        <v>9.9</v>
      </c>
      <c r="V44" s="261"/>
      <c r="W44" s="1132"/>
      <c r="X44" s="261"/>
      <c r="Y44" s="1132"/>
      <c r="Z44" s="261"/>
      <c r="AA44" s="1132"/>
      <c r="AB44" s="261"/>
      <c r="AC44" s="250"/>
      <c r="AD44" s="517">
        <f t="shared" si="0"/>
        <v>34.299999999999997</v>
      </c>
      <c r="AE44" s="1982"/>
      <c r="AF44" s="255"/>
      <c r="AG44" s="3500">
        <v>14</v>
      </c>
      <c r="AH44" s="274"/>
      <c r="AI44" s="656"/>
      <c r="AJ44" s="1269">
        <f>ROUND(SUM(+AD44-AG44),1)</f>
        <v>20.3</v>
      </c>
      <c r="AK44" s="1908"/>
      <c r="AL44" s="2802">
        <f>ROUND(IF(AG44=0,1,AJ44/ABS(AG44)),3)</f>
        <v>1.45</v>
      </c>
      <c r="AM44" s="647"/>
    </row>
    <row r="45" spans="1:42" ht="15.6">
      <c r="A45" s="223"/>
      <c r="B45" s="1830" t="s">
        <v>1295</v>
      </c>
      <c r="C45" s="223"/>
      <c r="D45" s="223"/>
      <c r="E45" s="373">
        <f>+' Exhibit I State'!E44+'Exhibit I Federal'!E26</f>
        <v>0.1</v>
      </c>
      <c r="F45" s="261"/>
      <c r="G45" s="373">
        <f>+' Exhibit I State'!G44+'Exhibit I Federal'!G26</f>
        <v>3.5</v>
      </c>
      <c r="H45" s="261"/>
      <c r="I45" s="373">
        <f>+' Exhibit I State'!I44+'Exhibit I Federal'!I26</f>
        <v>1.3</v>
      </c>
      <c r="J45" s="261"/>
      <c r="K45" s="373">
        <f>+' Exhibit I State'!K44+'Exhibit I Federal'!K26</f>
        <v>1.5</v>
      </c>
      <c r="L45" s="261"/>
      <c r="M45" s="373">
        <f>+' Exhibit I State'!M44+'Exhibit I Federal'!M26</f>
        <v>2.2000000000000002</v>
      </c>
      <c r="N45" s="261"/>
      <c r="O45" s="373">
        <f>+' Exhibit I State'!O44+'Exhibit I Federal'!O26</f>
        <v>2.6</v>
      </c>
      <c r="P45" s="261"/>
      <c r="Q45" s="373">
        <f>+' Exhibit I State'!Q44+'Exhibit I Federal'!Q26</f>
        <v>1.9</v>
      </c>
      <c r="R45" s="261"/>
      <c r="S45" s="373">
        <f>+' Exhibit I State'!S44+'Exhibit I Federal'!S26</f>
        <v>1.8</v>
      </c>
      <c r="T45" s="261"/>
      <c r="U45" s="373">
        <f>+' Exhibit I State'!U44+'Exhibit I Federal'!U26</f>
        <v>1.8</v>
      </c>
      <c r="V45" s="261"/>
      <c r="W45" s="1132"/>
      <c r="X45" s="261"/>
      <c r="Y45" s="1132"/>
      <c r="Z45" s="261"/>
      <c r="AA45" s="1132"/>
      <c r="AB45" s="261"/>
      <c r="AC45" s="250"/>
      <c r="AD45" s="517">
        <f t="shared" si="0"/>
        <v>16.7</v>
      </c>
      <c r="AE45" s="1982"/>
      <c r="AF45" s="255"/>
      <c r="AG45" s="2200">
        <v>16.399999999999999</v>
      </c>
      <c r="AH45" s="274"/>
      <c r="AI45" s="656"/>
      <c r="AJ45" s="251">
        <f t="shared" si="1"/>
        <v>0.3</v>
      </c>
      <c r="AK45" s="654"/>
      <c r="AL45" s="2802">
        <f>ROUND(IF(AG45=0,1,AJ45/ABS(AG45)),3)</f>
        <v>1.7999999999999999E-2</v>
      </c>
      <c r="AM45" s="647"/>
    </row>
    <row r="46" spans="1:42" ht="15.6">
      <c r="A46" s="223"/>
      <c r="B46" s="1830" t="s">
        <v>1296</v>
      </c>
      <c r="C46" s="223"/>
      <c r="D46" s="223"/>
      <c r="E46" s="373">
        <f>+' Exhibit I State'!E45+'Exhibit I Federal'!E27</f>
        <v>0.1</v>
      </c>
      <c r="F46" s="261"/>
      <c r="G46" s="373">
        <f>+' Exhibit I State'!G45+'Exhibit I Federal'!G27</f>
        <v>0</v>
      </c>
      <c r="H46" s="261"/>
      <c r="I46" s="373">
        <f>+' Exhibit I State'!I45+'Exhibit I Federal'!I27</f>
        <v>0.1</v>
      </c>
      <c r="J46" s="261"/>
      <c r="K46" s="373">
        <f>+' Exhibit I State'!K45+'Exhibit I Federal'!K27</f>
        <v>0</v>
      </c>
      <c r="L46" s="261"/>
      <c r="M46" s="373">
        <f>+' Exhibit I State'!M45+'Exhibit I Federal'!M27</f>
        <v>0.1</v>
      </c>
      <c r="N46" s="261"/>
      <c r="O46" s="373">
        <f>+' Exhibit I State'!O45+'Exhibit I Federal'!O27</f>
        <v>0</v>
      </c>
      <c r="P46" s="261"/>
      <c r="Q46" s="373">
        <f>+' Exhibit I State'!Q45+'Exhibit I Federal'!Q27</f>
        <v>0</v>
      </c>
      <c r="R46" s="261"/>
      <c r="S46" s="373">
        <f>+' Exhibit I State'!S45+'Exhibit I Federal'!S27</f>
        <v>0.2</v>
      </c>
      <c r="T46" s="261"/>
      <c r="U46" s="373">
        <f>+' Exhibit I State'!U45+'Exhibit I Federal'!U27</f>
        <v>0</v>
      </c>
      <c r="V46" s="261"/>
      <c r="W46" s="1132"/>
      <c r="X46" s="261"/>
      <c r="Y46" s="1132"/>
      <c r="Z46" s="261"/>
      <c r="AA46" s="1132"/>
      <c r="AB46" s="261"/>
      <c r="AC46" s="250"/>
      <c r="AD46" s="517">
        <f t="shared" si="0"/>
        <v>0.5</v>
      </c>
      <c r="AE46" s="1982"/>
      <c r="AF46" s="255"/>
      <c r="AG46" s="2200">
        <v>0.9</v>
      </c>
      <c r="AH46" s="274"/>
      <c r="AI46" s="656"/>
      <c r="AJ46" s="251">
        <f>ROUND(SUM(+AD46-AG46),1)</f>
        <v>-0.4</v>
      </c>
      <c r="AK46" s="654"/>
      <c r="AL46" s="2802">
        <f>ROUND(IF(AG46=0,1,AJ46/ABS(AG46)),3)</f>
        <v>-0.44400000000000001</v>
      </c>
      <c r="AM46" s="647"/>
    </row>
    <row r="47" spans="1:42" ht="15.6">
      <c r="A47" s="223"/>
      <c r="B47" s="1830" t="s">
        <v>1426</v>
      </c>
      <c r="C47" s="223"/>
      <c r="D47" s="223"/>
      <c r="E47" s="373"/>
      <c r="F47" s="261"/>
      <c r="G47" s="373"/>
      <c r="H47" s="261"/>
      <c r="I47" s="373"/>
      <c r="J47" s="261"/>
      <c r="K47" s="373"/>
      <c r="L47" s="261"/>
      <c r="M47" s="373"/>
      <c r="N47" s="261"/>
      <c r="O47" s="373"/>
      <c r="P47" s="261"/>
      <c r="Q47" s="373"/>
      <c r="R47" s="261"/>
      <c r="S47" s="373"/>
      <c r="T47" s="261"/>
      <c r="U47" s="373"/>
      <c r="V47" s="261"/>
      <c r="W47" s="1132"/>
      <c r="X47" s="261"/>
      <c r="Y47" s="1132"/>
      <c r="Z47" s="261"/>
      <c r="AA47" s="1132"/>
      <c r="AB47" s="261"/>
      <c r="AC47" s="250"/>
      <c r="AD47" s="517"/>
      <c r="AE47" s="1982"/>
      <c r="AF47" s="255"/>
      <c r="AG47" s="2200"/>
      <c r="AH47" s="274"/>
      <c r="AI47" s="656"/>
      <c r="AJ47" s="251"/>
      <c r="AK47" s="654"/>
      <c r="AL47" s="45"/>
      <c r="AM47" s="647"/>
    </row>
    <row r="48" spans="1:42" ht="15.6">
      <c r="A48" s="223"/>
      <c r="B48" s="1830" t="s">
        <v>1341</v>
      </c>
      <c r="C48" s="223"/>
      <c r="D48" s="223"/>
      <c r="E48" s="373">
        <f>+' Exhibit I State'!E47+'Exhibit I Federal'!E29</f>
        <v>12.2</v>
      </c>
      <c r="F48" s="261"/>
      <c r="G48" s="373">
        <f>+' Exhibit I State'!G47+'Exhibit I Federal'!G29</f>
        <v>43.1</v>
      </c>
      <c r="H48" s="261"/>
      <c r="I48" s="373">
        <f>+' Exhibit I State'!I47+'Exhibit I Federal'!I29</f>
        <v>854.6</v>
      </c>
      <c r="J48" s="261"/>
      <c r="K48" s="373">
        <f>+' Exhibit I State'!K47+'Exhibit I Federal'!K29</f>
        <v>56</v>
      </c>
      <c r="L48" s="261"/>
      <c r="M48" s="373">
        <f>+' Exhibit I State'!M47+'Exhibit I Federal'!M29</f>
        <v>21.3</v>
      </c>
      <c r="N48" s="261"/>
      <c r="O48" s="373">
        <f>+' Exhibit I State'!O47+'Exhibit I Federal'!O29</f>
        <v>215.4</v>
      </c>
      <c r="P48" s="261"/>
      <c r="Q48" s="373">
        <f>+' Exhibit I State'!Q47+'Exhibit I Federal'!Q29</f>
        <v>310.2</v>
      </c>
      <c r="R48" s="261"/>
      <c r="S48" s="373">
        <f>+' Exhibit I State'!S47+'Exhibit I Federal'!S29</f>
        <v>23.9</v>
      </c>
      <c r="T48" s="261"/>
      <c r="U48" s="373">
        <f>+' Exhibit I State'!U47+'Exhibit I Federal'!U29</f>
        <v>692.1</v>
      </c>
      <c r="V48" s="261"/>
      <c r="W48" s="1132"/>
      <c r="X48" s="261"/>
      <c r="Y48" s="1132"/>
      <c r="Z48" s="261"/>
      <c r="AA48" s="1132"/>
      <c r="AB48" s="261"/>
      <c r="AC48" s="250"/>
      <c r="AD48" s="517">
        <f t="shared" si="0"/>
        <v>2228.8000000000002</v>
      </c>
      <c r="AE48" s="1982"/>
      <c r="AF48" s="255"/>
      <c r="AG48" s="2200">
        <v>1457.6</v>
      </c>
      <c r="AH48" s="274"/>
      <c r="AI48" s="656"/>
      <c r="AJ48" s="251">
        <f t="shared" si="1"/>
        <v>771.2</v>
      </c>
      <c r="AK48" s="654"/>
      <c r="AL48" s="2802">
        <f>ROUND(IF(AG48=0,0,AJ48/ABS(AG48)),3)</f>
        <v>0.52900000000000003</v>
      </c>
      <c r="AM48" s="647"/>
    </row>
    <row r="49" spans="1:39" ht="15.6">
      <c r="A49" s="223"/>
      <c r="B49" s="1830" t="s">
        <v>1343</v>
      </c>
      <c r="C49" s="223"/>
      <c r="D49" s="223"/>
      <c r="E49" s="373">
        <f>+' Exhibit I State'!E48+'Exhibit I Federal'!E30</f>
        <v>0</v>
      </c>
      <c r="F49" s="373">
        <f>+' Exhibit I State'!F48+'Exhibit I Federal'!F31</f>
        <v>0</v>
      </c>
      <c r="G49" s="373">
        <f>+' Exhibit I State'!G48+'Exhibit I Federal'!G30</f>
        <v>0</v>
      </c>
      <c r="H49" s="373"/>
      <c r="I49" s="373">
        <f>+' Exhibit I State'!I48+'Exhibit I Federal'!I30</f>
        <v>0</v>
      </c>
      <c r="J49" s="373"/>
      <c r="K49" s="373">
        <f>+' Exhibit I State'!K48+'Exhibit I Federal'!K30</f>
        <v>0</v>
      </c>
      <c r="L49" s="373"/>
      <c r="M49" s="373">
        <f>+' Exhibit I State'!M48+'Exhibit I Federal'!M30</f>
        <v>0</v>
      </c>
      <c r="N49" s="373"/>
      <c r="O49" s="373">
        <f>+' Exhibit I State'!O48+'Exhibit I Federal'!O30</f>
        <v>0</v>
      </c>
      <c r="P49" s="373"/>
      <c r="Q49" s="373">
        <f>+' Exhibit I State'!Q48+'Exhibit I Federal'!Q30</f>
        <v>0</v>
      </c>
      <c r="R49" s="261"/>
      <c r="S49" s="373">
        <f>+' Exhibit I State'!S48+'Exhibit I Federal'!S30</f>
        <v>0</v>
      </c>
      <c r="T49" s="261"/>
      <c r="U49" s="373">
        <f>+' Exhibit I State'!U48+'Exhibit I Federal'!U30</f>
        <v>0</v>
      </c>
      <c r="V49" s="261"/>
      <c r="W49" s="1132"/>
      <c r="X49" s="261"/>
      <c r="Y49" s="1132"/>
      <c r="Z49" s="261"/>
      <c r="AA49" s="1132"/>
      <c r="AB49" s="261"/>
      <c r="AC49" s="250"/>
      <c r="AD49" s="517">
        <f t="shared" si="0"/>
        <v>0</v>
      </c>
      <c r="AE49" s="2884"/>
      <c r="AF49" s="255"/>
      <c r="AG49" s="2200">
        <f>+' Exhibit I State'!AI48+'Exhibit I Federal'!AI30</f>
        <v>0</v>
      </c>
      <c r="AH49" s="274"/>
      <c r="AI49" s="656"/>
      <c r="AJ49" s="251">
        <f t="shared" si="1"/>
        <v>0</v>
      </c>
      <c r="AK49" s="654"/>
      <c r="AL49" s="2802">
        <f>ROUND(IF(AG49=0,0,AJ49/ABS(AG49)),3)</f>
        <v>0</v>
      </c>
      <c r="AM49" s="647"/>
    </row>
    <row r="50" spans="1:39" ht="15.6">
      <c r="A50" s="223"/>
      <c r="B50" s="1830" t="s">
        <v>1344</v>
      </c>
      <c r="C50" s="223"/>
      <c r="D50" s="223"/>
      <c r="E50" s="373">
        <f>+' Exhibit I State'!E49+'Exhibit I Federal'!E31</f>
        <v>0</v>
      </c>
      <c r="F50" s="261"/>
      <c r="G50" s="373">
        <f>+' Exhibit I State'!G49+'Exhibit I Federal'!G31</f>
        <v>1.3</v>
      </c>
      <c r="H50" s="261"/>
      <c r="I50" s="373">
        <f>+' Exhibit I State'!I49+'Exhibit I Federal'!I31</f>
        <v>0.3</v>
      </c>
      <c r="J50" s="261"/>
      <c r="K50" s="373">
        <f>+' Exhibit I State'!K49+'Exhibit I Federal'!K31</f>
        <v>1.2</v>
      </c>
      <c r="L50" s="261"/>
      <c r="M50" s="373">
        <f>+' Exhibit I State'!M49+'Exhibit I Federal'!M31</f>
        <v>0</v>
      </c>
      <c r="N50" s="261"/>
      <c r="O50" s="373">
        <f>+' Exhibit I State'!O49+'Exhibit I Federal'!O31</f>
        <v>0.3</v>
      </c>
      <c r="P50" s="261"/>
      <c r="Q50" s="373">
        <f>+' Exhibit I State'!Q49+'Exhibit I Federal'!Q31</f>
        <v>0.2</v>
      </c>
      <c r="R50" s="261"/>
      <c r="S50" s="373">
        <f>+' Exhibit I State'!S49+'Exhibit I Federal'!S31</f>
        <v>0.1</v>
      </c>
      <c r="T50" s="261"/>
      <c r="U50" s="373">
        <f>+' Exhibit I State'!U49+'Exhibit I Federal'!U31</f>
        <v>0.4</v>
      </c>
      <c r="V50" s="261"/>
      <c r="W50" s="1132"/>
      <c r="X50" s="261"/>
      <c r="Y50" s="1132"/>
      <c r="Z50" s="261"/>
      <c r="AA50" s="1132"/>
      <c r="AB50" s="261"/>
      <c r="AC50" s="250"/>
      <c r="AD50" s="517">
        <f t="shared" si="0"/>
        <v>3.8</v>
      </c>
      <c r="AE50" s="1982"/>
      <c r="AF50" s="255"/>
      <c r="AG50" s="2200">
        <f>+' Exhibit I State'!AI49</f>
        <v>9.4</v>
      </c>
      <c r="AH50" s="274"/>
      <c r="AI50" s="656"/>
      <c r="AJ50" s="251">
        <f t="shared" si="1"/>
        <v>-5.6</v>
      </c>
      <c r="AK50" s="654"/>
      <c r="AL50" s="2676">
        <f>ROUND(IF(AG50=0,0,AJ50/ABS(AG50)),3)</f>
        <v>-0.59599999999999997</v>
      </c>
      <c r="AM50" s="647"/>
    </row>
    <row r="51" spans="1:39" ht="15.6">
      <c r="A51" s="223"/>
      <c r="B51" s="1830" t="s">
        <v>1314</v>
      </c>
      <c r="C51" s="223"/>
      <c r="D51" s="223"/>
      <c r="E51" s="373">
        <f>+' Exhibit I State'!E50+'Exhibit I Federal'!E32</f>
        <v>0.1</v>
      </c>
      <c r="F51" s="261"/>
      <c r="G51" s="373">
        <f>+' Exhibit I State'!G50+'Exhibit I Federal'!G32</f>
        <v>0.1</v>
      </c>
      <c r="H51" s="261"/>
      <c r="I51" s="373">
        <f>+' Exhibit I State'!I50+'Exhibit I Federal'!I32</f>
        <v>0</v>
      </c>
      <c r="J51" s="261"/>
      <c r="K51" s="373">
        <f>+' Exhibit I State'!K50+'Exhibit I Federal'!K32</f>
        <v>0</v>
      </c>
      <c r="L51" s="261"/>
      <c r="M51" s="373">
        <f>+' Exhibit I State'!M50+'Exhibit I Federal'!M32</f>
        <v>0.1</v>
      </c>
      <c r="N51" s="261"/>
      <c r="O51" s="373">
        <f>+' Exhibit I State'!O50+'Exhibit I Federal'!O32</f>
        <v>0</v>
      </c>
      <c r="P51" s="261"/>
      <c r="Q51" s="373">
        <f>+' Exhibit I State'!Q50+'Exhibit I Federal'!Q32</f>
        <v>0</v>
      </c>
      <c r="R51" s="261"/>
      <c r="S51" s="373">
        <f>+' Exhibit I State'!S50+'Exhibit I Federal'!S32</f>
        <v>0.2</v>
      </c>
      <c r="T51" s="261"/>
      <c r="U51" s="373">
        <f>+' Exhibit I State'!U50+'Exhibit I Federal'!U32</f>
        <v>0</v>
      </c>
      <c r="V51" s="261"/>
      <c r="W51" s="1132"/>
      <c r="X51" s="261"/>
      <c r="Y51" s="1132"/>
      <c r="Z51" s="261"/>
      <c r="AA51" s="1132"/>
      <c r="AB51" s="261"/>
      <c r="AC51" s="250"/>
      <c r="AD51" s="517">
        <f t="shared" si="0"/>
        <v>0.5</v>
      </c>
      <c r="AE51" s="1982"/>
      <c r="AF51" s="255"/>
      <c r="AG51" s="2200">
        <v>6.4</v>
      </c>
      <c r="AH51" s="274"/>
      <c r="AI51" s="656"/>
      <c r="AJ51" s="251">
        <f t="shared" si="1"/>
        <v>-5.9</v>
      </c>
      <c r="AK51" s="654"/>
      <c r="AL51" s="45">
        <f>ROUND(IF(AG51=0,0,AJ51/ABS(AG51)),3)</f>
        <v>-0.92200000000000004</v>
      </c>
      <c r="AM51" s="647"/>
    </row>
    <row r="52" spans="1:39" ht="15.6">
      <c r="A52" s="223"/>
      <c r="B52" s="1830" t="s">
        <v>1315</v>
      </c>
      <c r="C52" s="223"/>
      <c r="D52" s="223"/>
      <c r="E52" s="373">
        <f>+' Exhibit I State'!E51+'Exhibit I Federal'!E33</f>
        <v>0.2</v>
      </c>
      <c r="F52" s="261"/>
      <c r="G52" s="373">
        <f>+' Exhibit I State'!G51+'Exhibit I Federal'!G33</f>
        <v>1.1000000000000001</v>
      </c>
      <c r="H52" s="261"/>
      <c r="I52" s="373">
        <f>+' Exhibit I State'!I51+'Exhibit I Federal'!I33</f>
        <v>0.4</v>
      </c>
      <c r="J52" s="261"/>
      <c r="K52" s="373">
        <f>+' Exhibit I State'!K51+'Exhibit I Federal'!K33</f>
        <v>0.2</v>
      </c>
      <c r="L52" s="261"/>
      <c r="M52" s="373">
        <f>+' Exhibit I State'!M51+'Exhibit I Federal'!M33</f>
        <v>0.8</v>
      </c>
      <c r="N52" s="261"/>
      <c r="O52" s="373">
        <f>+' Exhibit I State'!O51+'Exhibit I Federal'!O33</f>
        <v>0.7</v>
      </c>
      <c r="P52" s="261"/>
      <c r="Q52" s="373">
        <f>+' Exhibit I State'!Q51+'Exhibit I Federal'!Q33</f>
        <v>0.6</v>
      </c>
      <c r="R52" s="261"/>
      <c r="S52" s="373">
        <f>+' Exhibit I State'!S51+'Exhibit I Federal'!S33</f>
        <v>0.6</v>
      </c>
      <c r="T52" s="261"/>
      <c r="U52" s="373">
        <f>+' Exhibit I State'!U51+'Exhibit I Federal'!U33</f>
        <v>0.8</v>
      </c>
      <c r="V52" s="261"/>
      <c r="W52" s="1132"/>
      <c r="X52" s="261"/>
      <c r="Y52" s="1132"/>
      <c r="Z52" s="261"/>
      <c r="AA52" s="1132"/>
      <c r="AB52" s="261"/>
      <c r="AC52" s="250"/>
      <c r="AD52" s="517">
        <f t="shared" si="0"/>
        <v>5.4</v>
      </c>
      <c r="AE52" s="1982"/>
      <c r="AF52" s="255"/>
      <c r="AG52" s="3345">
        <v>5.7</v>
      </c>
      <c r="AH52" s="274"/>
      <c r="AI52" s="656"/>
      <c r="AJ52" s="251">
        <f t="shared" si="1"/>
        <v>-0.3</v>
      </c>
      <c r="AK52" s="654"/>
      <c r="AL52" s="45">
        <f>ROUND(IF(AG52=0,0,AJ52/ABS(AG52)),3)</f>
        <v>-5.2999999999999999E-2</v>
      </c>
      <c r="AM52" s="647"/>
    </row>
    <row r="53" spans="1:39" ht="15.6">
      <c r="A53" s="223"/>
      <c r="B53" s="1830" t="s">
        <v>1427</v>
      </c>
      <c r="C53" s="223"/>
      <c r="D53" s="223"/>
      <c r="E53" s="373"/>
      <c r="F53" s="261"/>
      <c r="G53" s="373"/>
      <c r="H53" s="261"/>
      <c r="I53" s="373"/>
      <c r="J53" s="261"/>
      <c r="K53" s="373"/>
      <c r="L53" s="261"/>
      <c r="M53" s="373"/>
      <c r="N53" s="261"/>
      <c r="O53" s="373"/>
      <c r="P53" s="261"/>
      <c r="Q53" s="373"/>
      <c r="R53" s="261"/>
      <c r="S53" s="373"/>
      <c r="T53" s="261"/>
      <c r="U53" s="373"/>
      <c r="V53" s="261"/>
      <c r="W53" s="1132"/>
      <c r="X53" s="261"/>
      <c r="Y53" s="1132"/>
      <c r="Z53" s="261"/>
      <c r="AA53" s="1132"/>
      <c r="AB53" s="261"/>
      <c r="AC53" s="250"/>
      <c r="AD53" s="517"/>
      <c r="AE53" s="1982"/>
      <c r="AF53" s="255"/>
      <c r="AG53" s="2200"/>
      <c r="AH53" s="274"/>
      <c r="AI53" s="656"/>
      <c r="AJ53" s="251"/>
      <c r="AK53" s="654"/>
      <c r="AL53" s="45"/>
      <c r="AM53" s="647"/>
    </row>
    <row r="54" spans="1:39" ht="15.6">
      <c r="A54" s="223"/>
      <c r="B54" s="1830" t="s">
        <v>1345</v>
      </c>
      <c r="C54" s="223"/>
      <c r="D54" s="223"/>
      <c r="E54" s="373">
        <f>+' Exhibit I State'!E53+'Exhibit I Federal'!E35</f>
        <v>0</v>
      </c>
      <c r="F54" s="261"/>
      <c r="G54" s="373">
        <f>+' Exhibit I State'!G53+'Exhibit I Federal'!G35</f>
        <v>0</v>
      </c>
      <c r="H54" s="261"/>
      <c r="I54" s="373">
        <f>+' Exhibit I State'!I53+'Exhibit I Federal'!I35</f>
        <v>0.1</v>
      </c>
      <c r="J54" s="261"/>
      <c r="K54" s="373">
        <f>+' Exhibit I State'!K53+'Exhibit I Federal'!K35</f>
        <v>0</v>
      </c>
      <c r="L54" s="261"/>
      <c r="M54" s="373">
        <f>+' Exhibit I State'!M53+'Exhibit I Federal'!M35</f>
        <v>0</v>
      </c>
      <c r="N54" s="261"/>
      <c r="O54" s="373">
        <f>+' Exhibit I State'!O53+'Exhibit I Federal'!O35</f>
        <v>0</v>
      </c>
      <c r="P54" s="261"/>
      <c r="Q54" s="373">
        <f>+' Exhibit I State'!Q53+'Exhibit I Federal'!Q35</f>
        <v>0</v>
      </c>
      <c r="R54" s="261"/>
      <c r="S54" s="373">
        <f>+' Exhibit I State'!S53+'Exhibit I Federal'!S35</f>
        <v>0</v>
      </c>
      <c r="T54" s="261"/>
      <c r="U54" s="373">
        <f>+' Exhibit I State'!U53+'Exhibit I Federal'!U35</f>
        <v>0.4</v>
      </c>
      <c r="V54" s="261"/>
      <c r="W54" s="1132"/>
      <c r="X54" s="261"/>
      <c r="Y54" s="1132"/>
      <c r="Z54" s="261"/>
      <c r="AA54" s="1132"/>
      <c r="AB54" s="261"/>
      <c r="AC54" s="250"/>
      <c r="AD54" s="517">
        <f t="shared" si="0"/>
        <v>0.5</v>
      </c>
      <c r="AE54" s="1982"/>
      <c r="AF54" s="255"/>
      <c r="AG54" s="2200">
        <f>+' Exhibit I State'!AI53</f>
        <v>0</v>
      </c>
      <c r="AH54" s="274"/>
      <c r="AI54" s="656"/>
      <c r="AJ54" s="1269">
        <f>ROUND(SUM(+AD54-AG54),1)</f>
        <v>0.5</v>
      </c>
      <c r="AK54" s="1908"/>
      <c r="AL54" s="2802">
        <f>ROUND(IF(AG54=0,1,AJ54/ABS(AG54)),3)</f>
        <v>1</v>
      </c>
      <c r="AM54" s="647"/>
    </row>
    <row r="55" spans="1:39" ht="15.6">
      <c r="A55" s="223"/>
      <c r="B55" s="1830" t="s">
        <v>1347</v>
      </c>
      <c r="C55" s="223"/>
      <c r="D55" s="223"/>
      <c r="E55" s="373">
        <f>+' Exhibit I State'!E54+'Exhibit I Federal'!E36</f>
        <v>0</v>
      </c>
      <c r="F55" s="261"/>
      <c r="G55" s="373">
        <f>+' Exhibit I State'!G54+'Exhibit I Federal'!G36</f>
        <v>0</v>
      </c>
      <c r="H55" s="261"/>
      <c r="I55" s="373">
        <f>+' Exhibit I State'!I54+'Exhibit I Federal'!I36</f>
        <v>1</v>
      </c>
      <c r="J55" s="261"/>
      <c r="K55" s="373">
        <f>+' Exhibit I State'!K54+'Exhibit I Federal'!K36</f>
        <v>0.1</v>
      </c>
      <c r="L55" s="261"/>
      <c r="M55" s="373">
        <f>+' Exhibit I State'!M54+'Exhibit I Federal'!M36</f>
        <v>0</v>
      </c>
      <c r="N55" s="261"/>
      <c r="O55" s="373">
        <f>+' Exhibit I State'!O54+'Exhibit I Federal'!O36</f>
        <v>0.6</v>
      </c>
      <c r="P55" s="261"/>
      <c r="Q55" s="373">
        <f>+' Exhibit I State'!Q54+'Exhibit I Federal'!Q36</f>
        <v>0.4</v>
      </c>
      <c r="R55" s="261"/>
      <c r="S55" s="373">
        <f>+' Exhibit I State'!S54+'Exhibit I Federal'!S36</f>
        <v>1</v>
      </c>
      <c r="T55" s="261"/>
      <c r="U55" s="373">
        <f>+' Exhibit I State'!U54+'Exhibit I Federal'!U36</f>
        <v>0.8</v>
      </c>
      <c r="V55" s="261"/>
      <c r="W55" s="1132"/>
      <c r="X55" s="261"/>
      <c r="Y55" s="1132"/>
      <c r="Z55" s="261"/>
      <c r="AA55" s="1132"/>
      <c r="AB55" s="261"/>
      <c r="AC55" s="250"/>
      <c r="AD55" s="517">
        <f t="shared" si="0"/>
        <v>3.9</v>
      </c>
      <c r="AE55" s="1982"/>
      <c r="AF55" s="255"/>
      <c r="AG55" s="2200">
        <v>14.7</v>
      </c>
      <c r="AH55" s="274"/>
      <c r="AI55" s="656"/>
      <c r="AJ55" s="1269">
        <f>ROUND(SUM(+AD55-AG55),1)</f>
        <v>-10.8</v>
      </c>
      <c r="AK55" s="1908"/>
      <c r="AL55" s="2802">
        <f>ROUND(IF(AG55=0,1,AJ55/ABS(AG55)),3)</f>
        <v>-0.73499999999999999</v>
      </c>
      <c r="AM55" s="647"/>
    </row>
    <row r="56" spans="1:39" ht="15.6">
      <c r="A56" s="223"/>
      <c r="B56" s="1830" t="s">
        <v>1348</v>
      </c>
      <c r="C56" s="223"/>
      <c r="D56" s="223"/>
      <c r="E56" s="373">
        <f>+' Exhibit I State'!E55+'Exhibit I Federal'!E37</f>
        <v>0</v>
      </c>
      <c r="F56" s="261"/>
      <c r="G56" s="373">
        <f>+' Exhibit I State'!G55+'Exhibit I Federal'!G37</f>
        <v>0</v>
      </c>
      <c r="H56" s="261"/>
      <c r="I56" s="373">
        <f>+' Exhibit I State'!I55+'Exhibit I Federal'!I37</f>
        <v>0</v>
      </c>
      <c r="J56" s="261"/>
      <c r="K56" s="373">
        <f>+' Exhibit I State'!K55+'Exhibit I Federal'!K37</f>
        <v>0</v>
      </c>
      <c r="L56" s="261"/>
      <c r="M56" s="373">
        <f>+' Exhibit I State'!M55+'Exhibit I Federal'!M37</f>
        <v>0</v>
      </c>
      <c r="N56" s="261"/>
      <c r="O56" s="373">
        <f>+' Exhibit I State'!O55+'Exhibit I Federal'!O37</f>
        <v>0</v>
      </c>
      <c r="P56" s="261"/>
      <c r="Q56" s="373">
        <f>+' Exhibit I State'!Q55+'Exhibit I Federal'!Q37</f>
        <v>0</v>
      </c>
      <c r="R56" s="261"/>
      <c r="S56" s="373">
        <f>+' Exhibit I State'!S55+'Exhibit I Federal'!S37</f>
        <v>0.2</v>
      </c>
      <c r="T56" s="261"/>
      <c r="U56" s="373">
        <f>+' Exhibit I State'!U55+'Exhibit I Federal'!U37</f>
        <v>0</v>
      </c>
      <c r="V56" s="261"/>
      <c r="W56" s="1132"/>
      <c r="X56" s="261"/>
      <c r="Y56" s="1132"/>
      <c r="Z56" s="261"/>
      <c r="AA56" s="1132"/>
      <c r="AB56" s="261"/>
      <c r="AC56" s="250"/>
      <c r="AD56" s="517">
        <f t="shared" si="0"/>
        <v>0.2</v>
      </c>
      <c r="AE56" s="3522"/>
      <c r="AF56" s="255"/>
      <c r="AG56" s="2200">
        <v>0</v>
      </c>
      <c r="AH56" s="274"/>
      <c r="AI56" s="656"/>
      <c r="AJ56" s="1269">
        <f>ROUND(SUM(+AD56-AG56),1)</f>
        <v>0.2</v>
      </c>
      <c r="AK56" s="1908"/>
      <c r="AL56" s="2802">
        <f>ROUND(IF(AG56=0,1,AJ56/ABS(AG56)),3)</f>
        <v>1</v>
      </c>
      <c r="AM56" s="647"/>
    </row>
    <row r="57" spans="1:39" ht="15.6">
      <c r="A57" s="223"/>
      <c r="B57" s="1830" t="s">
        <v>1350</v>
      </c>
      <c r="C57" s="223"/>
      <c r="D57" s="223"/>
      <c r="E57" s="373">
        <f>+' Exhibit I State'!E56</f>
        <v>0</v>
      </c>
      <c r="F57" s="261"/>
      <c r="G57" s="373">
        <f>+' Exhibit I State'!G56</f>
        <v>0</v>
      </c>
      <c r="H57" s="261"/>
      <c r="I57" s="373">
        <f>+' Exhibit I State'!I56</f>
        <v>0.2</v>
      </c>
      <c r="J57" s="261"/>
      <c r="K57" s="373">
        <f>+' Exhibit I State'!K56</f>
        <v>0</v>
      </c>
      <c r="L57" s="261"/>
      <c r="M57" s="373">
        <f>+' Exhibit I State'!M56</f>
        <v>0</v>
      </c>
      <c r="N57" s="261"/>
      <c r="O57" s="373">
        <f>+' Exhibit I State'!O56</f>
        <v>0</v>
      </c>
      <c r="P57" s="261"/>
      <c r="Q57" s="373">
        <f>+' Exhibit I State'!Q56</f>
        <v>0</v>
      </c>
      <c r="R57" s="261"/>
      <c r="S57" s="373">
        <f>+' Exhibit I State'!S56</f>
        <v>0</v>
      </c>
      <c r="T57" s="261"/>
      <c r="U57" s="373">
        <f>+' Exhibit I State'!U56</f>
        <v>0</v>
      </c>
      <c r="V57" s="261"/>
      <c r="W57" s="1132"/>
      <c r="X57" s="261"/>
      <c r="Y57" s="1132"/>
      <c r="Z57" s="261"/>
      <c r="AA57" s="1132"/>
      <c r="AB57" s="261"/>
      <c r="AC57" s="250"/>
      <c r="AD57" s="517">
        <f>+' Exhibit I State'!AF56</f>
        <v>0.2</v>
      </c>
      <c r="AE57" s="3346"/>
      <c r="AF57" s="255"/>
      <c r="AG57" s="2200">
        <v>0</v>
      </c>
      <c r="AH57" s="274"/>
      <c r="AI57" s="656"/>
      <c r="AJ57" s="1269">
        <f>ROUND(SUM(+AD57-AG57),1)</f>
        <v>0.2</v>
      </c>
      <c r="AK57" s="1908"/>
      <c r="AL57" s="2802">
        <f>ROUND(IF(AG57=0,1,AJ57/ABS(AG57)),3)</f>
        <v>1</v>
      </c>
      <c r="AM57" s="647"/>
    </row>
    <row r="58" spans="1:39" ht="15.6">
      <c r="A58" s="223"/>
      <c r="B58" s="1830" t="s">
        <v>1351</v>
      </c>
      <c r="C58" s="223"/>
      <c r="D58" s="223"/>
      <c r="E58" s="373">
        <f>+' Exhibit I State'!E57+'Exhibit I Federal'!E38</f>
        <v>0.6</v>
      </c>
      <c r="F58" s="261"/>
      <c r="G58" s="373">
        <f>+' Exhibit I State'!G57+'Exhibit I Federal'!G38</f>
        <v>0.2</v>
      </c>
      <c r="H58" s="261"/>
      <c r="I58" s="373">
        <f>+' Exhibit I State'!I57+'Exhibit I Federal'!I38</f>
        <v>0.7</v>
      </c>
      <c r="J58" s="261"/>
      <c r="K58" s="373">
        <f>+' Exhibit I State'!K57+'Exhibit I Federal'!K38</f>
        <v>0.3</v>
      </c>
      <c r="L58" s="261"/>
      <c r="M58" s="373">
        <f>+' Exhibit I State'!M57+'Exhibit I Federal'!M38</f>
        <v>0.4</v>
      </c>
      <c r="N58" s="261"/>
      <c r="O58" s="373">
        <f>+' Exhibit I State'!O57+'Exhibit I Federal'!O38</f>
        <v>0</v>
      </c>
      <c r="P58" s="261"/>
      <c r="Q58" s="373">
        <f>+' Exhibit I State'!Q57+'Exhibit I Federal'!Q38</f>
        <v>0</v>
      </c>
      <c r="R58" s="261"/>
      <c r="S58" s="373">
        <f>+' Exhibit I State'!S57+'Exhibit I Federal'!S38</f>
        <v>0.6</v>
      </c>
      <c r="T58" s="261"/>
      <c r="U58" s="373">
        <f>+' Exhibit I State'!U57+'Exhibit I Federal'!U38</f>
        <v>0.6</v>
      </c>
      <c r="V58" s="261"/>
      <c r="W58" s="1132"/>
      <c r="X58" s="261"/>
      <c r="Y58" s="1132"/>
      <c r="Z58" s="261"/>
      <c r="AA58" s="1132"/>
      <c r="AB58" s="261"/>
      <c r="AC58" s="250"/>
      <c r="AD58" s="517">
        <f t="shared" si="0"/>
        <v>3.4</v>
      </c>
      <c r="AE58" s="1982"/>
      <c r="AF58" s="255"/>
      <c r="AG58" s="2200">
        <v>5.0999999999999996</v>
      </c>
      <c r="AH58" s="274"/>
      <c r="AI58" s="656"/>
      <c r="AJ58" s="251">
        <f t="shared" si="1"/>
        <v>-1.7</v>
      </c>
      <c r="AK58" s="654"/>
      <c r="AL58" s="2817">
        <f>ROUND(IF(AG58=0,1,AJ58/ABS(AG58)),3)</f>
        <v>-0.33300000000000002</v>
      </c>
      <c r="AM58" s="647"/>
    </row>
    <row r="59" spans="1:39" ht="15.6">
      <c r="A59" s="223"/>
      <c r="B59" s="1830" t="s">
        <v>1353</v>
      </c>
      <c r="C59" s="223"/>
      <c r="D59" s="223"/>
      <c r="E59" s="373">
        <f>+' Exhibit I State'!E58+'Exhibit I Federal'!E39</f>
        <v>1.2</v>
      </c>
      <c r="F59" s="261"/>
      <c r="G59" s="373">
        <f>+' Exhibit I State'!G58+'Exhibit I Federal'!G39</f>
        <v>0.6</v>
      </c>
      <c r="H59" s="261"/>
      <c r="I59" s="373">
        <f>+' Exhibit I State'!I58+'Exhibit I Federal'!I39</f>
        <v>1.7</v>
      </c>
      <c r="J59" s="261"/>
      <c r="K59" s="373">
        <f>+' Exhibit I State'!K58+'Exhibit I Federal'!K39</f>
        <v>3.7</v>
      </c>
      <c r="L59" s="261"/>
      <c r="M59" s="373">
        <f>+' Exhibit I State'!M58+'Exhibit I Federal'!M39</f>
        <v>1.2</v>
      </c>
      <c r="N59" s="261"/>
      <c r="O59" s="373">
        <f>+' Exhibit I State'!O58+'Exhibit I Federal'!O39</f>
        <v>2.7</v>
      </c>
      <c r="P59" s="261"/>
      <c r="Q59" s="373">
        <f>+' Exhibit I State'!Q58+'Exhibit I Federal'!Q39</f>
        <v>2.1</v>
      </c>
      <c r="R59" s="261"/>
      <c r="S59" s="373">
        <f>+' Exhibit I State'!S58+'Exhibit I Federal'!S39</f>
        <v>1.1000000000000001</v>
      </c>
      <c r="T59" s="261"/>
      <c r="U59" s="373">
        <f>+' Exhibit I State'!U58+'Exhibit I Federal'!U39</f>
        <v>0.7</v>
      </c>
      <c r="V59" s="261"/>
      <c r="W59" s="1132"/>
      <c r="X59" s="261"/>
      <c r="Y59" s="1132"/>
      <c r="Z59" s="261"/>
      <c r="AA59" s="1132"/>
      <c r="AB59" s="261"/>
      <c r="AC59" s="250"/>
      <c r="AD59" s="517">
        <f t="shared" si="0"/>
        <v>15</v>
      </c>
      <c r="AE59" s="1982"/>
      <c r="AF59" s="255"/>
      <c r="AG59" s="3345">
        <v>9.8000000000000007</v>
      </c>
      <c r="AH59" s="274"/>
      <c r="AI59" s="656"/>
      <c r="AJ59" s="251">
        <f t="shared" si="1"/>
        <v>5.2</v>
      </c>
      <c r="AK59" s="654"/>
      <c r="AL59" s="2676">
        <f>ROUND(IF(AG59=0,0,AJ59/ABS(AG59)),3)</f>
        <v>0.53100000000000003</v>
      </c>
      <c r="AM59" s="647"/>
    </row>
    <row r="60" spans="1:39" ht="15.6">
      <c r="A60" s="223"/>
      <c r="B60" s="1830" t="s">
        <v>1325</v>
      </c>
      <c r="C60" s="223"/>
      <c r="D60" s="223"/>
      <c r="E60" s="373">
        <f>+' Exhibit I State'!E59+'Exhibit I Federal'!E40</f>
        <v>0.1</v>
      </c>
      <c r="F60" s="261"/>
      <c r="G60" s="373">
        <f>+' Exhibit I State'!G59+'Exhibit I Federal'!G40</f>
        <v>0.2</v>
      </c>
      <c r="H60" s="261"/>
      <c r="I60" s="373">
        <f>+' Exhibit I State'!I59+'Exhibit I Federal'!I40</f>
        <v>-0.1</v>
      </c>
      <c r="J60" s="261"/>
      <c r="K60" s="373">
        <f>+' Exhibit I State'!K59+'Exhibit I Federal'!K40</f>
        <v>0</v>
      </c>
      <c r="L60" s="261"/>
      <c r="M60" s="373">
        <f>+' Exhibit I State'!M59+'Exhibit I Federal'!M40</f>
        <v>0.1</v>
      </c>
      <c r="N60" s="261"/>
      <c r="O60" s="373">
        <f>+' Exhibit I State'!O59+'Exhibit I Federal'!O40</f>
        <v>0.6</v>
      </c>
      <c r="P60" s="261"/>
      <c r="Q60" s="373">
        <f>+' Exhibit I State'!Q59+'Exhibit I Federal'!Q40</f>
        <v>0</v>
      </c>
      <c r="R60" s="261"/>
      <c r="S60" s="373">
        <f>+' Exhibit I State'!S59+'Exhibit I Federal'!S40</f>
        <v>0</v>
      </c>
      <c r="T60" s="261"/>
      <c r="U60" s="373">
        <f>+' Exhibit I State'!U59+'Exhibit I Federal'!U40</f>
        <v>0</v>
      </c>
      <c r="V60" s="261"/>
      <c r="W60" s="1132"/>
      <c r="X60" s="261"/>
      <c r="Y60" s="1132"/>
      <c r="Z60" s="261"/>
      <c r="AA60" s="1132"/>
      <c r="AB60" s="261"/>
      <c r="AC60" s="250"/>
      <c r="AD60" s="517">
        <f t="shared" si="0"/>
        <v>0.9</v>
      </c>
      <c r="AE60" s="1982"/>
      <c r="AF60" s="255"/>
      <c r="AG60" s="2200">
        <v>10.199999999999999</v>
      </c>
      <c r="AH60" s="274"/>
      <c r="AI60" s="656"/>
      <c r="AJ60" s="251">
        <f t="shared" si="1"/>
        <v>-9.3000000000000007</v>
      </c>
      <c r="AK60" s="654"/>
      <c r="AL60" s="2817">
        <f>ROUND(IF(AG60=0,1,AJ60/ABS(AG60)),3)</f>
        <v>-0.91200000000000003</v>
      </c>
      <c r="AM60" s="647"/>
    </row>
    <row r="61" spans="1:39" s="652" customFormat="1" ht="15.6">
      <c r="A61" s="221"/>
      <c r="B61" s="589" t="s">
        <v>1486</v>
      </c>
      <c r="C61" s="221"/>
      <c r="D61" s="221"/>
      <c r="E61" s="484">
        <f>ROUND(SUM(E37:E60),1)</f>
        <v>84</v>
      </c>
      <c r="F61" s="1886"/>
      <c r="G61" s="484">
        <f>ROUND(SUM(G37:G60),1)</f>
        <v>132.4</v>
      </c>
      <c r="H61" s="2097"/>
      <c r="I61" s="484">
        <f>ROUND(SUM(I37:I60),1)</f>
        <v>954.7</v>
      </c>
      <c r="J61" s="1886"/>
      <c r="K61" s="484">
        <f>ROUND(SUM(K37:K60),1)</f>
        <v>139.6</v>
      </c>
      <c r="L61" s="1886"/>
      <c r="M61" s="484">
        <f>ROUND(SUM(M37:M60),1)</f>
        <v>98.7</v>
      </c>
      <c r="N61" s="1886"/>
      <c r="O61" s="484">
        <f>ROUND(SUM(O37:O60),1)</f>
        <v>292.10000000000002</v>
      </c>
      <c r="P61" s="1886"/>
      <c r="Q61" s="484">
        <f>ROUND(SUM(Q37:Q60),1)</f>
        <v>383.4</v>
      </c>
      <c r="R61" s="1886"/>
      <c r="S61" s="484">
        <f>ROUND(SUM(S37:S60),1)</f>
        <v>109.7</v>
      </c>
      <c r="T61" s="1886"/>
      <c r="U61" s="484">
        <f>ROUND(SUM(U37:U60),1)</f>
        <v>770.6</v>
      </c>
      <c r="V61" s="1886"/>
      <c r="W61" s="484">
        <f>ROUND(SUM(W37:W60),1)</f>
        <v>0</v>
      </c>
      <c r="X61" s="1886"/>
      <c r="Y61" s="484">
        <f>ROUND(SUM(Y37:Y60),1)</f>
        <v>0</v>
      </c>
      <c r="Z61" s="1886"/>
      <c r="AA61" s="484">
        <f>ROUND(SUM(AA37:AA60),1)</f>
        <v>0</v>
      </c>
      <c r="AB61" s="1886"/>
      <c r="AC61" s="259"/>
      <c r="AD61" s="484">
        <f>ROUND(SUM(AD37:AD60),1)</f>
        <v>2965.2</v>
      </c>
      <c r="AE61" s="421"/>
      <c r="AF61" s="273"/>
      <c r="AG61" s="484">
        <f>ROUND(SUM(AG37:AG60),1)</f>
        <v>2180.4</v>
      </c>
      <c r="AH61" s="284"/>
      <c r="AI61" s="656"/>
      <c r="AJ61" s="484">
        <f>ROUND(SUM(AJ37:AJ60),1)</f>
        <v>784.8</v>
      </c>
      <c r="AK61" s="2098"/>
      <c r="AL61" s="2099">
        <f>ROUND(SUM(AJ61/AG61),3)</f>
        <v>0.36</v>
      </c>
    </row>
    <row r="62" spans="1:39" ht="15.6">
      <c r="A62" s="223"/>
      <c r="B62" s="589"/>
      <c r="C62" s="223"/>
      <c r="D62" s="223"/>
      <c r="E62" s="1171"/>
      <c r="F62" s="261"/>
      <c r="G62" s="1171"/>
      <c r="H62" s="517"/>
      <c r="I62" s="3151"/>
      <c r="J62" s="261"/>
      <c r="K62" s="3151"/>
      <c r="L62" s="261"/>
      <c r="M62" s="3151"/>
      <c r="N62" s="261"/>
      <c r="O62" s="3395"/>
      <c r="P62" s="261"/>
      <c r="Q62" s="3395"/>
      <c r="R62" s="261"/>
      <c r="S62" s="3395"/>
      <c r="T62" s="261"/>
      <c r="U62" s="3395"/>
      <c r="V62" s="261"/>
      <c r="X62" s="261"/>
      <c r="Y62" s="517"/>
      <c r="Z62" s="261"/>
      <c r="AA62" s="517"/>
      <c r="AB62" s="261"/>
      <c r="AC62" s="250"/>
      <c r="AD62" s="517"/>
      <c r="AE62" s="2075"/>
      <c r="AF62" s="249"/>
      <c r="AG62" s="261"/>
      <c r="AH62" s="274"/>
      <c r="AI62" s="656"/>
      <c r="AJ62" s="251"/>
      <c r="AK62" s="657"/>
      <c r="AL62" s="655"/>
    </row>
    <row r="63" spans="1:39" ht="15.6">
      <c r="A63" s="223"/>
      <c r="B63" s="223" t="s">
        <v>155</v>
      </c>
      <c r="C63" s="223"/>
      <c r="D63" s="223"/>
      <c r="E63" s="517">
        <f>+' Exhibit I State'!E62+'Exhibit I Federal'!E43</f>
        <v>101</v>
      </c>
      <c r="F63" s="261"/>
      <c r="G63" s="517">
        <f>+' Exhibit I State'!G62+'Exhibit I Federal'!G43</f>
        <v>69.7</v>
      </c>
      <c r="H63" s="261"/>
      <c r="I63" s="517">
        <f>+' Exhibit I State'!I62+'Exhibit I Federal'!I43</f>
        <v>195.8</v>
      </c>
      <c r="J63" s="261"/>
      <c r="K63" s="517">
        <f>+' Exhibit I State'!K62+'Exhibit I Federal'!K43</f>
        <v>203.9</v>
      </c>
      <c r="L63" s="261"/>
      <c r="M63" s="517">
        <f>+' Exhibit I State'!M62+'Exhibit I Federal'!M43</f>
        <v>198.3</v>
      </c>
      <c r="N63" s="261"/>
      <c r="O63" s="517">
        <f>+' Exhibit I State'!O62+'Exhibit I Federal'!O43</f>
        <v>319</v>
      </c>
      <c r="P63" s="261"/>
      <c r="Q63" s="517">
        <f>+' Exhibit I State'!Q62+'Exhibit I Federal'!Q43</f>
        <v>39.799999999999997</v>
      </c>
      <c r="R63" s="261"/>
      <c r="S63" s="517">
        <f>+' Exhibit I State'!S62+'Exhibit I Federal'!S43</f>
        <v>368.2</v>
      </c>
      <c r="T63" s="261"/>
      <c r="U63" s="517">
        <f>+' Exhibit I State'!U62+'Exhibit I Federal'!U43</f>
        <v>213.6</v>
      </c>
      <c r="V63" s="261"/>
      <c r="W63" s="681"/>
      <c r="X63" s="261"/>
      <c r="Y63" s="681"/>
      <c r="Z63" s="261"/>
      <c r="AA63" s="681"/>
      <c r="AB63" s="261"/>
      <c r="AC63" s="250"/>
      <c r="AD63" s="261">
        <f>ROUND(SUM(E63:AA63),1)</f>
        <v>1709.3</v>
      </c>
      <c r="AE63" s="276"/>
      <c r="AF63" s="249"/>
      <c r="AG63" s="261">
        <v>1472</v>
      </c>
      <c r="AH63" s="274"/>
      <c r="AI63" s="658"/>
      <c r="AJ63" s="660">
        <f>ROUND(SUM(+AD63-AG63),1)</f>
        <v>237.3</v>
      </c>
      <c r="AK63" s="657"/>
      <c r="AL63" s="661">
        <f>ROUND(SUM(AJ63/AG63),3)</f>
        <v>0.161</v>
      </c>
    </row>
    <row r="64" spans="1:39" ht="15.6">
      <c r="A64" s="223"/>
      <c r="B64" s="223"/>
      <c r="C64" s="223"/>
      <c r="D64" s="223"/>
      <c r="E64" s="289"/>
      <c r="F64" s="261"/>
      <c r="G64" s="289"/>
      <c r="H64" s="261"/>
      <c r="I64" s="289"/>
      <c r="J64" s="261"/>
      <c r="K64" s="289"/>
      <c r="L64" s="261"/>
      <c r="M64" s="289"/>
      <c r="N64" s="261"/>
      <c r="O64" s="289"/>
      <c r="P64" s="261"/>
      <c r="Q64" s="289"/>
      <c r="R64" s="261"/>
      <c r="S64" s="289"/>
      <c r="T64" s="261"/>
      <c r="U64" s="289"/>
      <c r="V64" s="261"/>
      <c r="W64" s="289"/>
      <c r="X64" s="261"/>
      <c r="Y64" s="289"/>
      <c r="Z64" s="261"/>
      <c r="AA64" s="289"/>
      <c r="AB64" s="261"/>
      <c r="AC64" s="250"/>
      <c r="AD64" s="289"/>
      <c r="AE64" s="276"/>
      <c r="AF64" s="249"/>
      <c r="AG64" s="289"/>
      <c r="AH64" s="249"/>
      <c r="AI64" s="658"/>
      <c r="AJ64" s="251"/>
      <c r="AK64" s="647"/>
      <c r="AL64" s="655"/>
    </row>
    <row r="65" spans="1:42" ht="15.6">
      <c r="A65" s="223"/>
      <c r="B65" s="221" t="s">
        <v>203</v>
      </c>
      <c r="C65" s="223"/>
      <c r="D65" s="223"/>
      <c r="E65" s="602">
        <f>ROUND(SUM(+E61+E63+E33),1)</f>
        <v>284.89999999999998</v>
      </c>
      <c r="F65" s="257"/>
      <c r="G65" s="602">
        <f>ROUND(SUM(+G61+G63+G33),1)</f>
        <v>295.39999999999998</v>
      </c>
      <c r="H65" s="257"/>
      <c r="I65" s="602">
        <f>ROUND(SUM(+I61+I63+I33),1)</f>
        <v>1279.3</v>
      </c>
      <c r="J65" s="257"/>
      <c r="K65" s="602">
        <f>ROUND(SUM(+K61+K63+K33),1)</f>
        <v>455.7</v>
      </c>
      <c r="L65" s="257"/>
      <c r="M65" s="602">
        <f>ROUND(SUM(+M61+M63+M33),1)</f>
        <v>414.6</v>
      </c>
      <c r="N65" s="257"/>
      <c r="O65" s="602">
        <f>ROUND(SUM(+O61+O63+O33),1)</f>
        <v>748.2</v>
      </c>
      <c r="P65" s="257"/>
      <c r="Q65" s="602">
        <f>ROUND(SUM(+Q61+Q63+Q33),1)</f>
        <v>538.5</v>
      </c>
      <c r="R65" s="257"/>
      <c r="S65" s="602">
        <f>ROUND(SUM(+S61+S63+S33),1)</f>
        <v>592.4</v>
      </c>
      <c r="T65" s="257"/>
      <c r="U65" s="602">
        <f>ROUND(SUM(+U61+U63+U33),1)</f>
        <v>1117</v>
      </c>
      <c r="V65" s="257"/>
      <c r="W65" s="602">
        <f>ROUND(SUM(+W61+W63+W33),1)</f>
        <v>0</v>
      </c>
      <c r="X65" s="257"/>
      <c r="Y65" s="602">
        <f>ROUND(SUM(+Y61+Y63+Y33),1)</f>
        <v>0</v>
      </c>
      <c r="Z65" s="257"/>
      <c r="AA65" s="602">
        <f>ROUND(SUM(+AA61+AA63+AA33),1)</f>
        <v>0</v>
      </c>
      <c r="AB65" s="257"/>
      <c r="AC65" s="259"/>
      <c r="AD65" s="602">
        <f>ROUND(SUM(+AD61+AD63+AD33),1)</f>
        <v>5726</v>
      </c>
      <c r="AE65" s="421"/>
      <c r="AF65" s="273"/>
      <c r="AG65" s="602">
        <f>ROUND(SUM(+AG61+AG63+AG33),1)</f>
        <v>4697.8</v>
      </c>
      <c r="AH65" s="284"/>
      <c r="AI65" s="658"/>
      <c r="AJ65" s="602">
        <f>ROUND(SUM(+AJ61+AJ63+AJ33),1)</f>
        <v>1028.2</v>
      </c>
      <c r="AK65" s="369"/>
      <c r="AL65" s="1843">
        <f>ROUND(SUM(AJ65/AG65),3)</f>
        <v>0.219</v>
      </c>
      <c r="AM65" s="652"/>
      <c r="AN65" s="662"/>
      <c r="AO65" s="652"/>
      <c r="AP65" s="652"/>
    </row>
    <row r="66" spans="1:42" ht="15.6">
      <c r="A66" s="223"/>
      <c r="B66" s="223"/>
      <c r="C66" s="223"/>
      <c r="D66" s="223"/>
      <c r="E66" s="289"/>
      <c r="F66" s="261"/>
      <c r="G66" s="289"/>
      <c r="H66" s="261"/>
      <c r="I66" s="289"/>
      <c r="J66" s="261"/>
      <c r="K66" s="289"/>
      <c r="L66" s="261"/>
      <c r="M66" s="289"/>
      <c r="N66" s="261"/>
      <c r="O66" s="289"/>
      <c r="P66" s="261"/>
      <c r="Q66" s="289"/>
      <c r="R66" s="261"/>
      <c r="S66" s="289"/>
      <c r="T66" s="261"/>
      <c r="U66" s="289"/>
      <c r="V66" s="261"/>
      <c r="W66" s="289"/>
      <c r="X66" s="261"/>
      <c r="Y66" s="289"/>
      <c r="Z66" s="261"/>
      <c r="AA66" s="289"/>
      <c r="AB66" s="261"/>
      <c r="AC66" s="250"/>
      <c r="AD66" s="289"/>
      <c r="AE66" s="276"/>
      <c r="AF66" s="249"/>
      <c r="AG66" s="289"/>
      <c r="AH66" s="249"/>
      <c r="AI66" s="658"/>
      <c r="AJ66" s="251"/>
      <c r="AK66" s="647"/>
      <c r="AL66" s="655"/>
    </row>
    <row r="67" spans="1:42" ht="15.6">
      <c r="A67" s="223"/>
      <c r="B67" s="221" t="s">
        <v>24</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61"/>
      <c r="AE67" s="276"/>
      <c r="AF67" s="249"/>
      <c r="AG67" s="261"/>
      <c r="AH67" s="261"/>
      <c r="AI67" s="658"/>
      <c r="AJ67" s="251"/>
      <c r="AK67" s="647"/>
      <c r="AL67" s="655"/>
    </row>
    <row r="68" spans="1:42" ht="15.6">
      <c r="A68" s="223"/>
      <c r="B68" s="223" t="s">
        <v>157</v>
      </c>
      <c r="C68" s="223"/>
      <c r="D68" s="223"/>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50"/>
      <c r="AD68" s="274"/>
      <c r="AE68" s="276"/>
      <c r="AF68" s="249"/>
      <c r="AG68" s="261"/>
      <c r="AH68" s="261"/>
      <c r="AI68" s="658"/>
      <c r="AJ68" s="251"/>
      <c r="AK68" s="647"/>
      <c r="AL68" s="655"/>
    </row>
    <row r="69" spans="1:42" ht="15.6">
      <c r="A69" s="223"/>
      <c r="B69" s="223" t="s">
        <v>26</v>
      </c>
      <c r="C69" s="223"/>
      <c r="D69" s="223"/>
      <c r="E69" s="517">
        <f>+' Exhibit I State'!E68+'Exhibit I Federal'!E49</f>
        <v>0.1</v>
      </c>
      <c r="F69" s="261"/>
      <c r="G69" s="517">
        <f>+' Exhibit I State'!G68+'Exhibit I Federal'!G49</f>
        <v>0.1</v>
      </c>
      <c r="H69" s="517"/>
      <c r="I69" s="517">
        <f>+' Exhibit I State'!I68+'Exhibit I Federal'!I49</f>
        <v>0.1</v>
      </c>
      <c r="J69" s="261"/>
      <c r="K69" s="517">
        <f>+' Exhibit I State'!K68+'Exhibit I Federal'!K49</f>
        <v>0.3</v>
      </c>
      <c r="L69" s="261"/>
      <c r="M69" s="517">
        <f>+' Exhibit I State'!M68+'Exhibit I Federal'!M49</f>
        <v>0</v>
      </c>
      <c r="N69" s="261"/>
      <c r="O69" s="517">
        <f>+' Exhibit I State'!O68+'Exhibit I Federal'!O49</f>
        <v>13</v>
      </c>
      <c r="P69" s="261"/>
      <c r="Q69" s="517">
        <f>+' Exhibit I State'!Q68+'Exhibit I Federal'!Q49</f>
        <v>0</v>
      </c>
      <c r="R69" s="261"/>
      <c r="S69" s="517">
        <f>+' Exhibit I State'!S68+'Exhibit I Federal'!S49</f>
        <v>0.2</v>
      </c>
      <c r="T69" s="261"/>
      <c r="U69" s="517">
        <f>+' Exhibit I State'!U68+'Exhibit I Federal'!U49</f>
        <v>0</v>
      </c>
      <c r="V69" s="261"/>
      <c r="W69" s="681"/>
      <c r="X69" s="261"/>
      <c r="Y69" s="681"/>
      <c r="Z69" s="261"/>
      <c r="AA69" s="681"/>
      <c r="AB69" s="261"/>
      <c r="AC69" s="250"/>
      <c r="AD69" s="261">
        <f>ROUND(SUM(E69:AA69),1)</f>
        <v>13.8</v>
      </c>
      <c r="AE69" s="276"/>
      <c r="AF69" s="249"/>
      <c r="AG69" s="261">
        <v>16.8</v>
      </c>
      <c r="AH69" s="274"/>
      <c r="AI69" s="656"/>
      <c r="AJ69" s="251">
        <f>ROUND(SUM(+AD69-AG69),1)</f>
        <v>-3</v>
      </c>
      <c r="AK69" s="657"/>
      <c r="AL69" s="2802">
        <f>ROUND(IF(AG69=0,0,AJ69/ABS(AG69)),3)</f>
        <v>-0.17899999999999999</v>
      </c>
    </row>
    <row r="70" spans="1:42" ht="15.6">
      <c r="A70" s="223"/>
      <c r="B70" s="223" t="s">
        <v>27</v>
      </c>
      <c r="C70" s="223"/>
      <c r="D70" s="223"/>
      <c r="E70" s="517">
        <f>+' Exhibit I State'!E69+'Exhibit I Federal'!E50</f>
        <v>2.7</v>
      </c>
      <c r="F70" s="261"/>
      <c r="G70" s="517">
        <f>+' Exhibit I State'!G69+'Exhibit I Federal'!G50</f>
        <v>2.6</v>
      </c>
      <c r="H70" s="261"/>
      <c r="I70" s="517">
        <f>+' Exhibit I State'!I69+'Exhibit I Federal'!I50</f>
        <v>7.2</v>
      </c>
      <c r="J70" s="261"/>
      <c r="K70" s="517">
        <f>+' Exhibit I State'!K69+'Exhibit I Federal'!K50</f>
        <v>10.3</v>
      </c>
      <c r="L70" s="261"/>
      <c r="M70" s="517">
        <f>+' Exhibit I State'!M69+'Exhibit I Federal'!M50</f>
        <v>7.1</v>
      </c>
      <c r="N70" s="261"/>
      <c r="O70" s="517">
        <f>+' Exhibit I State'!O69+'Exhibit I Federal'!O50</f>
        <v>16.8</v>
      </c>
      <c r="P70" s="261"/>
      <c r="Q70" s="517">
        <f>+' Exhibit I State'!Q69+'Exhibit I Federal'!Q50</f>
        <v>0.5</v>
      </c>
      <c r="R70" s="261"/>
      <c r="S70" s="517">
        <f>+' Exhibit I State'!S69+'Exhibit I Federal'!S50</f>
        <v>183</v>
      </c>
      <c r="T70" s="261"/>
      <c r="U70" s="517">
        <f>+' Exhibit I State'!U69+'Exhibit I Federal'!U50</f>
        <v>6</v>
      </c>
      <c r="V70" s="261"/>
      <c r="W70" s="681"/>
      <c r="X70" s="261"/>
      <c r="Y70" s="681"/>
      <c r="Z70" s="261"/>
      <c r="AA70" s="681"/>
      <c r="AB70" s="261"/>
      <c r="AC70" s="250"/>
      <c r="AD70" s="261">
        <f t="shared" ref="AD70:AD77" si="2">ROUND(SUM(E70:AA70),1)</f>
        <v>236.2</v>
      </c>
      <c r="AE70" s="276"/>
      <c r="AF70" s="249"/>
      <c r="AG70" s="261">
        <v>63.2</v>
      </c>
      <c r="AH70" s="274"/>
      <c r="AI70" s="656"/>
      <c r="AJ70" s="251">
        <f t="shared" ref="AJ70:AJ77" si="3">ROUND(SUM(+AD70-AG70),1)</f>
        <v>173</v>
      </c>
      <c r="AK70" s="657"/>
      <c r="AL70" s="2802">
        <f>ROUND(IF(AG70=0,0,AJ70/ABS(AG70)),3)</f>
        <v>2.7370000000000001</v>
      </c>
    </row>
    <row r="71" spans="1:42" ht="15.6">
      <c r="A71" s="223"/>
      <c r="B71" s="223" t="s">
        <v>28</v>
      </c>
      <c r="C71" s="223"/>
      <c r="D71" s="223"/>
      <c r="E71" s="517">
        <f>+' Exhibit I State'!E70+'Exhibit I Federal'!E51</f>
        <v>9.1</v>
      </c>
      <c r="F71" s="261"/>
      <c r="G71" s="517">
        <f>+' Exhibit I State'!G70+'Exhibit I Federal'!G51</f>
        <v>4.2</v>
      </c>
      <c r="H71" s="261"/>
      <c r="I71" s="517">
        <f>+' Exhibit I State'!I70+'Exhibit I Federal'!I51</f>
        <v>5.9</v>
      </c>
      <c r="J71" s="261"/>
      <c r="K71" s="517">
        <f>+' Exhibit I State'!K70+'Exhibit I Federal'!K51</f>
        <v>15</v>
      </c>
      <c r="L71" s="261"/>
      <c r="M71" s="517">
        <f>+' Exhibit I State'!M70+'Exhibit I Federal'!M51</f>
        <v>4.9000000000000004</v>
      </c>
      <c r="N71" s="261"/>
      <c r="O71" s="517">
        <f>+' Exhibit I State'!O70+'Exhibit I Federal'!O51</f>
        <v>3.2</v>
      </c>
      <c r="P71" s="261"/>
      <c r="Q71" s="517">
        <f>+' Exhibit I State'!Q70+'Exhibit I Federal'!Q51</f>
        <v>4.5999999999999996</v>
      </c>
      <c r="R71" s="261"/>
      <c r="S71" s="517">
        <f>+' Exhibit I State'!S70+'Exhibit I Federal'!S51</f>
        <v>5.4</v>
      </c>
      <c r="T71" s="261"/>
      <c r="U71" s="517">
        <f>+' Exhibit I State'!U70+'Exhibit I Federal'!U51</f>
        <v>35.299999999999997</v>
      </c>
      <c r="V71" s="261"/>
      <c r="W71" s="681"/>
      <c r="X71" s="261"/>
      <c r="Y71" s="681"/>
      <c r="Z71" s="261"/>
      <c r="AA71" s="681"/>
      <c r="AB71" s="261"/>
      <c r="AC71" s="250"/>
      <c r="AD71" s="261">
        <f t="shared" si="2"/>
        <v>87.6</v>
      </c>
      <c r="AE71" s="276"/>
      <c r="AF71" s="249"/>
      <c r="AG71" s="261">
        <v>82.3</v>
      </c>
      <c r="AH71" s="274"/>
      <c r="AI71" s="656"/>
      <c r="AJ71" s="251">
        <f t="shared" si="3"/>
        <v>5.3</v>
      </c>
      <c r="AK71" s="657"/>
      <c r="AL71" s="2802">
        <f>ROUND(IF(AG71=0,0,AJ71/ABS(AG71)),3)</f>
        <v>6.4000000000000001E-2</v>
      </c>
      <c r="AM71" s="647"/>
    </row>
    <row r="72" spans="1:42" ht="15.6">
      <c r="A72" s="223"/>
      <c r="B72" s="223" t="s">
        <v>29</v>
      </c>
      <c r="C72" s="223"/>
      <c r="D72" s="223"/>
      <c r="E72" s="517"/>
      <c r="F72" s="261"/>
      <c r="G72" s="517"/>
      <c r="H72" s="261"/>
      <c r="I72" s="517"/>
      <c r="J72" s="261"/>
      <c r="K72" s="517"/>
      <c r="L72" s="261"/>
      <c r="M72" s="517"/>
      <c r="N72" s="261"/>
      <c r="O72" s="517"/>
      <c r="P72" s="261"/>
      <c r="Q72" s="517"/>
      <c r="R72" s="261"/>
      <c r="S72" s="517"/>
      <c r="T72" s="261"/>
      <c r="U72" s="517"/>
      <c r="V72" s="261"/>
      <c r="W72" s="681"/>
      <c r="X72" s="261"/>
      <c r="Y72" s="681"/>
      <c r="Z72" s="261"/>
      <c r="AA72" s="681"/>
      <c r="AB72" s="261"/>
      <c r="AC72" s="250"/>
      <c r="AD72" s="1171" t="s">
        <v>16</v>
      </c>
      <c r="AE72" s="276"/>
      <c r="AF72" s="249"/>
      <c r="AG72" s="266"/>
      <c r="AH72" s="261"/>
      <c r="AI72" s="658"/>
      <c r="AJ72" s="251" t="s">
        <v>16</v>
      </c>
      <c r="AK72" s="657"/>
      <c r="AL72" s="663" t="s">
        <v>16</v>
      </c>
      <c r="AM72" s="647"/>
    </row>
    <row r="73" spans="1:42" ht="15.6">
      <c r="A73" s="223"/>
      <c r="B73" s="223" t="s">
        <v>30</v>
      </c>
      <c r="C73" s="221"/>
      <c r="D73" s="223"/>
      <c r="E73" s="517">
        <f>+' Exhibit I State'!E72+'Exhibit I Federal'!E53</f>
        <v>0</v>
      </c>
      <c r="F73" s="261"/>
      <c r="G73" s="517">
        <f>+' Exhibit I State'!G72+'Exhibit I Federal'!G53</f>
        <v>0</v>
      </c>
      <c r="H73" s="261"/>
      <c r="I73" s="517">
        <f>+' Exhibit I State'!I72+'Exhibit I Federal'!I53</f>
        <v>0</v>
      </c>
      <c r="J73" s="261"/>
      <c r="K73" s="517">
        <f>+' Exhibit I State'!K72+'Exhibit I Federal'!K53</f>
        <v>0</v>
      </c>
      <c r="L73" s="261"/>
      <c r="M73" s="517">
        <f>+' Exhibit I State'!M72+'Exhibit I Federal'!M53</f>
        <v>0</v>
      </c>
      <c r="N73" s="261"/>
      <c r="O73" s="517">
        <f>+' Exhibit I State'!O72+'Exhibit I Federal'!O53</f>
        <v>0</v>
      </c>
      <c r="P73" s="261"/>
      <c r="Q73" s="517">
        <f>+' Exhibit I State'!Q72+'Exhibit I Federal'!Q53</f>
        <v>0</v>
      </c>
      <c r="R73" s="261"/>
      <c r="S73" s="517">
        <f>+' Exhibit I State'!S72+'Exhibit I Federal'!S53</f>
        <v>0</v>
      </c>
      <c r="T73" s="261"/>
      <c r="U73" s="517">
        <f>+' Exhibit I State'!U72+'Exhibit I Federal'!U53</f>
        <v>0</v>
      </c>
      <c r="V73" s="261"/>
      <c r="W73" s="2902"/>
      <c r="X73" s="261"/>
      <c r="Y73" s="2902"/>
      <c r="Z73" s="261"/>
      <c r="AA73" s="2902"/>
      <c r="AB73" s="261"/>
      <c r="AC73" s="250"/>
      <c r="AD73" s="261">
        <f t="shared" si="2"/>
        <v>0</v>
      </c>
      <c r="AE73" s="276"/>
      <c r="AF73" s="249"/>
      <c r="AG73" s="266">
        <f>' Exhibit I State'!AI72+'Exhibit I Federal'!AI53</f>
        <v>0</v>
      </c>
      <c r="AH73" s="261"/>
      <c r="AI73" s="658"/>
      <c r="AJ73" s="251">
        <f t="shared" si="3"/>
        <v>0</v>
      </c>
      <c r="AK73" s="657"/>
      <c r="AL73" s="45">
        <f>ROUND(IF(AG73=0,0,AJ73/ABS(AG73)),3)</f>
        <v>0</v>
      </c>
      <c r="AM73" s="647"/>
    </row>
    <row r="74" spans="1:42" ht="15.6">
      <c r="A74" s="223"/>
      <c r="B74" s="223" t="s">
        <v>31</v>
      </c>
      <c r="C74" s="223"/>
      <c r="D74" s="223"/>
      <c r="E74" s="517">
        <f>+' Exhibit I State'!E73+'Exhibit I Federal'!E54</f>
        <v>3.6</v>
      </c>
      <c r="F74" s="261"/>
      <c r="G74" s="517">
        <f>+' Exhibit I State'!G73+'Exhibit I Federal'!G54</f>
        <v>4.9000000000000004</v>
      </c>
      <c r="H74" s="261"/>
      <c r="I74" s="517">
        <f>+' Exhibit I State'!I73+'Exhibit I Federal'!I54</f>
        <v>5.2</v>
      </c>
      <c r="J74" s="261"/>
      <c r="K74" s="517">
        <f>+' Exhibit I State'!K73+'Exhibit I Federal'!K54</f>
        <v>8.3000000000000007</v>
      </c>
      <c r="L74" s="261"/>
      <c r="M74" s="517">
        <f>+' Exhibit I State'!M73+'Exhibit I Federal'!M54</f>
        <v>8.5</v>
      </c>
      <c r="N74" s="261"/>
      <c r="O74" s="517">
        <f>+' Exhibit I State'!O73+'Exhibit I Federal'!O54</f>
        <v>15.2</v>
      </c>
      <c r="P74" s="261"/>
      <c r="Q74" s="517">
        <f>+' Exhibit I State'!Q73+'Exhibit I Federal'!Q54</f>
        <v>2.1</v>
      </c>
      <c r="R74" s="261"/>
      <c r="S74" s="517">
        <f>+' Exhibit I State'!S73+'Exhibit I Federal'!S54</f>
        <v>47.099999999999994</v>
      </c>
      <c r="T74" s="261"/>
      <c r="U74" s="517">
        <f>+' Exhibit I State'!U73+'Exhibit I Federal'!U54</f>
        <v>9.3000000000000007</v>
      </c>
      <c r="V74" s="261"/>
      <c r="W74" s="681"/>
      <c r="X74" s="261"/>
      <c r="Y74" s="681"/>
      <c r="Z74" s="261"/>
      <c r="AA74" s="681"/>
      <c r="AB74" s="261"/>
      <c r="AC74" s="250"/>
      <c r="AD74" s="261">
        <f t="shared" si="2"/>
        <v>104.2</v>
      </c>
      <c r="AE74" s="276"/>
      <c r="AF74" s="249"/>
      <c r="AG74" s="266">
        <v>72.3</v>
      </c>
      <c r="AH74" s="274"/>
      <c r="AI74" s="656"/>
      <c r="AJ74" s="251">
        <f t="shared" si="3"/>
        <v>31.9</v>
      </c>
      <c r="AK74" s="657"/>
      <c r="AL74" s="45">
        <f>ROUND(IF(AG74=0,0,AJ74/ABS(AG74)),3)</f>
        <v>0.441</v>
      </c>
    </row>
    <row r="75" spans="1:42" ht="15.6">
      <c r="A75" s="223"/>
      <c r="B75" s="223" t="s">
        <v>32</v>
      </c>
      <c r="C75" s="223"/>
      <c r="D75" s="223"/>
      <c r="E75" s="517">
        <f>+' Exhibit I State'!E74+'Exhibit I Federal'!E55</f>
        <v>0</v>
      </c>
      <c r="F75" s="261"/>
      <c r="G75" s="517">
        <f>+' Exhibit I State'!G74+'Exhibit I Federal'!G55</f>
        <v>0</v>
      </c>
      <c r="H75" s="261"/>
      <c r="I75" s="517">
        <f>+' Exhibit I State'!I74+'Exhibit I Federal'!I55</f>
        <v>0</v>
      </c>
      <c r="J75" s="261"/>
      <c r="K75" s="517">
        <f>+' Exhibit I State'!K74+'Exhibit I Federal'!K55</f>
        <v>0</v>
      </c>
      <c r="L75" s="261"/>
      <c r="M75" s="517">
        <f>+' Exhibit I State'!M74+'Exhibit I Federal'!M55</f>
        <v>0</v>
      </c>
      <c r="N75" s="261"/>
      <c r="O75" s="517">
        <f>+' Exhibit I State'!O74+'Exhibit I Federal'!O55</f>
        <v>17</v>
      </c>
      <c r="P75" s="261"/>
      <c r="Q75" s="517">
        <f>+' Exhibit I State'!Q74+'Exhibit I Federal'!Q55</f>
        <v>26.2</v>
      </c>
      <c r="R75" s="261"/>
      <c r="S75" s="517">
        <f>+' Exhibit I State'!S74+'Exhibit I Federal'!S55</f>
        <v>6.7</v>
      </c>
      <c r="T75" s="261"/>
      <c r="U75" s="517">
        <f>+' Exhibit I State'!U74+'Exhibit I Federal'!U55</f>
        <v>0.3</v>
      </c>
      <c r="V75" s="261"/>
      <c r="W75" s="2902"/>
      <c r="X75" s="261"/>
      <c r="Y75" s="2902"/>
      <c r="Z75" s="261"/>
      <c r="AA75" s="2902"/>
      <c r="AB75" s="261"/>
      <c r="AC75" s="250"/>
      <c r="AD75" s="261">
        <f t="shared" si="2"/>
        <v>50.2</v>
      </c>
      <c r="AE75" s="276"/>
      <c r="AF75" s="249"/>
      <c r="AG75" s="266">
        <f>' Exhibit I State'!AI74+'Exhibit I Federal'!AI55</f>
        <v>0</v>
      </c>
      <c r="AH75" s="274"/>
      <c r="AI75" s="656"/>
      <c r="AJ75" s="251">
        <f t="shared" si="3"/>
        <v>50.2</v>
      </c>
      <c r="AK75" s="657"/>
      <c r="AL75" s="2802">
        <f>ROUND(IF(AG75=0,1,AJ75/ABS(AG75)),3)</f>
        <v>1</v>
      </c>
      <c r="AM75" s="647"/>
    </row>
    <row r="76" spans="1:42" ht="15.6">
      <c r="A76" s="223"/>
      <c r="B76" s="223" t="s">
        <v>33</v>
      </c>
      <c r="C76" s="223"/>
      <c r="D76" s="223"/>
      <c r="E76" s="517">
        <f>+' Exhibit I State'!E75+'Exhibit I Federal'!E56</f>
        <v>0</v>
      </c>
      <c r="F76" s="261"/>
      <c r="G76" s="517">
        <f>+' Exhibit I State'!G75+'Exhibit I Federal'!G56</f>
        <v>0</v>
      </c>
      <c r="H76" s="261"/>
      <c r="I76" s="517">
        <f>+' Exhibit I State'!I75+'Exhibit I Federal'!I56</f>
        <v>10.199999999999999</v>
      </c>
      <c r="J76" s="261"/>
      <c r="K76" s="517">
        <f>+' Exhibit I State'!K75+'Exhibit I Federal'!K56</f>
        <v>33.5</v>
      </c>
      <c r="L76" s="261"/>
      <c r="M76" s="517">
        <f>+' Exhibit I State'!M75+'Exhibit I Federal'!M56</f>
        <v>0</v>
      </c>
      <c r="N76" s="261"/>
      <c r="O76" s="517">
        <f>+' Exhibit I State'!O75+'Exhibit I Federal'!O56</f>
        <v>11.2</v>
      </c>
      <c r="P76" s="261"/>
      <c r="Q76" s="517">
        <f>+' Exhibit I State'!Q75+'Exhibit I Federal'!Q56</f>
        <v>0</v>
      </c>
      <c r="R76" s="261"/>
      <c r="S76" s="517">
        <f>+' Exhibit I State'!S75+'Exhibit I Federal'!S56</f>
        <v>17.2</v>
      </c>
      <c r="T76" s="261"/>
      <c r="U76" s="517">
        <f>+' Exhibit I State'!U75+'Exhibit I Federal'!U56</f>
        <v>0</v>
      </c>
      <c r="V76" s="261"/>
      <c r="W76" s="681"/>
      <c r="X76" s="261"/>
      <c r="Y76" s="681"/>
      <c r="Z76" s="261"/>
      <c r="AA76" s="681"/>
      <c r="AB76" s="261"/>
      <c r="AC76" s="250"/>
      <c r="AD76" s="261">
        <f t="shared" si="2"/>
        <v>72.099999999999994</v>
      </c>
      <c r="AE76" s="276"/>
      <c r="AF76" s="249"/>
      <c r="AG76" s="266">
        <f>' Exhibit I State'!AI75+'Exhibit I Federal'!AI56</f>
        <v>81.599999999999994</v>
      </c>
      <c r="AH76" s="261"/>
      <c r="AI76" s="658"/>
      <c r="AJ76" s="251">
        <f t="shared" si="3"/>
        <v>-9.5</v>
      </c>
      <c r="AK76" s="657"/>
      <c r="AL76" s="45">
        <f>ROUND(IF(AG76=0,0,AJ76/ABS(AG76)),3)</f>
        <v>-0.11600000000000001</v>
      </c>
      <c r="AM76" s="647"/>
    </row>
    <row r="77" spans="1:42" ht="15.6">
      <c r="A77" s="223"/>
      <c r="B77" s="223" t="s">
        <v>34</v>
      </c>
      <c r="C77" s="221"/>
      <c r="D77" s="223"/>
      <c r="E77" s="517">
        <f>+' Exhibit I State'!E76+'Exhibit I Federal'!E57</f>
        <v>21.2</v>
      </c>
      <c r="F77" s="261"/>
      <c r="G77" s="517">
        <f>+' Exhibit I State'!G76+'Exhibit I Federal'!G57</f>
        <v>60</v>
      </c>
      <c r="H77" s="261"/>
      <c r="I77" s="517">
        <f>+' Exhibit I State'!I76+'Exhibit I Federal'!I57</f>
        <v>59.8</v>
      </c>
      <c r="J77" s="261"/>
      <c r="K77" s="517">
        <f>+' Exhibit I State'!K76+'Exhibit I Federal'!K57</f>
        <v>94.6</v>
      </c>
      <c r="L77" s="261"/>
      <c r="M77" s="517">
        <f>+' Exhibit I State'!M76+'Exhibit I Federal'!M57</f>
        <v>146.80000000000001</v>
      </c>
      <c r="N77" s="261"/>
      <c r="O77" s="517">
        <f>+' Exhibit I State'!O76+'Exhibit I Federal'!O57</f>
        <v>8.9</v>
      </c>
      <c r="P77" s="261"/>
      <c r="Q77" s="517">
        <f>+' Exhibit I State'!Q76+'Exhibit I Federal'!Q57</f>
        <v>8.1999999999999993</v>
      </c>
      <c r="R77" s="261"/>
      <c r="S77" s="517">
        <f>+' Exhibit I State'!S76+'Exhibit I Federal'!S57</f>
        <v>61</v>
      </c>
      <c r="T77" s="261"/>
      <c r="U77" s="517">
        <f>+' Exhibit I State'!U76+'Exhibit I Federal'!U57</f>
        <v>26.9</v>
      </c>
      <c r="V77" s="261"/>
      <c r="W77" s="681"/>
      <c r="X77" s="261"/>
      <c r="Y77" s="681"/>
      <c r="Z77" s="261"/>
      <c r="AA77" s="681"/>
      <c r="AB77" s="261"/>
      <c r="AC77" s="250"/>
      <c r="AD77" s="261">
        <f t="shared" si="2"/>
        <v>487.4</v>
      </c>
      <c r="AE77" s="276"/>
      <c r="AF77" s="249"/>
      <c r="AG77" s="266">
        <v>204.4</v>
      </c>
      <c r="AH77" s="261"/>
      <c r="AI77" s="658"/>
      <c r="AJ77" s="251">
        <f t="shared" si="3"/>
        <v>283</v>
      </c>
      <c r="AK77" s="657"/>
      <c r="AL77" s="3339">
        <f>ROUND(IF(AG77=0,0,AJ77/ABS(AG77)),3)</f>
        <v>1.385</v>
      </c>
      <c r="AM77" s="647"/>
    </row>
    <row r="78" spans="1:42" ht="15.6">
      <c r="A78" s="223"/>
      <c r="B78" s="223" t="s">
        <v>35</v>
      </c>
      <c r="C78" s="223"/>
      <c r="D78" s="223"/>
      <c r="E78" s="517">
        <f>+' Exhibit I State'!E77+'Exhibit I Federal'!E58</f>
        <v>31</v>
      </c>
      <c r="F78" s="261"/>
      <c r="G78" s="517">
        <f>+' Exhibit I State'!G77+'Exhibit I Federal'!G58</f>
        <v>31.099999999999998</v>
      </c>
      <c r="H78" s="261"/>
      <c r="I78" s="517">
        <f>+' Exhibit I State'!I77+'Exhibit I Federal'!I58</f>
        <v>72.099999999999994</v>
      </c>
      <c r="J78" s="261"/>
      <c r="K78" s="517">
        <f>+' Exhibit I State'!K77+'Exhibit I Federal'!K58</f>
        <v>30.7</v>
      </c>
      <c r="L78" s="261"/>
      <c r="M78" s="517">
        <f>+' Exhibit I State'!M77+'Exhibit I Federal'!M58</f>
        <v>14.700000000000001</v>
      </c>
      <c r="N78" s="261"/>
      <c r="O78" s="517">
        <f>+' Exhibit I State'!O77+'Exhibit I Federal'!O58</f>
        <v>199.2</v>
      </c>
      <c r="P78" s="261"/>
      <c r="Q78" s="517">
        <f>+' Exhibit I State'!Q77+'Exhibit I Federal'!Q58</f>
        <v>15.2</v>
      </c>
      <c r="R78" s="261"/>
      <c r="S78" s="517">
        <f>+' Exhibit I State'!S77+'Exhibit I Federal'!S58</f>
        <v>52.7</v>
      </c>
      <c r="T78" s="261"/>
      <c r="U78" s="517">
        <f>+' Exhibit I State'!U77+'Exhibit I Federal'!U58</f>
        <v>266.89999999999998</v>
      </c>
      <c r="V78" s="261"/>
      <c r="W78" s="681"/>
      <c r="X78" s="261"/>
      <c r="Y78" s="681"/>
      <c r="Z78" s="261"/>
      <c r="AA78" s="681"/>
      <c r="AB78" s="261"/>
      <c r="AC78" s="250"/>
      <c r="AD78" s="261">
        <f>ROUND(SUM(E78:AA78),1)</f>
        <v>713.6</v>
      </c>
      <c r="AE78" s="276"/>
      <c r="AF78" s="249"/>
      <c r="AG78" s="1835">
        <v>785.3</v>
      </c>
      <c r="AH78" s="249"/>
      <c r="AI78" s="658"/>
      <c r="AJ78" s="251">
        <f>ROUND(SUM(+AD78-AG78),1)</f>
        <v>-71.7</v>
      </c>
      <c r="AK78" s="647"/>
      <c r="AL78" s="1847">
        <f>ROUND(IF(AG78=0,0,AJ78/ABS(AG78)),3)</f>
        <v>-9.0999999999999998E-2</v>
      </c>
      <c r="AM78" s="647"/>
    </row>
    <row r="79" spans="1:42" ht="15.6">
      <c r="A79" s="223"/>
      <c r="B79" s="221" t="s">
        <v>204</v>
      </c>
      <c r="C79" s="223"/>
      <c r="D79" s="223"/>
      <c r="E79" s="545">
        <f>ROUND(SUM(E69:E78),1)</f>
        <v>67.7</v>
      </c>
      <c r="F79" s="257"/>
      <c r="G79" s="545">
        <f>ROUND(SUM(G69:G78),1)</f>
        <v>102.9</v>
      </c>
      <c r="H79" s="257"/>
      <c r="I79" s="545">
        <f>ROUND(SUM(I69:I78),1)</f>
        <v>160.5</v>
      </c>
      <c r="J79" s="273"/>
      <c r="K79" s="545">
        <f>ROUND(SUM(K69:K78),1)</f>
        <v>192.7</v>
      </c>
      <c r="L79" s="273"/>
      <c r="M79" s="545">
        <f>ROUND(SUM(M69:M78),1)</f>
        <v>182</v>
      </c>
      <c r="N79" s="273"/>
      <c r="O79" s="545">
        <f>ROUND(SUM(O69:O78),1)</f>
        <v>284.5</v>
      </c>
      <c r="P79" s="257"/>
      <c r="Q79" s="545">
        <f>ROUND(SUM(Q69:Q78),1)</f>
        <v>56.8</v>
      </c>
      <c r="R79" s="257"/>
      <c r="S79" s="545">
        <f>ROUND(SUM(S69:S78),1)</f>
        <v>373.3</v>
      </c>
      <c r="T79" s="257"/>
      <c r="U79" s="545">
        <f>ROUND(SUM(U69:U78),1)</f>
        <v>344.7</v>
      </c>
      <c r="V79" s="257"/>
      <c r="W79" s="545">
        <f>ROUND(SUM(W69:W78),1)</f>
        <v>0</v>
      </c>
      <c r="X79" s="257"/>
      <c r="Y79" s="545">
        <f>ROUND(SUM(Y69:Y78),1)</f>
        <v>0</v>
      </c>
      <c r="Z79" s="257"/>
      <c r="AA79" s="545">
        <f>ROUND(SUM(AA69:AA78),1)</f>
        <v>0</v>
      </c>
      <c r="AB79" s="257"/>
      <c r="AC79" s="259"/>
      <c r="AD79" s="545">
        <f>ROUND(SUM(AD69:AD78),1)</f>
        <v>1765.1</v>
      </c>
      <c r="AE79" s="421"/>
      <c r="AF79" s="273"/>
      <c r="AG79" s="545">
        <f>ROUND(SUM(AG69:AG78),1)</f>
        <v>1305.9000000000001</v>
      </c>
      <c r="AH79" s="273"/>
      <c r="AI79" s="658"/>
      <c r="AJ79" s="545">
        <f>ROUND(SUM(AJ69:AJ78),1)</f>
        <v>459.2</v>
      </c>
      <c r="AK79" s="665"/>
      <c r="AL79" s="1843">
        <f>ROUND(SUM(AJ79/AG79),3)</f>
        <v>0.35199999999999998</v>
      </c>
      <c r="AM79" s="652"/>
      <c r="AN79" s="662"/>
      <c r="AO79" s="652"/>
      <c r="AP79" s="652"/>
    </row>
    <row r="80" spans="1:42" ht="15.6">
      <c r="A80" s="223"/>
      <c r="B80" s="223" t="s">
        <v>205</v>
      </c>
      <c r="C80" s="223"/>
      <c r="D80" s="223"/>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50"/>
      <c r="AD80" s="261"/>
      <c r="AE80" s="276"/>
      <c r="AF80" s="249"/>
      <c r="AG80" s="261"/>
      <c r="AH80" s="261"/>
      <c r="AI80" s="658"/>
      <c r="AJ80" s="251"/>
      <c r="AK80" s="647"/>
      <c r="AL80" s="655"/>
    </row>
    <row r="81" spans="1:42" ht="15.6">
      <c r="A81" s="223"/>
      <c r="B81" s="223" t="s">
        <v>206</v>
      </c>
      <c r="C81" s="223"/>
      <c r="D81" s="223"/>
      <c r="E81" s="517">
        <f>+' Exhibit I State'!E80+'Exhibit I Federal'!E61</f>
        <v>0</v>
      </c>
      <c r="F81" s="261"/>
      <c r="G81" s="517">
        <f>+' Exhibit I State'!G80+'Exhibit I Federal'!G61</f>
        <v>0</v>
      </c>
      <c r="H81" s="261"/>
      <c r="I81" s="517">
        <f>+' Exhibit I State'!I80+'Exhibit I Federal'!I61</f>
        <v>0</v>
      </c>
      <c r="J81" s="261"/>
      <c r="K81" s="517">
        <f>+' Exhibit I State'!K80+'Exhibit I Federal'!K61</f>
        <v>0</v>
      </c>
      <c r="L81" s="261"/>
      <c r="M81" s="517">
        <f>+' Exhibit I State'!M80+'Exhibit I Federal'!M61</f>
        <v>0</v>
      </c>
      <c r="N81" s="261"/>
      <c r="O81" s="517">
        <f>+' Exhibit I State'!O80+'Exhibit I Federal'!O61</f>
        <v>0</v>
      </c>
      <c r="P81" s="261"/>
      <c r="Q81" s="517">
        <f>+' Exhibit I State'!Q80+'Exhibit I Federal'!Q61</f>
        <v>0</v>
      </c>
      <c r="R81" s="261"/>
      <c r="S81" s="517">
        <f>+' Exhibit I State'!S80+'Exhibit I Federal'!S61</f>
        <v>0</v>
      </c>
      <c r="T81" s="261"/>
      <c r="U81" s="517">
        <f>+' Exhibit I State'!U80+'Exhibit I Federal'!U61</f>
        <v>0</v>
      </c>
      <c r="V81" s="261"/>
      <c r="W81" s="1132"/>
      <c r="X81" s="261"/>
      <c r="Y81" s="1132"/>
      <c r="Z81" s="261"/>
      <c r="AA81" s="1132"/>
      <c r="AB81" s="261"/>
      <c r="AC81" s="250"/>
      <c r="AD81" s="274">
        <f>ROUND(SUM(E81:AA81),1)</f>
        <v>0</v>
      </c>
      <c r="AE81" s="276"/>
      <c r="AF81" s="249"/>
      <c r="AG81" s="373">
        <f>' Exhibit I State'!AI80+'Exhibit I Federal'!AI61</f>
        <v>0</v>
      </c>
      <c r="AH81" s="266"/>
      <c r="AI81" s="667"/>
      <c r="AJ81" s="664">
        <f>ROUND(SUM(+AD81-AG81),1)</f>
        <v>0</v>
      </c>
      <c r="AK81" s="647"/>
      <c r="AL81" s="45">
        <f>ROUND(IF(AG81=0,0,AJ81/ABS(AG81)),3)</f>
        <v>0</v>
      </c>
    </row>
    <row r="82" spans="1:42" ht="15.6">
      <c r="A82" s="223"/>
      <c r="B82" s="223" t="s">
        <v>207</v>
      </c>
      <c r="C82" s="223"/>
      <c r="D82" s="223"/>
      <c r="E82" s="517">
        <f>+' Exhibit I State'!E81+'Exhibit I Federal'!E62</f>
        <v>0</v>
      </c>
      <c r="F82" s="261"/>
      <c r="G82" s="517">
        <f>+' Exhibit I State'!G81+'Exhibit I Federal'!G62</f>
        <v>0</v>
      </c>
      <c r="H82" s="261"/>
      <c r="I82" s="517">
        <f>+' Exhibit I State'!I81+'Exhibit I Federal'!I62</f>
        <v>0</v>
      </c>
      <c r="J82" s="261"/>
      <c r="K82" s="517">
        <f>+' Exhibit I State'!K81+'Exhibit I Federal'!K62</f>
        <v>0</v>
      </c>
      <c r="L82" s="261"/>
      <c r="M82" s="517">
        <f>+' Exhibit I State'!M81+'Exhibit I Federal'!M62</f>
        <v>0</v>
      </c>
      <c r="N82" s="261"/>
      <c r="O82" s="517">
        <f>+' Exhibit I State'!O81+'Exhibit I Federal'!O62</f>
        <v>0</v>
      </c>
      <c r="P82" s="261"/>
      <c r="Q82" s="517">
        <f>+' Exhibit I State'!Q81+'Exhibit I Federal'!Q62</f>
        <v>0</v>
      </c>
      <c r="R82" s="261"/>
      <c r="S82" s="517">
        <f>+' Exhibit I State'!S81+'Exhibit I Federal'!S62</f>
        <v>0</v>
      </c>
      <c r="T82" s="261"/>
      <c r="U82" s="517">
        <f>+' Exhibit I State'!U81+'Exhibit I Federal'!U62</f>
        <v>0</v>
      </c>
      <c r="V82" s="261"/>
      <c r="W82" s="1132"/>
      <c r="X82" s="261"/>
      <c r="Y82" s="1132"/>
      <c r="Z82" s="261"/>
      <c r="AA82" s="1132"/>
      <c r="AB82" s="261"/>
      <c r="AC82" s="250"/>
      <c r="AD82" s="274">
        <f>ROUND(SUM(E82:AA82),1)</f>
        <v>0</v>
      </c>
      <c r="AE82" s="276"/>
      <c r="AF82" s="249"/>
      <c r="AG82" s="373">
        <f>' Exhibit I State'!AI81+'Exhibit I Federal'!AI62</f>
        <v>0</v>
      </c>
      <c r="AH82" s="266"/>
      <c r="AI82" s="667"/>
      <c r="AJ82" s="664">
        <f>ROUND(SUM(+AD82-AG82),1)</f>
        <v>0</v>
      </c>
      <c r="AK82" s="647"/>
      <c r="AL82" s="45">
        <f>ROUND(IF(AG82=0,0,AJ82/ABS(AG82)),3)</f>
        <v>0</v>
      </c>
    </row>
    <row r="83" spans="1:42" ht="15.6">
      <c r="A83" s="223"/>
      <c r="B83" s="223" t="s">
        <v>208</v>
      </c>
      <c r="C83" s="223"/>
      <c r="D83" s="223"/>
      <c r="E83" s="517">
        <f>+' Exhibit I State'!E82+'Exhibit I Federal'!E63</f>
        <v>0</v>
      </c>
      <c r="F83" s="261"/>
      <c r="G83" s="517">
        <f>+' Exhibit I State'!G82+'Exhibit I Federal'!G63</f>
        <v>0</v>
      </c>
      <c r="H83" s="261"/>
      <c r="I83" s="517">
        <f>+' Exhibit I State'!I82+'Exhibit I Federal'!I63</f>
        <v>0</v>
      </c>
      <c r="J83" s="261"/>
      <c r="K83" s="517">
        <f>+' Exhibit I State'!K82+'Exhibit I Federal'!K63</f>
        <v>0</v>
      </c>
      <c r="L83" s="261"/>
      <c r="M83" s="517">
        <f>+' Exhibit I State'!M82+'Exhibit I Federal'!M63</f>
        <v>0</v>
      </c>
      <c r="N83" s="261"/>
      <c r="O83" s="517">
        <f>+' Exhibit I State'!O82+'Exhibit I Federal'!O63</f>
        <v>0</v>
      </c>
      <c r="P83" s="261"/>
      <c r="Q83" s="517">
        <f>+' Exhibit I State'!Q82+'Exhibit I Federal'!Q63</f>
        <v>0</v>
      </c>
      <c r="R83" s="261"/>
      <c r="S83" s="517">
        <f>+' Exhibit I State'!S82+'Exhibit I Federal'!S63</f>
        <v>0</v>
      </c>
      <c r="T83" s="261"/>
      <c r="U83" s="517">
        <f>+' Exhibit I State'!U82+'Exhibit I Federal'!U63</f>
        <v>0</v>
      </c>
      <c r="V83" s="261"/>
      <c r="W83" s="1132"/>
      <c r="X83" s="261"/>
      <c r="Y83" s="1132"/>
      <c r="Z83" s="668"/>
      <c r="AA83" s="1132"/>
      <c r="AB83" s="668"/>
      <c r="AC83" s="669"/>
      <c r="AD83" s="274">
        <f>ROUND(SUM(E83:AA83),1)</f>
        <v>0</v>
      </c>
      <c r="AE83" s="276"/>
      <c r="AF83" s="249"/>
      <c r="AG83" s="373">
        <f>' Exhibit I State'!AI82+'Exhibit I Federal'!AI63</f>
        <v>0</v>
      </c>
      <c r="AH83" s="266"/>
      <c r="AI83" s="667"/>
      <c r="AJ83" s="664">
        <f>ROUND(SUM(+AD83-AG83),1)</f>
        <v>0</v>
      </c>
      <c r="AK83" s="647"/>
      <c r="AL83" s="45">
        <f>ROUND(IF(AG83=0,0,AJ83/ABS(AG83)),3)</f>
        <v>0</v>
      </c>
    </row>
    <row r="84" spans="1:42" ht="15.6">
      <c r="A84" s="223"/>
      <c r="B84" s="247" t="s">
        <v>179</v>
      </c>
      <c r="C84" s="223"/>
      <c r="D84" s="223"/>
      <c r="E84" s="517">
        <f>+' Exhibit I State'!E83+'Exhibit I Federal'!E64</f>
        <v>288.89999999999998</v>
      </c>
      <c r="F84" s="261"/>
      <c r="G84" s="517">
        <f>+' Exhibit I State'!G83+'Exhibit I Federal'!G64</f>
        <v>426.1</v>
      </c>
      <c r="H84" s="373"/>
      <c r="I84" s="517">
        <f>+' Exhibit I State'!I83+'Exhibit I Federal'!I64</f>
        <v>451.3</v>
      </c>
      <c r="J84" s="373"/>
      <c r="K84" s="517">
        <f>+' Exhibit I State'!K83+'Exhibit I Federal'!K64</f>
        <v>568.4</v>
      </c>
      <c r="L84" s="261"/>
      <c r="M84" s="517">
        <f>+' Exhibit I State'!M83+'Exhibit I Federal'!M64</f>
        <v>536.6</v>
      </c>
      <c r="N84" s="261"/>
      <c r="O84" s="517">
        <f>+' Exhibit I State'!O83+'Exhibit I Federal'!O64</f>
        <v>857.1</v>
      </c>
      <c r="P84" s="261"/>
      <c r="Q84" s="517">
        <f>+' Exhibit I State'!Q83+'Exhibit I Federal'!Q64</f>
        <v>292.8</v>
      </c>
      <c r="R84" s="261"/>
      <c r="S84" s="517">
        <f>+' Exhibit I State'!S83+'Exhibit I Federal'!S64</f>
        <v>644.6</v>
      </c>
      <c r="T84" s="261"/>
      <c r="U84" s="517">
        <f>+' Exhibit I State'!U83+'Exhibit I Federal'!U64</f>
        <v>693.5</v>
      </c>
      <c r="V84" s="261"/>
      <c r="W84" s="1132"/>
      <c r="X84" s="261"/>
      <c r="Y84" s="1132"/>
      <c r="Z84" s="261"/>
      <c r="AA84" s="1132"/>
      <c r="AB84" s="261"/>
      <c r="AC84" s="250"/>
      <c r="AD84" s="320">
        <f>ROUND(SUM(E84:AA84),1)</f>
        <v>4759.3</v>
      </c>
      <c r="AE84" s="276"/>
      <c r="AF84" s="249"/>
      <c r="AG84" s="1863">
        <v>4147.5</v>
      </c>
      <c r="AH84" s="275"/>
      <c r="AI84" s="656"/>
      <c r="AJ84" s="660">
        <f>ROUND(SUM(+AD84-AG84),1)</f>
        <v>611.79999999999995</v>
      </c>
      <c r="AK84" s="647"/>
      <c r="AL84" s="1847">
        <f>ROUND(IF(AG84=0,0,AJ84/ABS(AG84)),3)</f>
        <v>0.14799999999999999</v>
      </c>
    </row>
    <row r="85" spans="1:42" ht="15.6">
      <c r="A85" s="223"/>
      <c r="B85" s="223"/>
      <c r="C85" s="223"/>
      <c r="D85" s="223"/>
      <c r="E85" s="289"/>
      <c r="F85" s="261"/>
      <c r="G85" s="289"/>
      <c r="H85" s="261"/>
      <c r="I85" s="289"/>
      <c r="J85" s="261"/>
      <c r="K85" s="289"/>
      <c r="L85" s="261"/>
      <c r="M85" s="289"/>
      <c r="N85" s="261"/>
      <c r="O85" s="289"/>
      <c r="P85" s="261"/>
      <c r="Q85" s="289"/>
      <c r="R85" s="261"/>
      <c r="S85" s="289"/>
      <c r="T85" s="261"/>
      <c r="U85" s="289"/>
      <c r="V85" s="261"/>
      <c r="W85" s="289"/>
      <c r="X85" s="261"/>
      <c r="Y85" s="289"/>
      <c r="Z85" s="261"/>
      <c r="AA85" s="289"/>
      <c r="AB85" s="261"/>
      <c r="AC85" s="250"/>
      <c r="AD85" s="289"/>
      <c r="AE85" s="276"/>
      <c r="AF85" s="249"/>
      <c r="AG85" s="251"/>
      <c r="AH85" s="251"/>
      <c r="AI85" s="670"/>
      <c r="AJ85" s="251"/>
      <c r="AK85" s="647"/>
      <c r="AL85" s="655"/>
    </row>
    <row r="86" spans="1:42" ht="15.6">
      <c r="A86" s="223"/>
      <c r="B86" s="221" t="s">
        <v>209</v>
      </c>
      <c r="C86" s="223"/>
      <c r="D86" s="223"/>
      <c r="E86" s="257">
        <f>ROUND(SUM(+E84+E79),1)</f>
        <v>356.6</v>
      </c>
      <c r="F86" s="257"/>
      <c r="G86" s="257">
        <f>ROUND(SUM(+G84+G79),1)</f>
        <v>529</v>
      </c>
      <c r="H86" s="257"/>
      <c r="I86" s="1886">
        <f>ROUND(SUM(+I84+I79),1)</f>
        <v>611.79999999999995</v>
      </c>
      <c r="J86" s="257"/>
      <c r="K86" s="1886">
        <f>ROUND(SUM(+K84+K79),1)</f>
        <v>761.1</v>
      </c>
      <c r="L86" s="257"/>
      <c r="M86" s="1886">
        <f>ROUND(SUM(+M84+M79),1)</f>
        <v>718.6</v>
      </c>
      <c r="N86" s="257"/>
      <c r="O86" s="257">
        <f>ROUND(SUM(+O84+O79),1)</f>
        <v>1141.5999999999999</v>
      </c>
      <c r="P86" s="257"/>
      <c r="Q86" s="1886">
        <f>ROUND(SUM(+Q84+Q79),1)</f>
        <v>349.6</v>
      </c>
      <c r="R86" s="257"/>
      <c r="S86" s="1886">
        <f>ROUND(SUM(+S84+S79),1)</f>
        <v>1017.9</v>
      </c>
      <c r="T86" s="257"/>
      <c r="U86" s="1886">
        <f>ROUND(SUM(+U84+U79),1)</f>
        <v>1038.2</v>
      </c>
      <c r="V86" s="257"/>
      <c r="W86" s="257">
        <f>ROUND(SUM(+W84+W79),1)</f>
        <v>0</v>
      </c>
      <c r="X86" s="257"/>
      <c r="Y86" s="257">
        <f>ROUND(SUM(+Y84+Y79),1)</f>
        <v>0</v>
      </c>
      <c r="Z86" s="257"/>
      <c r="AA86" s="1886">
        <f>ROUND(SUM(+AA84+AA79),1)</f>
        <v>0</v>
      </c>
      <c r="AB86" s="257"/>
      <c r="AC86" s="259"/>
      <c r="AD86" s="257">
        <f>ROUND(SUM(+AD84+AD79),1)</f>
        <v>6524.4</v>
      </c>
      <c r="AE86" s="421"/>
      <c r="AF86" s="273"/>
      <c r="AG86" s="257">
        <f>ROUND(SUM(+AG84+AG79),1)</f>
        <v>5453.4</v>
      </c>
      <c r="AH86" s="273"/>
      <c r="AI86" s="658"/>
      <c r="AJ86" s="271">
        <f>ROUND(SUM(AJ79+AJ84),1)</f>
        <v>1071</v>
      </c>
      <c r="AK86" s="665"/>
      <c r="AL86" s="555">
        <f>ROUND(SUM(AJ86/AG86),3)</f>
        <v>0.19600000000000001</v>
      </c>
      <c r="AM86" s="652"/>
      <c r="AN86" s="662"/>
      <c r="AO86" s="652"/>
      <c r="AP86" s="652"/>
    </row>
    <row r="87" spans="1:42" ht="15.6">
      <c r="A87" s="223"/>
      <c r="B87" s="223"/>
      <c r="C87" s="223"/>
      <c r="D87" s="223"/>
      <c r="E87" s="289"/>
      <c r="F87" s="261"/>
      <c r="G87" s="289"/>
      <c r="H87" s="261"/>
      <c r="I87" s="289"/>
      <c r="J87" s="261"/>
      <c r="K87" s="289"/>
      <c r="L87" s="261"/>
      <c r="M87" s="289"/>
      <c r="N87" s="261"/>
      <c r="O87" s="289"/>
      <c r="P87" s="261"/>
      <c r="Q87" s="289"/>
      <c r="R87" s="261"/>
      <c r="S87" s="289"/>
      <c r="T87" s="261"/>
      <c r="U87" s="289"/>
      <c r="V87" s="261"/>
      <c r="W87" s="289"/>
      <c r="X87" s="261"/>
      <c r="Y87" s="289"/>
      <c r="Z87" s="261"/>
      <c r="AA87" s="289"/>
      <c r="AB87" s="261"/>
      <c r="AC87" s="250"/>
      <c r="AD87" s="289"/>
      <c r="AE87" s="276"/>
      <c r="AF87" s="249"/>
      <c r="AG87" s="289"/>
      <c r="AH87" s="249"/>
      <c r="AI87" s="658"/>
      <c r="AJ87" s="251"/>
      <c r="AK87" s="647"/>
      <c r="AL87" s="655"/>
    </row>
    <row r="88" spans="1:42" ht="15.6">
      <c r="A88" s="223"/>
      <c r="B88" s="221" t="s">
        <v>210</v>
      </c>
      <c r="C88" s="223"/>
      <c r="D88" s="223"/>
      <c r="E88" s="261"/>
      <c r="F88" s="261"/>
      <c r="G88" s="261"/>
      <c r="H88" s="261"/>
      <c r="I88" s="261"/>
      <c r="J88" s="261"/>
      <c r="K88" s="261"/>
      <c r="L88" s="261"/>
      <c r="M88" s="261"/>
      <c r="N88" s="261"/>
      <c r="O88" s="261"/>
      <c r="P88" s="261"/>
      <c r="Q88" s="261"/>
      <c r="R88" s="261"/>
      <c r="S88" s="261"/>
      <c r="T88" s="261"/>
      <c r="U88" s="261"/>
      <c r="V88" s="261"/>
      <c r="W88" s="373"/>
      <c r="X88" s="261"/>
      <c r="Y88" s="261"/>
      <c r="Z88" s="261"/>
      <c r="AA88" s="261"/>
      <c r="AB88" s="261"/>
      <c r="AC88" s="250"/>
      <c r="AD88" s="251"/>
      <c r="AE88" s="276"/>
      <c r="AF88" s="249"/>
      <c r="AG88" s="251"/>
      <c r="AH88" s="251"/>
      <c r="AI88" s="670"/>
      <c r="AJ88" s="251"/>
      <c r="AK88" s="647"/>
      <c r="AL88" s="655"/>
    </row>
    <row r="89" spans="1:42" ht="15.6">
      <c r="A89" s="223"/>
      <c r="B89" s="221" t="s">
        <v>211</v>
      </c>
      <c r="C89" s="223"/>
      <c r="D89" s="223"/>
      <c r="E89" s="257">
        <f>ROUND(SUM(E65-E86),1)</f>
        <v>-71.7</v>
      </c>
      <c r="F89" s="257"/>
      <c r="G89" s="257">
        <f>ROUND(SUM(G65-G86),1)</f>
        <v>-233.6</v>
      </c>
      <c r="H89" s="257"/>
      <c r="I89" s="1886">
        <f>ROUND(SUM(I65-I86),1)</f>
        <v>667.5</v>
      </c>
      <c r="J89" s="257"/>
      <c r="K89" s="1886">
        <f>ROUND(SUM(K65-K86),1)</f>
        <v>-305.39999999999998</v>
      </c>
      <c r="L89" s="257"/>
      <c r="M89" s="1886">
        <f>ROUND(SUM(M65-M86),1)</f>
        <v>-304</v>
      </c>
      <c r="N89" s="257"/>
      <c r="O89" s="257">
        <f>ROUND(SUM(O65-O86),1)</f>
        <v>-393.4</v>
      </c>
      <c r="P89" s="257"/>
      <c r="Q89" s="1886">
        <f>ROUND(SUM(Q65-Q86),1)</f>
        <v>188.9</v>
      </c>
      <c r="R89" s="257"/>
      <c r="S89" s="1886">
        <f>ROUND(SUM(S65-S86),1)</f>
        <v>-425.5</v>
      </c>
      <c r="T89" s="257"/>
      <c r="U89" s="1886">
        <f>ROUND(SUM(U65-U86),1)</f>
        <v>78.8</v>
      </c>
      <c r="V89" s="257"/>
      <c r="W89" s="257">
        <f>ROUND(SUM(W65-W86),1)</f>
        <v>0</v>
      </c>
      <c r="X89" s="257"/>
      <c r="Y89" s="257">
        <f>ROUND(SUM(Y65-Y86),1)</f>
        <v>0</v>
      </c>
      <c r="Z89" s="257"/>
      <c r="AA89" s="1886">
        <f>ROUND(SUM(AA65-AA86),1)</f>
        <v>0</v>
      </c>
      <c r="AB89" s="257"/>
      <c r="AC89" s="259"/>
      <c r="AD89" s="257">
        <f>ROUND(SUM(AD65-AD86),1)</f>
        <v>-798.4</v>
      </c>
      <c r="AE89" s="421"/>
      <c r="AF89" s="273"/>
      <c r="AG89" s="257">
        <f>ROUND(SUM(AG65-AG86),1)</f>
        <v>-755.6</v>
      </c>
      <c r="AH89" s="273"/>
      <c r="AI89" s="658"/>
      <c r="AJ89" s="271">
        <f>ROUND(SUM(AJ65-AJ86),1)</f>
        <v>-42.8</v>
      </c>
      <c r="AK89" s="665"/>
      <c r="AL89" s="555">
        <f>ROUND(IF(AG89=0,0,AJ89/ABS(AG89)),3)</f>
        <v>-5.7000000000000002E-2</v>
      </c>
      <c r="AM89" s="652"/>
      <c r="AN89" s="652"/>
      <c r="AO89" s="652"/>
      <c r="AP89" s="652"/>
    </row>
    <row r="90" spans="1:42" ht="15.6">
      <c r="A90" s="223"/>
      <c r="B90" s="223"/>
      <c r="C90" s="223"/>
      <c r="D90" s="223"/>
      <c r="E90" s="289"/>
      <c r="F90" s="261"/>
      <c r="G90" s="289"/>
      <c r="H90" s="261"/>
      <c r="I90" s="289"/>
      <c r="J90" s="261"/>
      <c r="K90" s="289"/>
      <c r="L90" s="261"/>
      <c r="M90" s="289"/>
      <c r="N90" s="261"/>
      <c r="O90" s="289"/>
      <c r="P90" s="261"/>
      <c r="Q90" s="289"/>
      <c r="R90" s="261"/>
      <c r="S90" s="289"/>
      <c r="T90" s="261"/>
      <c r="U90" s="289"/>
      <c r="V90" s="261"/>
      <c r="W90" s="289"/>
      <c r="X90" s="261"/>
      <c r="Y90" s="289"/>
      <c r="Z90" s="261"/>
      <c r="AA90" s="289"/>
      <c r="AB90" s="261"/>
      <c r="AC90" s="250"/>
      <c r="AD90" s="289"/>
      <c r="AE90" s="276"/>
      <c r="AF90" s="249"/>
      <c r="AG90" s="289"/>
      <c r="AH90" s="249"/>
      <c r="AI90" s="658"/>
      <c r="AJ90" s="251"/>
      <c r="AK90" s="647"/>
      <c r="AL90" s="655"/>
    </row>
    <row r="91" spans="1:42" ht="15.6">
      <c r="A91" s="223"/>
      <c r="B91" s="221" t="s">
        <v>212</v>
      </c>
      <c r="C91" s="223"/>
      <c r="D91" s="223"/>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50"/>
      <c r="AD91" s="261"/>
      <c r="AE91" s="276"/>
      <c r="AF91" s="249"/>
      <c r="AG91" s="266"/>
      <c r="AH91" s="266"/>
      <c r="AI91" s="667"/>
      <c r="AJ91" s="251"/>
      <c r="AK91" s="647"/>
      <c r="AL91" s="655"/>
    </row>
    <row r="92" spans="1:42" ht="15.6">
      <c r="A92" s="223"/>
      <c r="B92" s="223" t="s">
        <v>213</v>
      </c>
      <c r="C92" s="223"/>
      <c r="D92" s="223"/>
      <c r="E92" s="517">
        <f>+' Exhibit I State'!E91+'Exhibit I Federal'!E72</f>
        <v>0</v>
      </c>
      <c r="F92" s="261"/>
      <c r="G92" s="373">
        <v>0</v>
      </c>
      <c r="H92" s="373"/>
      <c r="I92" s="373">
        <v>0</v>
      </c>
      <c r="J92" s="261"/>
      <c r="K92" s="373">
        <v>0</v>
      </c>
      <c r="L92" s="261"/>
      <c r="M92" s="373">
        <v>0</v>
      </c>
      <c r="N92" s="373"/>
      <c r="O92" s="373">
        <v>0</v>
      </c>
      <c r="P92" s="261"/>
      <c r="Q92" s="373">
        <v>0</v>
      </c>
      <c r="R92" s="261"/>
      <c r="S92" s="373">
        <v>0</v>
      </c>
      <c r="T92" s="261"/>
      <c r="U92" s="373">
        <v>0</v>
      </c>
      <c r="V92" s="261"/>
      <c r="W92" s="373"/>
      <c r="X92" s="261"/>
      <c r="Y92" s="373"/>
      <c r="Z92" s="261"/>
      <c r="AA92" s="373"/>
      <c r="AB92" s="261"/>
      <c r="AC92" s="250"/>
      <c r="AD92" s="274">
        <f>ROUND(SUM(E92:AA92),1)</f>
        <v>0</v>
      </c>
      <c r="AE92" s="276"/>
      <c r="AF92" s="249"/>
      <c r="AG92" s="266">
        <f>' Exhibit I State'!AI91</f>
        <v>0</v>
      </c>
      <c r="AH92" s="266"/>
      <c r="AI92" s="667"/>
      <c r="AJ92" s="664">
        <f>ROUND(SUM(+AD92-AG92),1)</f>
        <v>0</v>
      </c>
      <c r="AK92" s="657"/>
      <c r="AL92" s="45">
        <f>ROUND(IF(AG92=0,0,AJ92/ABS(AG92)),3)</f>
        <v>0</v>
      </c>
    </row>
    <row r="93" spans="1:42" ht="15.6">
      <c r="A93" s="223"/>
      <c r="B93" s="247" t="s">
        <v>180</v>
      </c>
      <c r="C93" s="223"/>
      <c r="D93" s="223"/>
      <c r="E93" s="517">
        <v>77.8</v>
      </c>
      <c r="F93" s="261"/>
      <c r="G93" s="517">
        <v>148</v>
      </c>
      <c r="H93" s="517"/>
      <c r="I93" s="2135">
        <v>-161.80000000000001</v>
      </c>
      <c r="J93" s="261"/>
      <c r="K93" s="2135">
        <v>207.8</v>
      </c>
      <c r="L93" s="261"/>
      <c r="M93" s="2135">
        <v>326.10000000000002</v>
      </c>
      <c r="N93" s="261"/>
      <c r="O93" s="517">
        <v>359.5</v>
      </c>
      <c r="P93" s="261"/>
      <c r="Q93" s="517">
        <v>27.7</v>
      </c>
      <c r="R93" s="261"/>
      <c r="S93" s="517">
        <v>336</v>
      </c>
      <c r="T93" s="261"/>
      <c r="U93" s="517">
        <v>23.9</v>
      </c>
      <c r="V93" s="261"/>
      <c r="W93" s="517"/>
      <c r="X93" s="261"/>
      <c r="Y93" s="2135"/>
      <c r="Z93" s="261"/>
      <c r="AA93" s="2135"/>
      <c r="AB93" s="261"/>
      <c r="AC93" s="250"/>
      <c r="AD93" s="274">
        <f>ROUND(SUM(E93:AA93),1)</f>
        <v>1345</v>
      </c>
      <c r="AE93" s="276"/>
      <c r="AF93" s="249"/>
      <c r="AG93" s="319">
        <v>1201.8</v>
      </c>
      <c r="AH93" s="274"/>
      <c r="AI93" s="656"/>
      <c r="AJ93" s="664">
        <f>ROUND(SUM(+AD93-AG93),1)</f>
        <v>143.19999999999999</v>
      </c>
      <c r="AK93" s="647"/>
      <c r="AL93" s="3339">
        <f>ROUND(IF(AG93=0,0,AJ93/ABS(AG93)),3)</f>
        <v>0.11899999999999999</v>
      </c>
      <c r="AM93" s="647"/>
      <c r="AN93" s="370"/>
    </row>
    <row r="94" spans="1:42" ht="15.6">
      <c r="A94" s="223"/>
      <c r="B94" s="247" t="s">
        <v>214</v>
      </c>
      <c r="C94" s="223"/>
      <c r="D94" s="223"/>
      <c r="E94" s="261">
        <v>-76.7</v>
      </c>
      <c r="F94" s="261"/>
      <c r="G94" s="261">
        <v>-75.2</v>
      </c>
      <c r="H94" s="261"/>
      <c r="I94" s="319">
        <v>-76.400000000000006</v>
      </c>
      <c r="J94" s="261"/>
      <c r="K94" s="319">
        <v>-90.1</v>
      </c>
      <c r="L94" s="261"/>
      <c r="M94" s="319">
        <v>-30.3</v>
      </c>
      <c r="N94" s="261"/>
      <c r="O94" s="261">
        <v>-247.6</v>
      </c>
      <c r="P94" s="261"/>
      <c r="Q94" s="261">
        <v>-4.5</v>
      </c>
      <c r="R94" s="261"/>
      <c r="S94" s="261">
        <v>-35.799999999999997</v>
      </c>
      <c r="T94" s="261"/>
      <c r="U94" s="517">
        <v>-34.799999999999997</v>
      </c>
      <c r="V94" s="261"/>
      <c r="W94" s="517"/>
      <c r="X94" s="261"/>
      <c r="Y94" s="2135"/>
      <c r="Z94" s="261"/>
      <c r="AA94" s="2135"/>
      <c r="AB94" s="261"/>
      <c r="AC94" s="250"/>
      <c r="AD94" s="274">
        <f>ROUND(SUM(E94:AA94),1)</f>
        <v>-671.4</v>
      </c>
      <c r="AE94" s="276"/>
      <c r="AF94" s="249"/>
      <c r="AG94" s="526">
        <v>-904</v>
      </c>
      <c r="AH94" s="249"/>
      <c r="AI94" s="658"/>
      <c r="AJ94" s="1836">
        <f>ROUND(-SUM(+AD94-AG94),1)</f>
        <v>-232.6</v>
      </c>
      <c r="AK94" s="647"/>
      <c r="AL94" s="1847">
        <f>ROUND(IF(AG94=0,0,AJ94/ABS(AG94)),3)</f>
        <v>-0.25700000000000001</v>
      </c>
      <c r="AM94" s="647"/>
      <c r="AN94" s="370"/>
    </row>
    <row r="95" spans="1:42" ht="15.6">
      <c r="A95" s="223"/>
      <c r="B95" s="223"/>
      <c r="C95" s="223"/>
      <c r="D95" s="223"/>
      <c r="E95" s="289"/>
      <c r="F95" s="261"/>
      <c r="G95" s="289"/>
      <c r="H95" s="261"/>
      <c r="I95" s="289"/>
      <c r="J95" s="261"/>
      <c r="K95" s="289"/>
      <c r="L95" s="261"/>
      <c r="M95" s="289"/>
      <c r="N95" s="261"/>
      <c r="O95" s="289"/>
      <c r="P95" s="261"/>
      <c r="Q95" s="289"/>
      <c r="R95" s="261"/>
      <c r="S95" s="289"/>
      <c r="T95" s="261"/>
      <c r="U95" s="289"/>
      <c r="V95" s="261"/>
      <c r="W95" s="289"/>
      <c r="X95" s="261"/>
      <c r="Y95" s="289"/>
      <c r="Z95" s="261"/>
      <c r="AA95" s="289"/>
      <c r="AB95" s="261"/>
      <c r="AC95" s="250"/>
      <c r="AD95" s="289"/>
      <c r="AE95" s="276"/>
      <c r="AF95" s="249"/>
      <c r="AG95" s="251"/>
      <c r="AH95" s="251"/>
      <c r="AI95" s="670"/>
      <c r="AJ95" s="251"/>
      <c r="AK95" s="647"/>
      <c r="AL95" s="655"/>
      <c r="AM95" s="370"/>
    </row>
    <row r="96" spans="1:42" ht="15.6">
      <c r="A96" s="223"/>
      <c r="B96" s="221" t="s">
        <v>1487</v>
      </c>
      <c r="C96" s="223"/>
      <c r="D96" s="223"/>
      <c r="E96" s="257">
        <f>ROUND(SUM(E92:E95),1)</f>
        <v>1.1000000000000001</v>
      </c>
      <c r="F96" s="257"/>
      <c r="G96" s="257">
        <f>ROUND(SUM(G92:G95),1)</f>
        <v>72.8</v>
      </c>
      <c r="H96" s="257"/>
      <c r="I96" s="1886">
        <f>ROUND(SUM(I92:I95),1)</f>
        <v>-238.2</v>
      </c>
      <c r="J96" s="257"/>
      <c r="K96" s="1886">
        <f>ROUND(SUM(K92:K95),1)</f>
        <v>117.7</v>
      </c>
      <c r="L96" s="257"/>
      <c r="M96" s="1886">
        <f>ROUND(SUM(M92:M95),1)</f>
        <v>295.8</v>
      </c>
      <c r="N96" s="257"/>
      <c r="O96" s="257">
        <f>ROUND(SUM(O92:O95),1)</f>
        <v>111.9</v>
      </c>
      <c r="P96" s="257"/>
      <c r="Q96" s="1886">
        <f>ROUND(SUM(Q92:Q95),1)</f>
        <v>23.2</v>
      </c>
      <c r="R96" s="257"/>
      <c r="S96" s="1886">
        <f>ROUND(SUM(S92:S95),1)</f>
        <v>300.2</v>
      </c>
      <c r="T96" s="257"/>
      <c r="U96" s="1886">
        <f>ROUND(SUM(U92:U95),1)</f>
        <v>-10.9</v>
      </c>
      <c r="V96" s="257"/>
      <c r="W96" s="257">
        <f>ROUND(SUM(W92:W95),1)</f>
        <v>0</v>
      </c>
      <c r="X96" s="257"/>
      <c r="Y96" s="257">
        <f>ROUND(SUM(Y92:Y95),1)</f>
        <v>0</v>
      </c>
      <c r="Z96" s="257"/>
      <c r="AA96" s="1886">
        <f>ROUND(SUM(AA92:AA95),1)</f>
        <v>0</v>
      </c>
      <c r="AB96" s="257"/>
      <c r="AC96" s="259"/>
      <c r="AD96" s="257">
        <f>ROUND(SUM(AD92:AD95),1)</f>
        <v>673.6</v>
      </c>
      <c r="AE96" s="421"/>
      <c r="AF96" s="273"/>
      <c r="AG96" s="257">
        <f>ROUND(SUM(AG92:AG95),1)</f>
        <v>297.8</v>
      </c>
      <c r="AH96" s="273"/>
      <c r="AI96" s="658"/>
      <c r="AJ96" s="271">
        <f>ROUND(SUM(AD96-AG96),1)</f>
        <v>375.8</v>
      </c>
      <c r="AK96" s="665"/>
      <c r="AL96" s="673">
        <f>ROUND(SUM(AJ96/ABS(AG96)),3)</f>
        <v>1.262</v>
      </c>
      <c r="AM96" s="652"/>
      <c r="AN96" s="652"/>
      <c r="AO96" s="652"/>
      <c r="AP96" s="652"/>
    </row>
    <row r="97" spans="1:53" ht="15.6">
      <c r="A97" s="223"/>
      <c r="B97" s="223"/>
      <c r="C97" s="223"/>
      <c r="D97" s="223"/>
      <c r="E97" s="289"/>
      <c r="F97" s="261"/>
      <c r="G97" s="289"/>
      <c r="H97" s="261"/>
      <c r="I97" s="289"/>
      <c r="J97" s="261"/>
      <c r="K97" s="289"/>
      <c r="L97" s="261"/>
      <c r="M97" s="289"/>
      <c r="N97" s="261"/>
      <c r="O97" s="289"/>
      <c r="P97" s="261"/>
      <c r="Q97" s="289"/>
      <c r="R97" s="261"/>
      <c r="S97" s="289"/>
      <c r="T97" s="261"/>
      <c r="U97" s="289"/>
      <c r="V97" s="261"/>
      <c r="W97" s="289"/>
      <c r="X97" s="261"/>
      <c r="Y97" s="289"/>
      <c r="Z97" s="261"/>
      <c r="AA97" s="289"/>
      <c r="AB97" s="261"/>
      <c r="AC97" s="250"/>
      <c r="AD97" s="289"/>
      <c r="AE97" s="276"/>
      <c r="AF97" s="249"/>
      <c r="AG97" s="289"/>
      <c r="AH97" s="249"/>
      <c r="AI97" s="658"/>
      <c r="AJ97" s="251"/>
      <c r="AK97" s="647"/>
      <c r="AL97" s="655"/>
    </row>
    <row r="98" spans="1:53" ht="15.6">
      <c r="A98" s="223"/>
      <c r="B98" s="223"/>
      <c r="C98" s="223"/>
      <c r="D98" s="223"/>
      <c r="E98" s="261"/>
      <c r="F98" s="261"/>
      <c r="G98" s="261" t="s">
        <v>16</v>
      </c>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t="s">
        <v>16</v>
      </c>
      <c r="AE98" s="276"/>
      <c r="AF98" s="249"/>
      <c r="AG98" s="261"/>
      <c r="AH98" s="261"/>
      <c r="AI98" s="658"/>
      <c r="AJ98" s="251" t="s">
        <v>16</v>
      </c>
      <c r="AK98" s="647"/>
      <c r="AL98" s="655"/>
    </row>
    <row r="99" spans="1:53" ht="15.6">
      <c r="A99" s="223"/>
      <c r="B99" s="221" t="s">
        <v>216</v>
      </c>
      <c r="C99" s="223"/>
      <c r="D99" s="223"/>
      <c r="E99" s="261"/>
      <c r="F99" s="261"/>
      <c r="G99" s="261" t="s">
        <v>16</v>
      </c>
      <c r="H99" s="261"/>
      <c r="I99" s="261" t="s">
        <v>16</v>
      </c>
      <c r="J99" s="261"/>
      <c r="K99" s="261" t="s">
        <v>16</v>
      </c>
      <c r="L99" s="261"/>
      <c r="M99" s="261" t="s">
        <v>16</v>
      </c>
      <c r="N99" s="261"/>
      <c r="O99" s="261" t="s">
        <v>16</v>
      </c>
      <c r="P99" s="261"/>
      <c r="Q99" s="261" t="s">
        <v>16</v>
      </c>
      <c r="R99" s="261"/>
      <c r="S99" s="261" t="s">
        <v>16</v>
      </c>
      <c r="T99" s="261"/>
      <c r="U99" s="261" t="s">
        <v>16</v>
      </c>
      <c r="V99" s="261"/>
      <c r="W99" s="261" t="s">
        <v>16</v>
      </c>
      <c r="X99" s="261"/>
      <c r="Y99" s="261" t="s">
        <v>16</v>
      </c>
      <c r="Z99" s="261"/>
      <c r="AA99" s="261" t="s">
        <v>16</v>
      </c>
      <c r="AB99" s="261"/>
      <c r="AC99" s="250"/>
      <c r="AD99" s="261"/>
      <c r="AE99" s="276"/>
      <c r="AF99" s="249"/>
      <c r="AG99" s="261"/>
      <c r="AH99" s="261"/>
      <c r="AI99" s="658"/>
      <c r="AJ99" s="251"/>
      <c r="AK99" s="647"/>
      <c r="AL99" s="655"/>
    </row>
    <row r="100" spans="1:53" ht="15.6">
      <c r="A100" s="223"/>
      <c r="B100" s="221" t="s">
        <v>217</v>
      </c>
      <c r="C100" s="223"/>
      <c r="D100" s="223"/>
      <c r="E100" s="257" t="s">
        <v>16</v>
      </c>
      <c r="F100" s="257"/>
      <c r="G100" s="257"/>
      <c r="H100" s="257"/>
      <c r="I100" s="257"/>
      <c r="J100" s="257"/>
      <c r="K100" s="257"/>
      <c r="L100" s="257"/>
      <c r="M100" s="1886"/>
      <c r="N100" s="257"/>
      <c r="O100" s="257"/>
      <c r="P100" s="257"/>
      <c r="Q100" s="1886"/>
      <c r="R100" s="257"/>
      <c r="S100" s="1886"/>
      <c r="T100" s="257"/>
      <c r="U100" s="1886"/>
      <c r="V100" s="257"/>
      <c r="W100" s="257"/>
      <c r="X100" s="257"/>
      <c r="Y100" s="257"/>
      <c r="Z100" s="257"/>
      <c r="AA100" s="1886"/>
      <c r="AB100" s="257"/>
      <c r="AC100" s="259"/>
      <c r="AD100" s="257" t="s">
        <v>16</v>
      </c>
      <c r="AE100" s="421"/>
      <c r="AF100" s="273"/>
      <c r="AG100" s="671"/>
      <c r="AH100" s="671"/>
      <c r="AI100" s="670"/>
      <c r="AJ100" s="671"/>
      <c r="AK100" s="665"/>
      <c r="AL100" s="651"/>
      <c r="AM100" s="652"/>
      <c r="AN100" s="652"/>
      <c r="AO100" s="652"/>
      <c r="AP100" s="652"/>
      <c r="AQ100" s="652"/>
      <c r="AR100" s="652"/>
      <c r="AS100" s="652"/>
      <c r="AT100" s="652"/>
      <c r="AU100" s="652"/>
      <c r="AV100" s="652"/>
      <c r="AW100" s="652"/>
    </row>
    <row r="101" spans="1:53" ht="15.6">
      <c r="A101" s="223"/>
      <c r="B101" s="221" t="s">
        <v>1477</v>
      </c>
      <c r="C101" s="223"/>
      <c r="D101" s="223"/>
      <c r="E101" s="672">
        <f>ROUND(SUM(E89+E96),1)</f>
        <v>-70.599999999999994</v>
      </c>
      <c r="F101" s="257"/>
      <c r="G101" s="672">
        <f>ROUND(SUM(G89+G96),1)</f>
        <v>-160.80000000000001</v>
      </c>
      <c r="H101" s="257"/>
      <c r="I101" s="672">
        <f>ROUND(SUM(I89+I96),1)</f>
        <v>429.3</v>
      </c>
      <c r="J101" s="257"/>
      <c r="K101" s="672">
        <f>ROUND(SUM(K89+K96),1)</f>
        <v>-187.7</v>
      </c>
      <c r="L101" s="257"/>
      <c r="M101" s="672">
        <f>ROUND(SUM(M89+M96),1)</f>
        <v>-8.1999999999999993</v>
      </c>
      <c r="N101" s="257"/>
      <c r="O101" s="672">
        <f>ROUND(SUM(O89+O96),1)</f>
        <v>-281.5</v>
      </c>
      <c r="P101" s="257"/>
      <c r="Q101" s="672">
        <f>ROUND(SUM(Q89+Q96),1)</f>
        <v>212.1</v>
      </c>
      <c r="R101" s="257"/>
      <c r="S101" s="672">
        <f>ROUND(SUM(S89+S96),1)</f>
        <v>-125.3</v>
      </c>
      <c r="T101" s="257"/>
      <c r="U101" s="672">
        <f>ROUND(SUM(U89+U96),1)</f>
        <v>67.900000000000006</v>
      </c>
      <c r="V101" s="257"/>
      <c r="W101" s="672">
        <f>ROUND(SUM(W89+W96),1)</f>
        <v>0</v>
      </c>
      <c r="X101" s="257"/>
      <c r="Y101" s="672">
        <f>ROUND(SUM(Y89+Y96),1)</f>
        <v>0</v>
      </c>
      <c r="Z101" s="257"/>
      <c r="AA101" s="672">
        <f>ROUND(SUM(AA89+AA96),1)</f>
        <v>0</v>
      </c>
      <c r="AB101" s="257"/>
      <c r="AC101" s="259"/>
      <c r="AD101" s="672">
        <f>ROUND(AD89+AD96,1)</f>
        <v>-124.8</v>
      </c>
      <c r="AE101" s="421"/>
      <c r="AF101" s="273"/>
      <c r="AG101" s="672">
        <f>ROUND(AG89+AG96,1)</f>
        <v>-457.8</v>
      </c>
      <c r="AH101" s="671"/>
      <c r="AI101" s="670"/>
      <c r="AJ101" s="672">
        <f>ROUND(SUM(+AD101-AG101),1)</f>
        <v>333</v>
      </c>
      <c r="AK101" s="665"/>
      <c r="AL101" s="3344">
        <f>ROUND(IF(AG101=0,0,AJ101/ABS(AG101)),3)</f>
        <v>0.72699999999999998</v>
      </c>
      <c r="AM101" s="652"/>
      <c r="AN101" s="674"/>
      <c r="AO101" s="652"/>
      <c r="AP101" s="652"/>
      <c r="AQ101" s="652"/>
      <c r="AR101" s="652"/>
      <c r="AS101" s="652"/>
      <c r="AT101" s="652"/>
      <c r="AU101" s="652"/>
      <c r="AV101" s="652"/>
      <c r="AW101" s="652"/>
    </row>
    <row r="102" spans="1:53">
      <c r="A102" s="223"/>
      <c r="B102" s="223" t="s">
        <v>16</v>
      </c>
      <c r="C102" s="223"/>
      <c r="D102" s="223"/>
      <c r="E102" s="228"/>
      <c r="F102" s="228"/>
      <c r="G102" s="228"/>
      <c r="H102" s="228"/>
      <c r="I102" s="228"/>
      <c r="J102" s="228"/>
      <c r="K102" s="228"/>
      <c r="L102" s="228"/>
      <c r="M102" s="228"/>
      <c r="N102" s="228"/>
      <c r="O102" s="228"/>
      <c r="P102" s="228"/>
      <c r="Q102" s="228"/>
      <c r="R102" s="228"/>
      <c r="S102" s="533" t="s">
        <v>16</v>
      </c>
      <c r="T102" s="228"/>
      <c r="U102" s="533" t="s">
        <v>16</v>
      </c>
      <c r="V102" s="228"/>
      <c r="W102" s="533" t="s">
        <v>16</v>
      </c>
      <c r="X102" s="228"/>
      <c r="Y102" s="228"/>
      <c r="Z102" s="228"/>
      <c r="AA102" s="228"/>
      <c r="AB102" s="300"/>
      <c r="AC102" s="675"/>
      <c r="AD102" s="228"/>
      <c r="AE102" s="300"/>
      <c r="AF102" s="675"/>
      <c r="AG102" s="228"/>
      <c r="AH102" s="514"/>
      <c r="AI102" s="229"/>
      <c r="AJ102" s="647"/>
      <c r="AK102" s="647"/>
      <c r="AL102" s="655"/>
      <c r="AM102" s="647"/>
      <c r="AN102" s="647"/>
    </row>
    <row r="103" spans="1:53" s="222" customFormat="1" ht="15" customHeight="1" thickBot="1">
      <c r="A103" s="223"/>
      <c r="B103" s="221" t="s">
        <v>1488</v>
      </c>
      <c r="C103" s="223"/>
      <c r="E103" s="503">
        <f>ROUND(SUM(+E101+E15),1)</f>
        <v>-795</v>
      </c>
      <c r="F103" s="295"/>
      <c r="G103" s="503">
        <f>ROUND(SUM(+G101+G15),1)</f>
        <v>-955.8</v>
      </c>
      <c r="H103" s="295"/>
      <c r="I103" s="503">
        <f>ROUND(SUM(+I101+I15),1)</f>
        <v>-526.5</v>
      </c>
      <c r="J103" s="295"/>
      <c r="K103" s="503">
        <f>ROUND(SUM(+K101+K15),1)</f>
        <v>-714.2</v>
      </c>
      <c r="L103" s="295"/>
      <c r="M103" s="503">
        <f>ROUND(SUM(+M101+M15),1)</f>
        <v>-722.4</v>
      </c>
      <c r="N103" s="295"/>
      <c r="O103" s="503">
        <f>ROUND(SUM(+O101+O15),1)</f>
        <v>-1003.9</v>
      </c>
      <c r="P103" s="295"/>
      <c r="Q103" s="503">
        <f>ROUND(SUM(+Q101+Q15),1)</f>
        <v>-791.8</v>
      </c>
      <c r="R103" s="295"/>
      <c r="S103" s="503">
        <f>ROUND(SUM(+S101+S15),1)</f>
        <v>-917.1</v>
      </c>
      <c r="T103" s="295"/>
      <c r="U103" s="503">
        <f>ROUND(SUM(+U101+U15),1)</f>
        <v>-849.2</v>
      </c>
      <c r="V103" s="295"/>
      <c r="W103" s="503">
        <f>ROUND(SUM(+W101+W15),1)</f>
        <v>0</v>
      </c>
      <c r="X103" s="295"/>
      <c r="Y103" s="503">
        <f>ROUND(SUM(+Y101+Y15),1)</f>
        <v>0</v>
      </c>
      <c r="Z103" s="295"/>
      <c r="AA103" s="503">
        <f>ROUND(SUM(+AA101+AA15),1)</f>
        <v>0</v>
      </c>
      <c r="AB103" s="295"/>
      <c r="AC103" s="296"/>
      <c r="AD103" s="503">
        <f>ROUND(SUM(+AD101+AD15),1)</f>
        <v>-849.2</v>
      </c>
      <c r="AE103" s="295"/>
      <c r="AF103" s="296"/>
      <c r="AG103" s="503">
        <f>ROUND(SUM(+AG101+AG15),1)</f>
        <v>-1086.5</v>
      </c>
      <c r="AH103" s="511"/>
      <c r="AI103" s="424"/>
      <c r="AJ103" s="503">
        <f>ROUND(SUM(+AJ101+AJ15),1)</f>
        <v>237.3</v>
      </c>
      <c r="AK103" s="385"/>
      <c r="AL103" s="531">
        <f>ROUND(SUM(-(+AD103-AG103)/AG103),3)</f>
        <v>0.218</v>
      </c>
      <c r="AM103" s="665"/>
      <c r="AN103" s="665"/>
      <c r="AO103" s="652"/>
      <c r="AP103" s="652"/>
      <c r="AQ103" s="506"/>
      <c r="AR103" s="506"/>
      <c r="AS103" s="506"/>
      <c r="AT103" s="506"/>
      <c r="AU103" s="506"/>
      <c r="AV103" s="506"/>
      <c r="AW103" s="506"/>
      <c r="AX103" s="506"/>
      <c r="AY103" s="506"/>
      <c r="AZ103" s="506"/>
      <c r="BA103" s="506"/>
    </row>
    <row r="104" spans="1:53" ht="15.6" thickTop="1">
      <c r="B104" s="425"/>
    </row>
    <row r="105" spans="1:53">
      <c r="B105" s="676"/>
      <c r="C105" s="677"/>
      <c r="D105" s="677"/>
      <c r="E105" s="678"/>
      <c r="F105" s="678"/>
      <c r="G105" s="678"/>
      <c r="AG105" s="679"/>
      <c r="AJ105" s="370"/>
    </row>
    <row r="106" spans="1:53">
      <c r="B106" s="676"/>
      <c r="C106" s="677"/>
      <c r="D106" s="677"/>
      <c r="E106" s="678"/>
      <c r="F106" s="678"/>
      <c r="G106" s="678"/>
      <c r="AJ106" s="370"/>
    </row>
    <row r="107" spans="1:53">
      <c r="B107" s="680"/>
      <c r="AJ107" s="370"/>
    </row>
    <row r="108" spans="1:53">
      <c r="B108" s="680"/>
    </row>
    <row r="109" spans="1:53">
      <c r="B109" s="676"/>
    </row>
    <row r="110" spans="1:53">
      <c r="B110" s="680"/>
    </row>
    <row r="111" spans="1:53">
      <c r="B111" s="680"/>
    </row>
    <row r="112" spans="1:53">
      <c r="B112" s="676"/>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0" orientation="landscape" useFirstPageNumber="1" r:id="rId2"/>
  <headerFooter scaleWithDoc="0" alignWithMargins="0">
    <oddFooter>&amp;C&amp;8&amp;P</oddFooter>
  </headerFooter>
  <rowBreaks count="1" manualBreakCount="1">
    <brk id="66" min="1" max="37" man="1"/>
  </rowBreaks>
  <ignoredErrors>
    <ignoredError sqref="AL40 AL61:AL62 AL29 AL32 AL34:AL36 AL64:AL68 AL90:AL95 AL72:AL74 AL76:AL88 AL50:AL52 AL57:AL58 AL20:AL25 AL54:AL55" unlockedFormula="1"/>
    <ignoredError sqref="AL47 AL75 AL53 AL59 AL26" formula="1" unlockedFormula="1"/>
    <ignoredError sqref="AD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90625" defaultRowHeight="15"/>
  <cols>
    <col min="1" max="1" width="2.54296875" style="302" customWidth="1"/>
    <col min="2" max="2" width="14.36328125" style="302" customWidth="1"/>
    <col min="3" max="3" width="26.36328125" style="302" customWidth="1"/>
    <col min="4" max="4" width="2" style="302" customWidth="1"/>
    <col min="5" max="5" width="11.08984375" style="2152" bestFit="1" customWidth="1"/>
    <col min="6" max="6" width="1.81640625" style="2152" customWidth="1"/>
    <col min="7" max="7" width="11.81640625" style="2152" customWidth="1"/>
    <col min="8" max="8" width="1.81640625" style="2152" customWidth="1"/>
    <col min="9" max="9" width="11.08984375" style="2152" bestFit="1" customWidth="1"/>
    <col min="10" max="10" width="1.81640625" style="2152" customWidth="1"/>
    <col min="11" max="11" width="12" style="2152" customWidth="1"/>
    <col min="12" max="12" width="1.1796875" style="302" customWidth="1"/>
    <col min="13" max="13" width="10.36328125" style="302" bestFit="1" customWidth="1"/>
    <col min="14" max="14" width="1.81640625" style="302" customWidth="1"/>
    <col min="15" max="15" width="11.36328125" style="302" customWidth="1"/>
    <col min="16" max="16" width="1.81640625" style="302" customWidth="1"/>
    <col min="17" max="17" width="9.6328125" style="302" customWidth="1"/>
    <col min="18" max="18" width="1.81640625" style="302" customWidth="1"/>
    <col min="19" max="19" width="10.54296875" style="302" customWidth="1"/>
    <col min="20" max="20" width="1.81640625" style="302" customWidth="1"/>
    <col min="21" max="21" width="10.6328125" style="302" customWidth="1"/>
    <col min="22" max="22" width="1.81640625" style="302" customWidth="1"/>
    <col min="23" max="23" width="9" style="302" bestFit="1" customWidth="1"/>
    <col min="24" max="24" width="1.81640625" style="302" customWidth="1"/>
    <col min="25" max="25" width="10.81640625" style="302" customWidth="1"/>
    <col min="26" max="26" width="1.81640625" style="302" customWidth="1"/>
    <col min="27" max="27" width="9" style="302" bestFit="1" customWidth="1"/>
    <col min="28" max="28" width="1.36328125" style="302" customWidth="1"/>
    <col min="29" max="29" width="12.1796875" style="302" customWidth="1"/>
    <col min="30" max="31" width="1.81640625" style="2152" customWidth="1"/>
    <col min="32" max="32" width="11.08984375" style="2152" bestFit="1" customWidth="1"/>
    <col min="33" max="34" width="1.08984375" style="2152" customWidth="1"/>
    <col min="35" max="35" width="11.36328125" style="2152" customWidth="1"/>
    <col min="36" max="37" width="1" style="2152" customWidth="1"/>
    <col min="38" max="38" width="13.453125" style="2152" bestFit="1" customWidth="1"/>
    <col min="39" max="39" width="1.36328125" style="302" customWidth="1"/>
    <col min="40" max="40" width="12.90625" style="302" customWidth="1"/>
    <col min="41" max="42" width="8.90625" style="302"/>
    <col min="43" max="43" width="19.6328125" style="302" bestFit="1" customWidth="1"/>
    <col min="44" max="16384" width="8.90625" style="302"/>
  </cols>
  <sheetData>
    <row r="1" spans="1:41">
      <c r="B1" s="1184" t="s">
        <v>1217</v>
      </c>
    </row>
    <row r="2" spans="1:41">
      <c r="B2" s="1733"/>
    </row>
    <row r="3" spans="1:41" ht="19.5" customHeight="1">
      <c r="A3" s="636"/>
      <c r="B3" s="538" t="s">
        <v>0</v>
      </c>
      <c r="C3" s="637"/>
      <c r="D3" s="637"/>
      <c r="E3" s="2153"/>
      <c r="F3" s="2154"/>
      <c r="G3" s="2154"/>
      <c r="H3" s="2154"/>
      <c r="I3" s="2154"/>
      <c r="J3" s="2154"/>
      <c r="K3" s="2154"/>
      <c r="L3" s="638"/>
      <c r="M3" s="638"/>
      <c r="N3" s="638"/>
      <c r="O3" s="638"/>
      <c r="P3" s="638"/>
      <c r="Q3" s="638"/>
      <c r="R3" s="638"/>
      <c r="S3" s="638"/>
      <c r="T3" s="638"/>
      <c r="U3" s="638"/>
      <c r="V3" s="638"/>
      <c r="W3" s="638"/>
      <c r="X3" s="638"/>
      <c r="Y3" s="638"/>
      <c r="Z3" s="638"/>
      <c r="AA3" s="638"/>
      <c r="AB3" s="638"/>
      <c r="AC3" s="638"/>
      <c r="AD3" s="2154"/>
      <c r="AE3" s="2154"/>
      <c r="AF3" s="2154"/>
      <c r="AG3" s="2154"/>
      <c r="AH3" s="2154"/>
      <c r="AI3" s="2154"/>
      <c r="AJ3" s="2154"/>
      <c r="AK3" s="2154"/>
      <c r="AN3" s="741" t="s">
        <v>201</v>
      </c>
    </row>
    <row r="4" spans="1:41" ht="19.5" customHeight="1">
      <c r="A4" s="636"/>
      <c r="B4" s="538" t="s">
        <v>218</v>
      </c>
      <c r="C4" s="637"/>
      <c r="D4" s="637"/>
      <c r="E4" s="2153"/>
      <c r="F4" s="2154"/>
      <c r="G4" s="2154"/>
      <c r="H4" s="2154"/>
      <c r="I4" s="2154"/>
      <c r="J4" s="2154"/>
      <c r="K4" s="2154"/>
      <c r="L4" s="638"/>
      <c r="M4" s="638"/>
      <c r="N4" s="638"/>
      <c r="O4" s="638"/>
      <c r="P4" s="638"/>
      <c r="Q4" s="638"/>
      <c r="R4" s="638"/>
      <c r="S4" s="638"/>
      <c r="T4" s="638"/>
      <c r="U4" s="638"/>
      <c r="V4" s="638"/>
      <c r="W4" s="638"/>
      <c r="X4" s="638"/>
      <c r="Y4" s="638"/>
      <c r="Z4" s="638"/>
      <c r="AA4" s="638"/>
      <c r="AB4" s="638"/>
      <c r="AC4" s="638"/>
      <c r="AD4" s="2154"/>
      <c r="AE4" s="2154"/>
      <c r="AG4" s="2167"/>
      <c r="AH4" s="2167"/>
    </row>
    <row r="5" spans="1:41" ht="19.5" customHeight="1">
      <c r="A5" s="636"/>
      <c r="B5" s="505" t="s">
        <v>1242</v>
      </c>
      <c r="C5" s="637"/>
      <c r="D5" s="637"/>
      <c r="E5" s="2153"/>
      <c r="F5" s="2154"/>
      <c r="G5" s="2154"/>
      <c r="H5" s="2154"/>
      <c r="I5" s="2154"/>
      <c r="J5" s="2154"/>
      <c r="K5" s="2154"/>
      <c r="L5" s="638"/>
      <c r="M5" s="638"/>
      <c r="N5" s="638"/>
      <c r="O5" s="638"/>
      <c r="P5" s="638"/>
      <c r="Q5" s="638"/>
      <c r="R5" s="638"/>
      <c r="S5" s="638"/>
      <c r="T5" s="638"/>
      <c r="U5" s="638"/>
      <c r="V5" s="638"/>
      <c r="W5" s="638"/>
      <c r="X5" s="638"/>
      <c r="Y5" s="638"/>
      <c r="Z5" s="638"/>
      <c r="AA5" s="638"/>
      <c r="AB5" s="638"/>
      <c r="AC5" s="638"/>
      <c r="AD5" s="2154"/>
      <c r="AE5" s="2154"/>
      <c r="AF5" s="2154"/>
      <c r="AG5" s="2154"/>
      <c r="AH5" s="2154"/>
      <c r="AI5" s="2154"/>
      <c r="AJ5" s="2154"/>
      <c r="AK5" s="2154"/>
      <c r="AN5" s="507"/>
    </row>
    <row r="6" spans="1:41" ht="19.5" customHeight="1">
      <c r="A6" s="636"/>
      <c r="B6" s="3155" t="s">
        <v>1530</v>
      </c>
      <c r="C6" s="637"/>
      <c r="D6" s="637"/>
      <c r="E6" s="2153"/>
      <c r="F6" s="2154"/>
      <c r="G6" s="2154"/>
      <c r="H6" s="2155"/>
      <c r="I6" s="2154"/>
      <c r="J6" s="2154"/>
      <c r="K6" s="2154"/>
      <c r="L6" s="638"/>
      <c r="M6" s="638"/>
      <c r="N6" s="638"/>
      <c r="O6" s="638"/>
      <c r="P6" s="638"/>
      <c r="Q6" s="638"/>
      <c r="R6" s="638"/>
      <c r="S6" s="638"/>
      <c r="T6" s="638"/>
      <c r="U6" s="638"/>
      <c r="V6" s="638"/>
      <c r="W6" s="638"/>
      <c r="X6" s="638"/>
      <c r="Y6" s="638"/>
      <c r="Z6" s="638"/>
      <c r="AA6" s="638"/>
      <c r="AB6" s="638"/>
      <c r="AC6" s="638"/>
      <c r="AD6" s="2154"/>
      <c r="AE6" s="2154"/>
      <c r="AF6" s="2154"/>
      <c r="AG6" s="2168"/>
      <c r="AH6" s="2168"/>
      <c r="AI6" s="2168"/>
      <c r="AJ6" s="2168"/>
      <c r="AK6" s="2168"/>
    </row>
    <row r="7" spans="1:41" ht="19.5" customHeight="1">
      <c r="A7" s="636"/>
      <c r="B7" s="642" t="s">
        <v>1104</v>
      </c>
      <c r="C7" s="637"/>
      <c r="D7" s="637"/>
      <c r="E7" s="2153"/>
      <c r="F7" s="2154"/>
      <c r="G7" s="2154"/>
      <c r="H7" s="2155"/>
      <c r="I7" s="2154"/>
      <c r="J7" s="2154"/>
      <c r="K7" s="2154"/>
      <c r="L7" s="638"/>
      <c r="M7" s="638"/>
      <c r="N7" s="638"/>
      <c r="O7" s="638"/>
      <c r="P7" s="638"/>
      <c r="Q7" s="638"/>
      <c r="R7" s="638"/>
      <c r="S7" s="638"/>
      <c r="T7" s="638"/>
      <c r="U7" s="638"/>
      <c r="V7" s="638"/>
      <c r="W7" s="638"/>
      <c r="X7" s="638"/>
      <c r="Y7" s="638"/>
      <c r="Z7" s="638"/>
      <c r="AA7" s="638"/>
      <c r="AB7" s="638"/>
      <c r="AC7" s="638"/>
      <c r="AD7" s="2154"/>
      <c r="AE7" s="2154"/>
      <c r="AF7" s="2154"/>
      <c r="AG7" s="2168"/>
      <c r="AH7" s="2168"/>
      <c r="AI7" s="2168"/>
      <c r="AJ7" s="2168"/>
      <c r="AK7" s="2168"/>
    </row>
    <row r="8" spans="1:41" ht="19.5" customHeight="1">
      <c r="A8" s="636"/>
      <c r="C8" s="637"/>
      <c r="D8" s="637"/>
      <c r="E8" s="2153"/>
      <c r="F8" s="2154"/>
      <c r="G8" s="2154"/>
      <c r="H8" s="2154"/>
      <c r="I8" s="2154"/>
      <c r="J8" s="2154"/>
      <c r="K8" s="2154"/>
      <c r="L8" s="638"/>
      <c r="M8" s="638"/>
      <c r="N8" s="638"/>
      <c r="O8" s="638"/>
      <c r="P8" s="638"/>
      <c r="Q8" s="638"/>
      <c r="R8" s="638"/>
      <c r="S8" s="638"/>
      <c r="T8" s="638"/>
      <c r="U8" s="638"/>
      <c r="V8" s="638"/>
      <c r="W8" s="638"/>
      <c r="X8" s="638"/>
      <c r="Y8" s="638"/>
      <c r="Z8" s="638"/>
      <c r="AA8" s="638"/>
      <c r="AB8" s="638"/>
      <c r="AC8" s="638"/>
      <c r="AD8" s="2154"/>
      <c r="AE8" s="2169"/>
    </row>
    <row r="9" spans="1:41" ht="15.75" customHeight="1">
      <c r="A9" s="636"/>
      <c r="B9" s="642"/>
      <c r="C9" s="637"/>
      <c r="D9" s="637"/>
      <c r="E9" s="2153"/>
      <c r="F9" s="2154"/>
      <c r="G9" s="2154"/>
      <c r="H9" s="2154"/>
      <c r="I9" s="2154"/>
      <c r="J9" s="2154"/>
      <c r="K9" s="2154"/>
      <c r="L9" s="638"/>
      <c r="M9" s="638"/>
      <c r="N9" s="638"/>
      <c r="O9" s="638"/>
      <c r="P9" s="638"/>
      <c r="Q9" s="638"/>
      <c r="R9" s="638"/>
      <c r="S9" s="638"/>
      <c r="T9" s="638"/>
      <c r="U9" s="638"/>
      <c r="V9" s="638"/>
      <c r="W9" s="638"/>
      <c r="X9" s="638"/>
      <c r="Y9" s="638"/>
      <c r="Z9" s="638"/>
      <c r="AA9" s="638"/>
      <c r="AB9" s="638"/>
      <c r="AC9" s="638"/>
      <c r="AD9" s="2154"/>
      <c r="AE9" s="2169"/>
    </row>
    <row r="10" spans="1:41" ht="15.75" customHeight="1">
      <c r="A10" s="636"/>
      <c r="B10" s="644"/>
      <c r="C10" s="637"/>
      <c r="D10" s="637"/>
      <c r="E10" s="2153"/>
      <c r="F10" s="2154"/>
      <c r="G10" s="2154"/>
      <c r="H10" s="2154"/>
      <c r="I10" s="2154"/>
      <c r="J10" s="2154"/>
      <c r="K10" s="2154"/>
      <c r="L10" s="638"/>
      <c r="M10" s="638"/>
      <c r="N10" s="638"/>
      <c r="O10" s="638"/>
      <c r="P10" s="638"/>
      <c r="Q10" s="638"/>
      <c r="R10" s="638"/>
      <c r="S10" s="638"/>
      <c r="T10" s="638"/>
      <c r="U10" s="638"/>
      <c r="V10" s="638"/>
      <c r="W10" s="638"/>
      <c r="X10" s="638"/>
      <c r="Y10" s="638"/>
      <c r="Z10" s="638"/>
      <c r="AA10" s="638"/>
      <c r="AB10" s="638"/>
      <c r="AC10" s="638"/>
      <c r="AD10" s="2154"/>
      <c r="AE10" s="2169"/>
      <c r="AF10" s="3573" t="s">
        <v>1666</v>
      </c>
      <c r="AG10" s="3580"/>
      <c r="AH10" s="3580"/>
      <c r="AI10" s="3580"/>
      <c r="AJ10" s="3580"/>
      <c r="AK10" s="3580"/>
      <c r="AL10" s="3580"/>
      <c r="AM10" s="3580"/>
      <c r="AN10" s="3580"/>
    </row>
    <row r="11" spans="1:41" ht="15.75" customHeight="1">
      <c r="A11" s="636"/>
      <c r="B11" s="644"/>
      <c r="C11" s="637"/>
      <c r="D11" s="637"/>
      <c r="E11" s="2156"/>
      <c r="F11" s="2157"/>
      <c r="G11" s="2157"/>
      <c r="H11" s="2157"/>
      <c r="I11" s="2157"/>
      <c r="J11" s="2157"/>
      <c r="K11" s="2157"/>
      <c r="L11" s="1541"/>
      <c r="M11" s="1541"/>
      <c r="N11" s="1541"/>
      <c r="O11" s="1541"/>
      <c r="P11" s="1541"/>
      <c r="Q11" s="1541"/>
      <c r="R11" s="1541"/>
      <c r="S11" s="1541"/>
      <c r="T11" s="1541"/>
      <c r="U11" s="1541"/>
      <c r="V11" s="1541"/>
      <c r="W11" s="1541"/>
      <c r="X11" s="1541"/>
      <c r="Y11" s="1541"/>
      <c r="Z11" s="1541"/>
      <c r="AA11" s="1541"/>
      <c r="AB11" s="1541"/>
      <c r="AC11" s="1519" t="s">
        <v>1453</v>
      </c>
      <c r="AD11" s="2157"/>
      <c r="AE11" s="2170"/>
      <c r="AF11" s="2171"/>
      <c r="AG11" s="2172"/>
      <c r="AH11" s="2172"/>
      <c r="AI11" s="2172"/>
      <c r="AJ11" s="2172"/>
      <c r="AK11" s="2172"/>
      <c r="AL11" s="2172"/>
      <c r="AM11" s="1543"/>
      <c r="AN11" s="1543"/>
    </row>
    <row r="12" spans="1:41" ht="15.75" customHeight="1">
      <c r="A12" s="645"/>
      <c r="B12" s="645"/>
      <c r="C12" s="645"/>
      <c r="D12" s="645"/>
      <c r="E12" s="1502">
        <v>2015</v>
      </c>
      <c r="F12" s="2158"/>
      <c r="G12" s="2158"/>
      <c r="H12" s="2158"/>
      <c r="I12" s="2158"/>
      <c r="J12" s="2158"/>
      <c r="K12" s="2158"/>
      <c r="L12" s="1544"/>
      <c r="M12" s="1544"/>
      <c r="N12" s="1544"/>
      <c r="O12" s="1544"/>
      <c r="P12" s="1544"/>
      <c r="Q12" s="1544"/>
      <c r="R12" s="1544"/>
      <c r="S12" s="1544"/>
      <c r="T12" s="1544"/>
      <c r="U12" s="1544"/>
      <c r="V12" s="1544"/>
      <c r="W12" s="1512">
        <v>2016</v>
      </c>
      <c r="X12" s="1544"/>
      <c r="Y12" s="1544"/>
      <c r="Z12" s="1544"/>
      <c r="AA12" s="1544"/>
      <c r="AB12" s="1544"/>
      <c r="AC12" s="1519" t="s">
        <v>1454</v>
      </c>
      <c r="AD12" s="2158"/>
      <c r="AE12" s="2158"/>
      <c r="AF12" s="2173"/>
      <c r="AG12" s="2173"/>
      <c r="AH12" s="2173"/>
      <c r="AI12" s="2173"/>
      <c r="AJ12" s="2173"/>
      <c r="AK12" s="2173"/>
      <c r="AL12" s="2174" t="s">
        <v>8</v>
      </c>
      <c r="AM12" s="1519"/>
      <c r="AN12" s="1514" t="s">
        <v>9</v>
      </c>
      <c r="AO12" s="1548"/>
    </row>
    <row r="13" spans="1:41" ht="15.75" customHeight="1">
      <c r="A13" s="223"/>
      <c r="B13" s="223"/>
      <c r="C13" s="223"/>
      <c r="D13" s="223"/>
      <c r="E13" s="1546" t="s">
        <v>129</v>
      </c>
      <c r="F13" s="306"/>
      <c r="G13" s="1546" t="s">
        <v>130</v>
      </c>
      <c r="H13" s="306"/>
      <c r="I13" s="1546" t="s">
        <v>131</v>
      </c>
      <c r="J13" s="306"/>
      <c r="K13" s="1546" t="s">
        <v>132</v>
      </c>
      <c r="L13" s="221"/>
      <c r="M13" s="1494" t="s">
        <v>133</v>
      </c>
      <c r="N13" s="221"/>
      <c r="O13" s="1494" t="s">
        <v>134</v>
      </c>
      <c r="P13" s="221"/>
      <c r="Q13" s="1494" t="s">
        <v>135</v>
      </c>
      <c r="R13" s="221"/>
      <c r="S13" s="1494" t="s">
        <v>136</v>
      </c>
      <c r="T13" s="221"/>
      <c r="U13" s="1494" t="s">
        <v>137</v>
      </c>
      <c r="V13" s="221"/>
      <c r="W13" s="1494" t="s">
        <v>154</v>
      </c>
      <c r="X13" s="221"/>
      <c r="Y13" s="1494" t="s">
        <v>139</v>
      </c>
      <c r="Z13" s="221"/>
      <c r="AA13" s="1494" t="s">
        <v>140</v>
      </c>
      <c r="AB13" s="1526"/>
      <c r="AC13" s="2093" t="s">
        <v>1455</v>
      </c>
      <c r="AD13" s="306"/>
      <c r="AE13" s="306"/>
      <c r="AF13" s="1546">
        <v>2015</v>
      </c>
      <c r="AG13" s="306"/>
      <c r="AH13" s="306"/>
      <c r="AI13" s="1546">
        <v>2014</v>
      </c>
      <c r="AJ13" s="1547"/>
      <c r="AK13" s="1547"/>
      <c r="AL13" s="2175" t="s">
        <v>13</v>
      </c>
      <c r="AM13" s="1517"/>
      <c r="AN13" s="1527" t="s">
        <v>14</v>
      </c>
      <c r="AO13" s="1548"/>
    </row>
    <row r="14" spans="1:41" ht="15.6">
      <c r="A14" s="223"/>
      <c r="B14" s="221"/>
      <c r="C14" s="221"/>
      <c r="D14" s="223"/>
      <c r="E14" s="342"/>
      <c r="F14" s="342"/>
      <c r="G14" s="342"/>
      <c r="H14" s="342"/>
      <c r="I14" s="342"/>
      <c r="J14" s="342"/>
      <c r="K14" s="342"/>
      <c r="L14" s="368"/>
      <c r="M14" s="368"/>
      <c r="N14" s="368"/>
      <c r="O14" s="368"/>
      <c r="P14" s="368"/>
      <c r="Q14" s="368"/>
      <c r="R14" s="368"/>
      <c r="S14" s="368"/>
      <c r="T14" s="368"/>
      <c r="U14" s="368"/>
      <c r="V14" s="368"/>
      <c r="W14" s="368"/>
      <c r="X14" s="368"/>
      <c r="Y14" s="368"/>
      <c r="Z14" s="368"/>
      <c r="AA14" s="368"/>
      <c r="AB14" s="368"/>
      <c r="AC14" s="1526"/>
      <c r="AD14" s="342"/>
      <c r="AE14" s="2105"/>
      <c r="AF14" s="342"/>
      <c r="AG14" s="342"/>
      <c r="AH14" s="2245"/>
      <c r="AI14" s="342"/>
      <c r="AJ14" s="342"/>
      <c r="AK14" s="2009"/>
      <c r="AL14" s="2176"/>
      <c r="AM14" s="1363"/>
      <c r="AN14" s="1363"/>
    </row>
    <row r="15" spans="1:41" ht="15.6">
      <c r="A15" s="223"/>
      <c r="B15" s="221"/>
      <c r="C15" s="221"/>
      <c r="D15" s="223"/>
      <c r="E15" s="342"/>
      <c r="F15" s="342"/>
      <c r="G15" s="342"/>
      <c r="H15" s="342"/>
      <c r="I15" s="342"/>
      <c r="J15" s="342"/>
      <c r="K15" s="342"/>
      <c r="L15" s="368"/>
      <c r="M15" s="368"/>
      <c r="N15" s="368"/>
      <c r="O15" s="368"/>
      <c r="P15" s="368"/>
      <c r="Q15" s="368"/>
      <c r="R15" s="368"/>
      <c r="S15" s="368"/>
      <c r="T15" s="368"/>
      <c r="U15" s="368"/>
      <c r="V15" s="368"/>
      <c r="W15" s="368"/>
      <c r="X15" s="368"/>
      <c r="Y15" s="368"/>
      <c r="Z15" s="368"/>
      <c r="AA15" s="368"/>
      <c r="AB15" s="368"/>
      <c r="AC15" s="368"/>
      <c r="AD15" s="342"/>
      <c r="AE15" s="2105"/>
      <c r="AF15" s="342"/>
      <c r="AG15" s="342"/>
      <c r="AH15" s="2245"/>
      <c r="AI15" s="342"/>
      <c r="AJ15" s="342"/>
      <c r="AK15" s="2009"/>
      <c r="AL15" s="2176"/>
      <c r="AM15" s="1363"/>
      <c r="AN15" s="1363"/>
    </row>
    <row r="16" spans="1:41" ht="15.6">
      <c r="A16" s="223"/>
      <c r="B16" s="221" t="s">
        <v>202</v>
      </c>
      <c r="C16" s="223"/>
      <c r="D16" s="223"/>
      <c r="E16" s="342"/>
      <c r="F16" s="342"/>
      <c r="G16" s="342"/>
      <c r="H16" s="342"/>
      <c r="I16" s="342"/>
      <c r="J16" s="342"/>
      <c r="K16" s="342"/>
      <c r="L16" s="368"/>
      <c r="M16" s="368"/>
      <c r="N16" s="368"/>
      <c r="O16" s="368"/>
      <c r="P16" s="368"/>
      <c r="Q16" s="368"/>
      <c r="R16" s="368"/>
      <c r="S16" s="368"/>
      <c r="T16" s="368"/>
      <c r="U16" s="368"/>
      <c r="V16" s="368"/>
      <c r="W16" s="368"/>
      <c r="X16" s="368"/>
      <c r="Y16" s="368"/>
      <c r="Z16" s="368"/>
      <c r="AA16" s="368"/>
      <c r="AB16" s="368"/>
      <c r="AC16" s="368"/>
      <c r="AD16" s="342"/>
      <c r="AE16" s="2105"/>
      <c r="AF16" s="342"/>
      <c r="AG16" s="2177"/>
      <c r="AH16" s="318"/>
      <c r="AI16" s="342"/>
      <c r="AJ16" s="342"/>
      <c r="AK16" s="2009"/>
      <c r="AL16" s="2178"/>
      <c r="AM16" s="647"/>
      <c r="AN16" s="647"/>
    </row>
    <row r="17" spans="1:41" ht="15.6">
      <c r="A17" s="223"/>
      <c r="B17" s="490" t="s">
        <v>1359</v>
      </c>
      <c r="C17" s="223"/>
      <c r="D17" s="223"/>
      <c r="E17" s="342"/>
      <c r="F17" s="342"/>
      <c r="G17" s="342"/>
      <c r="H17" s="342"/>
      <c r="I17" s="342"/>
      <c r="J17" s="342"/>
      <c r="K17" s="342"/>
      <c r="L17" s="368"/>
      <c r="M17" s="368"/>
      <c r="N17" s="368"/>
      <c r="O17" s="368"/>
      <c r="P17" s="368"/>
      <c r="Q17" s="368"/>
      <c r="R17" s="368"/>
      <c r="S17" s="368"/>
      <c r="T17" s="368"/>
      <c r="U17" s="368"/>
      <c r="V17" s="368"/>
      <c r="W17" s="368"/>
      <c r="X17" s="368"/>
      <c r="Y17" s="368"/>
      <c r="Z17" s="368"/>
      <c r="AA17" s="368"/>
      <c r="AB17" s="368"/>
      <c r="AC17" s="368"/>
      <c r="AD17" s="342"/>
      <c r="AE17" s="2105"/>
      <c r="AF17" s="342"/>
      <c r="AG17" s="2179"/>
      <c r="AH17" s="318"/>
      <c r="AI17" s="342"/>
      <c r="AJ17" s="342"/>
      <c r="AK17" s="2009"/>
      <c r="AL17" s="2178"/>
      <c r="AM17" s="647"/>
      <c r="AN17" s="647"/>
    </row>
    <row r="18" spans="1:41" ht="15.6">
      <c r="A18" s="223"/>
      <c r="B18" s="2076" t="s">
        <v>1377</v>
      </c>
      <c r="C18" s="223"/>
      <c r="D18" s="223"/>
      <c r="E18" s="2159"/>
      <c r="F18" s="342"/>
      <c r="G18" s="319"/>
      <c r="H18" s="319"/>
      <c r="I18" s="319"/>
      <c r="J18" s="319"/>
      <c r="K18" s="319"/>
      <c r="L18" s="261"/>
      <c r="M18" s="261"/>
      <c r="N18" s="261"/>
      <c r="O18" s="261"/>
      <c r="P18" s="261"/>
      <c r="Q18" s="261"/>
      <c r="R18" s="261"/>
      <c r="S18" s="261"/>
      <c r="T18" s="261"/>
      <c r="U18" s="261"/>
      <c r="V18" s="261"/>
      <c r="W18" s="261"/>
      <c r="X18" s="261"/>
      <c r="Y18" s="261"/>
      <c r="Z18" s="261"/>
      <c r="AA18" s="261"/>
      <c r="AB18" s="261"/>
      <c r="AC18" s="261"/>
      <c r="AD18" s="319"/>
      <c r="AE18" s="1284"/>
      <c r="AF18" s="2350" t="s">
        <v>16</v>
      </c>
      <c r="AG18" s="2137"/>
      <c r="AH18" s="262"/>
      <c r="AI18" s="319" t="s">
        <v>16</v>
      </c>
      <c r="AJ18" s="319"/>
      <c r="AK18" s="2181"/>
      <c r="AL18" s="689"/>
      <c r="AM18" s="647"/>
      <c r="AN18" s="647"/>
    </row>
    <row r="19" spans="1:41">
      <c r="A19" s="223"/>
      <c r="B19" s="1270" t="s">
        <v>1380</v>
      </c>
      <c r="C19" s="223"/>
      <c r="D19" s="365" t="s">
        <v>16</v>
      </c>
      <c r="E19" s="1832">
        <v>3</v>
      </c>
      <c r="F19" s="1832"/>
      <c r="G19" s="1832">
        <v>0.1</v>
      </c>
      <c r="H19" s="1832"/>
      <c r="I19" s="1832">
        <v>17.7</v>
      </c>
      <c r="J19" s="1832"/>
      <c r="K19" s="1832">
        <v>0.1</v>
      </c>
      <c r="L19" s="1171"/>
      <c r="M19" s="1832">
        <v>0.1</v>
      </c>
      <c r="N19" s="1171"/>
      <c r="O19" s="1920">
        <v>24.5</v>
      </c>
      <c r="P19" s="1171"/>
      <c r="Q19" s="1255">
        <v>0.5</v>
      </c>
      <c r="R19" s="1171"/>
      <c r="S19" s="1920">
        <v>0</v>
      </c>
      <c r="T19" s="1171"/>
      <c r="U19" s="1920">
        <v>19.3</v>
      </c>
      <c r="V19" s="1171"/>
      <c r="W19" s="1920"/>
      <c r="X19" s="1171"/>
      <c r="Y19" s="1920"/>
      <c r="Z19" s="1171"/>
      <c r="AA19" s="1920"/>
      <c r="AB19" s="1355"/>
      <c r="AC19" s="1832">
        <v>0</v>
      </c>
      <c r="AD19" s="1833"/>
      <c r="AE19" s="2768"/>
      <c r="AF19" s="1832">
        <f>ROUND(SUM(E19:AC19),1)</f>
        <v>65.3</v>
      </c>
      <c r="AG19" s="2771"/>
      <c r="AH19" s="2772"/>
      <c r="AI19" s="1832">
        <v>61.8</v>
      </c>
      <c r="AJ19" s="2773"/>
      <c r="AK19" s="2774"/>
      <c r="AL19" s="1832">
        <f>ROUND(AF19-AI19,1)</f>
        <v>3.5</v>
      </c>
      <c r="AM19" s="2639"/>
      <c r="AN19" s="1864">
        <f>ROUND(IF(AI19=0,0,AL19/ABS(AI19)),3)</f>
        <v>5.7000000000000002E-2</v>
      </c>
    </row>
    <row r="20" spans="1:41" ht="15.6">
      <c r="A20" s="223"/>
      <c r="B20" s="1270" t="s">
        <v>1382</v>
      </c>
      <c r="C20" s="223"/>
      <c r="D20" s="223"/>
      <c r="E20" s="1834">
        <v>32.6</v>
      </c>
      <c r="F20" s="1833"/>
      <c r="G20" s="1834">
        <v>33.1</v>
      </c>
      <c r="H20" s="1833"/>
      <c r="I20" s="1834">
        <v>32.299999999999997</v>
      </c>
      <c r="J20" s="1833"/>
      <c r="K20" s="1834">
        <v>33.700000000000003</v>
      </c>
      <c r="L20" s="1171"/>
      <c r="M20" s="1171">
        <v>36.6</v>
      </c>
      <c r="N20" s="1171"/>
      <c r="O20" s="1355">
        <v>30.3</v>
      </c>
      <c r="P20" s="261"/>
      <c r="Q20" s="517">
        <v>33.299999999999997</v>
      </c>
      <c r="R20" s="261"/>
      <c r="S20" s="517">
        <v>32.9</v>
      </c>
      <c r="T20" s="261"/>
      <c r="U20" s="517">
        <v>32.299999999999997</v>
      </c>
      <c r="V20" s="261"/>
      <c r="W20" s="517"/>
      <c r="X20" s="261"/>
      <c r="Y20" s="517"/>
      <c r="Z20" s="261"/>
      <c r="AA20" s="517"/>
      <c r="AB20" s="517"/>
      <c r="AC20" s="1202">
        <v>0</v>
      </c>
      <c r="AD20" s="319"/>
      <c r="AE20" s="1284"/>
      <c r="AF20" s="320">
        <f>ROUND(SUM(E20:AC20),1)</f>
        <v>297.10000000000002</v>
      </c>
      <c r="AG20" s="2137"/>
      <c r="AH20" s="262"/>
      <c r="AI20" s="319">
        <v>295</v>
      </c>
      <c r="AJ20" s="319"/>
      <c r="AK20" s="2181"/>
      <c r="AL20" s="320">
        <f>ROUND(AF20-AI20,1)</f>
        <v>2.1</v>
      </c>
      <c r="AM20" s="657"/>
      <c r="AN20" s="45">
        <f>ROUND(IF(AI20=0,0,AL20/ABS(AI20)),3)</f>
        <v>7.0000000000000001E-3</v>
      </c>
      <c r="AO20" s="647"/>
    </row>
    <row r="21" spans="1:41" ht="15.6">
      <c r="A21" s="223"/>
      <c r="B21" s="1270" t="s">
        <v>1384</v>
      </c>
      <c r="C21" s="223"/>
      <c r="D21" s="223"/>
      <c r="E21" s="3168">
        <v>13.4</v>
      </c>
      <c r="F21" s="1833"/>
      <c r="G21" s="1834">
        <v>10.3</v>
      </c>
      <c r="H21" s="1833"/>
      <c r="I21" s="1834">
        <v>13</v>
      </c>
      <c r="J21" s="1833"/>
      <c r="K21" s="1834">
        <v>12.8</v>
      </c>
      <c r="L21" s="1171"/>
      <c r="M21" s="1171">
        <v>11.1</v>
      </c>
      <c r="N21" s="1171"/>
      <c r="O21" s="1355">
        <v>14.9</v>
      </c>
      <c r="P21" s="261"/>
      <c r="Q21" s="517">
        <v>15.5</v>
      </c>
      <c r="R21" s="261"/>
      <c r="S21" s="517">
        <v>18.3</v>
      </c>
      <c r="T21" s="261"/>
      <c r="U21" s="517">
        <v>16.8</v>
      </c>
      <c r="V21" s="261"/>
      <c r="W21" s="517"/>
      <c r="X21" s="261"/>
      <c r="Y21" s="517"/>
      <c r="Z21" s="261"/>
      <c r="AA21" s="517"/>
      <c r="AB21" s="517"/>
      <c r="AC21" s="1202">
        <v>0</v>
      </c>
      <c r="AD21" s="319"/>
      <c r="AE21" s="1284"/>
      <c r="AF21" s="320">
        <f>ROUND(SUM(E21:AC21),1)</f>
        <v>126.1</v>
      </c>
      <c r="AG21" s="2137"/>
      <c r="AH21" s="262"/>
      <c r="AI21" s="319">
        <v>108.2</v>
      </c>
      <c r="AJ21" s="319"/>
      <c r="AK21" s="2181"/>
      <c r="AL21" s="320">
        <f>ROUND(AF21-AI21,1)</f>
        <v>17.899999999999999</v>
      </c>
      <c r="AM21" s="657"/>
      <c r="AN21" s="45">
        <f>ROUND(IF(AI21=0,0,AL21/ABS(AI21)),3)</f>
        <v>0.16500000000000001</v>
      </c>
    </row>
    <row r="22" spans="1:41" ht="15.6">
      <c r="A22" s="223"/>
      <c r="B22" s="589" t="s">
        <v>1483</v>
      </c>
      <c r="C22" s="223"/>
      <c r="D22" s="223"/>
      <c r="E22" s="1283">
        <f>ROUND(SUM(E19:E21),1)</f>
        <v>49</v>
      </c>
      <c r="F22" s="1833"/>
      <c r="G22" s="1283">
        <f>ROUND(SUM(G19:G21),1)</f>
        <v>43.5</v>
      </c>
      <c r="H22" s="1833"/>
      <c r="I22" s="1283">
        <f>ROUND(SUM(I19:I21),1)</f>
        <v>63</v>
      </c>
      <c r="J22" s="1833"/>
      <c r="K22" s="1283">
        <f>ROUND(SUM(K19:K21),1)</f>
        <v>46.6</v>
      </c>
      <c r="L22" s="1171"/>
      <c r="M22" s="1283">
        <f>ROUND(SUM(M19:M21),1)</f>
        <v>47.8</v>
      </c>
      <c r="N22" s="1171"/>
      <c r="O22" s="1283">
        <f>ROUND(SUM(O19:O21),1)</f>
        <v>69.7</v>
      </c>
      <c r="P22" s="261"/>
      <c r="Q22" s="1283">
        <f>ROUND(SUM(Q19:Q21),1)</f>
        <v>49.3</v>
      </c>
      <c r="R22" s="261"/>
      <c r="S22" s="1283">
        <f>ROUND(SUM(S19:S21),1)</f>
        <v>51.2</v>
      </c>
      <c r="T22" s="261"/>
      <c r="U22" s="3167">
        <f>ROUND(SUM(U19:U21),1)</f>
        <v>68.400000000000006</v>
      </c>
      <c r="V22" s="261"/>
      <c r="W22" s="1283">
        <f>ROUND(SUM(W19:W21),1)</f>
        <v>0</v>
      </c>
      <c r="X22" s="261"/>
      <c r="Y22" s="1283">
        <f>ROUND(SUM(Y19:Y21),1)</f>
        <v>0</v>
      </c>
      <c r="Z22" s="261"/>
      <c r="AA22" s="1283">
        <f>ROUND(SUM(AA19:AA21),1)</f>
        <v>0</v>
      </c>
      <c r="AB22" s="316"/>
      <c r="AC22" s="1283">
        <f>ROUND(SUM(AC19:AC21),1)</f>
        <v>0</v>
      </c>
      <c r="AD22" s="319"/>
      <c r="AE22" s="1284"/>
      <c r="AF22" s="1283">
        <f>ROUND(SUM(AF19:AF21),1)</f>
        <v>488.5</v>
      </c>
      <c r="AG22" s="2141"/>
      <c r="AH22" s="262"/>
      <c r="AI22" s="3167">
        <f>ROUND(SUM(AI19:AI21),1)</f>
        <v>465</v>
      </c>
      <c r="AJ22" s="319"/>
      <c r="AK22" s="2181"/>
      <c r="AL22" s="1283">
        <f>ROUND(SUM(AL19:AL21),1)</f>
        <v>23.5</v>
      </c>
      <c r="AM22" s="657"/>
      <c r="AN22" s="72">
        <f>ROUND(IF(AI22=0,0,AL22/ABS(AI22)),3)</f>
        <v>5.0999999999999997E-2</v>
      </c>
    </row>
    <row r="23" spans="1:41" ht="15.6">
      <c r="A23" s="223"/>
      <c r="B23" s="2076" t="s">
        <v>1365</v>
      </c>
      <c r="C23" s="223"/>
      <c r="D23" s="223"/>
      <c r="E23" s="1833"/>
      <c r="F23" s="1833"/>
      <c r="G23" s="1833"/>
      <c r="H23" s="1833"/>
      <c r="I23" s="1833"/>
      <c r="J23" s="1833"/>
      <c r="K23" s="1833"/>
      <c r="L23" s="1171"/>
      <c r="M23" s="1171"/>
      <c r="N23" s="1171"/>
      <c r="O23" s="1355"/>
      <c r="P23" s="261"/>
      <c r="Q23" s="517"/>
      <c r="R23" s="261"/>
      <c r="S23" s="517"/>
      <c r="T23" s="261"/>
      <c r="U23" s="517"/>
      <c r="V23" s="261"/>
      <c r="W23" s="659"/>
      <c r="X23" s="261"/>
      <c r="Y23" s="517"/>
      <c r="Z23" s="261"/>
      <c r="AA23" s="659"/>
      <c r="AB23" s="659"/>
      <c r="AC23" s="659"/>
      <c r="AD23" s="319"/>
      <c r="AE23" s="1284"/>
      <c r="AF23" s="320"/>
      <c r="AG23" s="2137"/>
      <c r="AH23" s="262"/>
      <c r="AI23" s="320"/>
      <c r="AJ23" s="319"/>
      <c r="AK23" s="2181"/>
      <c r="AL23" s="320"/>
      <c r="AM23" s="647"/>
      <c r="AN23" s="655"/>
    </row>
    <row r="24" spans="1:41" ht="15.6">
      <c r="A24" s="223"/>
      <c r="B24" s="1270" t="s">
        <v>1387</v>
      </c>
      <c r="C24" s="223"/>
      <c r="D24" s="223"/>
      <c r="E24" s="1833">
        <v>0</v>
      </c>
      <c r="F24" s="1833"/>
      <c r="G24" s="1833">
        <v>0</v>
      </c>
      <c r="H24" s="1833"/>
      <c r="I24" s="1833">
        <v>0</v>
      </c>
      <c r="J24" s="1833"/>
      <c r="K24" s="1833">
        <v>0</v>
      </c>
      <c r="L24" s="1171"/>
      <c r="M24" s="1171">
        <v>0</v>
      </c>
      <c r="N24" s="1171"/>
      <c r="O24" s="1355">
        <v>0</v>
      </c>
      <c r="P24" s="261"/>
      <c r="Q24" s="517">
        <v>0</v>
      </c>
      <c r="R24" s="261"/>
      <c r="S24" s="517">
        <v>0</v>
      </c>
      <c r="T24" s="261"/>
      <c r="U24" s="517">
        <v>0</v>
      </c>
      <c r="V24" s="261"/>
      <c r="W24" s="1171"/>
      <c r="X24" s="261"/>
      <c r="Y24" s="517"/>
      <c r="Z24" s="261"/>
      <c r="AA24" s="659"/>
      <c r="AB24" s="659"/>
      <c r="AC24" s="1202">
        <v>0</v>
      </c>
      <c r="AD24" s="319"/>
      <c r="AE24" s="1284"/>
      <c r="AF24" s="320">
        <f>ROUND(SUM(E24:AC24),1)</f>
        <v>0</v>
      </c>
      <c r="AG24" s="2141"/>
      <c r="AH24" s="262"/>
      <c r="AI24" s="320">
        <v>0</v>
      </c>
      <c r="AJ24" s="319"/>
      <c r="AK24" s="2181"/>
      <c r="AL24" s="320">
        <f>ROUND(AF24-AI24,1)</f>
        <v>0</v>
      </c>
      <c r="AM24" s="647"/>
      <c r="AN24" s="45">
        <f>ROUND(IF(AI24=0,0,AL24/ABS(AI24)),3)</f>
        <v>0</v>
      </c>
    </row>
    <row r="25" spans="1:41" ht="15.6">
      <c r="A25" s="223"/>
      <c r="B25" s="1270" t="s">
        <v>1388</v>
      </c>
      <c r="C25" s="223"/>
      <c r="D25" s="223"/>
      <c r="E25" s="1833">
        <v>0.1</v>
      </c>
      <c r="F25" s="1833"/>
      <c r="G25" s="1833">
        <v>0</v>
      </c>
      <c r="H25" s="1833"/>
      <c r="I25" s="1833">
        <v>2.5</v>
      </c>
      <c r="J25" s="1833"/>
      <c r="K25" s="1833">
        <v>0.1</v>
      </c>
      <c r="L25" s="1171"/>
      <c r="M25" s="1171">
        <v>0.1</v>
      </c>
      <c r="N25" s="1171"/>
      <c r="O25" s="1355">
        <v>2.6</v>
      </c>
      <c r="P25" s="261"/>
      <c r="Q25" s="517">
        <v>0.1</v>
      </c>
      <c r="R25" s="261"/>
      <c r="S25" s="517">
        <v>0.2</v>
      </c>
      <c r="T25" s="261"/>
      <c r="U25" s="517">
        <v>2.2999999999999998</v>
      </c>
      <c r="V25" s="261"/>
      <c r="W25" s="1171"/>
      <c r="X25" s="261"/>
      <c r="Y25" s="517"/>
      <c r="Z25" s="261"/>
      <c r="AA25" s="517"/>
      <c r="AB25" s="659"/>
      <c r="AC25" s="1202">
        <v>0</v>
      </c>
      <c r="AD25" s="319"/>
      <c r="AE25" s="1284"/>
      <c r="AF25" s="320">
        <f>ROUND(SUM(E25:AC25),1)</f>
        <v>8</v>
      </c>
      <c r="AG25" s="2141"/>
      <c r="AH25" s="262"/>
      <c r="AI25" s="320">
        <v>6.1</v>
      </c>
      <c r="AJ25" s="319"/>
      <c r="AK25" s="2181"/>
      <c r="AL25" s="320">
        <f>ROUND(AF25-AI25,1)</f>
        <v>1.9</v>
      </c>
      <c r="AM25" s="647"/>
      <c r="AN25" s="2817">
        <f>ROUND(IF(AI25=0,1,AL25/ABS(AI25)),3)</f>
        <v>0.311</v>
      </c>
    </row>
    <row r="26" spans="1:41" ht="15.6">
      <c r="A26" s="223"/>
      <c r="B26" s="1270" t="s">
        <v>1391</v>
      </c>
      <c r="C26" s="221"/>
      <c r="D26" s="223"/>
      <c r="E26" s="1834">
        <v>50.8</v>
      </c>
      <c r="F26" s="1833"/>
      <c r="G26" s="1834">
        <v>49.8</v>
      </c>
      <c r="H26" s="1833"/>
      <c r="I26" s="1834">
        <v>51.4</v>
      </c>
      <c r="J26" s="1833"/>
      <c r="K26" s="1834">
        <v>53.6</v>
      </c>
      <c r="L26" s="1171"/>
      <c r="M26" s="1171">
        <v>57.8</v>
      </c>
      <c r="N26" s="1171"/>
      <c r="O26" s="1355">
        <v>52.9</v>
      </c>
      <c r="P26" s="261"/>
      <c r="Q26" s="517">
        <v>53.9</v>
      </c>
      <c r="R26" s="261"/>
      <c r="S26" s="517">
        <v>51.2</v>
      </c>
      <c r="T26" s="261"/>
      <c r="U26" s="517">
        <v>50.2</v>
      </c>
      <c r="V26" s="261"/>
      <c r="W26" s="517"/>
      <c r="X26" s="261"/>
      <c r="Y26" s="517"/>
      <c r="Z26" s="261"/>
      <c r="AA26" s="517"/>
      <c r="AB26" s="517"/>
      <c r="AC26" s="1202">
        <v>0</v>
      </c>
      <c r="AD26" s="319"/>
      <c r="AE26" s="1284"/>
      <c r="AF26" s="320">
        <f>ROUND(SUM(E26:AC26),1)</f>
        <v>471.6</v>
      </c>
      <c r="AG26" s="2137"/>
      <c r="AH26" s="262"/>
      <c r="AI26" s="2689">
        <v>490.9</v>
      </c>
      <c r="AJ26" s="319"/>
      <c r="AK26" s="2181"/>
      <c r="AL26" s="320">
        <f>ROUND(AF26-AI26,1)</f>
        <v>-19.3</v>
      </c>
      <c r="AM26" s="657"/>
      <c r="AN26" s="1847">
        <f>ROUND(IF(AI26=0,0,AL26/ABS(AI26)),3)</f>
        <v>-3.9E-2</v>
      </c>
    </row>
    <row r="27" spans="1:41" ht="15.6">
      <c r="A27" s="223"/>
      <c r="B27" s="589" t="s">
        <v>1484</v>
      </c>
      <c r="C27" s="221"/>
      <c r="D27" s="223"/>
      <c r="E27" s="1283">
        <f>ROUND(SUM(E24:E26),1)</f>
        <v>50.9</v>
      </c>
      <c r="F27" s="1833"/>
      <c r="G27" s="1283">
        <f>ROUND(SUM(G24:G26),1)</f>
        <v>49.8</v>
      </c>
      <c r="H27" s="1833"/>
      <c r="I27" s="1283">
        <f>ROUND(SUM(I24:I26),1)</f>
        <v>53.9</v>
      </c>
      <c r="J27" s="1833"/>
      <c r="K27" s="1283">
        <f>ROUND(SUM(K24:K26),1)</f>
        <v>53.7</v>
      </c>
      <c r="L27" s="1171"/>
      <c r="M27" s="1283">
        <f>ROUND(SUM(M24:M26),1)</f>
        <v>57.9</v>
      </c>
      <c r="N27" s="1171"/>
      <c r="O27" s="1283">
        <f>ROUND(SUM(O24:O26),1)</f>
        <v>55.5</v>
      </c>
      <c r="P27" s="261"/>
      <c r="Q27" s="1283">
        <f>ROUND(SUM(Q24:Q26),1)</f>
        <v>54</v>
      </c>
      <c r="R27" s="261"/>
      <c r="S27" s="1283">
        <f>ROUND(SUM(S24:S26),1)</f>
        <v>51.4</v>
      </c>
      <c r="T27" s="261"/>
      <c r="U27" s="3167">
        <f>ROUND(SUM(U24:U26),1)</f>
        <v>52.5</v>
      </c>
      <c r="V27" s="261"/>
      <c r="W27" s="1283">
        <f>ROUND(SUM(W24:W26),1)</f>
        <v>0</v>
      </c>
      <c r="X27" s="261"/>
      <c r="Y27" s="1283">
        <f>ROUND(SUM(Y24:Y26),1)</f>
        <v>0</v>
      </c>
      <c r="Z27" s="261"/>
      <c r="AA27" s="1283">
        <f>ROUND(SUM(AA24:AA26),1)</f>
        <v>0</v>
      </c>
      <c r="AB27" s="316"/>
      <c r="AC27" s="1283">
        <f>ROUND(SUM(AC24:AC26),1)</f>
        <v>0</v>
      </c>
      <c r="AD27" s="319"/>
      <c r="AE27" s="1284"/>
      <c r="AF27" s="1283">
        <f>ROUND(SUM(AF24:AF26),1)</f>
        <v>479.6</v>
      </c>
      <c r="AG27" s="2141"/>
      <c r="AH27" s="262"/>
      <c r="AI27" s="3167">
        <f>ROUND(SUM(AI24:AI26),1)</f>
        <v>497</v>
      </c>
      <c r="AJ27" s="319"/>
      <c r="AK27" s="2181"/>
      <c r="AL27" s="1283">
        <f>ROUND(SUM(AL24:AL26),1)</f>
        <v>-17.399999999999999</v>
      </c>
      <c r="AM27" s="657"/>
      <c r="AN27" s="1961">
        <f>ROUND(IF(AI27=0,0,AL27/ABS(AI27)),3)</f>
        <v>-3.5000000000000003E-2</v>
      </c>
    </row>
    <row r="28" spans="1:41" ht="15.6">
      <c r="A28" s="223"/>
      <c r="B28" s="2076" t="s">
        <v>1366</v>
      </c>
      <c r="C28" s="223"/>
      <c r="D28" s="223"/>
      <c r="E28" s="2247"/>
      <c r="F28" s="1833"/>
      <c r="G28" s="2247"/>
      <c r="H28" s="1833"/>
      <c r="I28" s="1834"/>
      <c r="J28" s="1833"/>
      <c r="K28" s="1834"/>
      <c r="L28" s="1171"/>
      <c r="M28" s="1171"/>
      <c r="N28" s="1171"/>
      <c r="O28" s="1355"/>
      <c r="P28" s="261"/>
      <c r="Q28" s="517"/>
      <c r="R28" s="261"/>
      <c r="S28" s="517"/>
      <c r="T28" s="261"/>
      <c r="U28" s="517"/>
      <c r="V28" s="261"/>
      <c r="W28" s="517"/>
      <c r="X28" s="261"/>
      <c r="Y28" s="517"/>
      <c r="Z28" s="261"/>
      <c r="AA28" s="517"/>
      <c r="AB28" s="517"/>
      <c r="AC28" s="517"/>
      <c r="AD28" s="319"/>
      <c r="AE28" s="1284"/>
      <c r="AF28" s="320"/>
      <c r="AG28" s="2182"/>
      <c r="AH28" s="263"/>
      <c r="AI28" s="319"/>
      <c r="AJ28" s="320"/>
      <c r="AK28" s="2138"/>
      <c r="AL28" s="320"/>
      <c r="AM28" s="654"/>
      <c r="AN28" s="45"/>
      <c r="AO28" s="647"/>
    </row>
    <row r="29" spans="1:41" ht="15.6">
      <c r="A29" s="223"/>
      <c r="B29" s="1270" t="s">
        <v>1397</v>
      </c>
      <c r="C29" s="223"/>
      <c r="D29" s="223"/>
      <c r="E29" s="2247">
        <v>0</v>
      </c>
      <c r="F29" s="1833"/>
      <c r="G29" s="2247">
        <v>0</v>
      </c>
      <c r="H29" s="1833"/>
      <c r="I29" s="1834">
        <v>11.9</v>
      </c>
      <c r="J29" s="1833"/>
      <c r="K29" s="1834">
        <v>11.9</v>
      </c>
      <c r="L29" s="1171"/>
      <c r="M29" s="1171">
        <v>11.9</v>
      </c>
      <c r="N29" s="1171"/>
      <c r="O29" s="1355">
        <v>11.9</v>
      </c>
      <c r="P29" s="261"/>
      <c r="Q29" s="517">
        <v>12</v>
      </c>
      <c r="R29" s="261"/>
      <c r="S29" s="517">
        <v>11.9</v>
      </c>
      <c r="T29" s="261"/>
      <c r="U29" s="517">
        <v>11.9</v>
      </c>
      <c r="V29" s="261"/>
      <c r="W29" s="517"/>
      <c r="X29" s="261"/>
      <c r="Y29" s="517"/>
      <c r="Z29" s="261"/>
      <c r="AA29" s="517"/>
      <c r="AB29" s="517"/>
      <c r="AC29" s="1202">
        <v>0</v>
      </c>
      <c r="AD29" s="319"/>
      <c r="AE29" s="1284"/>
      <c r="AF29" s="320">
        <f>ROUND(SUM(E29:AC29),1)</f>
        <v>83.4</v>
      </c>
      <c r="AG29" s="2186"/>
      <c r="AH29" s="263"/>
      <c r="AI29" s="319">
        <v>83.4</v>
      </c>
      <c r="AJ29" s="320"/>
      <c r="AK29" s="2138"/>
      <c r="AL29" s="320">
        <f>ROUND(AF29-AI29,1)</f>
        <v>0</v>
      </c>
      <c r="AM29" s="654"/>
      <c r="AN29" s="1847">
        <f>ROUND(IF(AI29=0,0,AL29/ABS(AI29)),3)</f>
        <v>0</v>
      </c>
      <c r="AO29" s="647"/>
    </row>
    <row r="30" spans="1:41" ht="15.6">
      <c r="A30" s="589" t="s">
        <v>1489</v>
      </c>
      <c r="B30" s="221"/>
      <c r="C30" s="223"/>
      <c r="D30" s="223"/>
      <c r="E30" s="1283">
        <f>ROUND(SUM(E29:E29),1)</f>
        <v>0</v>
      </c>
      <c r="F30" s="1833"/>
      <c r="G30" s="1283">
        <f>ROUND(SUM(G29:G29),1)</f>
        <v>0</v>
      </c>
      <c r="H30" s="1833"/>
      <c r="I30" s="1283">
        <f>ROUND(SUM(I29:I29),1)</f>
        <v>11.9</v>
      </c>
      <c r="J30" s="1833"/>
      <c r="K30" s="1283">
        <f>ROUND(SUM(K29:K29),1)</f>
        <v>11.9</v>
      </c>
      <c r="L30" s="1171"/>
      <c r="M30" s="1283">
        <f>ROUND(SUM(M29:M29),1)</f>
        <v>11.9</v>
      </c>
      <c r="N30" s="1171"/>
      <c r="O30" s="1283">
        <f>ROUND(SUM(O29:O29),1)</f>
        <v>11.9</v>
      </c>
      <c r="P30" s="261"/>
      <c r="Q30" s="1283">
        <f>ROUND(SUM(Q29:Q29),1)</f>
        <v>12</v>
      </c>
      <c r="R30" s="261"/>
      <c r="S30" s="1283">
        <f>ROUND(SUM(S29:S29),1)</f>
        <v>11.9</v>
      </c>
      <c r="T30" s="261"/>
      <c r="U30" s="3167">
        <f>ROUND(SUM(U29:U29),1)</f>
        <v>11.9</v>
      </c>
      <c r="V30" s="261"/>
      <c r="W30" s="1283">
        <f>ROUND(SUM(W29:W29),1)</f>
        <v>0</v>
      </c>
      <c r="X30" s="261"/>
      <c r="Y30" s="1283">
        <f>ROUND(SUM(Y29:Y29),1)</f>
        <v>0</v>
      </c>
      <c r="Z30" s="261"/>
      <c r="AA30" s="1283">
        <f>ROUND(SUM(AA29:AA29),1)</f>
        <v>0</v>
      </c>
      <c r="AB30" s="316"/>
      <c r="AC30" s="1283">
        <f>ROUND(SUM(AC29:AC29),1)</f>
        <v>0</v>
      </c>
      <c r="AD30" s="319"/>
      <c r="AE30" s="1284"/>
      <c r="AF30" s="1283">
        <f>ROUND(SUM(AF29:AF29),1)</f>
        <v>83.4</v>
      </c>
      <c r="AG30" s="2186"/>
      <c r="AH30" s="263"/>
      <c r="AI30" s="3167">
        <f>ROUND(SUM(AI29:AI29),1)</f>
        <v>83.4</v>
      </c>
      <c r="AJ30" s="320"/>
      <c r="AK30" s="2138"/>
      <c r="AL30" s="1283">
        <f>ROUND(SUM(AL29:AL29),1)</f>
        <v>0</v>
      </c>
      <c r="AM30" s="654"/>
      <c r="AN30" s="72">
        <f>ROUND(IF(AI30=0,0,AL30/ABS(AI30)),3)</f>
        <v>0</v>
      </c>
      <c r="AO30" s="647"/>
    </row>
    <row r="31" spans="1:41" ht="15.6">
      <c r="A31" s="223"/>
      <c r="B31" s="221"/>
      <c r="C31" s="223"/>
      <c r="D31" s="223"/>
      <c r="E31" s="2247"/>
      <c r="F31" s="1833"/>
      <c r="G31" s="2247"/>
      <c r="H31" s="1833"/>
      <c r="I31" s="1834"/>
      <c r="J31" s="1833"/>
      <c r="K31" s="1834"/>
      <c r="L31" s="1171"/>
      <c r="M31" s="1171"/>
      <c r="N31" s="1171"/>
      <c r="O31" s="1355"/>
      <c r="P31" s="261"/>
      <c r="Q31" s="517"/>
      <c r="R31" s="261"/>
      <c r="S31" s="517"/>
      <c r="T31" s="261"/>
      <c r="U31" s="517"/>
      <c r="V31" s="261"/>
      <c r="W31" s="517"/>
      <c r="X31" s="261"/>
      <c r="Y31" s="517"/>
      <c r="Z31" s="261"/>
      <c r="AA31" s="517"/>
      <c r="AB31" s="517"/>
      <c r="AC31" s="517"/>
      <c r="AD31" s="319"/>
      <c r="AE31" s="1284"/>
      <c r="AF31" s="320"/>
      <c r="AG31" s="2186"/>
      <c r="AH31" s="263"/>
      <c r="AI31" s="319"/>
      <c r="AJ31" s="320"/>
      <c r="AK31" s="2138"/>
      <c r="AL31" s="320"/>
      <c r="AM31" s="654"/>
      <c r="AN31" s="2241"/>
      <c r="AO31" s="647"/>
    </row>
    <row r="32" spans="1:41" s="652" customFormat="1" ht="15.6">
      <c r="A32" s="221"/>
      <c r="B32" s="589" t="s">
        <v>1362</v>
      </c>
      <c r="C32" s="221"/>
      <c r="D32" s="221"/>
      <c r="E32" s="2080">
        <f>ROUND(SUM(+E27+E22+E30),1)</f>
        <v>99.9</v>
      </c>
      <c r="F32" s="313"/>
      <c r="G32" s="2080">
        <f>ROUND(SUM(+G27+G22+G30),1)</f>
        <v>93.3</v>
      </c>
      <c r="H32" s="313"/>
      <c r="I32" s="2080">
        <f>ROUND(SUM(+I27+I22+I30),1)</f>
        <v>128.80000000000001</v>
      </c>
      <c r="J32" s="313"/>
      <c r="K32" s="2080">
        <f>ROUND(SUM(+K27+K22+K30),1)</f>
        <v>112.2</v>
      </c>
      <c r="L32" s="1886"/>
      <c r="M32" s="2080">
        <f>ROUND(SUM(+M27+M22+M30),1)</f>
        <v>117.6</v>
      </c>
      <c r="N32" s="1886"/>
      <c r="O32" s="2080">
        <f>ROUND(SUM(+O27+O22+O30),1)</f>
        <v>137.1</v>
      </c>
      <c r="P32" s="1886"/>
      <c r="Q32" s="2080">
        <f>ROUND(SUM(+Q27+Q22+Q30),1)</f>
        <v>115.3</v>
      </c>
      <c r="R32" s="1886"/>
      <c r="S32" s="2080">
        <f>ROUND(SUM(+S27+S22+S30),1)</f>
        <v>114.5</v>
      </c>
      <c r="T32" s="1886"/>
      <c r="U32" s="2080">
        <f>ROUND(SUM(+U27+U22+U30),1)</f>
        <v>132.80000000000001</v>
      </c>
      <c r="V32" s="1886"/>
      <c r="W32" s="2080">
        <f>ROUND(SUM(+W27+W22+W30),1)</f>
        <v>0</v>
      </c>
      <c r="X32" s="1886"/>
      <c r="Y32" s="2080">
        <f>ROUND(SUM(+Y27+Y22+Y30),1)</f>
        <v>0</v>
      </c>
      <c r="Z32" s="1886"/>
      <c r="AA32" s="2080">
        <f>ROUND(SUM(+AA27+AA22+AA30),1)</f>
        <v>0</v>
      </c>
      <c r="AB32" s="2083"/>
      <c r="AC32" s="2080">
        <f>ROUND(SUM(+AC27+AC22+AC30),1)</f>
        <v>0</v>
      </c>
      <c r="AD32" s="313"/>
      <c r="AE32" s="1285"/>
      <c r="AF32" s="2080">
        <f>ROUND(SUM(+AF27+AF22+AF30),1)</f>
        <v>1051.5</v>
      </c>
      <c r="AG32" s="2183"/>
      <c r="AH32" s="2184"/>
      <c r="AI32" s="2080">
        <f>ROUND(SUM(+AI27+AI22+AI30),1)</f>
        <v>1045.4000000000001</v>
      </c>
      <c r="AJ32" s="2185"/>
      <c r="AK32" s="2138"/>
      <c r="AL32" s="2080">
        <f>ROUND(SUM(+AL27+AL22+AL30),1)</f>
        <v>6.1</v>
      </c>
      <c r="AM32" s="1516"/>
      <c r="AN32" s="1961">
        <f>ROUND(IF(AI32=0,1,AL32/ABS(AI32)),3)</f>
        <v>6.0000000000000001E-3</v>
      </c>
      <c r="AO32" s="665"/>
    </row>
    <row r="33" spans="1:41" ht="15.6">
      <c r="A33" s="223"/>
      <c r="B33" s="1358"/>
      <c r="C33" s="223"/>
      <c r="D33" s="223"/>
      <c r="E33" s="2247"/>
      <c r="F33" s="1833"/>
      <c r="G33" s="2247"/>
      <c r="H33" s="1833"/>
      <c r="I33" s="1834"/>
      <c r="J33" s="1833"/>
      <c r="K33" s="1834"/>
      <c r="L33" s="1171"/>
      <c r="M33" s="1171"/>
      <c r="N33" s="1171"/>
      <c r="O33" s="1355"/>
      <c r="P33" s="261"/>
      <c r="Q33" s="517"/>
      <c r="R33" s="261"/>
      <c r="S33" s="517"/>
      <c r="T33" s="261"/>
      <c r="U33" s="517"/>
      <c r="V33" s="261"/>
      <c r="W33" s="517"/>
      <c r="X33" s="261"/>
      <c r="Y33" s="517"/>
      <c r="Z33" s="261"/>
      <c r="AA33" s="517"/>
      <c r="AB33" s="517"/>
      <c r="AC33" s="517"/>
      <c r="AD33" s="319"/>
      <c r="AE33" s="1284"/>
      <c r="AF33" s="320"/>
      <c r="AG33" s="2186"/>
      <c r="AH33" s="263"/>
      <c r="AI33" s="319"/>
      <c r="AJ33" s="320"/>
      <c r="AK33" s="2138"/>
      <c r="AL33" s="320"/>
      <c r="AM33" s="654"/>
      <c r="AN33" s="45"/>
      <c r="AO33" s="647"/>
    </row>
    <row r="34" spans="1:41" ht="15.6">
      <c r="A34" s="223"/>
      <c r="B34" s="490" t="s">
        <v>1294</v>
      </c>
      <c r="C34" s="223"/>
      <c r="D34" s="223"/>
      <c r="E34" s="1834"/>
      <c r="F34" s="1833"/>
      <c r="G34" s="1834"/>
      <c r="H34" s="1833"/>
      <c r="I34" s="1834"/>
      <c r="J34" s="1833"/>
      <c r="K34" s="1834"/>
      <c r="L34" s="1171"/>
      <c r="M34" s="1171"/>
      <c r="N34" s="1171"/>
      <c r="O34" s="1355"/>
      <c r="P34" s="261"/>
      <c r="Q34" s="517"/>
      <c r="R34" s="261"/>
      <c r="S34" s="517"/>
      <c r="T34" s="261"/>
      <c r="U34" s="517"/>
      <c r="V34" s="261"/>
      <c r="W34" s="517"/>
      <c r="X34" s="261"/>
      <c r="Y34" s="517"/>
      <c r="Z34" s="261"/>
      <c r="AA34" s="517"/>
      <c r="AB34" s="517"/>
      <c r="AC34" s="517"/>
      <c r="AD34" s="319"/>
      <c r="AE34" s="1284"/>
      <c r="AF34" s="320"/>
      <c r="AG34" s="2137"/>
      <c r="AH34" s="262"/>
      <c r="AI34" s="319"/>
      <c r="AJ34" s="320"/>
      <c r="AK34" s="2138"/>
      <c r="AL34" s="320"/>
      <c r="AM34" s="2139"/>
      <c r="AN34" s="2140"/>
    </row>
    <row r="35" spans="1:41" ht="15.6">
      <c r="A35" s="223"/>
      <c r="B35" s="1830" t="s">
        <v>1422</v>
      </c>
      <c r="C35" s="1358"/>
      <c r="D35" s="223"/>
      <c r="E35" s="1834"/>
      <c r="F35" s="1833"/>
      <c r="G35" s="1834"/>
      <c r="H35" s="1833"/>
      <c r="I35" s="1834"/>
      <c r="J35" s="1833"/>
      <c r="K35" s="1834"/>
      <c r="L35" s="1171"/>
      <c r="M35" s="1171"/>
      <c r="N35" s="1171"/>
      <c r="O35" s="1355"/>
      <c r="P35" s="261"/>
      <c r="Q35" s="517"/>
      <c r="R35" s="261"/>
      <c r="S35" s="517"/>
      <c r="T35" s="261"/>
      <c r="U35" s="517"/>
      <c r="V35" s="261"/>
      <c r="W35" s="517"/>
      <c r="X35" s="261"/>
      <c r="Y35" s="517"/>
      <c r="Z35" s="261"/>
      <c r="AA35" s="517"/>
      <c r="AB35" s="517"/>
      <c r="AC35" s="517"/>
      <c r="AD35" s="319"/>
      <c r="AE35" s="1284"/>
      <c r="AF35" s="320"/>
      <c r="AG35" s="2141"/>
      <c r="AH35" s="262"/>
      <c r="AI35" s="319"/>
      <c r="AJ35" s="320"/>
      <c r="AK35" s="2138"/>
      <c r="AL35" s="320"/>
      <c r="AM35" s="657"/>
      <c r="AN35" s="655"/>
    </row>
    <row r="36" spans="1:41" ht="15.6">
      <c r="A36" s="223"/>
      <c r="B36" s="1830" t="s">
        <v>1328</v>
      </c>
      <c r="C36" s="1358"/>
      <c r="D36" s="223"/>
      <c r="E36" s="1834">
        <v>0</v>
      </c>
      <c r="F36" s="1833"/>
      <c r="G36" s="1834">
        <v>0</v>
      </c>
      <c r="H36" s="1833"/>
      <c r="I36" s="1834">
        <v>23</v>
      </c>
      <c r="J36" s="1833"/>
      <c r="K36" s="1834">
        <v>0</v>
      </c>
      <c r="L36" s="1171"/>
      <c r="M36" s="1171">
        <v>0</v>
      </c>
      <c r="N36" s="1171"/>
      <c r="O36" s="1355">
        <v>0</v>
      </c>
      <c r="P36" s="261"/>
      <c r="Q36" s="517">
        <v>0</v>
      </c>
      <c r="R36" s="261"/>
      <c r="S36" s="517">
        <v>0</v>
      </c>
      <c r="T36" s="261"/>
      <c r="U36" s="517">
        <v>0</v>
      </c>
      <c r="V36" s="261"/>
      <c r="W36" s="517"/>
      <c r="X36" s="261"/>
      <c r="Y36" s="517"/>
      <c r="Z36" s="261"/>
      <c r="AA36" s="517"/>
      <c r="AB36" s="517"/>
      <c r="AC36" s="1202">
        <v>0</v>
      </c>
      <c r="AD36" s="319"/>
      <c r="AE36" s="1284"/>
      <c r="AF36" s="320">
        <f>ROUND(SUM(E36:AC36),1)</f>
        <v>23</v>
      </c>
      <c r="AG36" s="2141"/>
      <c r="AH36" s="262"/>
      <c r="AI36" s="2135">
        <v>23</v>
      </c>
      <c r="AJ36" s="320"/>
      <c r="AK36" s="2138"/>
      <c r="AL36" s="320">
        <f t="shared" ref="AL36:AL59" si="0">ROUND(AF36-AI36,1)</f>
        <v>0</v>
      </c>
      <c r="AM36" s="657"/>
      <c r="AN36" s="2802">
        <f>ROUND(IF(AI36=0,0,AL36/ABS(AI36)),3)</f>
        <v>0</v>
      </c>
    </row>
    <row r="37" spans="1:41" ht="15.6">
      <c r="A37" s="223"/>
      <c r="B37" s="1830" t="s">
        <v>1423</v>
      </c>
      <c r="C37" s="1358"/>
      <c r="D37" s="223"/>
      <c r="E37" s="1834"/>
      <c r="F37" s="1833"/>
      <c r="G37" s="1834"/>
      <c r="H37" s="1833"/>
      <c r="I37" s="1834"/>
      <c r="J37" s="1833"/>
      <c r="K37" s="1834"/>
      <c r="L37" s="1171"/>
      <c r="M37" s="1171"/>
      <c r="N37" s="1171"/>
      <c r="O37" s="1355"/>
      <c r="P37" s="261"/>
      <c r="Q37" s="517"/>
      <c r="R37" s="261"/>
      <c r="S37" s="517"/>
      <c r="T37" s="261"/>
      <c r="U37" s="517"/>
      <c r="V37" s="261"/>
      <c r="W37" s="517"/>
      <c r="X37" s="261"/>
      <c r="Y37" s="517"/>
      <c r="Z37" s="261"/>
      <c r="AA37" s="517"/>
      <c r="AB37" s="517"/>
      <c r="AC37" s="517"/>
      <c r="AD37" s="319"/>
      <c r="AE37" s="1284"/>
      <c r="AF37" s="2136"/>
      <c r="AG37" s="2141"/>
      <c r="AH37" s="262"/>
      <c r="AI37" s="2135"/>
      <c r="AJ37" s="320"/>
      <c r="AK37" s="2138"/>
      <c r="AL37" s="320"/>
      <c r="AM37" s="657"/>
      <c r="AN37" s="2852"/>
    </row>
    <row r="38" spans="1:41" ht="15.6">
      <c r="A38" s="223"/>
      <c r="B38" s="1830" t="s">
        <v>1329</v>
      </c>
      <c r="C38" s="1358"/>
      <c r="D38" s="223"/>
      <c r="E38" s="1834">
        <v>9.1</v>
      </c>
      <c r="F38" s="1833"/>
      <c r="G38" s="1834">
        <v>8.6</v>
      </c>
      <c r="H38" s="1833"/>
      <c r="I38" s="1834">
        <v>7.7</v>
      </c>
      <c r="J38" s="1833"/>
      <c r="K38" s="1834">
        <v>10.6</v>
      </c>
      <c r="L38" s="1171"/>
      <c r="M38" s="1171">
        <v>8.1999999999999993</v>
      </c>
      <c r="N38" s="1171"/>
      <c r="O38" s="1355">
        <v>7.8</v>
      </c>
      <c r="P38" s="261"/>
      <c r="Q38" s="517">
        <v>8.1</v>
      </c>
      <c r="R38" s="261"/>
      <c r="S38" s="517">
        <v>7.8</v>
      </c>
      <c r="T38" s="261"/>
      <c r="U38" s="517">
        <v>7.5</v>
      </c>
      <c r="V38" s="261"/>
      <c r="W38" s="517"/>
      <c r="X38" s="261"/>
      <c r="Y38" s="517"/>
      <c r="Z38" s="261"/>
      <c r="AA38" s="517"/>
      <c r="AB38" s="517"/>
      <c r="AC38" s="1202">
        <v>0</v>
      </c>
      <c r="AD38" s="319"/>
      <c r="AE38" s="1284"/>
      <c r="AF38" s="320">
        <f>ROUND(SUM(E38:AC38),1)</f>
        <v>75.400000000000006</v>
      </c>
      <c r="AG38" s="2141"/>
      <c r="AH38" s="262"/>
      <c r="AI38" s="2135">
        <v>71</v>
      </c>
      <c r="AJ38" s="320"/>
      <c r="AK38" s="2138"/>
      <c r="AL38" s="320">
        <f t="shared" si="0"/>
        <v>4.4000000000000004</v>
      </c>
      <c r="AM38" s="657"/>
      <c r="AN38" s="2802">
        <f>ROUND(IF(AI38=0,0,AL38/ABS(AI38)),3)</f>
        <v>6.2E-2</v>
      </c>
    </row>
    <row r="39" spans="1:41" ht="15.6">
      <c r="A39" s="223"/>
      <c r="B39" s="1830" t="s">
        <v>1428</v>
      </c>
      <c r="C39" s="1358"/>
      <c r="D39" s="223"/>
      <c r="E39" s="2135"/>
      <c r="F39" s="319"/>
      <c r="G39" s="2135"/>
      <c r="H39" s="319"/>
      <c r="I39" s="2135"/>
      <c r="J39" s="319"/>
      <c r="K39" s="2135"/>
      <c r="L39" s="261"/>
      <c r="M39" s="261"/>
      <c r="N39" s="261"/>
      <c r="O39" s="517"/>
      <c r="P39" s="261"/>
      <c r="Q39" s="517"/>
      <c r="R39" s="261"/>
      <c r="S39" s="517"/>
      <c r="T39" s="261"/>
      <c r="U39" s="517"/>
      <c r="V39" s="261"/>
      <c r="W39" s="517"/>
      <c r="X39" s="261"/>
      <c r="Y39" s="517"/>
      <c r="Z39" s="261"/>
      <c r="AA39" s="517"/>
      <c r="AB39" s="517"/>
      <c r="AC39" s="517"/>
      <c r="AD39" s="319"/>
      <c r="AE39" s="1284"/>
      <c r="AF39" s="320"/>
      <c r="AG39" s="2141"/>
      <c r="AH39" s="262"/>
      <c r="AI39" s="2135"/>
      <c r="AJ39" s="320"/>
      <c r="AK39" s="2138"/>
      <c r="AL39" s="320"/>
      <c r="AM39" s="657"/>
      <c r="AN39" s="2852"/>
    </row>
    <row r="40" spans="1:41" ht="15.6">
      <c r="A40" s="223"/>
      <c r="B40" s="1830" t="s">
        <v>1333</v>
      </c>
      <c r="C40" s="1358"/>
      <c r="D40" s="223"/>
      <c r="E40" s="2135">
        <v>1.7</v>
      </c>
      <c r="F40" s="319"/>
      <c r="G40" s="2135">
        <v>2.2000000000000002</v>
      </c>
      <c r="H40" s="319"/>
      <c r="I40" s="2135">
        <v>3.9</v>
      </c>
      <c r="J40" s="319"/>
      <c r="K40" s="2135">
        <v>2.8</v>
      </c>
      <c r="L40" s="261"/>
      <c r="M40" s="261">
        <v>3.3</v>
      </c>
      <c r="N40" s="261"/>
      <c r="O40" s="517">
        <v>1.9</v>
      </c>
      <c r="P40" s="261"/>
      <c r="Q40" s="517">
        <v>3.4</v>
      </c>
      <c r="R40" s="261"/>
      <c r="S40" s="517">
        <v>7.5</v>
      </c>
      <c r="T40" s="261"/>
      <c r="U40" s="517">
        <v>2.2999999999999998</v>
      </c>
      <c r="V40" s="261"/>
      <c r="W40" s="517"/>
      <c r="X40" s="261"/>
      <c r="Y40" s="517"/>
      <c r="Z40" s="261"/>
      <c r="AA40" s="517"/>
      <c r="AB40" s="517"/>
      <c r="AC40" s="1202">
        <v>0</v>
      </c>
      <c r="AD40" s="319"/>
      <c r="AE40" s="1284"/>
      <c r="AF40" s="320">
        <f t="shared" ref="AF40:AF45" si="1">ROUND(SUM(E40:AC40),1)</f>
        <v>29</v>
      </c>
      <c r="AG40" s="2141"/>
      <c r="AH40" s="262"/>
      <c r="AI40" s="2135">
        <v>44.7</v>
      </c>
      <c r="AJ40" s="320"/>
      <c r="AK40" s="2138"/>
      <c r="AL40" s="320">
        <f t="shared" si="0"/>
        <v>-15.7</v>
      </c>
      <c r="AM40" s="657"/>
      <c r="AN40" s="2802">
        <f>ROUND(IF(AI40=0,0,AL40/ABS(AI40)),3)</f>
        <v>-0.35099999999999998</v>
      </c>
    </row>
    <row r="41" spans="1:41" ht="15.6">
      <c r="A41" s="223"/>
      <c r="B41" s="1830" t="s">
        <v>1511</v>
      </c>
      <c r="C41" s="1358"/>
      <c r="D41" s="223"/>
      <c r="E41" s="2135">
        <v>0</v>
      </c>
      <c r="F41" s="319"/>
      <c r="G41" s="2135">
        <v>0</v>
      </c>
      <c r="H41" s="319"/>
      <c r="I41" s="2135">
        <v>0</v>
      </c>
      <c r="J41" s="319"/>
      <c r="K41" s="2135">
        <v>0</v>
      </c>
      <c r="L41" s="261"/>
      <c r="M41" s="261">
        <v>0</v>
      </c>
      <c r="N41" s="261"/>
      <c r="O41" s="517">
        <v>0</v>
      </c>
      <c r="P41" s="261"/>
      <c r="Q41" s="517">
        <v>0</v>
      </c>
      <c r="R41" s="261"/>
      <c r="S41" s="517">
        <v>0</v>
      </c>
      <c r="T41" s="261"/>
      <c r="U41" s="517">
        <v>0</v>
      </c>
      <c r="V41" s="261"/>
      <c r="W41" s="517"/>
      <c r="X41" s="261"/>
      <c r="Y41" s="517"/>
      <c r="Z41" s="261"/>
      <c r="AA41" s="517"/>
      <c r="AB41" s="517"/>
      <c r="AC41" s="1202">
        <v>0</v>
      </c>
      <c r="AD41" s="319"/>
      <c r="AE41" s="1284"/>
      <c r="AF41" s="320">
        <f t="shared" si="1"/>
        <v>0</v>
      </c>
      <c r="AG41" s="2883"/>
      <c r="AH41" s="262"/>
      <c r="AI41" s="2135">
        <v>0</v>
      </c>
      <c r="AJ41" s="320"/>
      <c r="AK41" s="2138"/>
      <c r="AL41" s="320">
        <f>ROUND(AF41-AI41,1)</f>
        <v>0</v>
      </c>
      <c r="AM41" s="657"/>
      <c r="AN41" s="2817">
        <f>ROUND(IF(AI41=0,0,AL41/ABS(AI41)),3)</f>
        <v>0</v>
      </c>
    </row>
    <row r="42" spans="1:41" ht="15.6">
      <c r="A42" s="223"/>
      <c r="B42" s="1830" t="s">
        <v>1336</v>
      </c>
      <c r="C42" s="1358"/>
      <c r="D42" s="223"/>
      <c r="E42" s="2135">
        <v>58.6</v>
      </c>
      <c r="F42" s="319"/>
      <c r="G42" s="2135">
        <v>71.5</v>
      </c>
      <c r="H42" s="319"/>
      <c r="I42" s="2135">
        <v>59.4</v>
      </c>
      <c r="J42" s="319"/>
      <c r="K42" s="2135">
        <v>63</v>
      </c>
      <c r="L42" s="261"/>
      <c r="M42" s="261">
        <v>58</v>
      </c>
      <c r="N42" s="261"/>
      <c r="O42" s="517">
        <v>54</v>
      </c>
      <c r="P42" s="261"/>
      <c r="Q42" s="517">
        <v>51</v>
      </c>
      <c r="R42" s="261"/>
      <c r="S42" s="517">
        <v>54.9</v>
      </c>
      <c r="T42" s="261"/>
      <c r="U42" s="517">
        <v>53.3</v>
      </c>
      <c r="V42" s="261"/>
      <c r="W42" s="517"/>
      <c r="X42" s="261"/>
      <c r="Y42" s="517"/>
      <c r="Z42" s="261"/>
      <c r="AA42" s="517"/>
      <c r="AB42" s="517"/>
      <c r="AC42" s="1202">
        <v>0</v>
      </c>
      <c r="AD42" s="319"/>
      <c r="AE42" s="1284"/>
      <c r="AF42" s="320">
        <f t="shared" si="1"/>
        <v>523.70000000000005</v>
      </c>
      <c r="AG42" s="2141"/>
      <c r="AH42" s="262"/>
      <c r="AI42" s="2135">
        <v>491.5</v>
      </c>
      <c r="AJ42" s="320"/>
      <c r="AK42" s="2138"/>
      <c r="AL42" s="320">
        <f t="shared" si="0"/>
        <v>32.200000000000003</v>
      </c>
      <c r="AM42" s="657"/>
      <c r="AN42" s="2802">
        <f>ROUND(IF(AI42=0,0,AL42/ABS(AI42)),3)</f>
        <v>6.6000000000000003E-2</v>
      </c>
    </row>
    <row r="43" spans="1:41" ht="15.6">
      <c r="A43" s="223"/>
      <c r="B43" s="1830" t="s">
        <v>1337</v>
      </c>
      <c r="C43" s="1358"/>
      <c r="D43" s="223"/>
      <c r="E43" s="2135">
        <v>0</v>
      </c>
      <c r="F43" s="319"/>
      <c r="G43" s="2135">
        <v>0</v>
      </c>
      <c r="H43" s="319"/>
      <c r="I43" s="2135">
        <v>0.4</v>
      </c>
      <c r="J43" s="319"/>
      <c r="K43" s="2135">
        <v>0.2</v>
      </c>
      <c r="L43" s="261"/>
      <c r="M43" s="261">
        <v>3</v>
      </c>
      <c r="N43" s="261"/>
      <c r="O43" s="517">
        <v>5.5</v>
      </c>
      <c r="P43" s="261"/>
      <c r="Q43" s="517">
        <v>5.5</v>
      </c>
      <c r="R43" s="261"/>
      <c r="S43" s="517">
        <v>9.8000000000000007</v>
      </c>
      <c r="T43" s="261"/>
      <c r="U43" s="517">
        <v>9.9</v>
      </c>
      <c r="V43" s="261"/>
      <c r="W43" s="517"/>
      <c r="X43" s="261"/>
      <c r="Y43" s="517"/>
      <c r="Z43" s="261"/>
      <c r="AA43" s="517"/>
      <c r="AB43" s="517"/>
      <c r="AC43" s="1202">
        <v>0</v>
      </c>
      <c r="AD43" s="319"/>
      <c r="AE43" s="1284"/>
      <c r="AF43" s="320">
        <f t="shared" si="1"/>
        <v>34.299999999999997</v>
      </c>
      <c r="AG43" s="2141"/>
      <c r="AH43" s="262"/>
      <c r="AI43" s="2135">
        <v>14</v>
      </c>
      <c r="AJ43" s="320"/>
      <c r="AK43" s="2138"/>
      <c r="AL43" s="320">
        <f t="shared" si="0"/>
        <v>20.3</v>
      </c>
      <c r="AM43" s="657"/>
      <c r="AN43" s="2817">
        <f>ROUND(IF(AI43=0,1,AL43/ABS(AI43)),3)</f>
        <v>1.45</v>
      </c>
    </row>
    <row r="44" spans="1:41" ht="15.6">
      <c r="A44" s="223"/>
      <c r="B44" s="1830" t="s">
        <v>1295</v>
      </c>
      <c r="C44" s="1358"/>
      <c r="D44" s="223"/>
      <c r="E44" s="2135">
        <v>0.1</v>
      </c>
      <c r="F44" s="319"/>
      <c r="G44" s="2135">
        <v>3.5</v>
      </c>
      <c r="H44" s="319"/>
      <c r="I44" s="2135">
        <v>1.3</v>
      </c>
      <c r="J44" s="319"/>
      <c r="K44" s="2135">
        <v>1.5</v>
      </c>
      <c r="L44" s="261"/>
      <c r="M44" s="261">
        <v>2.2000000000000002</v>
      </c>
      <c r="N44" s="261"/>
      <c r="O44" s="517">
        <v>2.6</v>
      </c>
      <c r="P44" s="261"/>
      <c r="Q44" s="517">
        <v>1.9</v>
      </c>
      <c r="R44" s="261"/>
      <c r="S44" s="517">
        <v>1.8</v>
      </c>
      <c r="T44" s="261"/>
      <c r="U44" s="517">
        <v>1.8</v>
      </c>
      <c r="V44" s="261"/>
      <c r="W44" s="517"/>
      <c r="X44" s="261"/>
      <c r="Y44" s="517"/>
      <c r="Z44" s="261"/>
      <c r="AA44" s="517"/>
      <c r="AB44" s="517"/>
      <c r="AC44" s="1202">
        <v>0</v>
      </c>
      <c r="AD44" s="319"/>
      <c r="AE44" s="1284"/>
      <c r="AF44" s="320">
        <f t="shared" si="1"/>
        <v>16.7</v>
      </c>
      <c r="AG44" s="2141"/>
      <c r="AH44" s="262"/>
      <c r="AI44" s="2135">
        <v>16.399999999999999</v>
      </c>
      <c r="AJ44" s="320"/>
      <c r="AK44" s="2138"/>
      <c r="AL44" s="320">
        <f t="shared" si="0"/>
        <v>0.3</v>
      </c>
      <c r="AM44" s="657"/>
      <c r="AN44" s="2802">
        <f>ROUND(IF(AI44=0,1,AL44/ABS(AI44)),3)</f>
        <v>1.7999999999999999E-2</v>
      </c>
    </row>
    <row r="45" spans="1:41" ht="15.6">
      <c r="A45" s="223"/>
      <c r="B45" s="1830" t="s">
        <v>1296</v>
      </c>
      <c r="C45" s="1358"/>
      <c r="D45" s="223"/>
      <c r="E45" s="2135">
        <v>0.1</v>
      </c>
      <c r="F45" s="319"/>
      <c r="G45" s="2135">
        <v>0</v>
      </c>
      <c r="H45" s="319"/>
      <c r="I45" s="2135">
        <v>0.1</v>
      </c>
      <c r="J45" s="319"/>
      <c r="K45" s="2135">
        <v>0</v>
      </c>
      <c r="L45" s="261"/>
      <c r="M45" s="261">
        <v>0.1</v>
      </c>
      <c r="N45" s="261"/>
      <c r="O45" s="517">
        <v>0</v>
      </c>
      <c r="P45" s="261"/>
      <c r="Q45" s="517">
        <v>0</v>
      </c>
      <c r="R45" s="261"/>
      <c r="S45" s="517">
        <v>0.2</v>
      </c>
      <c r="T45" s="261"/>
      <c r="U45" s="517">
        <v>0</v>
      </c>
      <c r="V45" s="261"/>
      <c r="W45" s="517"/>
      <c r="X45" s="261"/>
      <c r="Y45" s="517"/>
      <c r="Z45" s="261"/>
      <c r="AA45" s="517"/>
      <c r="AB45" s="517"/>
      <c r="AC45" s="1202">
        <v>0</v>
      </c>
      <c r="AD45" s="319"/>
      <c r="AE45" s="1284"/>
      <c r="AF45" s="320">
        <f t="shared" si="1"/>
        <v>0.5</v>
      </c>
      <c r="AG45" s="2141"/>
      <c r="AH45" s="262"/>
      <c r="AI45" s="2135">
        <v>0.9</v>
      </c>
      <c r="AJ45" s="320"/>
      <c r="AK45" s="2138"/>
      <c r="AL45" s="320">
        <f t="shared" si="0"/>
        <v>-0.4</v>
      </c>
      <c r="AM45" s="657"/>
      <c r="AN45" s="2817">
        <f>ROUND(IF(AI45=0,1,AL45/ABS(AI45)),3)</f>
        <v>-0.44400000000000001</v>
      </c>
    </row>
    <row r="46" spans="1:41" ht="15.6">
      <c r="A46" s="223"/>
      <c r="B46" s="1830" t="s">
        <v>1426</v>
      </c>
      <c r="C46" s="1358"/>
      <c r="D46" s="223"/>
      <c r="E46" s="2135"/>
      <c r="F46" s="319"/>
      <c r="G46" s="2135"/>
      <c r="H46" s="319"/>
      <c r="I46" s="2135"/>
      <c r="J46" s="319"/>
      <c r="K46" s="2135"/>
      <c r="L46" s="261"/>
      <c r="M46" s="261"/>
      <c r="N46" s="261"/>
      <c r="O46" s="517"/>
      <c r="P46" s="261"/>
      <c r="Q46" s="517"/>
      <c r="R46" s="261"/>
      <c r="S46" s="517"/>
      <c r="T46" s="261"/>
      <c r="U46" s="517"/>
      <c r="V46" s="261"/>
      <c r="W46" s="517"/>
      <c r="X46" s="261"/>
      <c r="Y46" s="517"/>
      <c r="Z46" s="261"/>
      <c r="AA46" s="517"/>
      <c r="AB46" s="517"/>
      <c r="AC46" s="517"/>
      <c r="AD46" s="319"/>
      <c r="AE46" s="1284"/>
      <c r="AF46" s="320"/>
      <c r="AG46" s="2141"/>
      <c r="AH46" s="262"/>
      <c r="AI46" s="2135"/>
      <c r="AJ46" s="320"/>
      <c r="AK46" s="2138"/>
      <c r="AL46" s="320"/>
      <c r="AM46" s="657"/>
      <c r="AN46" s="2852"/>
    </row>
    <row r="47" spans="1:41" ht="15.6">
      <c r="A47" s="223"/>
      <c r="B47" s="1830" t="s">
        <v>1341</v>
      </c>
      <c r="C47" s="1358"/>
      <c r="D47" s="223"/>
      <c r="E47" s="2135">
        <v>12.2</v>
      </c>
      <c r="F47" s="319"/>
      <c r="G47" s="2135">
        <v>43.1</v>
      </c>
      <c r="H47" s="319"/>
      <c r="I47" s="2135">
        <v>854.6</v>
      </c>
      <c r="J47" s="319"/>
      <c r="K47" s="2135">
        <v>56</v>
      </c>
      <c r="L47" s="261"/>
      <c r="M47" s="261">
        <v>21.3</v>
      </c>
      <c r="N47" s="261"/>
      <c r="O47" s="517">
        <v>215.4</v>
      </c>
      <c r="P47" s="261"/>
      <c r="Q47" s="517">
        <v>310.2</v>
      </c>
      <c r="R47" s="261"/>
      <c r="S47" s="517">
        <v>23.9</v>
      </c>
      <c r="T47" s="261"/>
      <c r="U47" s="517">
        <v>692.1</v>
      </c>
      <c r="V47" s="261"/>
      <c r="W47" s="517"/>
      <c r="X47" s="261"/>
      <c r="Y47" s="517"/>
      <c r="Z47" s="261"/>
      <c r="AA47" s="517"/>
      <c r="AB47" s="517"/>
      <c r="AC47" s="1202">
        <v>0</v>
      </c>
      <c r="AD47" s="319"/>
      <c r="AE47" s="1284"/>
      <c r="AF47" s="320">
        <f>ROUND(SUM(E47:AC47),1)</f>
        <v>2228.8000000000002</v>
      </c>
      <c r="AG47" s="2141"/>
      <c r="AH47" s="262"/>
      <c r="AI47" s="2135">
        <v>1457.6</v>
      </c>
      <c r="AJ47" s="320"/>
      <c r="AK47" s="2138"/>
      <c r="AL47" s="320">
        <f t="shared" si="0"/>
        <v>771.2</v>
      </c>
      <c r="AM47" s="657"/>
      <c r="AN47" s="2802">
        <f>ROUND(IF(AI47=0,0,AL47/ABS(AI47)),3)</f>
        <v>0.52900000000000003</v>
      </c>
    </row>
    <row r="48" spans="1:41" s="1855" customFormat="1" ht="15.6">
      <c r="A48" s="2887"/>
      <c r="B48" s="1830" t="s">
        <v>1343</v>
      </c>
      <c r="C48" s="1358"/>
      <c r="D48" s="1358"/>
      <c r="E48" s="1834">
        <v>0</v>
      </c>
      <c r="F48" s="1834">
        <v>0</v>
      </c>
      <c r="G48" s="1834">
        <v>0</v>
      </c>
      <c r="H48" s="1834"/>
      <c r="I48" s="1834">
        <v>0</v>
      </c>
      <c r="J48" s="1834"/>
      <c r="K48" s="1834">
        <v>0</v>
      </c>
      <c r="L48" s="1834"/>
      <c r="M48" s="1834">
        <v>0</v>
      </c>
      <c r="N48" s="1834"/>
      <c r="O48" s="1834">
        <v>0</v>
      </c>
      <c r="P48" s="1834"/>
      <c r="Q48" s="1834">
        <v>0</v>
      </c>
      <c r="R48" s="1171"/>
      <c r="S48" s="1834">
        <v>0</v>
      </c>
      <c r="T48" s="1171"/>
      <c r="U48" s="3168">
        <v>0</v>
      </c>
      <c r="V48" s="1171"/>
      <c r="W48" s="1355"/>
      <c r="X48" s="1171"/>
      <c r="Y48" s="1355"/>
      <c r="Z48" s="1171"/>
      <c r="AA48" s="1355"/>
      <c r="AB48" s="1355"/>
      <c r="AC48" s="1202">
        <v>0</v>
      </c>
      <c r="AD48" s="1833"/>
      <c r="AE48" s="2768"/>
      <c r="AF48" s="1351">
        <f>ROUND(SUM(E48:AC48),1)</f>
        <v>0</v>
      </c>
      <c r="AG48" s="2890"/>
      <c r="AH48" s="2045"/>
      <c r="AI48" s="3168">
        <v>0</v>
      </c>
      <c r="AJ48" s="1351"/>
      <c r="AK48" s="2138"/>
      <c r="AL48" s="1351">
        <f t="shared" si="0"/>
        <v>0</v>
      </c>
      <c r="AM48" s="1898"/>
      <c r="AN48" s="2817">
        <f>ROUND(IF(AI48=0,0,AL48/ABS(AI48)),3)</f>
        <v>0</v>
      </c>
    </row>
    <row r="49" spans="1:43" ht="15.6">
      <c r="A49" s="223"/>
      <c r="B49" s="1830" t="s">
        <v>1344</v>
      </c>
      <c r="C49" s="1358"/>
      <c r="D49" s="223"/>
      <c r="E49" s="2135">
        <v>0</v>
      </c>
      <c r="F49" s="319"/>
      <c r="G49" s="2135">
        <v>1.3</v>
      </c>
      <c r="H49" s="319"/>
      <c r="I49" s="2135">
        <v>0.3</v>
      </c>
      <c r="J49" s="319"/>
      <c r="K49" s="2135">
        <v>1.2</v>
      </c>
      <c r="L49" s="261"/>
      <c r="M49" s="261">
        <v>0</v>
      </c>
      <c r="N49" s="261"/>
      <c r="O49" s="517">
        <v>0.3</v>
      </c>
      <c r="P49" s="261"/>
      <c r="Q49" s="2135">
        <v>0.2</v>
      </c>
      <c r="R49" s="261"/>
      <c r="S49" s="517">
        <v>0.1</v>
      </c>
      <c r="T49" s="261"/>
      <c r="U49" s="517">
        <v>0.4</v>
      </c>
      <c r="V49" s="261"/>
      <c r="W49" s="517"/>
      <c r="X49" s="261"/>
      <c r="Y49" s="517"/>
      <c r="Z49" s="261"/>
      <c r="AA49" s="517"/>
      <c r="AB49" s="517"/>
      <c r="AC49" s="1202">
        <v>0</v>
      </c>
      <c r="AD49" s="319"/>
      <c r="AE49" s="1284"/>
      <c r="AF49" s="320">
        <f>ROUND(SUM(E49:AC49),1)</f>
        <v>3.8</v>
      </c>
      <c r="AG49" s="2141"/>
      <c r="AH49" s="262"/>
      <c r="AI49" s="2135">
        <v>9.4</v>
      </c>
      <c r="AJ49" s="320"/>
      <c r="AK49" s="2138"/>
      <c r="AL49" s="320">
        <f t="shared" si="0"/>
        <v>-5.6</v>
      </c>
      <c r="AM49" s="657"/>
      <c r="AN49" s="2851">
        <f>ROUND(IF(AI49=0,0,AL49/ABS(AI49)),3)</f>
        <v>-0.59599999999999997</v>
      </c>
    </row>
    <row r="50" spans="1:43" ht="15.6">
      <c r="A50" s="223"/>
      <c r="B50" s="1830" t="s">
        <v>1314</v>
      </c>
      <c r="C50" s="1358"/>
      <c r="D50" s="223"/>
      <c r="E50" s="2135">
        <v>0.1</v>
      </c>
      <c r="F50" s="319"/>
      <c r="G50" s="2135">
        <v>0.1</v>
      </c>
      <c r="H50" s="319"/>
      <c r="I50" s="2135">
        <v>0</v>
      </c>
      <c r="J50" s="319"/>
      <c r="K50" s="2135">
        <v>0</v>
      </c>
      <c r="L50" s="261"/>
      <c r="M50" s="319">
        <v>0.1</v>
      </c>
      <c r="N50" s="261"/>
      <c r="O50" s="517">
        <v>0</v>
      </c>
      <c r="P50" s="261"/>
      <c r="Q50" s="517">
        <v>0</v>
      </c>
      <c r="R50" s="261"/>
      <c r="S50" s="517">
        <v>0.2</v>
      </c>
      <c r="T50" s="261"/>
      <c r="U50" s="517">
        <v>0</v>
      </c>
      <c r="V50" s="261"/>
      <c r="W50" s="517"/>
      <c r="X50" s="261"/>
      <c r="Y50" s="517"/>
      <c r="Z50" s="261"/>
      <c r="AA50" s="517"/>
      <c r="AB50" s="517"/>
      <c r="AC50" s="1202">
        <v>0</v>
      </c>
      <c r="AD50" s="319"/>
      <c r="AE50" s="1284"/>
      <c r="AF50" s="320">
        <f>ROUND(SUM(E50:AC50),1)</f>
        <v>0.5</v>
      </c>
      <c r="AG50" s="2141"/>
      <c r="AH50" s="262"/>
      <c r="AI50" s="2135">
        <v>6.4</v>
      </c>
      <c r="AJ50" s="320"/>
      <c r="AK50" s="2138"/>
      <c r="AL50" s="320">
        <f t="shared" si="0"/>
        <v>-5.9</v>
      </c>
      <c r="AM50" s="657"/>
      <c r="AN50" s="2802">
        <f>ROUND(IF(AI50=0,0,AL50/ABS(AI50)),3)</f>
        <v>-0.92200000000000004</v>
      </c>
    </row>
    <row r="51" spans="1:43" ht="15.6">
      <c r="A51" s="223"/>
      <c r="B51" s="1830" t="s">
        <v>1315</v>
      </c>
      <c r="C51" s="1358"/>
      <c r="D51" s="223"/>
      <c r="E51" s="2135">
        <v>0.1</v>
      </c>
      <c r="F51" s="319"/>
      <c r="G51" s="2135">
        <v>1.1000000000000001</v>
      </c>
      <c r="H51" s="319"/>
      <c r="I51" s="2135">
        <v>0.3</v>
      </c>
      <c r="J51" s="319"/>
      <c r="K51" s="2135">
        <v>0.2</v>
      </c>
      <c r="L51" s="261"/>
      <c r="M51" s="261">
        <v>0.8</v>
      </c>
      <c r="N51" s="261"/>
      <c r="O51" s="517">
        <v>0.6</v>
      </c>
      <c r="P51" s="261"/>
      <c r="Q51" s="517">
        <v>0.6</v>
      </c>
      <c r="R51" s="261"/>
      <c r="S51" s="517">
        <v>0.5</v>
      </c>
      <c r="T51" s="261"/>
      <c r="U51" s="517">
        <v>0.8</v>
      </c>
      <c r="V51" s="261"/>
      <c r="W51" s="517"/>
      <c r="X51" s="261"/>
      <c r="Y51" s="517"/>
      <c r="Z51" s="261"/>
      <c r="AA51" s="517"/>
      <c r="AB51" s="517"/>
      <c r="AC51" s="1202">
        <v>0</v>
      </c>
      <c r="AD51" s="319"/>
      <c r="AE51" s="1284"/>
      <c r="AF51" s="320">
        <f>ROUND(SUM(E51:AC51),1)</f>
        <v>5</v>
      </c>
      <c r="AG51" s="2141"/>
      <c r="AH51" s="262"/>
      <c r="AI51" s="2135">
        <v>4.9000000000000004</v>
      </c>
      <c r="AJ51" s="320"/>
      <c r="AK51" s="2138"/>
      <c r="AL51" s="320">
        <f t="shared" si="0"/>
        <v>0.1</v>
      </c>
      <c r="AM51" s="657"/>
      <c r="AN51" s="2802">
        <f>ROUND(IF(AI51=0,0,AL51/ABS(AI51)),3)</f>
        <v>0.02</v>
      </c>
    </row>
    <row r="52" spans="1:43" ht="15.6">
      <c r="A52" s="223"/>
      <c r="B52" s="1830" t="s">
        <v>1427</v>
      </c>
      <c r="C52" s="1358"/>
      <c r="D52" s="223"/>
      <c r="E52" s="2135"/>
      <c r="F52" s="319"/>
      <c r="G52" s="2135"/>
      <c r="H52" s="319"/>
      <c r="I52" s="2135"/>
      <c r="J52" s="319"/>
      <c r="K52" s="2135"/>
      <c r="L52" s="261"/>
      <c r="M52" s="261"/>
      <c r="N52" s="261"/>
      <c r="O52" s="517"/>
      <c r="P52" s="261"/>
      <c r="Q52" s="517"/>
      <c r="R52" s="261"/>
      <c r="S52" s="517"/>
      <c r="T52" s="261"/>
      <c r="U52" s="517"/>
      <c r="V52" s="261"/>
      <c r="W52" s="517"/>
      <c r="X52" s="261"/>
      <c r="Y52" s="517"/>
      <c r="Z52" s="261"/>
      <c r="AA52" s="517"/>
      <c r="AB52" s="517"/>
      <c r="AC52" s="517"/>
      <c r="AD52" s="319"/>
      <c r="AE52" s="1284"/>
      <c r="AF52" s="320"/>
      <c r="AG52" s="2141"/>
      <c r="AH52" s="262"/>
      <c r="AI52" s="2135"/>
      <c r="AJ52" s="320"/>
      <c r="AK52" s="2138"/>
      <c r="AL52" s="320"/>
      <c r="AM52" s="657"/>
      <c r="AN52" s="2852"/>
    </row>
    <row r="53" spans="1:43" ht="15.6">
      <c r="A53" s="223"/>
      <c r="B53" s="1830" t="s">
        <v>1345</v>
      </c>
      <c r="C53" s="1358"/>
      <c r="D53" s="223"/>
      <c r="E53" s="2135">
        <v>0</v>
      </c>
      <c r="F53" s="2135">
        <v>0</v>
      </c>
      <c r="G53" s="2135">
        <v>0</v>
      </c>
      <c r="H53" s="319"/>
      <c r="I53" s="2135">
        <v>0.1</v>
      </c>
      <c r="J53" s="319"/>
      <c r="K53" s="2135">
        <v>0</v>
      </c>
      <c r="L53" s="261"/>
      <c r="M53" s="261">
        <v>0</v>
      </c>
      <c r="N53" s="261"/>
      <c r="O53" s="517">
        <v>0</v>
      </c>
      <c r="P53" s="261"/>
      <c r="Q53" s="517">
        <v>0</v>
      </c>
      <c r="R53" s="261"/>
      <c r="S53" s="517">
        <v>0</v>
      </c>
      <c r="T53" s="261"/>
      <c r="U53" s="517">
        <v>0.4</v>
      </c>
      <c r="V53" s="261"/>
      <c r="W53" s="517"/>
      <c r="X53" s="261"/>
      <c r="Y53" s="517"/>
      <c r="Z53" s="261"/>
      <c r="AA53" s="517"/>
      <c r="AB53" s="517"/>
      <c r="AC53" s="1202">
        <v>0</v>
      </c>
      <c r="AD53" s="319"/>
      <c r="AE53" s="1284"/>
      <c r="AF53" s="320">
        <f t="shared" ref="AF53:AF59" si="2">ROUND(SUM(E53:AC53),1)</f>
        <v>0.5</v>
      </c>
      <c r="AG53" s="2141"/>
      <c r="AH53" s="262"/>
      <c r="AI53" s="3168">
        <v>0</v>
      </c>
      <c r="AJ53" s="320"/>
      <c r="AK53" s="2138"/>
      <c r="AL53" s="320">
        <f t="shared" si="0"/>
        <v>0.5</v>
      </c>
      <c r="AM53" s="657"/>
      <c r="AN53" s="2802">
        <f>ROUND(IF(AI53=0,1,AL53/ABS(AI53)),3)</f>
        <v>1</v>
      </c>
    </row>
    <row r="54" spans="1:43" ht="15.6">
      <c r="A54" s="223"/>
      <c r="B54" s="1830" t="s">
        <v>1347</v>
      </c>
      <c r="C54" s="1358"/>
      <c r="D54" s="223"/>
      <c r="E54" s="2135">
        <v>0</v>
      </c>
      <c r="F54" s="2135">
        <v>0</v>
      </c>
      <c r="G54" s="2135">
        <v>0</v>
      </c>
      <c r="H54" s="319"/>
      <c r="I54" s="2135">
        <v>1</v>
      </c>
      <c r="J54" s="319"/>
      <c r="K54" s="2135">
        <v>0.1</v>
      </c>
      <c r="L54" s="261"/>
      <c r="M54" s="261">
        <v>0</v>
      </c>
      <c r="N54" s="261"/>
      <c r="O54" s="517">
        <v>0.6</v>
      </c>
      <c r="P54" s="261"/>
      <c r="Q54" s="517">
        <v>0.4</v>
      </c>
      <c r="R54" s="261"/>
      <c r="S54" s="517">
        <v>1</v>
      </c>
      <c r="T54" s="261"/>
      <c r="U54" s="517">
        <v>0.8</v>
      </c>
      <c r="V54" s="261"/>
      <c r="W54" s="517"/>
      <c r="X54" s="261"/>
      <c r="Y54" s="517"/>
      <c r="Z54" s="261"/>
      <c r="AA54" s="517"/>
      <c r="AB54" s="517"/>
      <c r="AC54" s="1202">
        <v>0</v>
      </c>
      <c r="AD54" s="319"/>
      <c r="AE54" s="1284"/>
      <c r="AF54" s="320">
        <f t="shared" si="2"/>
        <v>3.9</v>
      </c>
      <c r="AG54" s="2141"/>
      <c r="AH54" s="262"/>
      <c r="AI54" s="2135">
        <v>14.7</v>
      </c>
      <c r="AJ54" s="320"/>
      <c r="AK54" s="2138"/>
      <c r="AL54" s="320">
        <f t="shared" si="0"/>
        <v>-10.8</v>
      </c>
      <c r="AM54" s="657"/>
      <c r="AN54" s="2802">
        <f>ROUND(IF(AI54=0,1,AL54/ABS(AI54)),3)</f>
        <v>-0.73499999999999999</v>
      </c>
    </row>
    <row r="55" spans="1:43" ht="15.6">
      <c r="A55" s="223"/>
      <c r="B55" s="1830" t="s">
        <v>1348</v>
      </c>
      <c r="C55" s="1358"/>
      <c r="D55" s="223"/>
      <c r="E55" s="2135">
        <v>0</v>
      </c>
      <c r="F55" s="2135"/>
      <c r="G55" s="2135">
        <v>0</v>
      </c>
      <c r="H55" s="319"/>
      <c r="I55" s="2135">
        <v>0</v>
      </c>
      <c r="J55" s="319"/>
      <c r="K55" s="2135">
        <v>0</v>
      </c>
      <c r="L55" s="261"/>
      <c r="M55" s="261">
        <v>0</v>
      </c>
      <c r="N55" s="261"/>
      <c r="O55" s="517">
        <v>0</v>
      </c>
      <c r="P55" s="261"/>
      <c r="Q55" s="517">
        <v>0</v>
      </c>
      <c r="R55" s="261"/>
      <c r="S55" s="517">
        <v>0.2</v>
      </c>
      <c r="T55" s="261"/>
      <c r="U55" s="517">
        <v>0</v>
      </c>
      <c r="V55" s="261"/>
      <c r="W55" s="517"/>
      <c r="X55" s="261"/>
      <c r="Y55" s="517"/>
      <c r="Z55" s="261"/>
      <c r="AA55" s="517"/>
      <c r="AB55" s="517"/>
      <c r="AC55" s="3166">
        <v>0</v>
      </c>
      <c r="AD55" s="319"/>
      <c r="AE55" s="1284"/>
      <c r="AF55" s="320">
        <f>ROUND(SUM(E55:AC55),1)</f>
        <v>0.2</v>
      </c>
      <c r="AG55" s="3521"/>
      <c r="AH55" s="262"/>
      <c r="AI55" s="2135">
        <v>0</v>
      </c>
      <c r="AJ55" s="320"/>
      <c r="AK55" s="2138"/>
      <c r="AL55" s="320">
        <f t="shared" si="0"/>
        <v>0.2</v>
      </c>
      <c r="AM55" s="657"/>
      <c r="AN55" s="2802">
        <f>ROUND(IF(AI55=0,1,AL55/ABS(AI55)),3)</f>
        <v>1</v>
      </c>
    </row>
    <row r="56" spans="1:43" ht="15.6">
      <c r="A56" s="223"/>
      <c r="B56" s="1830" t="s">
        <v>1350</v>
      </c>
      <c r="C56" s="1358"/>
      <c r="D56" s="223"/>
      <c r="E56" s="2135">
        <v>0</v>
      </c>
      <c r="F56" s="2135"/>
      <c r="G56" s="2135">
        <v>0</v>
      </c>
      <c r="H56" s="319"/>
      <c r="I56" s="2135">
        <v>0.2</v>
      </c>
      <c r="J56" s="319"/>
      <c r="K56" s="2135">
        <v>0</v>
      </c>
      <c r="L56" s="261"/>
      <c r="M56" s="261">
        <v>0</v>
      </c>
      <c r="N56" s="261"/>
      <c r="O56" s="517">
        <v>0</v>
      </c>
      <c r="P56" s="261"/>
      <c r="Q56" s="517">
        <v>0</v>
      </c>
      <c r="R56" s="261"/>
      <c r="S56" s="517">
        <v>0</v>
      </c>
      <c r="T56" s="261"/>
      <c r="U56" s="517">
        <v>0</v>
      </c>
      <c r="V56" s="261"/>
      <c r="W56" s="517"/>
      <c r="X56" s="261"/>
      <c r="Y56" s="517"/>
      <c r="Z56" s="261"/>
      <c r="AA56" s="517"/>
      <c r="AB56" s="517"/>
      <c r="AC56" s="3166">
        <v>0</v>
      </c>
      <c r="AD56" s="319"/>
      <c r="AE56" s="1284"/>
      <c r="AF56" s="320">
        <f>ROUND(SUM(E56:AC56),1)</f>
        <v>0.2</v>
      </c>
      <c r="AG56" s="3347"/>
      <c r="AH56" s="262"/>
      <c r="AI56" s="2135">
        <v>0</v>
      </c>
      <c r="AJ56" s="320"/>
      <c r="AK56" s="2138"/>
      <c r="AL56" s="320">
        <f>ROUND(AF56-AI56,1)</f>
        <v>0.2</v>
      </c>
      <c r="AM56" s="657"/>
      <c r="AN56" s="2802">
        <f>ROUND(IF(AI56=0,1,AL56/ABS(AI56)),3)</f>
        <v>1</v>
      </c>
    </row>
    <row r="57" spans="1:43" ht="15.6">
      <c r="A57" s="223"/>
      <c r="B57" s="1830" t="s">
        <v>1351</v>
      </c>
      <c r="C57" s="1358"/>
      <c r="D57" s="223"/>
      <c r="E57" s="2135">
        <v>0.6</v>
      </c>
      <c r="F57" s="2135">
        <v>0</v>
      </c>
      <c r="G57" s="2135">
        <v>0.2</v>
      </c>
      <c r="H57" s="319"/>
      <c r="I57" s="2135">
        <v>0.7</v>
      </c>
      <c r="J57" s="319"/>
      <c r="K57" s="2135">
        <v>0.3</v>
      </c>
      <c r="L57" s="261"/>
      <c r="M57" s="261">
        <v>0.4</v>
      </c>
      <c r="N57" s="261"/>
      <c r="O57" s="517">
        <v>0</v>
      </c>
      <c r="P57" s="261"/>
      <c r="Q57" s="517">
        <v>0</v>
      </c>
      <c r="R57" s="261"/>
      <c r="S57" s="517">
        <v>0.6</v>
      </c>
      <c r="T57" s="261"/>
      <c r="U57" s="517">
        <v>0.6</v>
      </c>
      <c r="V57" s="261"/>
      <c r="W57" s="517"/>
      <c r="X57" s="261"/>
      <c r="Y57" s="517"/>
      <c r="Z57" s="261"/>
      <c r="AA57" s="517"/>
      <c r="AB57" s="517"/>
      <c r="AC57" s="1202">
        <v>0</v>
      </c>
      <c r="AD57" s="319"/>
      <c r="AE57" s="1284"/>
      <c r="AF57" s="320">
        <f t="shared" si="2"/>
        <v>3.4</v>
      </c>
      <c r="AG57" s="2141"/>
      <c r="AH57" s="262"/>
      <c r="AI57" s="2135">
        <v>5.0999999999999996</v>
      </c>
      <c r="AJ57" s="320"/>
      <c r="AK57" s="2138"/>
      <c r="AL57" s="320">
        <f t="shared" si="0"/>
        <v>-1.7</v>
      </c>
      <c r="AM57" s="657"/>
      <c r="AN57" s="2817">
        <f>ROUND(IF(AI57=0,1,AL57/ABS(AI57)),3)</f>
        <v>-0.33300000000000002</v>
      </c>
    </row>
    <row r="58" spans="1:43" ht="15.6">
      <c r="A58" s="223"/>
      <c r="B58" s="1830" t="s">
        <v>1353</v>
      </c>
      <c r="C58" s="1358"/>
      <c r="D58" s="223"/>
      <c r="E58" s="2135">
        <v>1.2</v>
      </c>
      <c r="F58" s="2135">
        <v>0</v>
      </c>
      <c r="G58" s="2135">
        <v>0.6</v>
      </c>
      <c r="H58" s="319"/>
      <c r="I58" s="2135">
        <v>1.7</v>
      </c>
      <c r="J58" s="319"/>
      <c r="K58" s="2135">
        <v>3.7</v>
      </c>
      <c r="L58" s="261"/>
      <c r="M58" s="261">
        <v>1.2</v>
      </c>
      <c r="N58" s="261"/>
      <c r="O58" s="517">
        <v>2.7</v>
      </c>
      <c r="P58" s="261"/>
      <c r="Q58" s="517">
        <v>2.1</v>
      </c>
      <c r="R58" s="261"/>
      <c r="S58" s="517">
        <v>1.1000000000000001</v>
      </c>
      <c r="T58" s="261"/>
      <c r="U58" s="517">
        <v>0.7</v>
      </c>
      <c r="V58" s="261"/>
      <c r="W58" s="517"/>
      <c r="X58" s="261"/>
      <c r="Y58" s="517"/>
      <c r="Z58" s="261"/>
      <c r="AA58" s="517"/>
      <c r="AB58" s="517"/>
      <c r="AC58" s="1202">
        <v>0</v>
      </c>
      <c r="AD58" s="319"/>
      <c r="AE58" s="1284"/>
      <c r="AF58" s="320">
        <f t="shared" si="2"/>
        <v>15</v>
      </c>
      <c r="AG58" s="2141"/>
      <c r="AH58" s="262"/>
      <c r="AI58" s="2135">
        <v>9.8000000000000007</v>
      </c>
      <c r="AJ58" s="320"/>
      <c r="AK58" s="2138"/>
      <c r="AL58" s="320">
        <f t="shared" si="0"/>
        <v>5.2</v>
      </c>
      <c r="AM58" s="657"/>
      <c r="AN58" s="2851">
        <f>ROUND(IF(AI58=0,0,AL58/ABS(AI58)),3)</f>
        <v>0.53100000000000003</v>
      </c>
    </row>
    <row r="59" spans="1:43" ht="15.6">
      <c r="A59" s="223"/>
      <c r="B59" s="1830" t="s">
        <v>1325</v>
      </c>
      <c r="C59" s="1358"/>
      <c r="D59" s="223"/>
      <c r="E59" s="2135">
        <v>0</v>
      </c>
      <c r="F59" s="2135">
        <v>0</v>
      </c>
      <c r="G59" s="2135">
        <v>0.1</v>
      </c>
      <c r="H59" s="319"/>
      <c r="I59" s="2135">
        <v>0</v>
      </c>
      <c r="J59" s="319"/>
      <c r="K59" s="2135">
        <v>0</v>
      </c>
      <c r="L59" s="261"/>
      <c r="M59" s="261">
        <v>0</v>
      </c>
      <c r="N59" s="261"/>
      <c r="O59" s="517">
        <v>0.6</v>
      </c>
      <c r="P59" s="261"/>
      <c r="Q59" s="517">
        <v>0</v>
      </c>
      <c r="R59" s="261"/>
      <c r="S59" s="517">
        <v>0</v>
      </c>
      <c r="T59" s="261"/>
      <c r="U59" s="517">
        <v>0</v>
      </c>
      <c r="V59" s="261"/>
      <c r="W59" s="517"/>
      <c r="X59" s="261"/>
      <c r="Y59" s="517"/>
      <c r="Z59" s="261"/>
      <c r="AA59" s="517"/>
      <c r="AB59" s="517"/>
      <c r="AC59" s="1202">
        <v>0</v>
      </c>
      <c r="AD59" s="319"/>
      <c r="AE59" s="1284"/>
      <c r="AF59" s="320">
        <f t="shared" si="2"/>
        <v>0.7</v>
      </c>
      <c r="AG59" s="2141"/>
      <c r="AH59" s="262"/>
      <c r="AI59" s="2135">
        <v>10</v>
      </c>
      <c r="AJ59" s="320"/>
      <c r="AK59" s="2138"/>
      <c r="AL59" s="320">
        <f t="shared" si="0"/>
        <v>-9.3000000000000007</v>
      </c>
      <c r="AM59" s="657"/>
      <c r="AN59" s="2851">
        <f>ROUND(IF(AI59=0,0,AL59/ABS(AI59)),3)</f>
        <v>-0.93</v>
      </c>
    </row>
    <row r="60" spans="1:43" s="652" customFormat="1" ht="15.6" collapsed="1">
      <c r="A60" s="221"/>
      <c r="B60" s="589" t="s">
        <v>1486</v>
      </c>
      <c r="C60" s="221"/>
      <c r="D60" s="221"/>
      <c r="E60" s="1283">
        <f>ROUND(SUM(E34:E59),1)</f>
        <v>83.8</v>
      </c>
      <c r="F60" s="313"/>
      <c r="G60" s="1283">
        <f>ROUND(SUM(G34:G59),1)</f>
        <v>132.30000000000001</v>
      </c>
      <c r="H60" s="2160"/>
      <c r="I60" s="1283">
        <f>ROUND(SUM(I34:I59),1)</f>
        <v>954.7</v>
      </c>
      <c r="J60" s="313"/>
      <c r="K60" s="1283">
        <f>ROUND(SUM(K34:K59),1)</f>
        <v>139.6</v>
      </c>
      <c r="L60" s="1886"/>
      <c r="M60" s="484">
        <f>ROUND(SUM(M34:M59),1)</f>
        <v>98.6</v>
      </c>
      <c r="N60" s="1886"/>
      <c r="O60" s="484">
        <f>ROUND(SUM(O34:O59),1)</f>
        <v>292</v>
      </c>
      <c r="P60" s="1886"/>
      <c r="Q60" s="484">
        <f>ROUND(SUM(Q34:Q59),1)</f>
        <v>383.4</v>
      </c>
      <c r="R60" s="1886"/>
      <c r="S60" s="484">
        <f>ROUND(SUM(S34:S59),1)</f>
        <v>109.6</v>
      </c>
      <c r="T60" s="1886"/>
      <c r="U60" s="484">
        <f>ROUND(SUM(U34:U59),1)</f>
        <v>770.6</v>
      </c>
      <c r="V60" s="1886"/>
      <c r="W60" s="484">
        <f>ROUND(SUM(W34:W59),1)</f>
        <v>0</v>
      </c>
      <c r="X60" s="1886"/>
      <c r="Y60" s="484">
        <f>ROUND(SUM(Y34:Y59),1)</f>
        <v>0</v>
      </c>
      <c r="Z60" s="1886"/>
      <c r="AA60" s="484">
        <f>ROUND(SUM(AA34:AA59),1)</f>
        <v>0</v>
      </c>
      <c r="AB60" s="273"/>
      <c r="AC60" s="484">
        <f>ROUND(SUM(AC34:AC59),1)</f>
        <v>0</v>
      </c>
      <c r="AD60" s="313"/>
      <c r="AE60" s="1285"/>
      <c r="AF60" s="1283">
        <f>ROUND(SUM(AF34:AF59),1)</f>
        <v>2964.6</v>
      </c>
      <c r="AG60" s="2142"/>
      <c r="AH60" s="316"/>
      <c r="AI60" s="3167">
        <f>ROUND(SUM(AI34:AI59),1)</f>
        <v>2179.4</v>
      </c>
      <c r="AJ60" s="2185"/>
      <c r="AK60" s="2138"/>
      <c r="AL60" s="1283">
        <f>ROUND(SUM(AL34:AL59),1)</f>
        <v>785.2</v>
      </c>
      <c r="AM60" s="2098"/>
      <c r="AN60" s="2821">
        <f>ROUND(IF(AI60=0,0,AL60/ABS(AI60)),3)</f>
        <v>0.36</v>
      </c>
    </row>
    <row r="61" spans="1:43" s="652" customFormat="1" ht="15.6">
      <c r="A61" s="221"/>
      <c r="B61" s="589"/>
      <c r="C61" s="221"/>
      <c r="D61" s="221"/>
      <c r="E61" s="316"/>
      <c r="F61" s="313"/>
      <c r="G61" s="316"/>
      <c r="H61" s="2160"/>
      <c r="I61" s="316"/>
      <c r="J61" s="313"/>
      <c r="K61" s="316"/>
      <c r="L61" s="1886"/>
      <c r="M61" s="273"/>
      <c r="N61" s="1886"/>
      <c r="O61" s="273"/>
      <c r="P61" s="1886"/>
      <c r="Q61" s="273"/>
      <c r="R61" s="1886"/>
      <c r="S61" s="273"/>
      <c r="T61" s="1886"/>
      <c r="U61" s="3152"/>
      <c r="V61" s="1886"/>
      <c r="W61" s="273"/>
      <c r="X61" s="1886"/>
      <c r="Y61" s="273"/>
      <c r="Z61" s="1886"/>
      <c r="AA61" s="273"/>
      <c r="AB61" s="273"/>
      <c r="AC61" s="273"/>
      <c r="AD61" s="313"/>
      <c r="AE61" s="1285"/>
      <c r="AF61" s="316"/>
      <c r="AG61" s="2187"/>
      <c r="AH61" s="316"/>
      <c r="AI61" s="316"/>
      <c r="AJ61" s="2185"/>
      <c r="AK61" s="2138"/>
      <c r="AL61" s="316"/>
      <c r="AM61" s="2098"/>
      <c r="AN61" s="651"/>
    </row>
    <row r="62" spans="1:43" ht="15.6">
      <c r="A62" s="223"/>
      <c r="B62" s="223" t="s">
        <v>155</v>
      </c>
      <c r="C62" s="223"/>
      <c r="D62" s="223"/>
      <c r="E62" s="688">
        <v>0</v>
      </c>
      <c r="F62" s="319"/>
      <c r="G62" s="688">
        <v>0</v>
      </c>
      <c r="H62" s="319"/>
      <c r="I62" s="688">
        <v>0</v>
      </c>
      <c r="J62" s="319"/>
      <c r="K62" s="688">
        <v>0</v>
      </c>
      <c r="L62" s="261"/>
      <c r="M62" s="373">
        <v>0</v>
      </c>
      <c r="N62" s="261"/>
      <c r="O62" s="517">
        <v>2.5</v>
      </c>
      <c r="P62" s="261"/>
      <c r="Q62" s="373">
        <v>0</v>
      </c>
      <c r="R62" s="261"/>
      <c r="S62" s="373">
        <v>0</v>
      </c>
      <c r="T62" s="261"/>
      <c r="U62" s="373">
        <v>0</v>
      </c>
      <c r="V62" s="261"/>
      <c r="W62" s="373"/>
      <c r="X62" s="261"/>
      <c r="Y62" s="517"/>
      <c r="Z62" s="261"/>
      <c r="AA62" s="517"/>
      <c r="AB62" s="517"/>
      <c r="AC62" s="1202">
        <v>0</v>
      </c>
      <c r="AD62" s="319"/>
      <c r="AE62" s="1284"/>
      <c r="AF62" s="320">
        <f>ROUND(SUM(E62:AC62),1)</f>
        <v>2.5</v>
      </c>
      <c r="AG62" s="2137"/>
      <c r="AH62" s="262"/>
      <c r="AI62" s="320">
        <v>2.5</v>
      </c>
      <c r="AJ62" s="320"/>
      <c r="AK62" s="2181"/>
      <c r="AL62" s="320">
        <f>ROUND(AF62-AI62,1)</f>
        <v>0</v>
      </c>
      <c r="AM62" s="657"/>
      <c r="AN62" s="45">
        <f>ROUND(IF(AI62=0,0,AL62/ABS(AI62)),3)</f>
        <v>0</v>
      </c>
    </row>
    <row r="63" spans="1:43" ht="15.6">
      <c r="A63" s="223"/>
      <c r="B63" s="223"/>
      <c r="C63" s="223"/>
      <c r="D63" s="223"/>
      <c r="E63" s="328"/>
      <c r="F63" s="319"/>
      <c r="G63" s="328"/>
      <c r="H63" s="319"/>
      <c r="I63" s="328"/>
      <c r="J63" s="319"/>
      <c r="K63" s="2161"/>
      <c r="L63" s="261"/>
      <c r="M63" s="289"/>
      <c r="N63" s="261"/>
      <c r="O63" s="289"/>
      <c r="P63" s="261"/>
      <c r="Q63" s="289"/>
      <c r="R63" s="261"/>
      <c r="S63" s="289"/>
      <c r="T63" s="261"/>
      <c r="U63" s="289"/>
      <c r="V63" s="261"/>
      <c r="W63" s="289"/>
      <c r="X63" s="261"/>
      <c r="Y63" s="289"/>
      <c r="Z63" s="261"/>
      <c r="AA63" s="289"/>
      <c r="AB63" s="249"/>
      <c r="AC63" s="289"/>
      <c r="AD63" s="319"/>
      <c r="AE63" s="1284"/>
      <c r="AF63" s="328"/>
      <c r="AG63" s="2137"/>
      <c r="AH63" s="262"/>
      <c r="AI63" s="328"/>
      <c r="AJ63" s="262"/>
      <c r="AK63" s="2181"/>
      <c r="AL63" s="328"/>
      <c r="AM63" s="647"/>
      <c r="AN63" s="371"/>
    </row>
    <row r="64" spans="1:43" ht="15.6">
      <c r="A64" s="223"/>
      <c r="B64" s="221" t="s">
        <v>203</v>
      </c>
      <c r="C64" s="223"/>
      <c r="D64" s="223"/>
      <c r="E64" s="2893">
        <f>ROUND(SUM(E32+E60+E62),1)</f>
        <v>183.7</v>
      </c>
      <c r="F64" s="313"/>
      <c r="G64" s="2893">
        <f>ROUND(SUM(G32+G60+G62),1)</f>
        <v>225.6</v>
      </c>
      <c r="H64" s="313"/>
      <c r="I64" s="2893">
        <f>ROUND(SUM(I32+I60+I62),1)</f>
        <v>1083.5</v>
      </c>
      <c r="J64" s="313"/>
      <c r="K64" s="2893">
        <f>ROUND(SUM(K32+K60+K62),1)</f>
        <v>251.8</v>
      </c>
      <c r="L64" s="257"/>
      <c r="M64" s="2894">
        <f>ROUND(SUM(M32+M60+M62),1)</f>
        <v>216.2</v>
      </c>
      <c r="N64" s="257"/>
      <c r="O64" s="2894">
        <f>ROUND(SUM(O32+O60+O62),1)</f>
        <v>431.6</v>
      </c>
      <c r="P64" s="257"/>
      <c r="Q64" s="2894">
        <f>ROUND(SUM(Q32+Q60+Q62),1)</f>
        <v>498.7</v>
      </c>
      <c r="R64" s="257"/>
      <c r="S64" s="2894">
        <f>ROUND(SUM(S32+S60+S62),1)</f>
        <v>224.1</v>
      </c>
      <c r="T64" s="257"/>
      <c r="U64" s="2894">
        <f>ROUND(SUM(U32+U60+U62),1)</f>
        <v>903.4</v>
      </c>
      <c r="V64" s="257"/>
      <c r="W64" s="2894">
        <f>ROUND(SUM(W32+W60+W62),1)</f>
        <v>0</v>
      </c>
      <c r="X64" s="257"/>
      <c r="Y64" s="2894">
        <f>ROUND(SUM(Y32+Y60+Y62),1)</f>
        <v>0</v>
      </c>
      <c r="Z64" s="257"/>
      <c r="AA64" s="2894">
        <f>ROUND(SUM(AA32+AA60+AA62),1)</f>
        <v>0</v>
      </c>
      <c r="AB64" s="1886"/>
      <c r="AC64" s="2894">
        <f>ROUND(SUM(AC32+AC60+AC62),1)</f>
        <v>0</v>
      </c>
      <c r="AD64" s="313"/>
      <c r="AE64" s="1285"/>
      <c r="AF64" s="2893">
        <f>ROUND(SUM(AF32+AF60+AF62),1)</f>
        <v>4018.6</v>
      </c>
      <c r="AG64" s="2142"/>
      <c r="AH64" s="316"/>
      <c r="AI64" s="2893">
        <f>ROUND(SUM(AI32+AI60+AI62),1)</f>
        <v>3227.3</v>
      </c>
      <c r="AJ64" s="2185"/>
      <c r="AK64" s="2181"/>
      <c r="AL64" s="2188">
        <f>ROUND(SUM(AL32+AL60+AL62),1)</f>
        <v>791.3</v>
      </c>
      <c r="AM64" s="369"/>
      <c r="AN64" s="1961">
        <f>ROUND(IF(AI64=0,0,AL64/ABS(AI64)),3)</f>
        <v>0.245</v>
      </c>
      <c r="AO64" s="652"/>
      <c r="AQ64" s="370"/>
    </row>
    <row r="65" spans="1:43" ht="15.6">
      <c r="A65" s="223"/>
      <c r="B65" s="223"/>
      <c r="C65" s="223"/>
      <c r="D65" s="223"/>
      <c r="E65" s="328"/>
      <c r="F65" s="319"/>
      <c r="G65" s="328"/>
      <c r="H65" s="319"/>
      <c r="I65" s="328"/>
      <c r="J65" s="319"/>
      <c r="K65" s="328"/>
      <c r="L65" s="261"/>
      <c r="M65" s="289"/>
      <c r="N65" s="261"/>
      <c r="O65" s="289"/>
      <c r="P65" s="261"/>
      <c r="Q65" s="289"/>
      <c r="R65" s="261"/>
      <c r="S65" s="289"/>
      <c r="T65" s="261"/>
      <c r="U65" s="289"/>
      <c r="V65" s="261"/>
      <c r="W65" s="289"/>
      <c r="X65" s="261"/>
      <c r="Y65" s="289"/>
      <c r="Z65" s="261"/>
      <c r="AA65" s="289"/>
      <c r="AB65" s="249"/>
      <c r="AC65" s="289"/>
      <c r="AD65" s="262"/>
      <c r="AE65" s="262"/>
      <c r="AF65" s="328"/>
      <c r="AG65" s="262"/>
      <c r="AH65" s="262"/>
      <c r="AI65" s="328"/>
      <c r="AJ65" s="262"/>
      <c r="AK65" s="316"/>
      <c r="AL65" s="689"/>
      <c r="AM65" s="647"/>
      <c r="AN65" s="655"/>
    </row>
    <row r="66" spans="1:43" ht="15.6">
      <c r="A66" s="223"/>
      <c r="B66" s="221" t="s">
        <v>24</v>
      </c>
      <c r="C66" s="223"/>
      <c r="D66" s="223"/>
      <c r="E66" s="319"/>
      <c r="F66" s="319"/>
      <c r="G66" s="319"/>
      <c r="H66" s="319"/>
      <c r="I66" s="319"/>
      <c r="J66" s="319"/>
      <c r="K66" s="319"/>
      <c r="L66" s="261"/>
      <c r="M66" s="261"/>
      <c r="N66" s="261"/>
      <c r="O66" s="261"/>
      <c r="P66" s="261"/>
      <c r="Q66" s="261"/>
      <c r="R66" s="261"/>
      <c r="S66" s="261"/>
      <c r="T66" s="261"/>
      <c r="U66" s="261"/>
      <c r="V66" s="261"/>
      <c r="W66" s="261"/>
      <c r="X66" s="261"/>
      <c r="Y66" s="261"/>
      <c r="Z66" s="261"/>
      <c r="AA66" s="261"/>
      <c r="AB66" s="261"/>
      <c r="AC66" s="261"/>
      <c r="AD66" s="319"/>
      <c r="AE66" s="1284"/>
      <c r="AF66" s="319"/>
      <c r="AG66" s="2137"/>
      <c r="AH66" s="262"/>
      <c r="AI66" s="319"/>
      <c r="AJ66" s="319"/>
      <c r="AK66" s="2181"/>
      <c r="AL66" s="689"/>
      <c r="AM66" s="647"/>
      <c r="AN66" s="655"/>
    </row>
    <row r="67" spans="1:43" ht="15.6">
      <c r="A67" s="223"/>
      <c r="B67" s="223" t="s">
        <v>157</v>
      </c>
      <c r="C67" s="223"/>
      <c r="D67" s="223"/>
      <c r="E67" s="319"/>
      <c r="F67" s="319"/>
      <c r="G67" s="319"/>
      <c r="H67" s="319"/>
      <c r="I67" s="319"/>
      <c r="J67" s="319"/>
      <c r="K67" s="319"/>
      <c r="L67" s="261"/>
      <c r="M67" s="261"/>
      <c r="N67" s="261"/>
      <c r="O67" s="261"/>
      <c r="P67" s="261"/>
      <c r="Q67" s="261"/>
      <c r="R67" s="261"/>
      <c r="S67" s="261"/>
      <c r="T67" s="261"/>
      <c r="U67" s="261"/>
      <c r="V67" s="261"/>
      <c r="W67" s="261"/>
      <c r="X67" s="261"/>
      <c r="Y67" s="261"/>
      <c r="Z67" s="261"/>
      <c r="AA67" s="261"/>
      <c r="AB67" s="261"/>
      <c r="AC67" s="261"/>
      <c r="AD67" s="319"/>
      <c r="AE67" s="1284"/>
      <c r="AF67" s="320"/>
      <c r="AG67" s="2137"/>
      <c r="AH67" s="262"/>
      <c r="AI67" s="319"/>
      <c r="AJ67" s="319"/>
      <c r="AK67" s="2181"/>
      <c r="AL67" s="689"/>
      <c r="AM67" s="647"/>
      <c r="AN67" s="655"/>
    </row>
    <row r="68" spans="1:43" ht="15.6">
      <c r="A68" s="223"/>
      <c r="B68" s="223" t="s">
        <v>26</v>
      </c>
      <c r="C68" s="223"/>
      <c r="D68" s="223"/>
      <c r="E68" s="2135">
        <v>0.1</v>
      </c>
      <c r="F68" s="319"/>
      <c r="G68" s="2135">
        <v>0.1</v>
      </c>
      <c r="H68" s="319"/>
      <c r="I68" s="2135">
        <v>0.1</v>
      </c>
      <c r="J68" s="319"/>
      <c r="K68" s="2135">
        <v>0.3</v>
      </c>
      <c r="L68" s="261"/>
      <c r="M68" s="517">
        <v>0</v>
      </c>
      <c r="N68" s="261"/>
      <c r="O68" s="517">
        <v>13</v>
      </c>
      <c r="P68" s="261"/>
      <c r="Q68" s="517">
        <v>0</v>
      </c>
      <c r="R68" s="261"/>
      <c r="S68" s="517">
        <v>0.2</v>
      </c>
      <c r="T68" s="261"/>
      <c r="U68" s="517">
        <v>0</v>
      </c>
      <c r="V68" s="261"/>
      <c r="W68" s="517"/>
      <c r="X68" s="261"/>
      <c r="Y68" s="517"/>
      <c r="Z68" s="261"/>
      <c r="AA68" s="517"/>
      <c r="AB68" s="517"/>
      <c r="AC68" s="1202">
        <v>0</v>
      </c>
      <c r="AD68" s="319"/>
      <c r="AE68" s="1284"/>
      <c r="AF68" s="320">
        <f>ROUND(SUM(E68:AC68),1)</f>
        <v>13.8</v>
      </c>
      <c r="AG68" s="2137"/>
      <c r="AH68" s="262"/>
      <c r="AI68" s="319">
        <v>16.8</v>
      </c>
      <c r="AJ68" s="320"/>
      <c r="AK68" s="2138"/>
      <c r="AL68" s="320">
        <f t="shared" ref="AL68:AL77" si="3">ROUND(AF68-AI68,1)</f>
        <v>-3</v>
      </c>
      <c r="AM68" s="657"/>
      <c r="AN68" s="45">
        <f>ROUND(IF(AI68=0,0,AL68/ABS(AI68)),3)</f>
        <v>-0.17899999999999999</v>
      </c>
    </row>
    <row r="69" spans="1:43" ht="15.6">
      <c r="A69" s="223"/>
      <c r="B69" s="223" t="s">
        <v>27</v>
      </c>
      <c r="C69" s="223"/>
      <c r="D69" s="223"/>
      <c r="E69" s="1277">
        <v>2.7</v>
      </c>
      <c r="F69" s="319"/>
      <c r="G69" s="2135">
        <v>2.6</v>
      </c>
      <c r="H69" s="319"/>
      <c r="I69" s="2135">
        <v>7.2</v>
      </c>
      <c r="J69" s="319"/>
      <c r="K69" s="2135">
        <v>10.3</v>
      </c>
      <c r="L69" s="261"/>
      <c r="M69" s="517">
        <v>7.1</v>
      </c>
      <c r="N69" s="261"/>
      <c r="O69" s="517">
        <v>16.8</v>
      </c>
      <c r="P69" s="261"/>
      <c r="Q69" s="517">
        <v>0.5</v>
      </c>
      <c r="R69" s="261"/>
      <c r="S69" s="517">
        <v>34.1</v>
      </c>
      <c r="T69" s="261"/>
      <c r="U69" s="517">
        <v>6.1</v>
      </c>
      <c r="V69" s="261"/>
      <c r="W69" s="517"/>
      <c r="X69" s="261"/>
      <c r="Y69" s="517"/>
      <c r="Z69" s="261"/>
      <c r="AA69" s="373"/>
      <c r="AB69" s="373"/>
      <c r="AC69" s="1202">
        <v>0</v>
      </c>
      <c r="AD69" s="319"/>
      <c r="AE69" s="1284"/>
      <c r="AF69" s="320">
        <f>ROUND(SUM(E69:AC69),1)</f>
        <v>87.4</v>
      </c>
      <c r="AG69" s="2137"/>
      <c r="AH69" s="262"/>
      <c r="AI69" s="319">
        <v>63.3</v>
      </c>
      <c r="AJ69" s="320"/>
      <c r="AK69" s="2138"/>
      <c r="AL69" s="320">
        <f t="shared" si="3"/>
        <v>24.1</v>
      </c>
      <c r="AM69" s="657"/>
      <c r="AN69" s="45">
        <f>ROUND(IF(AI69=0,0,AL69/ABS(AI69)),3)</f>
        <v>0.38100000000000001</v>
      </c>
    </row>
    <row r="70" spans="1:43" ht="15.6">
      <c r="A70" s="223"/>
      <c r="B70" s="223" t="s">
        <v>28</v>
      </c>
      <c r="C70" s="223"/>
      <c r="D70" s="223"/>
      <c r="E70" s="2135">
        <v>9.1</v>
      </c>
      <c r="F70" s="319"/>
      <c r="G70" s="2135">
        <v>4.2</v>
      </c>
      <c r="H70" s="319"/>
      <c r="I70" s="2135">
        <v>5.9</v>
      </c>
      <c r="J70" s="319"/>
      <c r="K70" s="2135">
        <v>15</v>
      </c>
      <c r="L70" s="261"/>
      <c r="M70" s="517">
        <v>4.9000000000000004</v>
      </c>
      <c r="N70" s="261"/>
      <c r="O70" s="517">
        <v>3.2</v>
      </c>
      <c r="P70" s="261"/>
      <c r="Q70" s="517">
        <v>4.5999999999999996</v>
      </c>
      <c r="R70" s="261"/>
      <c r="S70" s="517">
        <v>5.4</v>
      </c>
      <c r="T70" s="261"/>
      <c r="U70" s="517">
        <v>35.299999999999997</v>
      </c>
      <c r="V70" s="261"/>
      <c r="W70" s="517"/>
      <c r="X70" s="261"/>
      <c r="Y70" s="517"/>
      <c r="Z70" s="261"/>
      <c r="AA70" s="517"/>
      <c r="AB70" s="517"/>
      <c r="AC70" s="1202">
        <v>0</v>
      </c>
      <c r="AD70" s="319"/>
      <c r="AE70" s="1284"/>
      <c r="AF70" s="320">
        <f>ROUND(SUM(E70:AC70),1)</f>
        <v>87.6</v>
      </c>
      <c r="AG70" s="2137"/>
      <c r="AH70" s="262"/>
      <c r="AI70" s="319">
        <v>82.3</v>
      </c>
      <c r="AJ70" s="320"/>
      <c r="AK70" s="2138"/>
      <c r="AL70" s="320">
        <f t="shared" si="3"/>
        <v>5.3</v>
      </c>
      <c r="AM70" s="657"/>
      <c r="AN70" s="45">
        <f>ROUND(IF(AI70=0,0,AL70/ABS(AI70)),3)</f>
        <v>6.4000000000000001E-2</v>
      </c>
      <c r="AO70" s="647"/>
    </row>
    <row r="71" spans="1:43" ht="15.6">
      <c r="A71" s="223"/>
      <c r="B71" s="223" t="s">
        <v>29</v>
      </c>
      <c r="C71" s="223"/>
      <c r="D71" s="223"/>
      <c r="E71" s="329"/>
      <c r="F71" s="319"/>
      <c r="G71" s="2135"/>
      <c r="H71" s="319"/>
      <c r="I71" s="319"/>
      <c r="J71" s="319"/>
      <c r="K71" s="2135"/>
      <c r="L71" s="261"/>
      <c r="M71" s="517"/>
      <c r="N71" s="261"/>
      <c r="O71" s="517"/>
      <c r="P71" s="261"/>
      <c r="Q71" s="517"/>
      <c r="R71" s="261"/>
      <c r="S71" s="517"/>
      <c r="T71" s="261"/>
      <c r="U71" s="517"/>
      <c r="V71" s="261"/>
      <c r="W71" s="517"/>
      <c r="X71" s="261"/>
      <c r="Y71" s="517"/>
      <c r="Z71" s="261"/>
      <c r="AA71" s="517"/>
      <c r="AB71" s="517"/>
      <c r="AC71" s="517"/>
      <c r="AD71" s="319"/>
      <c r="AE71" s="1284"/>
      <c r="AF71" s="320"/>
      <c r="AG71" s="2137"/>
      <c r="AH71" s="262"/>
      <c r="AI71" s="319"/>
      <c r="AJ71" s="319"/>
      <c r="AK71" s="2181"/>
      <c r="AL71" s="1351"/>
      <c r="AM71" s="657"/>
      <c r="AN71" s="655"/>
      <c r="AO71" s="647"/>
    </row>
    <row r="72" spans="1:43" ht="15.6">
      <c r="A72" s="223"/>
      <c r="B72" s="223" t="s">
        <v>30</v>
      </c>
      <c r="C72" s="221"/>
      <c r="D72" s="223"/>
      <c r="E72" s="329">
        <v>0</v>
      </c>
      <c r="F72" s="319"/>
      <c r="G72" s="329">
        <v>0</v>
      </c>
      <c r="H72" s="319"/>
      <c r="I72" s="329">
        <v>0</v>
      </c>
      <c r="J72" s="319"/>
      <c r="K72" s="329">
        <v>0</v>
      </c>
      <c r="L72" s="261"/>
      <c r="M72" s="266">
        <v>0</v>
      </c>
      <c r="N72" s="261"/>
      <c r="O72" s="266">
        <v>0</v>
      </c>
      <c r="P72" s="261"/>
      <c r="Q72" s="266">
        <v>0</v>
      </c>
      <c r="R72" s="261"/>
      <c r="S72" s="266">
        <v>0</v>
      </c>
      <c r="T72" s="261"/>
      <c r="U72" s="266">
        <v>0</v>
      </c>
      <c r="V72" s="261"/>
      <c r="W72" s="266"/>
      <c r="X72" s="261"/>
      <c r="Y72" s="517"/>
      <c r="Z72" s="261"/>
      <c r="AA72" s="517"/>
      <c r="AB72" s="517"/>
      <c r="AC72" s="1202">
        <v>0</v>
      </c>
      <c r="AD72" s="319"/>
      <c r="AE72" s="1284"/>
      <c r="AF72" s="320">
        <f t="shared" ref="AF72:AF77" si="4">ROUND(SUM(E72:AC72),1)</f>
        <v>0</v>
      </c>
      <c r="AG72" s="2137"/>
      <c r="AH72" s="262"/>
      <c r="AI72" s="329">
        <v>0</v>
      </c>
      <c r="AJ72" s="319"/>
      <c r="AK72" s="2181"/>
      <c r="AL72" s="320">
        <f t="shared" si="3"/>
        <v>0</v>
      </c>
      <c r="AM72" s="647"/>
      <c r="AN72" s="45">
        <f>ROUND(IF(AI72=0,0,AL72/ABS(AI72)),3)</f>
        <v>0</v>
      </c>
      <c r="AO72" s="647"/>
    </row>
    <row r="73" spans="1:43" ht="15.6">
      <c r="A73" s="223"/>
      <c r="B73" s="223" t="s">
        <v>31</v>
      </c>
      <c r="C73" s="223"/>
      <c r="D73" s="223"/>
      <c r="E73" s="1277">
        <v>3.6</v>
      </c>
      <c r="F73" s="319"/>
      <c r="G73" s="2135">
        <v>4.9000000000000004</v>
      </c>
      <c r="H73" s="319"/>
      <c r="I73" s="2135">
        <v>5.2</v>
      </c>
      <c r="J73" s="319"/>
      <c r="K73" s="2135">
        <v>8.3000000000000007</v>
      </c>
      <c r="L73" s="261"/>
      <c r="M73" s="517">
        <v>8.5</v>
      </c>
      <c r="N73" s="261"/>
      <c r="O73" s="517">
        <v>15.2</v>
      </c>
      <c r="P73" s="261"/>
      <c r="Q73" s="517">
        <v>2.1</v>
      </c>
      <c r="R73" s="261"/>
      <c r="S73" s="517">
        <v>8.1999999999999993</v>
      </c>
      <c r="T73" s="261"/>
      <c r="U73" s="517">
        <v>9.3000000000000007</v>
      </c>
      <c r="V73" s="261"/>
      <c r="W73" s="517"/>
      <c r="X73" s="261"/>
      <c r="Y73" s="517"/>
      <c r="Z73" s="261"/>
      <c r="AA73" s="373"/>
      <c r="AB73" s="373"/>
      <c r="AC73" s="1202">
        <v>0</v>
      </c>
      <c r="AD73" s="319"/>
      <c r="AE73" s="1284"/>
      <c r="AF73" s="320">
        <f t="shared" si="4"/>
        <v>65.3</v>
      </c>
      <c r="AG73" s="2137"/>
      <c r="AH73" s="262"/>
      <c r="AI73" s="319">
        <v>46.1</v>
      </c>
      <c r="AJ73" s="320"/>
      <c r="AK73" s="2138"/>
      <c r="AL73" s="320">
        <f t="shared" si="3"/>
        <v>19.2</v>
      </c>
      <c r="AM73" s="657"/>
      <c r="AN73" s="45">
        <f>ROUND(IF(AI73=0,0,AL73/ABS(AI73)),3)</f>
        <v>0.41599999999999998</v>
      </c>
    </row>
    <row r="74" spans="1:43" ht="15.6">
      <c r="A74" s="223"/>
      <c r="B74" s="223" t="s">
        <v>32</v>
      </c>
      <c r="C74" s="223"/>
      <c r="D74" s="223"/>
      <c r="E74" s="329">
        <v>0</v>
      </c>
      <c r="F74" s="319"/>
      <c r="G74" s="329">
        <v>0</v>
      </c>
      <c r="H74" s="319"/>
      <c r="I74" s="329">
        <v>0</v>
      </c>
      <c r="J74" s="319"/>
      <c r="K74" s="329">
        <v>0</v>
      </c>
      <c r="L74" s="261"/>
      <c r="M74" s="266">
        <v>0</v>
      </c>
      <c r="N74" s="261"/>
      <c r="O74" s="266">
        <v>17</v>
      </c>
      <c r="P74" s="261"/>
      <c r="Q74" s="266">
        <v>26.2</v>
      </c>
      <c r="R74" s="261"/>
      <c r="S74" s="266">
        <v>6.7</v>
      </c>
      <c r="T74" s="261"/>
      <c r="U74" s="266">
        <v>0.3</v>
      </c>
      <c r="V74" s="261"/>
      <c r="W74" s="266"/>
      <c r="X74" s="261"/>
      <c r="Y74" s="517"/>
      <c r="Z74" s="261"/>
      <c r="AA74" s="517"/>
      <c r="AB74" s="517"/>
      <c r="AC74" s="1202">
        <v>0</v>
      </c>
      <c r="AD74" s="319"/>
      <c r="AE74" s="1284"/>
      <c r="AF74" s="320">
        <f>ROUND(SUM(E74:AC74),1)</f>
        <v>50.2</v>
      </c>
      <c r="AG74" s="2137"/>
      <c r="AH74" s="262"/>
      <c r="AI74" s="329">
        <v>0</v>
      </c>
      <c r="AJ74" s="320"/>
      <c r="AK74" s="2138"/>
      <c r="AL74" s="320">
        <f t="shared" si="3"/>
        <v>50.2</v>
      </c>
      <c r="AM74" s="657"/>
      <c r="AN74" s="2817">
        <f>ROUND(IF(AI74=0,1,AL74/ABS(AI74)),3)</f>
        <v>1</v>
      </c>
      <c r="AO74" s="647"/>
    </row>
    <row r="75" spans="1:43" ht="15.6">
      <c r="A75" s="223"/>
      <c r="B75" s="223" t="s">
        <v>33</v>
      </c>
      <c r="C75" s="223"/>
      <c r="D75" s="223"/>
      <c r="E75" s="329">
        <v>0</v>
      </c>
      <c r="F75" s="319"/>
      <c r="G75" s="2135">
        <v>0</v>
      </c>
      <c r="H75" s="319"/>
      <c r="I75" s="329">
        <v>10.199999999999999</v>
      </c>
      <c r="J75" s="319"/>
      <c r="K75" s="2135">
        <v>33.5</v>
      </c>
      <c r="L75" s="261"/>
      <c r="M75" s="517">
        <v>0</v>
      </c>
      <c r="N75" s="261"/>
      <c r="O75" s="517">
        <v>11.2</v>
      </c>
      <c r="P75" s="261"/>
      <c r="Q75" s="266">
        <v>0</v>
      </c>
      <c r="R75" s="261"/>
      <c r="S75" s="266">
        <v>17.2</v>
      </c>
      <c r="T75" s="261"/>
      <c r="U75" s="266">
        <v>0</v>
      </c>
      <c r="V75" s="261"/>
      <c r="W75" s="517"/>
      <c r="X75" s="261"/>
      <c r="Y75" s="517"/>
      <c r="Z75" s="261"/>
      <c r="AA75" s="517"/>
      <c r="AB75" s="517"/>
      <c r="AC75" s="1202">
        <v>0</v>
      </c>
      <c r="AD75" s="319"/>
      <c r="AE75" s="1284"/>
      <c r="AF75" s="320">
        <f t="shared" si="4"/>
        <v>72.099999999999994</v>
      </c>
      <c r="AG75" s="2137"/>
      <c r="AH75" s="262"/>
      <c r="AI75" s="319">
        <v>81.599999999999994</v>
      </c>
      <c r="AJ75" s="319"/>
      <c r="AK75" s="2181"/>
      <c r="AL75" s="320">
        <f t="shared" si="3"/>
        <v>-9.5</v>
      </c>
      <c r="AM75" s="657"/>
      <c r="AN75" s="45">
        <f>ROUND(IF(AI75=0,0,AL75/ABS(AI75)),3)</f>
        <v>-0.11600000000000001</v>
      </c>
      <c r="AO75" s="647"/>
    </row>
    <row r="76" spans="1:43" ht="15.6">
      <c r="A76" s="223"/>
      <c r="B76" s="223" t="s">
        <v>34</v>
      </c>
      <c r="C76" s="221"/>
      <c r="D76" s="223"/>
      <c r="E76" s="319">
        <v>21.2</v>
      </c>
      <c r="F76" s="319"/>
      <c r="G76" s="2135">
        <v>60</v>
      </c>
      <c r="H76" s="319"/>
      <c r="I76" s="2135">
        <v>59.8</v>
      </c>
      <c r="J76" s="319"/>
      <c r="K76" s="2135">
        <v>94.6</v>
      </c>
      <c r="L76" s="261"/>
      <c r="M76" s="517">
        <v>146.80000000000001</v>
      </c>
      <c r="N76" s="261"/>
      <c r="O76" s="517">
        <v>8.9</v>
      </c>
      <c r="P76" s="261"/>
      <c r="Q76" s="517">
        <v>8.1999999999999993</v>
      </c>
      <c r="R76" s="261"/>
      <c r="S76" s="517">
        <v>61</v>
      </c>
      <c r="T76" s="261"/>
      <c r="U76" s="517">
        <v>26.9</v>
      </c>
      <c r="V76" s="261"/>
      <c r="W76" s="517"/>
      <c r="X76" s="261"/>
      <c r="Y76" s="517"/>
      <c r="Z76" s="261"/>
      <c r="AA76" s="517"/>
      <c r="AB76" s="517"/>
      <c r="AC76" s="1202">
        <v>0</v>
      </c>
      <c r="AD76" s="319"/>
      <c r="AE76" s="1284"/>
      <c r="AF76" s="320">
        <f t="shared" si="4"/>
        <v>487.4</v>
      </c>
      <c r="AG76" s="2137"/>
      <c r="AH76" s="262"/>
      <c r="AI76" s="319">
        <v>204.4</v>
      </c>
      <c r="AJ76" s="319"/>
      <c r="AK76" s="2181"/>
      <c r="AL76" s="320">
        <f t="shared" si="3"/>
        <v>283</v>
      </c>
      <c r="AM76" s="647"/>
      <c r="AN76" s="3339">
        <f>ROUND(IF(AI76=0,0,AL76/ABS(AI76)),3)</f>
        <v>1.385</v>
      </c>
      <c r="AO76" s="647"/>
    </row>
    <row r="77" spans="1:43" ht="15.6">
      <c r="A77" s="223"/>
      <c r="B77" s="223" t="s">
        <v>35</v>
      </c>
      <c r="C77" s="223"/>
      <c r="D77" s="223"/>
      <c r="E77" s="2135">
        <v>4.4000000000000004</v>
      </c>
      <c r="F77" s="319"/>
      <c r="G77" s="2162">
        <v>3.2</v>
      </c>
      <c r="H77" s="319"/>
      <c r="I77" s="526">
        <v>32.5</v>
      </c>
      <c r="J77" s="319"/>
      <c r="K77" s="2135">
        <v>6.8</v>
      </c>
      <c r="L77" s="261"/>
      <c r="M77" s="517">
        <v>2.4</v>
      </c>
      <c r="N77" s="261"/>
      <c r="O77" s="517">
        <v>115</v>
      </c>
      <c r="P77" s="261"/>
      <c r="Q77" s="517">
        <v>1.7</v>
      </c>
      <c r="R77" s="261"/>
      <c r="S77" s="517">
        <v>7</v>
      </c>
      <c r="T77" s="261"/>
      <c r="U77" s="517">
        <v>242.9</v>
      </c>
      <c r="V77" s="261"/>
      <c r="W77" s="280"/>
      <c r="X77" s="261"/>
      <c r="Y77" s="517"/>
      <c r="Z77" s="261"/>
      <c r="AA77" s="280"/>
      <c r="AB77" s="254"/>
      <c r="AC77" s="1202">
        <v>0</v>
      </c>
      <c r="AD77" s="319"/>
      <c r="AE77" s="1284"/>
      <c r="AF77" s="320">
        <f t="shared" si="4"/>
        <v>415.9</v>
      </c>
      <c r="AG77" s="2137"/>
      <c r="AH77" s="262"/>
      <c r="AI77" s="1833">
        <v>403.4</v>
      </c>
      <c r="AJ77" s="262"/>
      <c r="AK77" s="2181"/>
      <c r="AL77" s="320">
        <f t="shared" si="3"/>
        <v>12.5</v>
      </c>
      <c r="AM77" s="657"/>
      <c r="AN77" s="45">
        <f>ROUND(IF(AI77=0,0,AL77/ABS(AI77)),3)</f>
        <v>3.1E-2</v>
      </c>
      <c r="AO77" s="647"/>
    </row>
    <row r="78" spans="1:43" ht="15.6">
      <c r="A78" s="223"/>
      <c r="B78" s="221" t="s">
        <v>204</v>
      </c>
      <c r="C78" s="223"/>
      <c r="D78" s="223"/>
      <c r="E78" s="2163">
        <f>ROUND(SUM(E68:E77),1)</f>
        <v>41.1</v>
      </c>
      <c r="F78" s="313"/>
      <c r="G78" s="2163">
        <f>ROUND(SUM(G68:G77),1)</f>
        <v>75</v>
      </c>
      <c r="H78" s="313"/>
      <c r="I78" s="2163">
        <f>ROUND(SUM(I68:I77),1)</f>
        <v>120.9</v>
      </c>
      <c r="J78" s="316"/>
      <c r="K78" s="2163">
        <f>ROUND(SUM(K68:K77),1)</f>
        <v>168.8</v>
      </c>
      <c r="L78" s="257"/>
      <c r="M78" s="545">
        <f>ROUND(SUM(M68:M77),1)</f>
        <v>169.7</v>
      </c>
      <c r="N78" s="273"/>
      <c r="O78" s="545">
        <f>ROUND(SUM(O68:O77),1)</f>
        <v>200.3</v>
      </c>
      <c r="P78" s="257"/>
      <c r="Q78" s="545">
        <f>ROUND(SUM(Q68:Q77),1)</f>
        <v>43.3</v>
      </c>
      <c r="R78" s="257"/>
      <c r="S78" s="545">
        <f>ROUND(SUM(S68:S77),1)</f>
        <v>139.80000000000001</v>
      </c>
      <c r="T78" s="257"/>
      <c r="U78" s="545">
        <f>ROUND(SUM(U68:U77),1)</f>
        <v>320.8</v>
      </c>
      <c r="V78" s="257"/>
      <c r="W78" s="545">
        <f>ROUND(SUM(W68:W77),1)</f>
        <v>0</v>
      </c>
      <c r="X78" s="257"/>
      <c r="Y78" s="545">
        <f>ROUND(SUM(Y68:Y77),1)</f>
        <v>0</v>
      </c>
      <c r="Z78" s="257"/>
      <c r="AA78" s="545">
        <f>ROUND(SUM(AA68:AA77),1)</f>
        <v>0</v>
      </c>
      <c r="AB78" s="273"/>
      <c r="AC78" s="545">
        <f>ROUND(SUM(AC68:AC77),1)</f>
        <v>0</v>
      </c>
      <c r="AD78" s="313"/>
      <c r="AE78" s="1285"/>
      <c r="AF78" s="2163">
        <f>ROUND(SUM(AF68:AF77),1)</f>
        <v>1279.7</v>
      </c>
      <c r="AG78" s="2142"/>
      <c r="AH78" s="316"/>
      <c r="AI78" s="2163">
        <f>ROUND(SUM(AI68:AI77),1)</f>
        <v>897.9</v>
      </c>
      <c r="AJ78" s="316"/>
      <c r="AK78" s="2181"/>
      <c r="AL78" s="2163">
        <f>ROUND(SUM(AL68:AL77),1)</f>
        <v>381.8</v>
      </c>
      <c r="AM78" s="665"/>
      <c r="AN78" s="72">
        <f>ROUND(IF(AI78=0,0,AL78/ABS(AI78)),3)</f>
        <v>0.42499999999999999</v>
      </c>
      <c r="AQ78" s="370"/>
    </row>
    <row r="79" spans="1:43" ht="15.6">
      <c r="A79" s="223"/>
      <c r="B79" s="223" t="s">
        <v>205</v>
      </c>
      <c r="C79" s="223"/>
      <c r="D79" s="223"/>
      <c r="E79" s="319"/>
      <c r="F79" s="319"/>
      <c r="G79" s="319"/>
      <c r="H79" s="319"/>
      <c r="I79" s="319"/>
      <c r="J79" s="319"/>
      <c r="K79" s="319"/>
      <c r="L79" s="261"/>
      <c r="M79" s="261"/>
      <c r="N79" s="261"/>
      <c r="O79" s="261"/>
      <c r="P79" s="261"/>
      <c r="Q79" s="261"/>
      <c r="R79" s="261"/>
      <c r="S79" s="261"/>
      <c r="T79" s="261"/>
      <c r="U79" s="261"/>
      <c r="V79" s="261"/>
      <c r="W79" s="261"/>
      <c r="X79" s="261"/>
      <c r="Y79" s="261"/>
      <c r="Z79" s="261"/>
      <c r="AA79" s="261"/>
      <c r="AB79" s="261"/>
      <c r="AC79" s="261"/>
      <c r="AD79" s="319"/>
      <c r="AE79" s="1284"/>
      <c r="AF79" s="319"/>
      <c r="AG79" s="2137"/>
      <c r="AH79" s="262"/>
      <c r="AI79" s="319"/>
      <c r="AJ79" s="319"/>
      <c r="AK79" s="2181"/>
      <c r="AL79" s="689"/>
      <c r="AM79" s="647"/>
      <c r="AN79" s="655"/>
    </row>
    <row r="80" spans="1:43" ht="15.6">
      <c r="A80" s="223"/>
      <c r="B80" s="223" t="s">
        <v>206</v>
      </c>
      <c r="C80" s="223"/>
      <c r="D80" s="223"/>
      <c r="E80" s="688">
        <v>0</v>
      </c>
      <c r="F80" s="319"/>
      <c r="G80" s="688">
        <v>0</v>
      </c>
      <c r="H80" s="319"/>
      <c r="I80" s="688">
        <v>0</v>
      </c>
      <c r="J80" s="319"/>
      <c r="K80" s="688">
        <v>0</v>
      </c>
      <c r="L80" s="261"/>
      <c r="M80" s="373">
        <v>0</v>
      </c>
      <c r="N80" s="261"/>
      <c r="O80" s="373">
        <v>0</v>
      </c>
      <c r="P80" s="261"/>
      <c r="Q80" s="373">
        <v>0</v>
      </c>
      <c r="R80" s="261"/>
      <c r="S80" s="373">
        <v>0</v>
      </c>
      <c r="T80" s="261"/>
      <c r="U80" s="373">
        <v>0</v>
      </c>
      <c r="V80" s="261"/>
      <c r="W80" s="373"/>
      <c r="X80" s="261"/>
      <c r="Y80" s="373"/>
      <c r="Z80" s="261"/>
      <c r="AA80" s="373"/>
      <c r="AB80" s="373"/>
      <c r="AC80" s="1202">
        <v>0</v>
      </c>
      <c r="AD80" s="319"/>
      <c r="AE80" s="1284"/>
      <c r="AF80" s="320">
        <f>ROUND(SUM(E80:AC80),1)</f>
        <v>0</v>
      </c>
      <c r="AG80" s="2137"/>
      <c r="AH80" s="262"/>
      <c r="AI80" s="688">
        <v>0</v>
      </c>
      <c r="AJ80" s="329"/>
      <c r="AK80" s="2189"/>
      <c r="AL80" s="320">
        <f>ROUND(AF80-AI80,1)</f>
        <v>0</v>
      </c>
      <c r="AM80" s="647"/>
      <c r="AN80" s="45">
        <f>ROUND(IF(AI80=0,0,AL80/ABS(AI80)),3)</f>
        <v>0</v>
      </c>
    </row>
    <row r="81" spans="1:43" ht="15.6">
      <c r="A81" s="223"/>
      <c r="B81" s="223" t="s">
        <v>207</v>
      </c>
      <c r="C81" s="223"/>
      <c r="D81" s="223"/>
      <c r="E81" s="688">
        <v>0</v>
      </c>
      <c r="F81" s="319"/>
      <c r="G81" s="688">
        <v>0</v>
      </c>
      <c r="H81" s="319"/>
      <c r="I81" s="688">
        <v>0</v>
      </c>
      <c r="J81" s="319"/>
      <c r="K81" s="688">
        <v>0</v>
      </c>
      <c r="L81" s="261"/>
      <c r="M81" s="373">
        <v>0</v>
      </c>
      <c r="N81" s="261"/>
      <c r="O81" s="373">
        <v>0</v>
      </c>
      <c r="P81" s="261"/>
      <c r="Q81" s="373">
        <v>0</v>
      </c>
      <c r="R81" s="261"/>
      <c r="S81" s="373">
        <v>0</v>
      </c>
      <c r="T81" s="261"/>
      <c r="U81" s="373">
        <v>0</v>
      </c>
      <c r="V81" s="261"/>
      <c r="W81" s="373"/>
      <c r="X81" s="261"/>
      <c r="Y81" s="373"/>
      <c r="Z81" s="261"/>
      <c r="AA81" s="373"/>
      <c r="AB81" s="373"/>
      <c r="AC81" s="1202">
        <v>0</v>
      </c>
      <c r="AD81" s="319"/>
      <c r="AE81" s="1284"/>
      <c r="AF81" s="320">
        <f>ROUND(SUM(E81:AC81),1)</f>
        <v>0</v>
      </c>
      <c r="AG81" s="2137"/>
      <c r="AH81" s="262"/>
      <c r="AI81" s="688">
        <v>0</v>
      </c>
      <c r="AJ81" s="329"/>
      <c r="AK81" s="2189"/>
      <c r="AL81" s="320">
        <f>ROUND(AF81-AI81,1)</f>
        <v>0</v>
      </c>
      <c r="AM81" s="647"/>
      <c r="AN81" s="45">
        <f>ROUND(IF(AI81=0,0,AL81/ABS(AI81)),3)</f>
        <v>0</v>
      </c>
    </row>
    <row r="82" spans="1:43" ht="15.6">
      <c r="A82" s="223"/>
      <c r="B82" s="223" t="s">
        <v>208</v>
      </c>
      <c r="C82" s="223"/>
      <c r="D82" s="223"/>
      <c r="E82" s="688">
        <v>0</v>
      </c>
      <c r="F82" s="319"/>
      <c r="G82" s="688">
        <v>0</v>
      </c>
      <c r="H82" s="319"/>
      <c r="I82" s="688">
        <v>0</v>
      </c>
      <c r="J82" s="319"/>
      <c r="K82" s="688">
        <v>0</v>
      </c>
      <c r="L82" s="261"/>
      <c r="M82" s="373">
        <v>0</v>
      </c>
      <c r="N82" s="261"/>
      <c r="O82" s="373">
        <v>0</v>
      </c>
      <c r="P82" s="261"/>
      <c r="Q82" s="373">
        <v>0</v>
      </c>
      <c r="R82" s="261"/>
      <c r="S82" s="373">
        <v>0</v>
      </c>
      <c r="T82" s="261"/>
      <c r="U82" s="373">
        <v>0</v>
      </c>
      <c r="V82" s="261"/>
      <c r="W82" s="373"/>
      <c r="X82" s="261"/>
      <c r="Y82" s="373"/>
      <c r="Z82" s="668"/>
      <c r="AA82" s="373"/>
      <c r="AB82" s="373"/>
      <c r="AC82" s="1202">
        <v>0</v>
      </c>
      <c r="AD82" s="2190"/>
      <c r="AE82" s="2191"/>
      <c r="AF82" s="320">
        <f>ROUND(SUM(E82:AC82),1)</f>
        <v>0</v>
      </c>
      <c r="AG82" s="2137"/>
      <c r="AH82" s="262"/>
      <c r="AI82" s="688">
        <v>0</v>
      </c>
      <c r="AJ82" s="329"/>
      <c r="AK82" s="2189"/>
      <c r="AL82" s="320">
        <f>ROUND(AF82-AI82,1)</f>
        <v>0</v>
      </c>
      <c r="AM82" s="647"/>
      <c r="AN82" s="45">
        <f>ROUND(IF(AI82=0,0,AL82/ABS(AI82)),3)</f>
        <v>0</v>
      </c>
    </row>
    <row r="83" spans="1:43" ht="15.6">
      <c r="A83" s="223"/>
      <c r="B83" s="247" t="s">
        <v>179</v>
      </c>
      <c r="C83" s="223"/>
      <c r="D83" s="223"/>
      <c r="E83" s="320">
        <v>212.3</v>
      </c>
      <c r="F83" s="319"/>
      <c r="G83" s="526">
        <v>338.5</v>
      </c>
      <c r="H83" s="319"/>
      <c r="I83" s="526">
        <v>329.6</v>
      </c>
      <c r="J83" s="319"/>
      <c r="K83" s="2162">
        <v>392.7</v>
      </c>
      <c r="L83" s="261"/>
      <c r="M83" s="280">
        <v>390.1</v>
      </c>
      <c r="N83" s="261"/>
      <c r="O83" s="280">
        <v>661</v>
      </c>
      <c r="P83" s="261"/>
      <c r="Q83" s="280">
        <v>234.9</v>
      </c>
      <c r="R83" s="261"/>
      <c r="S83" s="280">
        <v>444.1</v>
      </c>
      <c r="T83" s="261"/>
      <c r="U83" s="280">
        <v>558.79999999999995</v>
      </c>
      <c r="V83" s="261"/>
      <c r="W83" s="280"/>
      <c r="X83" s="261"/>
      <c r="Y83" s="373"/>
      <c r="Z83" s="261"/>
      <c r="AA83" s="280"/>
      <c r="AB83" s="254"/>
      <c r="AC83" s="1202">
        <v>0</v>
      </c>
      <c r="AD83" s="319"/>
      <c r="AE83" s="1284"/>
      <c r="AF83" s="320">
        <f>ROUND(SUM(E83:AC83),1)</f>
        <v>3562</v>
      </c>
      <c r="AG83" s="2137"/>
      <c r="AH83" s="262"/>
      <c r="AI83" s="1862">
        <v>3219.6</v>
      </c>
      <c r="AJ83" s="267"/>
      <c r="AK83" s="2138"/>
      <c r="AL83" s="2192">
        <f>ROUND(AF83-AI83,1)</f>
        <v>342.4</v>
      </c>
      <c r="AM83" s="647"/>
      <c r="AN83" s="1847">
        <f>ROUND(IF(AI83=0,0,AL83/ABS(AI83)),3)</f>
        <v>0.106</v>
      </c>
    </row>
    <row r="84" spans="1:43" ht="15.6">
      <c r="A84" s="223"/>
      <c r="B84" s="223"/>
      <c r="C84" s="223"/>
      <c r="D84" s="223"/>
      <c r="E84" s="328"/>
      <c r="F84" s="319"/>
      <c r="G84" s="328"/>
      <c r="H84" s="319"/>
      <c r="I84" s="328"/>
      <c r="J84" s="319"/>
      <c r="K84" s="328"/>
      <c r="L84" s="261"/>
      <c r="M84" s="289"/>
      <c r="N84" s="261"/>
      <c r="O84" s="289"/>
      <c r="P84" s="261"/>
      <c r="Q84" s="289"/>
      <c r="R84" s="261"/>
      <c r="S84" s="289"/>
      <c r="T84" s="261"/>
      <c r="U84" s="289"/>
      <c r="V84" s="261"/>
      <c r="W84" s="289"/>
      <c r="X84" s="261"/>
      <c r="Y84" s="289"/>
      <c r="Z84" s="261"/>
      <c r="AA84" s="289"/>
      <c r="AB84" s="249"/>
      <c r="AC84" s="289"/>
      <c r="AD84" s="319"/>
      <c r="AE84" s="1284"/>
      <c r="AF84" s="328"/>
      <c r="AG84" s="2137"/>
      <c r="AH84" s="262"/>
      <c r="AI84" s="689"/>
      <c r="AJ84" s="689"/>
      <c r="AK84" s="2193"/>
      <c r="AL84" s="689"/>
      <c r="AM84" s="647"/>
      <c r="AN84" s="655"/>
    </row>
    <row r="85" spans="1:43" ht="15.6">
      <c r="A85" s="223"/>
      <c r="B85" s="221" t="s">
        <v>209</v>
      </c>
      <c r="C85" s="223"/>
      <c r="D85" s="223"/>
      <c r="E85" s="313">
        <f>ROUND(SUM(E78:E83),1)</f>
        <v>253.4</v>
      </c>
      <c r="F85" s="313"/>
      <c r="G85" s="313">
        <f>ROUND(SUM(G78:G83),1)</f>
        <v>413.5</v>
      </c>
      <c r="H85" s="313"/>
      <c r="I85" s="313">
        <f>ROUND(SUM(I78:I83),1)</f>
        <v>450.5</v>
      </c>
      <c r="J85" s="313"/>
      <c r="K85" s="313">
        <f>ROUND(SUM(K78:K83),1)</f>
        <v>561.5</v>
      </c>
      <c r="L85" s="257"/>
      <c r="M85" s="257">
        <f>ROUND(SUM(M78:M83),1)</f>
        <v>559.79999999999995</v>
      </c>
      <c r="N85" s="257"/>
      <c r="O85" s="257">
        <f>ROUND(SUM(O78:O83),1)</f>
        <v>861.3</v>
      </c>
      <c r="P85" s="257"/>
      <c r="Q85" s="257">
        <f>ROUND(SUM(Q78:Q83),1)</f>
        <v>278.2</v>
      </c>
      <c r="R85" s="257"/>
      <c r="S85" s="257">
        <f>ROUND(SUM(S78:S83),1)</f>
        <v>583.9</v>
      </c>
      <c r="T85" s="257"/>
      <c r="U85" s="1886">
        <f>ROUND(SUM(U78:U83),1)</f>
        <v>879.6</v>
      </c>
      <c r="V85" s="257"/>
      <c r="W85" s="257">
        <f>ROUND(SUM(W78:W83),1)</f>
        <v>0</v>
      </c>
      <c r="X85" s="257"/>
      <c r="Y85" s="257">
        <f>ROUND(SUM(Y78:Y83),1)</f>
        <v>0</v>
      </c>
      <c r="Z85" s="257"/>
      <c r="AA85" s="257">
        <f>ROUND(SUM(AA78:AA83),1)</f>
        <v>0</v>
      </c>
      <c r="AB85" s="1886"/>
      <c r="AC85" s="1886">
        <f>ROUND(SUM(AC78:AC83),1)</f>
        <v>0</v>
      </c>
      <c r="AD85" s="313"/>
      <c r="AE85" s="1285"/>
      <c r="AF85" s="313">
        <f>ROUND(SUM(AF78:AF83),1)</f>
        <v>4841.7</v>
      </c>
      <c r="AG85" s="2142"/>
      <c r="AH85" s="316"/>
      <c r="AI85" s="313">
        <f>ROUND(SUM(AI78:AI83),1)</f>
        <v>4117.5</v>
      </c>
      <c r="AJ85" s="316"/>
      <c r="AK85" s="2181"/>
      <c r="AL85" s="314">
        <f>ROUND(AF85-AI85,1)</f>
        <v>724.2</v>
      </c>
      <c r="AM85" s="665"/>
      <c r="AN85" s="1961">
        <f>ROUND(IF(AI85=0,0,AL85/ABS(AI85)),3)</f>
        <v>0.17599999999999999</v>
      </c>
      <c r="AO85" s="652"/>
      <c r="AP85" s="652"/>
      <c r="AQ85" s="652"/>
    </row>
    <row r="86" spans="1:43" ht="15.6">
      <c r="A86" s="223"/>
      <c r="B86" s="223"/>
      <c r="C86" s="223"/>
      <c r="D86" s="223"/>
      <c r="E86" s="328"/>
      <c r="F86" s="319"/>
      <c r="G86" s="328"/>
      <c r="H86" s="319"/>
      <c r="I86" s="328"/>
      <c r="J86" s="319"/>
      <c r="K86" s="328"/>
      <c r="L86" s="261"/>
      <c r="M86" s="289"/>
      <c r="N86" s="261"/>
      <c r="O86" s="289"/>
      <c r="P86" s="261"/>
      <c r="Q86" s="289"/>
      <c r="R86" s="261"/>
      <c r="S86" s="289"/>
      <c r="T86" s="261"/>
      <c r="U86" s="289"/>
      <c r="V86" s="261"/>
      <c r="W86" s="289"/>
      <c r="X86" s="261"/>
      <c r="Y86" s="289"/>
      <c r="Z86" s="261"/>
      <c r="AA86" s="289"/>
      <c r="AB86" s="249"/>
      <c r="AC86" s="289"/>
      <c r="AD86" s="319"/>
      <c r="AE86" s="1284"/>
      <c r="AF86" s="328"/>
      <c r="AG86" s="2137"/>
      <c r="AH86" s="262"/>
      <c r="AI86" s="328"/>
      <c r="AJ86" s="262"/>
      <c r="AK86" s="2181"/>
      <c r="AL86" s="689"/>
      <c r="AM86" s="647"/>
      <c r="AN86" s="655"/>
    </row>
    <row r="87" spans="1:43" ht="15.6">
      <c r="A87" s="223"/>
      <c r="B87" s="221" t="s">
        <v>210</v>
      </c>
      <c r="C87" s="223"/>
      <c r="D87" s="223"/>
      <c r="E87" s="319"/>
      <c r="F87" s="319"/>
      <c r="G87" s="319"/>
      <c r="H87" s="319"/>
      <c r="I87" s="319"/>
      <c r="J87" s="319"/>
      <c r="K87" s="319"/>
      <c r="L87" s="261"/>
      <c r="M87" s="261"/>
      <c r="N87" s="261"/>
      <c r="O87" s="261"/>
      <c r="P87" s="261"/>
      <c r="Q87" s="261"/>
      <c r="R87" s="261"/>
      <c r="S87" s="261"/>
      <c r="T87" s="261"/>
      <c r="U87" s="261"/>
      <c r="V87" s="261"/>
      <c r="W87" s="261"/>
      <c r="X87" s="261"/>
      <c r="Y87" s="261"/>
      <c r="Z87" s="261"/>
      <c r="AA87" s="261"/>
      <c r="AB87" s="261"/>
      <c r="AC87" s="261"/>
      <c r="AD87" s="319"/>
      <c r="AE87" s="1284"/>
      <c r="AF87" s="689"/>
      <c r="AG87" s="2137"/>
      <c r="AH87" s="262"/>
      <c r="AI87" s="689"/>
      <c r="AJ87" s="689"/>
      <c r="AK87" s="2193"/>
      <c r="AL87" s="689"/>
      <c r="AM87" s="647"/>
      <c r="AN87" s="655"/>
    </row>
    <row r="88" spans="1:43" ht="15.6">
      <c r="A88" s="223"/>
      <c r="B88" s="221" t="s">
        <v>211</v>
      </c>
      <c r="C88" s="223"/>
      <c r="D88" s="223"/>
      <c r="E88" s="313">
        <f>ROUND(SUM(E64-E85),1)</f>
        <v>-69.7</v>
      </c>
      <c r="F88" s="313"/>
      <c r="G88" s="313">
        <f>ROUND(SUM(G64-G85),1)</f>
        <v>-187.9</v>
      </c>
      <c r="H88" s="313"/>
      <c r="I88" s="313">
        <f>ROUND(SUM(I64-I85),1)</f>
        <v>633</v>
      </c>
      <c r="J88" s="313"/>
      <c r="K88" s="313">
        <f>ROUND(SUM(K64-K85),1)</f>
        <v>-309.7</v>
      </c>
      <c r="L88" s="257"/>
      <c r="M88" s="257">
        <f>ROUND(SUM(M64-M85),1)</f>
        <v>-343.6</v>
      </c>
      <c r="N88" s="257"/>
      <c r="O88" s="257">
        <f>ROUND(SUM(O64-O85),1)</f>
        <v>-429.7</v>
      </c>
      <c r="P88" s="257"/>
      <c r="Q88" s="257">
        <f>ROUND(SUM(Q64-Q85),1)</f>
        <v>220.5</v>
      </c>
      <c r="R88" s="257"/>
      <c r="S88" s="257">
        <f>ROUND(SUM(S64-S85),1)</f>
        <v>-359.8</v>
      </c>
      <c r="T88" s="257"/>
      <c r="U88" s="1886">
        <f>ROUND(SUM(U64-U85),1)</f>
        <v>23.8</v>
      </c>
      <c r="V88" s="257"/>
      <c r="W88" s="257">
        <f>ROUND(SUM(W64-W85),1)</f>
        <v>0</v>
      </c>
      <c r="X88" s="257"/>
      <c r="Y88" s="257">
        <f>ROUND(SUM(Y64-Y85),1)</f>
        <v>0</v>
      </c>
      <c r="Z88" s="257"/>
      <c r="AA88" s="257">
        <f>ROUND(SUM(AA64-AA85),1)</f>
        <v>0</v>
      </c>
      <c r="AB88" s="1886"/>
      <c r="AC88" s="1886">
        <f>ROUND(SUM(AC64-AC85),1)</f>
        <v>0</v>
      </c>
      <c r="AD88" s="313"/>
      <c r="AE88" s="1285"/>
      <c r="AF88" s="313">
        <f>ROUND(SUM(AF64-AF85),1)</f>
        <v>-823.1</v>
      </c>
      <c r="AG88" s="2142"/>
      <c r="AH88" s="316"/>
      <c r="AI88" s="313">
        <f>ROUND(SUM(AI64-AI85),1)</f>
        <v>-890.2</v>
      </c>
      <c r="AJ88" s="316"/>
      <c r="AK88" s="2181"/>
      <c r="AL88" s="314">
        <f>ROUND(AF88-AI88,1)</f>
        <v>67.099999999999994</v>
      </c>
      <c r="AM88" s="665"/>
      <c r="AN88" s="2853">
        <f>ROUND(IF(AI88=0,0,AL88/ABS(AI88)),3)</f>
        <v>7.4999999999999997E-2</v>
      </c>
      <c r="AO88" s="652"/>
      <c r="AP88" s="662"/>
    </row>
    <row r="89" spans="1:43" ht="15.6">
      <c r="A89" s="223"/>
      <c r="B89" s="223"/>
      <c r="C89" s="223"/>
      <c r="D89" s="223"/>
      <c r="E89" s="328"/>
      <c r="F89" s="319"/>
      <c r="G89" s="328"/>
      <c r="H89" s="319"/>
      <c r="I89" s="328"/>
      <c r="J89" s="319"/>
      <c r="K89" s="328"/>
      <c r="L89" s="261"/>
      <c r="M89" s="289"/>
      <c r="N89" s="261"/>
      <c r="O89" s="289"/>
      <c r="P89" s="261"/>
      <c r="Q89" s="289"/>
      <c r="R89" s="261"/>
      <c r="S89" s="289"/>
      <c r="T89" s="261"/>
      <c r="U89" s="289"/>
      <c r="V89" s="261"/>
      <c r="W89" s="289"/>
      <c r="X89" s="261"/>
      <c r="Y89" s="289"/>
      <c r="Z89" s="261"/>
      <c r="AA89" s="289"/>
      <c r="AB89" s="249"/>
      <c r="AC89" s="289"/>
      <c r="AD89" s="319"/>
      <c r="AE89" s="1284"/>
      <c r="AF89" s="328"/>
      <c r="AG89" s="2137"/>
      <c r="AH89" s="262"/>
      <c r="AI89" s="328"/>
      <c r="AJ89" s="262"/>
      <c r="AK89" s="2181"/>
      <c r="AL89" s="689"/>
      <c r="AM89" s="647"/>
      <c r="AN89" s="655"/>
    </row>
    <row r="90" spans="1:43" ht="15.6">
      <c r="A90" s="223"/>
      <c r="B90" s="221" t="s">
        <v>212</v>
      </c>
      <c r="C90" s="223"/>
      <c r="D90" s="223"/>
      <c r="E90" s="319"/>
      <c r="F90" s="319"/>
      <c r="G90" s="319"/>
      <c r="H90" s="319"/>
      <c r="I90" s="319"/>
      <c r="J90" s="319"/>
      <c r="K90" s="319"/>
      <c r="L90" s="261"/>
      <c r="M90" s="261"/>
      <c r="N90" s="261"/>
      <c r="O90" s="261"/>
      <c r="P90" s="261"/>
      <c r="Q90" s="261"/>
      <c r="R90" s="261"/>
      <c r="S90" s="261"/>
      <c r="T90" s="261"/>
      <c r="U90" s="261"/>
      <c r="V90" s="261"/>
      <c r="W90" s="261"/>
      <c r="X90" s="261"/>
      <c r="Y90" s="261"/>
      <c r="Z90" s="261"/>
      <c r="AA90" s="261"/>
      <c r="AB90" s="261"/>
      <c r="AC90" s="261"/>
      <c r="AD90" s="319"/>
      <c r="AE90" s="1284"/>
      <c r="AF90" s="319"/>
      <c r="AG90" s="2137"/>
      <c r="AH90" s="262"/>
      <c r="AI90" s="329"/>
      <c r="AJ90" s="329"/>
      <c r="AK90" s="2189"/>
      <c r="AL90" s="689"/>
      <c r="AM90" s="647"/>
      <c r="AN90" s="655"/>
    </row>
    <row r="91" spans="1:43" ht="15.6">
      <c r="A91" s="223"/>
      <c r="B91" s="223" t="s">
        <v>213</v>
      </c>
      <c r="C91" s="223"/>
      <c r="D91" s="223"/>
      <c r="E91" s="688">
        <v>0</v>
      </c>
      <c r="F91" s="319"/>
      <c r="G91" s="688">
        <v>0</v>
      </c>
      <c r="H91" s="319"/>
      <c r="I91" s="688">
        <v>0</v>
      </c>
      <c r="J91" s="319"/>
      <c r="K91" s="688">
        <v>0</v>
      </c>
      <c r="L91" s="261"/>
      <c r="M91" s="373">
        <v>0</v>
      </c>
      <c r="N91" s="373"/>
      <c r="O91" s="373">
        <v>0</v>
      </c>
      <c r="P91" s="261"/>
      <c r="Q91" s="373">
        <v>0</v>
      </c>
      <c r="R91" s="261"/>
      <c r="S91" s="373">
        <v>0</v>
      </c>
      <c r="T91" s="261"/>
      <c r="U91" s="373">
        <v>0</v>
      </c>
      <c r="V91" s="261"/>
      <c r="W91" s="373"/>
      <c r="X91" s="261"/>
      <c r="Y91" s="373"/>
      <c r="Z91" s="261"/>
      <c r="AA91" s="516"/>
      <c r="AB91" s="516"/>
      <c r="AC91" s="516">
        <v>0</v>
      </c>
      <c r="AD91" s="319"/>
      <c r="AE91" s="1284"/>
      <c r="AF91" s="320">
        <f>ROUND(SUM(E91:AC91),1)</f>
        <v>0</v>
      </c>
      <c r="AG91" s="2137"/>
      <c r="AH91" s="262"/>
      <c r="AI91" s="329">
        <v>0</v>
      </c>
      <c r="AJ91" s="329"/>
      <c r="AK91" s="2189"/>
      <c r="AL91" s="320">
        <f>ROUND(AF91-AI91,1)</f>
        <v>0</v>
      </c>
      <c r="AM91" s="657"/>
      <c r="AN91" s="2817">
        <f>ROUND(IF(AI91=0,0,AL91/ABS(AI91)),3)</f>
        <v>0</v>
      </c>
    </row>
    <row r="92" spans="1:43" ht="15.6">
      <c r="A92" s="223"/>
      <c r="B92" s="247" t="s">
        <v>180</v>
      </c>
      <c r="C92" s="223"/>
      <c r="D92" s="223"/>
      <c r="E92" s="2135">
        <v>77.8</v>
      </c>
      <c r="F92" s="319"/>
      <c r="G92" s="2135">
        <v>148</v>
      </c>
      <c r="H92" s="319"/>
      <c r="I92" s="2135">
        <v>-161.80000000000001</v>
      </c>
      <c r="J92" s="319"/>
      <c r="K92" s="2135">
        <v>207.8</v>
      </c>
      <c r="L92" s="261"/>
      <c r="M92" s="517">
        <v>326.10000000000002</v>
      </c>
      <c r="N92" s="261"/>
      <c r="O92" s="517">
        <v>359.5</v>
      </c>
      <c r="P92" s="261"/>
      <c r="Q92" s="517">
        <v>27.7</v>
      </c>
      <c r="R92" s="261"/>
      <c r="S92" s="517">
        <v>336</v>
      </c>
      <c r="T92" s="261"/>
      <c r="U92" s="517">
        <v>23.9</v>
      </c>
      <c r="V92" s="261"/>
      <c r="W92" s="517"/>
      <c r="X92" s="261"/>
      <c r="Y92" s="373"/>
      <c r="Z92" s="261"/>
      <c r="AA92" s="517"/>
      <c r="AB92" s="517"/>
      <c r="AC92" s="517">
        <v>0</v>
      </c>
      <c r="AD92" s="319"/>
      <c r="AE92" s="1284"/>
      <c r="AF92" s="320">
        <f>ROUND(SUM(E92:AC92),1)</f>
        <v>1345</v>
      </c>
      <c r="AG92" s="2137"/>
      <c r="AH92" s="262"/>
      <c r="AI92" s="319">
        <v>1201.8</v>
      </c>
      <c r="AJ92" s="320"/>
      <c r="AK92" s="2138"/>
      <c r="AL92" s="320">
        <f>ROUND(AF92-AI92,1)</f>
        <v>143.19999999999999</v>
      </c>
      <c r="AM92" s="647"/>
      <c r="AN92" s="45">
        <f>ROUND(IF(AI92=0,0,AL92/ABS(AI92)),3)</f>
        <v>0.11899999999999999</v>
      </c>
      <c r="AO92" s="647"/>
    </row>
    <row r="93" spans="1:43" ht="15.6">
      <c r="A93" s="223"/>
      <c r="B93" s="247" t="s">
        <v>214</v>
      </c>
      <c r="C93" s="223"/>
      <c r="D93" s="223"/>
      <c r="E93" s="2135">
        <v>-74.7</v>
      </c>
      <c r="F93" s="319"/>
      <c r="G93" s="319">
        <v>-75.2</v>
      </c>
      <c r="H93" s="319"/>
      <c r="I93" s="2135">
        <v>-76.400000000000006</v>
      </c>
      <c r="J93" s="319"/>
      <c r="K93" s="2135">
        <v>-89.4</v>
      </c>
      <c r="L93" s="261"/>
      <c r="M93" s="517">
        <v>-30.3</v>
      </c>
      <c r="N93" s="261"/>
      <c r="O93" s="517">
        <v>-247.6</v>
      </c>
      <c r="P93" s="261"/>
      <c r="Q93" s="517">
        <v>-4.5</v>
      </c>
      <c r="R93" s="261"/>
      <c r="S93" s="517">
        <v>-35.1</v>
      </c>
      <c r="T93" s="261"/>
      <c r="U93" s="517">
        <v>-34.799999999999997</v>
      </c>
      <c r="V93" s="261"/>
      <c r="W93" s="517"/>
      <c r="X93" s="261"/>
      <c r="Y93" s="373"/>
      <c r="Z93" s="261"/>
      <c r="AA93" s="517"/>
      <c r="AB93" s="517"/>
      <c r="AC93" s="1202">
        <v>0</v>
      </c>
      <c r="AD93" s="319"/>
      <c r="AE93" s="1284"/>
      <c r="AF93" s="320">
        <f>ROUND(SUM(E93:AC93),1)</f>
        <v>-668</v>
      </c>
      <c r="AG93" s="2137"/>
      <c r="AH93" s="262"/>
      <c r="AI93" s="2629">
        <v>-890.8</v>
      </c>
      <c r="AJ93" s="262"/>
      <c r="AK93" s="2181"/>
      <c r="AL93" s="2192">
        <f>ROUND(-AF93+AI93,1)</f>
        <v>-222.8</v>
      </c>
      <c r="AM93" s="647"/>
      <c r="AN93" s="1847">
        <f>ROUND(IF(AI93=0,0,AL93/ABS(AI93)),3)</f>
        <v>-0.25</v>
      </c>
      <c r="AO93" s="647"/>
    </row>
    <row r="94" spans="1:43" ht="15.6">
      <c r="A94" s="223"/>
      <c r="B94" s="223"/>
      <c r="C94" s="223"/>
      <c r="D94" s="223"/>
      <c r="E94" s="328"/>
      <c r="F94" s="319"/>
      <c r="G94" s="328"/>
      <c r="H94" s="319"/>
      <c r="I94" s="328"/>
      <c r="J94" s="319"/>
      <c r="K94" s="328"/>
      <c r="L94" s="261"/>
      <c r="M94" s="289"/>
      <c r="N94" s="261"/>
      <c r="O94" s="289"/>
      <c r="P94" s="261"/>
      <c r="Q94" s="289"/>
      <c r="R94" s="261"/>
      <c r="S94" s="289"/>
      <c r="T94" s="261"/>
      <c r="U94" s="289"/>
      <c r="V94" s="261"/>
      <c r="W94" s="289"/>
      <c r="X94" s="261"/>
      <c r="Y94" s="289"/>
      <c r="Z94" s="261"/>
      <c r="AA94" s="289"/>
      <c r="AB94" s="249"/>
      <c r="AC94" s="289"/>
      <c r="AD94" s="319"/>
      <c r="AE94" s="1284"/>
      <c r="AF94" s="328"/>
      <c r="AG94" s="2137"/>
      <c r="AH94" s="262"/>
      <c r="AI94" s="689"/>
      <c r="AJ94" s="689"/>
      <c r="AK94" s="2193"/>
      <c r="AL94" s="689"/>
      <c r="AM94" s="647"/>
      <c r="AN94" s="655"/>
    </row>
    <row r="95" spans="1:43" ht="15.6">
      <c r="A95" s="223"/>
      <c r="B95" s="221" t="s">
        <v>1490</v>
      </c>
      <c r="C95" s="223"/>
      <c r="D95" s="223"/>
      <c r="E95" s="313">
        <f>ROUND(SUM(E91:E93),1)</f>
        <v>3.1</v>
      </c>
      <c r="F95" s="313"/>
      <c r="G95" s="313">
        <f>ROUND(SUM(G91:G93),1)</f>
        <v>72.8</v>
      </c>
      <c r="H95" s="313"/>
      <c r="I95" s="313">
        <f>ROUND(SUM(I91:I93),1)</f>
        <v>-238.2</v>
      </c>
      <c r="J95" s="313"/>
      <c r="K95" s="313">
        <f>ROUND(SUM(K91:K93),1)</f>
        <v>118.4</v>
      </c>
      <c r="L95" s="257"/>
      <c r="M95" s="257">
        <f>ROUND(SUM(M91:M93),1)</f>
        <v>295.8</v>
      </c>
      <c r="N95" s="257"/>
      <c r="O95" s="257">
        <f>ROUND(SUM(O91:O93),1)</f>
        <v>111.9</v>
      </c>
      <c r="P95" s="257"/>
      <c r="Q95" s="257">
        <f>ROUND(SUM(Q91:Q93),1)</f>
        <v>23.2</v>
      </c>
      <c r="R95" s="257"/>
      <c r="S95" s="257">
        <f>ROUND(SUM(S91:S93),1)</f>
        <v>300.89999999999998</v>
      </c>
      <c r="T95" s="257"/>
      <c r="U95" s="1886">
        <f>ROUND(SUM(U91:U93),1)</f>
        <v>-10.9</v>
      </c>
      <c r="V95" s="257"/>
      <c r="W95" s="257">
        <f>ROUND(SUM(W91:W93),1)</f>
        <v>0</v>
      </c>
      <c r="X95" s="257"/>
      <c r="Y95" s="257">
        <f>ROUND(SUM(Y91:Y93),1)</f>
        <v>0</v>
      </c>
      <c r="Z95" s="257"/>
      <c r="AA95" s="257">
        <f>ROUND(SUM(AA91:AA93),1)</f>
        <v>0</v>
      </c>
      <c r="AB95" s="1886"/>
      <c r="AC95" s="1886">
        <f>ROUND(SUM(AC91:AC93),1)</f>
        <v>0</v>
      </c>
      <c r="AD95" s="313"/>
      <c r="AE95" s="1285"/>
      <c r="AF95" s="313">
        <f>ROUND(SUM(AF91:AF93),1)</f>
        <v>677</v>
      </c>
      <c r="AG95" s="2142"/>
      <c r="AH95" s="316"/>
      <c r="AI95" s="316">
        <f>ROUND(SUM(AI91:AI93),1)</f>
        <v>311</v>
      </c>
      <c r="AJ95" s="316"/>
      <c r="AK95" s="2181"/>
      <c r="AL95" s="314">
        <f>ROUND(AF95-AI95,1)</f>
        <v>366</v>
      </c>
      <c r="AM95" s="665"/>
      <c r="AN95" s="2853">
        <f>ROUND(IF(AI95=0,0,AL95/ABS(AI95)),3)</f>
        <v>1.177</v>
      </c>
      <c r="AO95" s="652"/>
      <c r="AP95" s="652"/>
      <c r="AQ95" s="662"/>
    </row>
    <row r="96" spans="1:43" ht="15.6">
      <c r="A96" s="223"/>
      <c r="B96" s="223"/>
      <c r="C96" s="223"/>
      <c r="D96" s="223"/>
      <c r="E96" s="328"/>
      <c r="F96" s="319"/>
      <c r="G96" s="328"/>
      <c r="H96" s="319"/>
      <c r="I96" s="328"/>
      <c r="J96" s="319"/>
      <c r="K96" s="328"/>
      <c r="L96" s="261"/>
      <c r="M96" s="289"/>
      <c r="N96" s="261"/>
      <c r="O96" s="289"/>
      <c r="P96" s="261"/>
      <c r="Q96" s="289"/>
      <c r="R96" s="261"/>
      <c r="S96" s="289"/>
      <c r="T96" s="261"/>
      <c r="U96" s="289"/>
      <c r="V96" s="261"/>
      <c r="W96" s="289"/>
      <c r="X96" s="261"/>
      <c r="Y96" s="289"/>
      <c r="Z96" s="261"/>
      <c r="AA96" s="289"/>
      <c r="AB96" s="249"/>
      <c r="AC96" s="289"/>
      <c r="AD96" s="319"/>
      <c r="AE96" s="1284"/>
      <c r="AF96" s="328"/>
      <c r="AG96" s="2137"/>
      <c r="AH96" s="262"/>
      <c r="AI96" s="328"/>
      <c r="AJ96" s="262"/>
      <c r="AK96" s="2181"/>
      <c r="AL96" s="689"/>
      <c r="AM96" s="647"/>
      <c r="AN96" s="655"/>
      <c r="AQ96" s="370"/>
    </row>
    <row r="97" spans="1:43" ht="15.6">
      <c r="A97" s="223"/>
      <c r="B97" s="223"/>
      <c r="C97" s="223"/>
      <c r="D97" s="223"/>
      <c r="E97" s="319" t="s">
        <v>16</v>
      </c>
      <c r="F97" s="319" t="s">
        <v>16</v>
      </c>
      <c r="G97" s="319" t="s">
        <v>16</v>
      </c>
      <c r="H97" s="319"/>
      <c r="I97" s="319" t="s">
        <v>16</v>
      </c>
      <c r="J97" s="319"/>
      <c r="K97" s="319"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9"/>
      <c r="AE97" s="1284"/>
      <c r="AF97" s="319" t="s">
        <v>16</v>
      </c>
      <c r="AG97" s="2137"/>
      <c r="AH97" s="262"/>
      <c r="AI97" s="319"/>
      <c r="AJ97" s="319"/>
      <c r="AK97" s="2181"/>
      <c r="AL97" s="689" t="s">
        <v>16</v>
      </c>
      <c r="AM97" s="647"/>
      <c r="AN97" s="655"/>
    </row>
    <row r="98" spans="1:43" ht="15.6">
      <c r="A98" s="223"/>
      <c r="B98" s="221" t="s">
        <v>216</v>
      </c>
      <c r="C98" s="223"/>
      <c r="D98" s="223"/>
      <c r="E98" s="319"/>
      <c r="F98" s="319"/>
      <c r="G98" s="319" t="s">
        <v>16</v>
      </c>
      <c r="H98" s="319"/>
      <c r="I98" s="319" t="s">
        <v>16</v>
      </c>
      <c r="J98" s="319"/>
      <c r="K98" s="319"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61" t="s">
        <v>16</v>
      </c>
      <c r="AD98" s="319"/>
      <c r="AE98" s="1284"/>
      <c r="AF98" s="319"/>
      <c r="AG98" s="2137"/>
      <c r="AH98" s="262"/>
      <c r="AI98" s="319"/>
      <c r="AJ98" s="319"/>
      <c r="AK98" s="2181"/>
      <c r="AL98" s="689"/>
      <c r="AM98" s="647"/>
      <c r="AN98" s="655"/>
    </row>
    <row r="99" spans="1:43" ht="15.6">
      <c r="A99" s="223"/>
      <c r="B99" s="221" t="s">
        <v>217</v>
      </c>
      <c r="C99" s="223"/>
      <c r="D99" s="223"/>
      <c r="E99" s="319" t="s">
        <v>16</v>
      </c>
      <c r="F99" s="319"/>
      <c r="G99" s="319"/>
      <c r="H99" s="319"/>
      <c r="I99" s="319"/>
      <c r="J99" s="319"/>
      <c r="K99" s="319"/>
      <c r="L99" s="261"/>
      <c r="M99" s="261"/>
      <c r="N99" s="261"/>
      <c r="O99" s="261"/>
      <c r="P99" s="261"/>
      <c r="Q99" s="261"/>
      <c r="R99" s="261"/>
      <c r="S99" s="261"/>
      <c r="T99" s="261"/>
      <c r="U99" s="261"/>
      <c r="V99" s="261"/>
      <c r="W99" s="261"/>
      <c r="X99" s="261"/>
      <c r="Y99" s="261"/>
      <c r="Z99" s="261"/>
      <c r="AA99" s="261"/>
      <c r="AB99" s="261"/>
      <c r="AC99" s="261"/>
      <c r="AD99" s="319"/>
      <c r="AE99" s="1284"/>
      <c r="AF99" s="2194" t="s">
        <v>16</v>
      </c>
      <c r="AG99" s="2137"/>
      <c r="AH99" s="262"/>
      <c r="AI99" s="689"/>
      <c r="AJ99" s="689"/>
      <c r="AK99" s="2193"/>
      <c r="AL99" s="689"/>
      <c r="AM99" s="647"/>
      <c r="AN99" s="655"/>
      <c r="AQ99" s="683"/>
    </row>
    <row r="100" spans="1:43" ht="16.2" thickBot="1">
      <c r="A100" s="223"/>
      <c r="B100" s="221" t="s">
        <v>1491</v>
      </c>
      <c r="C100" s="223"/>
      <c r="D100" s="223"/>
      <c r="E100" s="2165">
        <f>ROUND(SUM(E88+E95),1)</f>
        <v>-66.599999999999994</v>
      </c>
      <c r="F100" s="2164"/>
      <c r="G100" s="2165">
        <f>ROUND(SUM(G88+G95),1)</f>
        <v>-115.1</v>
      </c>
      <c r="H100" s="2164"/>
      <c r="I100" s="2165">
        <f>ROUND(SUM(I88+I95),1)</f>
        <v>394.8</v>
      </c>
      <c r="J100" s="2164"/>
      <c r="K100" s="2165">
        <f>ROUND(SUM(K88+K95),1)</f>
        <v>-191.3</v>
      </c>
      <c r="L100" s="684"/>
      <c r="M100" s="2165">
        <f>ROUND(SUM(M88+M95),1)</f>
        <v>-47.8</v>
      </c>
      <c r="N100" s="684"/>
      <c r="O100" s="2165">
        <f>ROUND(SUM(O88+O95),1)</f>
        <v>-317.8</v>
      </c>
      <c r="P100" s="684"/>
      <c r="Q100" s="2165">
        <f>ROUND(SUM(Q88+Q95),1)</f>
        <v>243.7</v>
      </c>
      <c r="R100" s="684"/>
      <c r="S100" s="2165">
        <f>ROUND(SUM(S88+S95),1)</f>
        <v>-58.9</v>
      </c>
      <c r="T100" s="684"/>
      <c r="U100" s="2165">
        <f>ROUND(SUM(U88+U95),1)</f>
        <v>12.9</v>
      </c>
      <c r="V100" s="684"/>
      <c r="W100" s="2165">
        <f>ROUND(SUM(W88+W95),1)</f>
        <v>0</v>
      </c>
      <c r="X100" s="685"/>
      <c r="Y100" s="2165">
        <f>ROUND(SUM(Y88+Y95),1)</f>
        <v>0</v>
      </c>
      <c r="Z100" s="684"/>
      <c r="AA100" s="2165">
        <f>ROUND(SUM(AA88+AA95),1)</f>
        <v>0</v>
      </c>
      <c r="AB100" s="2679"/>
      <c r="AC100" s="2165">
        <f>ROUND(SUM(AC88+AC95),1)</f>
        <v>0</v>
      </c>
      <c r="AD100" s="2164"/>
      <c r="AE100" s="2195"/>
      <c r="AF100" s="2165">
        <f>ROUND(SUM(AF88+AF95),1)</f>
        <v>-146.1</v>
      </c>
      <c r="AG100" s="2196"/>
      <c r="AH100" s="341"/>
      <c r="AI100" s="2165">
        <f>ROUND(SUM(AI88+AI95),1)</f>
        <v>-579.20000000000005</v>
      </c>
      <c r="AJ100" s="2197"/>
      <c r="AK100" s="2198"/>
      <c r="AL100" s="2165">
        <f>ROUND(SUM(AL88+AL95),1)</f>
        <v>433.1</v>
      </c>
      <c r="AM100" s="665"/>
      <c r="AN100" s="3340">
        <f>ROUND(IF(AI100=0,0,AL100/ABS(AI100)),3)</f>
        <v>0.748</v>
      </c>
      <c r="AO100" s="652"/>
    </row>
    <row r="101" spans="1:43" ht="15.6" thickTop="1">
      <c r="B101" s="425"/>
      <c r="X101" s="686"/>
    </row>
    <row r="102" spans="1:43">
      <c r="B102" s="676"/>
      <c r="C102" s="677"/>
      <c r="D102" s="677"/>
      <c r="E102" s="2166"/>
      <c r="F102" s="2166"/>
      <c r="G102" s="2166"/>
    </row>
    <row r="103" spans="1:43">
      <c r="B103" s="2872" t="s">
        <v>1502</v>
      </c>
      <c r="C103" s="677"/>
      <c r="D103" s="677"/>
      <c r="E103" s="2166"/>
      <c r="F103" s="2166"/>
      <c r="G103" s="2166"/>
      <c r="AI103" s="2246"/>
      <c r="AL103" s="2180"/>
    </row>
    <row r="104" spans="1:43">
      <c r="B104" s="680"/>
    </row>
    <row r="105" spans="1:43">
      <c r="B105" s="680"/>
    </row>
    <row r="106" spans="1:43">
      <c r="B106" s="676"/>
    </row>
    <row r="107" spans="1:43">
      <c r="B107" s="680"/>
    </row>
    <row r="108" spans="1:43">
      <c r="B108" s="680"/>
    </row>
    <row r="109" spans="1:43">
      <c r="B109" s="676"/>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40" firstPageNumber="32" orientation="landscape" useFirstPageNumber="1" r:id="rId2"/>
  <headerFooter scaleWithDoc="0" alignWithMargins="0">
    <oddFooter>&amp;C&amp;8&amp;P</oddFooter>
  </headerFooter>
  <rowBreaks count="1" manualBreakCount="1">
    <brk id="65" min="1" max="39" man="1"/>
  </rowBreaks>
  <ignoredErrors>
    <ignoredError sqref="AN39 AN32:AN35 AN37 AN61 AN94 AN96:AN100 AN89:AN90 AN65:AN67 AN86:AN87 AN92:AN93 AN71 AN79 AN84 AN68:AN70 AN85 AN80:AN83 AN72:AN73 AN75:AN78 AN63 AN62 AN64 AN23 AN31 AN28 AN19:AN22 AN29:AN30 AN24 AN26:AN27" unlockedFormula="1"/>
    <ignoredError sqref="AN46 AN52 AN74 AN25" formula="1"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zoomScaleSheetLayoutView="70" workbookViewId="0"/>
  </sheetViews>
  <sheetFormatPr defaultColWidth="8.90625" defaultRowHeight="15"/>
  <cols>
    <col min="1" max="1" width="2.54296875" style="302" customWidth="1"/>
    <col min="2" max="2" width="14.36328125" style="302" customWidth="1"/>
    <col min="3" max="3" width="32" style="302" customWidth="1"/>
    <col min="4" max="4" width="4.54296875" style="2152" customWidth="1"/>
    <col min="5" max="5" width="9.81640625" style="2152" bestFit="1" customWidth="1"/>
    <col min="6" max="6" width="1.81640625" style="2152" customWidth="1"/>
    <col min="7" max="7" width="11" style="2152" bestFit="1" customWidth="1"/>
    <col min="8" max="8" width="1.81640625" style="2152" customWidth="1"/>
    <col min="9" max="9" width="11" style="2152" bestFit="1" customWidth="1"/>
    <col min="10" max="10" width="1.81640625" style="2152" customWidth="1"/>
    <col min="11" max="11" width="12.1796875" style="2152" customWidth="1"/>
    <col min="12" max="12" width="1.81640625" style="302" customWidth="1"/>
    <col min="13" max="13" width="8.90625" style="302"/>
    <col min="14" max="14" width="1.81640625" style="302" customWidth="1"/>
    <col min="15" max="15" width="13.90625" style="302" customWidth="1"/>
    <col min="16" max="16" width="1.81640625" style="302" customWidth="1"/>
    <col min="17" max="17" width="12.453125" style="302" customWidth="1"/>
    <col min="18" max="18" width="1.81640625" style="302" customWidth="1"/>
    <col min="19" max="19" width="12.54296875" style="302" customWidth="1"/>
    <col min="20" max="20" width="1.81640625" style="302" customWidth="1"/>
    <col min="21" max="21" width="10.81640625" style="302" customWidth="1"/>
    <col min="22" max="22" width="1.81640625" style="302" customWidth="1"/>
    <col min="23" max="23" width="10.54296875" style="302" customWidth="1"/>
    <col min="24" max="24" width="1.81640625" style="302" customWidth="1"/>
    <col min="25" max="25" width="10.81640625" style="302" customWidth="1"/>
    <col min="26" max="26" width="1.81640625" style="302" customWidth="1"/>
    <col min="27" max="27" width="11.90625" style="2152" customWidth="1"/>
    <col min="28" max="28" width="2.08984375" style="2152" customWidth="1"/>
    <col min="29" max="29" width="15.54296875" style="2152" customWidth="1"/>
    <col min="30" max="31" width="1.81640625" style="2152" customWidth="1"/>
    <col min="32" max="32" width="10.54296875" style="2152" customWidth="1"/>
    <col min="33" max="34" width="1" style="2152" customWidth="1"/>
    <col min="35" max="35" width="12.90625" style="2152" customWidth="1"/>
    <col min="36" max="37" width="1" style="2152" customWidth="1"/>
    <col min="38" max="38" width="13.08984375" style="2152" bestFit="1" customWidth="1"/>
    <col min="39" max="39" width="1.36328125" style="302" customWidth="1"/>
    <col min="40" max="40" width="11.36328125" style="302" customWidth="1"/>
    <col min="41" max="16384" width="8.90625" style="302"/>
  </cols>
  <sheetData>
    <row r="1" spans="1:41">
      <c r="B1" s="1184" t="s">
        <v>1217</v>
      </c>
    </row>
    <row r="2" spans="1:41">
      <c r="B2" s="1733"/>
    </row>
    <row r="3" spans="1:41" ht="19.5" customHeight="1">
      <c r="A3" s="636"/>
      <c r="B3" s="538" t="s">
        <v>0</v>
      </c>
      <c r="C3" s="637"/>
      <c r="D3" s="2153"/>
      <c r="E3" s="2153"/>
      <c r="F3" s="2154"/>
      <c r="G3" s="2154"/>
      <c r="H3" s="2154"/>
      <c r="I3" s="2154"/>
      <c r="J3" s="2154"/>
      <c r="K3" s="2154"/>
      <c r="L3" s="638"/>
      <c r="M3" s="638"/>
      <c r="N3" s="638"/>
      <c r="O3" s="638"/>
      <c r="P3" s="638"/>
      <c r="Q3" s="638"/>
      <c r="R3" s="638"/>
      <c r="S3" s="687"/>
      <c r="T3" s="638"/>
      <c r="U3" s="638"/>
      <c r="V3" s="638"/>
      <c r="W3" s="638"/>
      <c r="X3" s="638"/>
      <c r="Y3" s="638"/>
      <c r="Z3" s="638"/>
      <c r="AA3" s="2154"/>
      <c r="AB3" s="2154"/>
      <c r="AC3" s="2154"/>
      <c r="AD3" s="2154"/>
      <c r="AE3" s="2154"/>
      <c r="AF3" s="2154"/>
      <c r="AG3" s="2154"/>
      <c r="AH3" s="2154"/>
      <c r="AI3" s="2154"/>
      <c r="AJ3" s="2154"/>
      <c r="AK3" s="2154"/>
      <c r="AN3" s="507" t="s">
        <v>201</v>
      </c>
    </row>
    <row r="4" spans="1:41" ht="19.5" customHeight="1">
      <c r="A4" s="636"/>
      <c r="B4" s="538" t="s">
        <v>219</v>
      </c>
      <c r="C4" s="637"/>
      <c r="D4" s="2153"/>
      <c r="E4" s="2153"/>
      <c r="F4" s="2154"/>
      <c r="G4" s="2154"/>
      <c r="H4" s="2154"/>
      <c r="I4" s="2154"/>
      <c r="J4" s="2154"/>
      <c r="K4" s="2154"/>
      <c r="L4" s="638"/>
      <c r="M4" s="638"/>
      <c r="N4" s="638"/>
      <c r="O4" s="638"/>
      <c r="P4" s="638"/>
      <c r="Q4" s="638"/>
      <c r="R4" s="638"/>
      <c r="S4" s="638"/>
      <c r="T4" s="638"/>
      <c r="U4" s="638"/>
      <c r="V4" s="638"/>
      <c r="W4" s="638"/>
      <c r="X4" s="638"/>
      <c r="Y4" s="638"/>
      <c r="Z4" s="638"/>
      <c r="AA4" s="2154"/>
      <c r="AB4" s="2154"/>
      <c r="AC4" s="2154"/>
      <c r="AD4" s="2154"/>
      <c r="AE4" s="2154"/>
      <c r="AG4" s="2167"/>
      <c r="AH4" s="2167"/>
    </row>
    <row r="5" spans="1:41" ht="19.5" customHeight="1">
      <c r="A5" s="636"/>
      <c r="B5" s="505" t="s">
        <v>1267</v>
      </c>
      <c r="C5" s="637"/>
      <c r="D5" s="2153"/>
      <c r="E5" s="2153"/>
      <c r="F5" s="2154"/>
      <c r="G5" s="2154"/>
      <c r="H5" s="2154"/>
      <c r="I5" s="2154"/>
      <c r="J5" s="2154"/>
      <c r="K5" s="2154"/>
      <c r="L5" s="638"/>
      <c r="M5" s="638"/>
      <c r="N5" s="638"/>
      <c r="O5" s="638"/>
      <c r="P5" s="638"/>
      <c r="Q5" s="638"/>
      <c r="R5" s="638"/>
      <c r="S5" s="638"/>
      <c r="T5" s="638"/>
      <c r="U5" s="638"/>
      <c r="V5" s="638"/>
      <c r="W5" s="638"/>
      <c r="X5" s="638"/>
      <c r="Y5" s="638"/>
      <c r="Z5" s="638"/>
      <c r="AA5" s="2154"/>
      <c r="AB5" s="2154"/>
      <c r="AC5" s="2154"/>
      <c r="AD5" s="2154"/>
      <c r="AE5" s="2154"/>
      <c r="AF5" s="2154"/>
      <c r="AG5" s="2154"/>
      <c r="AH5" s="2154"/>
      <c r="AI5" s="2154"/>
      <c r="AJ5" s="2154"/>
      <c r="AK5" s="2154"/>
      <c r="AN5" s="507"/>
    </row>
    <row r="6" spans="1:41" ht="19.5" customHeight="1">
      <c r="A6" s="636"/>
      <c r="B6" s="3155" t="s">
        <v>1529</v>
      </c>
      <c r="C6" s="1817"/>
      <c r="D6" s="2153"/>
      <c r="E6" s="2153"/>
      <c r="F6" s="2154"/>
      <c r="G6" s="2154"/>
      <c r="H6" s="2155"/>
      <c r="I6" s="2154"/>
      <c r="J6" s="2154"/>
      <c r="K6" s="2154"/>
      <c r="L6" s="638"/>
      <c r="M6" s="638"/>
      <c r="N6" s="638"/>
      <c r="O6" s="638"/>
      <c r="P6" s="638"/>
      <c r="Q6" s="638"/>
      <c r="R6" s="638"/>
      <c r="S6" s="638"/>
      <c r="T6" s="638"/>
      <c r="U6" s="638"/>
      <c r="V6" s="638"/>
      <c r="W6" s="638"/>
      <c r="X6" s="638"/>
      <c r="Y6" s="638"/>
      <c r="Z6" s="638"/>
      <c r="AA6" s="2154"/>
      <c r="AB6" s="2154"/>
      <c r="AC6" s="2154"/>
      <c r="AD6" s="2154"/>
      <c r="AE6" s="2154"/>
      <c r="AF6" s="2154"/>
      <c r="AG6" s="2168"/>
      <c r="AH6" s="2168"/>
      <c r="AI6" s="2168"/>
      <c r="AJ6" s="2168"/>
      <c r="AK6" s="2168"/>
    </row>
    <row r="7" spans="1:41" ht="19.5" customHeight="1">
      <c r="A7" s="636"/>
      <c r="B7" s="642" t="s">
        <v>1104</v>
      </c>
      <c r="C7" s="637"/>
      <c r="D7" s="2153"/>
      <c r="E7" s="2153"/>
      <c r="F7" s="2154"/>
      <c r="G7" s="2154"/>
      <c r="H7" s="2155"/>
      <c r="I7" s="2154"/>
      <c r="J7" s="2154"/>
      <c r="K7" s="2154"/>
      <c r="L7" s="638"/>
      <c r="M7" s="638"/>
      <c r="N7" s="638"/>
      <c r="O7" s="638"/>
      <c r="P7" s="638"/>
      <c r="Q7" s="638"/>
      <c r="R7" s="638"/>
      <c r="S7" s="638"/>
      <c r="T7" s="638"/>
      <c r="U7" s="638"/>
      <c r="V7" s="638"/>
      <c r="W7" s="638"/>
      <c r="X7" s="638"/>
      <c r="Y7" s="638"/>
      <c r="Z7" s="638"/>
      <c r="AA7" s="2154"/>
      <c r="AB7" s="2154"/>
      <c r="AC7" s="2154"/>
      <c r="AD7" s="2154"/>
      <c r="AE7" s="2154"/>
      <c r="AF7" s="2154"/>
      <c r="AG7" s="2168"/>
      <c r="AH7" s="2168"/>
      <c r="AI7" s="2168"/>
      <c r="AJ7" s="2168"/>
      <c r="AK7" s="2168"/>
    </row>
    <row r="8" spans="1:41" ht="19.5" customHeight="1">
      <c r="A8" s="636"/>
      <c r="B8" s="505"/>
      <c r="C8" s="637"/>
      <c r="D8" s="2153"/>
      <c r="E8" s="2153"/>
      <c r="F8" s="2154"/>
      <c r="G8" s="2154"/>
      <c r="H8" s="2155"/>
      <c r="I8" s="2154"/>
      <c r="J8" s="2154"/>
      <c r="K8" s="2154"/>
      <c r="L8" s="638"/>
      <c r="M8" s="638"/>
      <c r="N8" s="638"/>
      <c r="O8" s="638"/>
      <c r="P8" s="638"/>
      <c r="Q8" s="638"/>
      <c r="R8" s="638"/>
      <c r="S8" s="638"/>
      <c r="T8" s="638"/>
      <c r="U8" s="638"/>
      <c r="V8" s="638"/>
      <c r="W8" s="638"/>
      <c r="X8" s="638"/>
      <c r="Y8" s="638"/>
      <c r="Z8" s="638"/>
      <c r="AA8" s="2154"/>
      <c r="AB8" s="2154"/>
      <c r="AC8" s="2154"/>
      <c r="AD8" s="2154"/>
      <c r="AE8" s="2154"/>
      <c r="AF8" s="2154"/>
      <c r="AG8" s="2168"/>
      <c r="AH8" s="2168"/>
      <c r="AI8" s="2168"/>
      <c r="AJ8" s="2168"/>
      <c r="AK8" s="2168"/>
    </row>
    <row r="9" spans="1:41" ht="15.75" customHeight="1">
      <c r="A9" s="636"/>
      <c r="B9" s="642"/>
      <c r="C9" s="637"/>
      <c r="D9" s="2153"/>
      <c r="E9" s="2153"/>
      <c r="F9" s="2154"/>
      <c r="G9" s="2154"/>
      <c r="H9" s="2154"/>
      <c r="I9" s="2154"/>
      <c r="J9" s="2154"/>
      <c r="K9" s="2154"/>
      <c r="L9" s="638"/>
      <c r="M9" s="638"/>
      <c r="N9" s="638"/>
      <c r="O9" s="638"/>
      <c r="P9" s="638"/>
      <c r="Q9" s="638"/>
      <c r="R9" s="638"/>
      <c r="S9" s="638"/>
      <c r="T9" s="638"/>
      <c r="U9" s="638"/>
      <c r="V9" s="638"/>
      <c r="W9" s="638"/>
      <c r="X9" s="638"/>
      <c r="Y9" s="638"/>
      <c r="Z9" s="638"/>
      <c r="AA9" s="2154"/>
      <c r="AB9" s="2154"/>
      <c r="AC9" s="2154"/>
      <c r="AD9" s="2154"/>
      <c r="AE9" s="2169"/>
    </row>
    <row r="10" spans="1:41" ht="15.75" customHeight="1">
      <c r="A10" s="636"/>
      <c r="B10" s="642"/>
      <c r="C10" s="637"/>
      <c r="D10" s="2153"/>
      <c r="E10" s="2153"/>
      <c r="F10" s="2154"/>
      <c r="G10" s="2154"/>
      <c r="H10" s="2154"/>
      <c r="I10" s="2154"/>
      <c r="J10" s="2154"/>
      <c r="K10" s="2154"/>
      <c r="L10" s="638"/>
      <c r="M10" s="638"/>
      <c r="N10" s="638"/>
      <c r="O10" s="638"/>
      <c r="P10" s="638"/>
      <c r="Q10" s="638"/>
      <c r="R10" s="638"/>
      <c r="S10" s="638"/>
      <c r="T10" s="638"/>
      <c r="U10" s="638"/>
      <c r="V10" s="638"/>
      <c r="W10" s="638"/>
      <c r="X10" s="638"/>
      <c r="Y10" s="638"/>
      <c r="Z10" s="638"/>
      <c r="AA10" s="2154"/>
      <c r="AB10" s="2154"/>
      <c r="AC10" s="2154"/>
      <c r="AD10" s="2154"/>
      <c r="AE10" s="2169"/>
      <c r="AF10" s="3573" t="s">
        <v>1664</v>
      </c>
      <c r="AG10" s="3580"/>
      <c r="AH10" s="3580"/>
      <c r="AI10" s="3580"/>
      <c r="AJ10" s="3580"/>
      <c r="AK10" s="3580"/>
      <c r="AL10" s="3580"/>
      <c r="AM10" s="3580"/>
      <c r="AN10" s="3580"/>
    </row>
    <row r="11" spans="1:41" ht="15.75" customHeight="1">
      <c r="A11" s="636"/>
      <c r="B11" s="644"/>
      <c r="C11" s="637"/>
      <c r="D11" s="2153"/>
      <c r="E11" s="2156"/>
      <c r="F11" s="2157"/>
      <c r="G11" s="2157"/>
      <c r="H11" s="2157"/>
      <c r="I11" s="2157"/>
      <c r="J11" s="2157"/>
      <c r="K11" s="2157"/>
      <c r="L11" s="1541"/>
      <c r="M11" s="1541"/>
      <c r="N11" s="1541"/>
      <c r="O11" s="1541"/>
      <c r="P11" s="1541"/>
      <c r="Q11" s="1541"/>
      <c r="R11" s="1541"/>
      <c r="S11" s="1541"/>
      <c r="T11" s="1541"/>
      <c r="U11" s="1541"/>
      <c r="V11" s="1541"/>
      <c r="W11" s="1541"/>
      <c r="X11" s="1541"/>
      <c r="Y11" s="1541"/>
      <c r="Z11" s="1541"/>
      <c r="AA11" s="2157"/>
      <c r="AB11" s="2157"/>
      <c r="AC11" s="1519" t="s">
        <v>1453</v>
      </c>
      <c r="AD11" s="2157"/>
      <c r="AE11" s="2170"/>
      <c r="AF11" s="2202"/>
      <c r="AG11" s="2202"/>
      <c r="AH11" s="2202"/>
      <c r="AI11" s="2202"/>
      <c r="AJ11" s="2202"/>
      <c r="AK11" s="2202"/>
      <c r="AL11" s="2202"/>
      <c r="AM11" s="1548"/>
      <c r="AN11" s="1548"/>
      <c r="AO11" s="1548"/>
    </row>
    <row r="12" spans="1:41" ht="15.75" customHeight="1">
      <c r="A12" s="645"/>
      <c r="B12" s="645"/>
      <c r="C12" s="645"/>
      <c r="D12" s="2199"/>
      <c r="E12" s="1502">
        <v>2015</v>
      </c>
      <c r="F12" s="2158"/>
      <c r="G12" s="2158"/>
      <c r="H12" s="2158"/>
      <c r="I12" s="2158"/>
      <c r="J12" s="2158"/>
      <c r="K12" s="2158"/>
      <c r="L12" s="1544"/>
      <c r="M12" s="1544"/>
      <c r="N12" s="1544"/>
      <c r="O12" s="1544"/>
      <c r="P12" s="1544"/>
      <c r="Q12" s="1544"/>
      <c r="R12" s="1544"/>
      <c r="S12" s="1544"/>
      <c r="T12" s="1544"/>
      <c r="U12" s="1544"/>
      <c r="V12" s="1544"/>
      <c r="W12" s="1512">
        <v>2016</v>
      </c>
      <c r="X12" s="1544"/>
      <c r="Y12" s="1544"/>
      <c r="Z12" s="1544"/>
      <c r="AA12" s="2158"/>
      <c r="AB12" s="2158"/>
      <c r="AC12" s="1519" t="s">
        <v>1454</v>
      </c>
      <c r="AD12" s="2158"/>
      <c r="AE12" s="2158"/>
      <c r="AF12" s="2173"/>
      <c r="AG12" s="2173"/>
      <c r="AH12" s="2173"/>
      <c r="AI12" s="2173"/>
      <c r="AJ12" s="2173"/>
      <c r="AK12" s="2173"/>
      <c r="AL12" s="2174" t="s">
        <v>8</v>
      </c>
      <c r="AM12" s="1519"/>
      <c r="AN12" s="1514" t="s">
        <v>9</v>
      </c>
      <c r="AO12" s="1548"/>
    </row>
    <row r="13" spans="1:41" ht="15.6">
      <c r="A13" s="223"/>
      <c r="B13" s="223"/>
      <c r="C13" s="223"/>
      <c r="D13" s="308"/>
      <c r="E13" s="1546" t="s">
        <v>129</v>
      </c>
      <c r="F13" s="306"/>
      <c r="G13" s="1546" t="s">
        <v>130</v>
      </c>
      <c r="H13" s="306"/>
      <c r="I13" s="1546" t="s">
        <v>131</v>
      </c>
      <c r="J13" s="306"/>
      <c r="K13" s="1546" t="s">
        <v>132</v>
      </c>
      <c r="L13" s="221"/>
      <c r="M13" s="1494" t="s">
        <v>133</v>
      </c>
      <c r="N13" s="221"/>
      <c r="O13" s="1494" t="s">
        <v>134</v>
      </c>
      <c r="P13" s="221"/>
      <c r="Q13" s="1494" t="s">
        <v>135</v>
      </c>
      <c r="R13" s="221"/>
      <c r="S13" s="1494" t="s">
        <v>136</v>
      </c>
      <c r="T13" s="221"/>
      <c r="U13" s="1494" t="s">
        <v>137</v>
      </c>
      <c r="V13" s="221"/>
      <c r="W13" s="1494" t="s">
        <v>154</v>
      </c>
      <c r="X13" s="221"/>
      <c r="Y13" s="1494" t="s">
        <v>139</v>
      </c>
      <c r="Z13" s="221"/>
      <c r="AA13" s="1546" t="s">
        <v>140</v>
      </c>
      <c r="AB13" s="1547"/>
      <c r="AC13" s="2093" t="s">
        <v>1455</v>
      </c>
      <c r="AD13" s="306"/>
      <c r="AE13" s="306"/>
      <c r="AF13" s="1546">
        <v>2015</v>
      </c>
      <c r="AG13" s="306" t="s">
        <v>16</v>
      </c>
      <c r="AH13" s="306"/>
      <c r="AI13" s="1546">
        <v>2014</v>
      </c>
      <c r="AJ13" s="1547"/>
      <c r="AK13" s="1547"/>
      <c r="AL13" s="2175" t="s">
        <v>13</v>
      </c>
      <c r="AM13" s="1517"/>
      <c r="AN13" s="1527" t="s">
        <v>14</v>
      </c>
      <c r="AO13" s="1548"/>
    </row>
    <row r="14" spans="1:41" ht="15.6">
      <c r="A14" s="223"/>
      <c r="B14" s="221"/>
      <c r="C14" s="221"/>
      <c r="D14" s="308"/>
      <c r="E14" s="342"/>
      <c r="F14" s="342"/>
      <c r="G14" s="342"/>
      <c r="H14" s="342"/>
      <c r="I14" s="342"/>
      <c r="J14" s="342"/>
      <c r="K14" s="342"/>
      <c r="L14" s="368"/>
      <c r="M14" s="368"/>
      <c r="N14" s="368"/>
      <c r="O14" s="368"/>
      <c r="P14" s="368"/>
      <c r="Q14" s="368"/>
      <c r="R14" s="368"/>
      <c r="S14" s="368"/>
      <c r="T14" s="368"/>
      <c r="U14" s="368"/>
      <c r="V14" s="368"/>
      <c r="W14" s="368"/>
      <c r="X14" s="368"/>
      <c r="Y14" s="368"/>
      <c r="Z14" s="368"/>
      <c r="AA14" s="342"/>
      <c r="AB14" s="342"/>
      <c r="AC14" s="342"/>
      <c r="AD14" s="342"/>
      <c r="AE14" s="2105"/>
      <c r="AF14" s="342"/>
      <c r="AG14" s="342"/>
      <c r="AH14" s="2105"/>
      <c r="AI14" s="342"/>
      <c r="AJ14" s="342"/>
      <c r="AK14" s="2009"/>
      <c r="AL14" s="2178"/>
      <c r="AM14" s="647"/>
      <c r="AN14" s="647"/>
    </row>
    <row r="15" spans="1:41" ht="15.6">
      <c r="A15" s="223"/>
      <c r="B15" s="221" t="s">
        <v>202</v>
      </c>
      <c r="C15" s="223"/>
      <c r="D15" s="308"/>
      <c r="E15" s="342"/>
      <c r="F15" s="342"/>
      <c r="G15" s="342"/>
      <c r="H15" s="342"/>
      <c r="I15" s="342"/>
      <c r="J15" s="342"/>
      <c r="K15" s="342"/>
      <c r="L15" s="368"/>
      <c r="M15" s="368"/>
      <c r="N15" s="368"/>
      <c r="O15" s="368"/>
      <c r="P15" s="368"/>
      <c r="Q15" s="368"/>
      <c r="R15" s="368"/>
      <c r="S15" s="368"/>
      <c r="T15" s="368"/>
      <c r="U15" s="368"/>
      <c r="V15" s="368"/>
      <c r="W15" s="368"/>
      <c r="X15" s="368"/>
      <c r="Y15" s="368"/>
      <c r="Z15" s="368"/>
      <c r="AA15" s="342"/>
      <c r="AB15" s="342"/>
      <c r="AC15" s="342"/>
      <c r="AD15" s="342"/>
      <c r="AE15" s="2105"/>
      <c r="AF15" s="342"/>
      <c r="AG15" s="318"/>
      <c r="AH15" s="2203"/>
      <c r="AI15" s="342"/>
      <c r="AJ15" s="342"/>
      <c r="AK15" s="2009"/>
      <c r="AL15" s="2178"/>
      <c r="AM15" s="647"/>
      <c r="AN15" s="647"/>
    </row>
    <row r="16" spans="1:41" ht="15.6">
      <c r="A16" s="223"/>
      <c r="B16" s="1830" t="s">
        <v>1294</v>
      </c>
      <c r="C16" s="223"/>
      <c r="D16" s="308"/>
      <c r="E16" s="2135"/>
      <c r="F16" s="319"/>
      <c r="G16" s="2135"/>
      <c r="H16" s="319"/>
      <c r="I16" s="2135"/>
      <c r="J16" s="319"/>
      <c r="K16" s="2135"/>
      <c r="L16" s="319"/>
      <c r="M16" s="319"/>
      <c r="N16" s="319"/>
      <c r="O16" s="2135"/>
      <c r="P16" s="319"/>
      <c r="Q16" s="2135"/>
      <c r="R16" s="319"/>
      <c r="S16" s="2135"/>
      <c r="T16" s="319"/>
      <c r="U16" s="2135"/>
      <c r="V16" s="319"/>
      <c r="W16" s="2135"/>
      <c r="X16" s="319"/>
      <c r="Y16" s="2135"/>
      <c r="Z16" s="319"/>
      <c r="AA16" s="2135"/>
      <c r="AB16" s="2135"/>
      <c r="AC16" s="2135"/>
      <c r="AD16" s="319"/>
      <c r="AE16" s="1284"/>
      <c r="AF16" s="2136"/>
      <c r="AG16" s="2137"/>
      <c r="AH16" s="262"/>
      <c r="AI16" s="319"/>
      <c r="AJ16" s="320"/>
      <c r="AK16" s="2138"/>
      <c r="AL16" s="320"/>
      <c r="AM16" s="2139"/>
      <c r="AN16" s="2140"/>
    </row>
    <row r="17" spans="1:40" ht="15.6">
      <c r="A17" s="223"/>
      <c r="B17" s="1830" t="s">
        <v>1422</v>
      </c>
      <c r="C17" s="223"/>
      <c r="D17" s="308"/>
      <c r="E17" s="2135"/>
      <c r="F17" s="319"/>
      <c r="G17" s="2135"/>
      <c r="H17" s="319"/>
      <c r="I17" s="2135"/>
      <c r="J17" s="319"/>
      <c r="K17" s="2135"/>
      <c r="L17" s="261"/>
      <c r="M17" s="261"/>
      <c r="N17" s="261"/>
      <c r="O17" s="517"/>
      <c r="P17" s="261"/>
      <c r="Q17" s="517"/>
      <c r="R17" s="261"/>
      <c r="S17" s="517"/>
      <c r="T17" s="261"/>
      <c r="U17" s="517"/>
      <c r="V17" s="261"/>
      <c r="W17" s="517"/>
      <c r="X17" s="261"/>
      <c r="Y17" s="517"/>
      <c r="Z17" s="261"/>
      <c r="AA17" s="2135"/>
      <c r="AB17" s="2135"/>
      <c r="AC17" s="2135"/>
      <c r="AD17" s="319"/>
      <c r="AE17" s="1284"/>
      <c r="AF17" s="2136"/>
      <c r="AG17" s="2141"/>
      <c r="AH17" s="262"/>
      <c r="AI17" s="319"/>
      <c r="AJ17" s="320"/>
      <c r="AK17" s="2138"/>
      <c r="AL17" s="320"/>
      <c r="AM17" s="657"/>
      <c r="AN17" s="45"/>
    </row>
    <row r="18" spans="1:40">
      <c r="A18" s="223"/>
      <c r="B18" s="1830" t="s">
        <v>1328</v>
      </c>
      <c r="C18" s="223"/>
      <c r="D18" s="308"/>
      <c r="E18" s="2767">
        <v>0</v>
      </c>
      <c r="F18" s="1832"/>
      <c r="G18" s="2767">
        <v>0</v>
      </c>
      <c r="H18" s="1832"/>
      <c r="I18" s="2767">
        <v>0</v>
      </c>
      <c r="J18" s="1832"/>
      <c r="K18" s="2767">
        <v>0</v>
      </c>
      <c r="L18" s="1171"/>
      <c r="M18" s="2767">
        <v>0</v>
      </c>
      <c r="N18" s="1171"/>
      <c r="O18" s="1252">
        <v>0</v>
      </c>
      <c r="P18" s="1171"/>
      <c r="Q18" s="1920">
        <v>0</v>
      </c>
      <c r="R18" s="1171"/>
      <c r="S18" s="1920">
        <v>0</v>
      </c>
      <c r="T18" s="1920"/>
      <c r="U18" s="1920">
        <v>0</v>
      </c>
      <c r="V18" s="1171"/>
      <c r="W18" s="1920"/>
      <c r="X18" s="1171"/>
      <c r="Y18" s="1920"/>
      <c r="Z18" s="1171"/>
      <c r="AA18" s="1920"/>
      <c r="AB18" s="1834"/>
      <c r="AC18" s="2792">
        <v>0</v>
      </c>
      <c r="AD18" s="1833"/>
      <c r="AE18" s="2768"/>
      <c r="AF18" s="1831">
        <f>ROUND(SUM(E18:AC18),1)</f>
        <v>0</v>
      </c>
      <c r="AG18" s="2769"/>
      <c r="AH18" s="2035"/>
      <c r="AI18" s="1832">
        <v>0</v>
      </c>
      <c r="AJ18" s="1831"/>
      <c r="AK18" s="2770"/>
      <c r="AL18" s="1831">
        <f t="shared" ref="AL18:AL40" si="0">ROUND(AF18-AI18,1)</f>
        <v>0</v>
      </c>
      <c r="AM18" s="1898"/>
      <c r="AN18" s="2817">
        <f>ROUND(IF(AI18=0,0,AL18/ABS(AI18)),3)</f>
        <v>0</v>
      </c>
    </row>
    <row r="19" spans="1:40" ht="15.6">
      <c r="A19" s="223"/>
      <c r="B19" s="1830" t="s">
        <v>1423</v>
      </c>
      <c r="C19" s="223"/>
      <c r="D19" s="308"/>
      <c r="E19" s="2135"/>
      <c r="F19" s="319"/>
      <c r="G19" s="2135"/>
      <c r="H19" s="319"/>
      <c r="I19" s="2135"/>
      <c r="J19" s="319"/>
      <c r="K19" s="2135"/>
      <c r="L19" s="261"/>
      <c r="M19" s="2135"/>
      <c r="N19" s="261"/>
      <c r="O19" s="517"/>
      <c r="P19" s="261"/>
      <c r="Q19" s="517"/>
      <c r="R19" s="261"/>
      <c r="S19" s="517"/>
      <c r="T19" s="261"/>
      <c r="U19" s="517"/>
      <c r="V19" s="261"/>
      <c r="W19" s="517"/>
      <c r="X19" s="261"/>
      <c r="Y19" s="517"/>
      <c r="Z19" s="261"/>
      <c r="AA19" s="2135"/>
      <c r="AB19" s="2135"/>
      <c r="AC19" s="2135"/>
      <c r="AD19" s="319"/>
      <c r="AE19" s="1284"/>
      <c r="AF19" s="2136"/>
      <c r="AG19" s="2141"/>
      <c r="AH19" s="262"/>
      <c r="AI19" s="319"/>
      <c r="AJ19" s="320"/>
      <c r="AK19" s="2138"/>
      <c r="AL19" s="1351" t="s">
        <v>16</v>
      </c>
      <c r="AM19" s="657"/>
      <c r="AN19" s="1864" t="s">
        <v>16</v>
      </c>
    </row>
    <row r="20" spans="1:40" ht="15.6">
      <c r="A20" s="223"/>
      <c r="B20" s="1830" t="s">
        <v>1329</v>
      </c>
      <c r="C20" s="223"/>
      <c r="D20" s="308"/>
      <c r="E20" s="2135">
        <v>0</v>
      </c>
      <c r="F20" s="319"/>
      <c r="G20" s="2135">
        <v>0</v>
      </c>
      <c r="H20" s="319"/>
      <c r="I20" s="2135">
        <v>0</v>
      </c>
      <c r="J20" s="319"/>
      <c r="K20" s="2135">
        <v>0</v>
      </c>
      <c r="L20" s="261"/>
      <c r="M20" s="2135">
        <v>0</v>
      </c>
      <c r="N20" s="261"/>
      <c r="O20" s="2135">
        <v>0</v>
      </c>
      <c r="P20" s="261"/>
      <c r="Q20" s="517">
        <v>0</v>
      </c>
      <c r="R20" s="261"/>
      <c r="S20" s="517">
        <v>0</v>
      </c>
      <c r="T20" s="261"/>
      <c r="U20" s="517">
        <v>0</v>
      </c>
      <c r="V20" s="261"/>
      <c r="W20" s="517"/>
      <c r="X20" s="261"/>
      <c r="Y20" s="517"/>
      <c r="Z20" s="261"/>
      <c r="AA20" s="2135"/>
      <c r="AB20" s="2135"/>
      <c r="AC20" s="1202">
        <v>0</v>
      </c>
      <c r="AD20" s="319"/>
      <c r="AE20" s="1284"/>
      <c r="AF20" s="320">
        <f>ROUND(SUM(E20:AC20),1)</f>
        <v>0</v>
      </c>
      <c r="AG20" s="2141"/>
      <c r="AH20" s="262"/>
      <c r="AI20" s="319">
        <v>0</v>
      </c>
      <c r="AJ20" s="320"/>
      <c r="AK20" s="2138"/>
      <c r="AL20" s="320">
        <f t="shared" si="0"/>
        <v>0</v>
      </c>
      <c r="AM20" s="657"/>
      <c r="AN20" s="45">
        <f>ROUND(IF(AI20=0,0,AL20/ABS(AI20)),3)</f>
        <v>0</v>
      </c>
    </row>
    <row r="21" spans="1:40" ht="15.6">
      <c r="A21" s="223"/>
      <c r="B21" s="1830" t="s">
        <v>1428</v>
      </c>
      <c r="C21" s="223"/>
      <c r="D21" s="308"/>
      <c r="E21" s="2135"/>
      <c r="F21" s="319"/>
      <c r="G21" s="2135"/>
      <c r="H21" s="319"/>
      <c r="I21" s="2135"/>
      <c r="J21" s="319"/>
      <c r="K21" s="2135"/>
      <c r="L21" s="261"/>
      <c r="M21" s="2135"/>
      <c r="N21" s="261"/>
      <c r="O21" s="2135"/>
      <c r="P21" s="261"/>
      <c r="Q21" s="517"/>
      <c r="R21" s="261"/>
      <c r="S21" s="517"/>
      <c r="T21" s="261"/>
      <c r="U21" s="517"/>
      <c r="V21" s="261"/>
      <c r="W21" s="517"/>
      <c r="X21" s="261"/>
      <c r="Y21" s="517"/>
      <c r="Z21" s="261"/>
      <c r="AA21" s="2135"/>
      <c r="AB21" s="2135"/>
      <c r="AC21" s="2135"/>
      <c r="AD21" s="319"/>
      <c r="AE21" s="1284"/>
      <c r="AF21" s="320"/>
      <c r="AG21" s="2141"/>
      <c r="AH21" s="262"/>
      <c r="AI21" s="319"/>
      <c r="AJ21" s="320"/>
      <c r="AK21" s="2138"/>
      <c r="AL21" s="1351" t="s">
        <v>16</v>
      </c>
      <c r="AM21" s="657"/>
      <c r="AN21" s="1864" t="s">
        <v>16</v>
      </c>
    </row>
    <row r="22" spans="1:40" ht="15.6">
      <c r="A22" s="223"/>
      <c r="B22" s="1830" t="s">
        <v>1333</v>
      </c>
      <c r="C22" s="223"/>
      <c r="D22" s="308"/>
      <c r="E22" s="2135">
        <v>0</v>
      </c>
      <c r="F22" s="319"/>
      <c r="G22" s="2135">
        <v>0</v>
      </c>
      <c r="H22" s="319"/>
      <c r="I22" s="2135">
        <v>0</v>
      </c>
      <c r="J22" s="319"/>
      <c r="K22" s="2135">
        <v>0</v>
      </c>
      <c r="L22" s="261"/>
      <c r="M22" s="2135">
        <v>0</v>
      </c>
      <c r="N22" s="261"/>
      <c r="O22" s="2135">
        <v>0</v>
      </c>
      <c r="P22" s="261"/>
      <c r="Q22" s="517">
        <v>0</v>
      </c>
      <c r="R22" s="261"/>
      <c r="S22" s="517">
        <v>0</v>
      </c>
      <c r="T22" s="261"/>
      <c r="U22" s="517">
        <v>0</v>
      </c>
      <c r="V22" s="261"/>
      <c r="W22" s="517"/>
      <c r="X22" s="261"/>
      <c r="Y22" s="517"/>
      <c r="Z22" s="261"/>
      <c r="AA22" s="2135"/>
      <c r="AB22" s="2135"/>
      <c r="AC22" s="1202">
        <v>0</v>
      </c>
      <c r="AD22" s="319"/>
      <c r="AE22" s="1284"/>
      <c r="AF22" s="320">
        <f t="shared" ref="AF22:AF27" si="1">ROUND(SUM(E22:AC22),1)</f>
        <v>0</v>
      </c>
      <c r="AG22" s="2141"/>
      <c r="AH22" s="262"/>
      <c r="AI22" s="319">
        <v>0</v>
      </c>
      <c r="AJ22" s="320"/>
      <c r="AK22" s="2138"/>
      <c r="AL22" s="320">
        <f t="shared" si="0"/>
        <v>0</v>
      </c>
      <c r="AM22" s="657"/>
      <c r="AN22" s="45">
        <f t="shared" ref="AN22:AN27" si="2">ROUND(IF(AI22=0,0,AL22/ABS(AI22)),3)</f>
        <v>0</v>
      </c>
    </row>
    <row r="23" spans="1:40" ht="15.6">
      <c r="A23" s="223"/>
      <c r="B23" s="1830" t="s">
        <v>1511</v>
      </c>
      <c r="C23" s="223"/>
      <c r="D23" s="308"/>
      <c r="E23" s="2135">
        <v>0</v>
      </c>
      <c r="F23" s="319"/>
      <c r="G23" s="2135">
        <v>0</v>
      </c>
      <c r="H23" s="319"/>
      <c r="I23" s="2135">
        <v>0</v>
      </c>
      <c r="J23" s="319"/>
      <c r="K23" s="2135">
        <v>0</v>
      </c>
      <c r="L23" s="261"/>
      <c r="M23" s="2135">
        <v>0</v>
      </c>
      <c r="N23" s="261"/>
      <c r="O23" s="2135">
        <v>0</v>
      </c>
      <c r="P23" s="261"/>
      <c r="Q23" s="517">
        <v>0</v>
      </c>
      <c r="R23" s="261"/>
      <c r="S23" s="517">
        <v>0</v>
      </c>
      <c r="T23" s="261"/>
      <c r="U23" s="517">
        <v>0</v>
      </c>
      <c r="V23" s="261"/>
      <c r="W23" s="517"/>
      <c r="X23" s="261"/>
      <c r="Y23" s="517"/>
      <c r="Z23" s="261"/>
      <c r="AA23" s="2135"/>
      <c r="AB23" s="2135"/>
      <c r="AC23" s="1202">
        <v>0</v>
      </c>
      <c r="AD23" s="319"/>
      <c r="AE23" s="1284"/>
      <c r="AF23" s="320">
        <f t="shared" si="1"/>
        <v>0</v>
      </c>
      <c r="AG23" s="2883"/>
      <c r="AH23" s="262"/>
      <c r="AI23" s="319">
        <v>0</v>
      </c>
      <c r="AJ23" s="320"/>
      <c r="AK23" s="2138"/>
      <c r="AL23" s="320">
        <f>ROUND(AF23-AI23,1)</f>
        <v>0</v>
      </c>
      <c r="AM23" s="657"/>
      <c r="AN23" s="45">
        <f t="shared" si="2"/>
        <v>0</v>
      </c>
    </row>
    <row r="24" spans="1:40" ht="15.6">
      <c r="A24" s="223"/>
      <c r="B24" s="1830" t="s">
        <v>1336</v>
      </c>
      <c r="C24" s="223"/>
      <c r="D24" s="308"/>
      <c r="E24" s="2135">
        <v>0</v>
      </c>
      <c r="F24" s="319"/>
      <c r="G24" s="2135">
        <v>0</v>
      </c>
      <c r="H24" s="319"/>
      <c r="I24" s="2135">
        <v>0</v>
      </c>
      <c r="J24" s="319"/>
      <c r="K24" s="2135">
        <v>0</v>
      </c>
      <c r="L24" s="261"/>
      <c r="M24" s="2135">
        <v>0</v>
      </c>
      <c r="N24" s="261"/>
      <c r="O24" s="2135">
        <v>0</v>
      </c>
      <c r="P24" s="261"/>
      <c r="Q24" s="517">
        <v>0</v>
      </c>
      <c r="R24" s="261"/>
      <c r="S24" s="517">
        <v>0</v>
      </c>
      <c r="T24" s="261"/>
      <c r="U24" s="517">
        <v>0</v>
      </c>
      <c r="V24" s="261"/>
      <c r="W24" s="517"/>
      <c r="X24" s="261"/>
      <c r="Y24" s="517"/>
      <c r="Z24" s="261"/>
      <c r="AA24" s="2135"/>
      <c r="AB24" s="2135"/>
      <c r="AC24" s="1202">
        <v>0</v>
      </c>
      <c r="AD24" s="319"/>
      <c r="AE24" s="1284"/>
      <c r="AF24" s="320">
        <f t="shared" si="1"/>
        <v>0</v>
      </c>
      <c r="AG24" s="2141"/>
      <c r="AH24" s="262"/>
      <c r="AI24" s="319">
        <v>0</v>
      </c>
      <c r="AJ24" s="320"/>
      <c r="AK24" s="2138"/>
      <c r="AL24" s="320">
        <f t="shared" si="0"/>
        <v>0</v>
      </c>
      <c r="AM24" s="657"/>
      <c r="AN24" s="45">
        <f t="shared" si="2"/>
        <v>0</v>
      </c>
    </row>
    <row r="25" spans="1:40" ht="15.6">
      <c r="A25" s="223"/>
      <c r="B25" s="1830" t="s">
        <v>1337</v>
      </c>
      <c r="C25" s="223"/>
      <c r="D25" s="308"/>
      <c r="E25" s="2135">
        <v>0</v>
      </c>
      <c r="F25" s="319"/>
      <c r="G25" s="2135">
        <v>0</v>
      </c>
      <c r="H25" s="319"/>
      <c r="I25" s="2135">
        <v>0</v>
      </c>
      <c r="J25" s="319"/>
      <c r="K25" s="2135">
        <v>0</v>
      </c>
      <c r="L25" s="261"/>
      <c r="M25" s="2135">
        <v>0</v>
      </c>
      <c r="N25" s="261"/>
      <c r="O25" s="2135">
        <v>0</v>
      </c>
      <c r="P25" s="261"/>
      <c r="Q25" s="517">
        <v>0</v>
      </c>
      <c r="R25" s="261"/>
      <c r="S25" s="517">
        <v>0</v>
      </c>
      <c r="T25" s="261"/>
      <c r="U25" s="517">
        <v>0</v>
      </c>
      <c r="V25" s="261"/>
      <c r="W25" s="517"/>
      <c r="X25" s="261"/>
      <c r="Y25" s="517"/>
      <c r="Z25" s="261"/>
      <c r="AA25" s="2135"/>
      <c r="AB25" s="2135"/>
      <c r="AC25" s="1202">
        <v>0</v>
      </c>
      <c r="AD25" s="319"/>
      <c r="AE25" s="1284"/>
      <c r="AF25" s="320">
        <f t="shared" si="1"/>
        <v>0</v>
      </c>
      <c r="AG25" s="2141"/>
      <c r="AH25" s="262"/>
      <c r="AI25" s="319">
        <v>0</v>
      </c>
      <c r="AJ25" s="320"/>
      <c r="AK25" s="2138"/>
      <c r="AL25" s="320">
        <f t="shared" si="0"/>
        <v>0</v>
      </c>
      <c r="AM25" s="657"/>
      <c r="AN25" s="45">
        <f t="shared" si="2"/>
        <v>0</v>
      </c>
    </row>
    <row r="26" spans="1:40" ht="15.6">
      <c r="A26" s="223"/>
      <c r="B26" s="1830" t="s">
        <v>1295</v>
      </c>
      <c r="C26" s="223"/>
      <c r="D26" s="308"/>
      <c r="E26" s="2135">
        <v>0</v>
      </c>
      <c r="F26" s="319"/>
      <c r="G26" s="2135">
        <v>0</v>
      </c>
      <c r="H26" s="319"/>
      <c r="I26" s="2135">
        <v>0</v>
      </c>
      <c r="J26" s="319"/>
      <c r="K26" s="2135">
        <v>0</v>
      </c>
      <c r="L26" s="261"/>
      <c r="M26" s="2135">
        <v>0</v>
      </c>
      <c r="N26" s="261"/>
      <c r="O26" s="2135">
        <v>0</v>
      </c>
      <c r="P26" s="261"/>
      <c r="Q26" s="517">
        <v>0</v>
      </c>
      <c r="R26" s="261"/>
      <c r="S26" s="517">
        <v>0</v>
      </c>
      <c r="T26" s="261"/>
      <c r="U26" s="517">
        <v>0</v>
      </c>
      <c r="V26" s="261"/>
      <c r="W26" s="517"/>
      <c r="X26" s="261"/>
      <c r="Y26" s="517"/>
      <c r="Z26" s="261"/>
      <c r="AA26" s="2135"/>
      <c r="AB26" s="2135"/>
      <c r="AC26" s="1202">
        <v>0</v>
      </c>
      <c r="AD26" s="319"/>
      <c r="AE26" s="1284"/>
      <c r="AF26" s="320">
        <f t="shared" si="1"/>
        <v>0</v>
      </c>
      <c r="AG26" s="2141"/>
      <c r="AH26" s="262"/>
      <c r="AI26" s="319">
        <v>0</v>
      </c>
      <c r="AJ26" s="320"/>
      <c r="AK26" s="2138"/>
      <c r="AL26" s="320">
        <f t="shared" si="0"/>
        <v>0</v>
      </c>
      <c r="AM26" s="657"/>
      <c r="AN26" s="45">
        <f t="shared" si="2"/>
        <v>0</v>
      </c>
    </row>
    <row r="27" spans="1:40" ht="15.6">
      <c r="A27" s="223"/>
      <c r="B27" s="1830" t="s">
        <v>1296</v>
      </c>
      <c r="C27" s="223"/>
      <c r="D27" s="308"/>
      <c r="E27" s="2135">
        <v>0</v>
      </c>
      <c r="F27" s="319"/>
      <c r="G27" s="2135">
        <v>0</v>
      </c>
      <c r="H27" s="319"/>
      <c r="I27" s="2135">
        <v>0</v>
      </c>
      <c r="J27" s="319"/>
      <c r="K27" s="2135">
        <v>0</v>
      </c>
      <c r="L27" s="261"/>
      <c r="M27" s="2135">
        <v>0</v>
      </c>
      <c r="N27" s="261"/>
      <c r="O27" s="2135">
        <v>0</v>
      </c>
      <c r="P27" s="261"/>
      <c r="Q27" s="517">
        <v>0</v>
      </c>
      <c r="R27" s="261"/>
      <c r="S27" s="517">
        <v>0</v>
      </c>
      <c r="T27" s="261"/>
      <c r="U27" s="517">
        <v>0</v>
      </c>
      <c r="V27" s="261"/>
      <c r="W27" s="517"/>
      <c r="X27" s="261"/>
      <c r="Y27" s="517"/>
      <c r="Z27" s="261"/>
      <c r="AA27" s="2135"/>
      <c r="AB27" s="2135"/>
      <c r="AC27" s="1202">
        <v>0</v>
      </c>
      <c r="AD27" s="319"/>
      <c r="AE27" s="1284"/>
      <c r="AF27" s="320">
        <f t="shared" si="1"/>
        <v>0</v>
      </c>
      <c r="AG27" s="2141"/>
      <c r="AH27" s="262"/>
      <c r="AI27" s="319">
        <v>0</v>
      </c>
      <c r="AJ27" s="320"/>
      <c r="AK27" s="2138"/>
      <c r="AL27" s="320">
        <f t="shared" si="0"/>
        <v>0</v>
      </c>
      <c r="AM27" s="657"/>
      <c r="AN27" s="45">
        <f t="shared" si="2"/>
        <v>0</v>
      </c>
    </row>
    <row r="28" spans="1:40" ht="15.6">
      <c r="A28" s="223"/>
      <c r="B28" s="1830" t="s">
        <v>1426</v>
      </c>
      <c r="C28" s="223"/>
      <c r="D28" s="308"/>
      <c r="E28" s="2135"/>
      <c r="F28" s="319"/>
      <c r="G28" s="2135"/>
      <c r="H28" s="319"/>
      <c r="I28" s="2135"/>
      <c r="J28" s="319"/>
      <c r="K28" s="2135"/>
      <c r="L28" s="261"/>
      <c r="M28" s="2135"/>
      <c r="N28" s="261"/>
      <c r="O28" s="2135"/>
      <c r="P28" s="261"/>
      <c r="Q28" s="517"/>
      <c r="R28" s="261"/>
      <c r="S28" s="517"/>
      <c r="T28" s="261"/>
      <c r="U28" s="517"/>
      <c r="V28" s="261"/>
      <c r="W28" s="517"/>
      <c r="X28" s="261"/>
      <c r="Y28" s="517"/>
      <c r="Z28" s="261"/>
      <c r="AA28" s="2135"/>
      <c r="AB28" s="2135"/>
      <c r="AC28" s="1202"/>
      <c r="AD28" s="319"/>
      <c r="AE28" s="1284"/>
      <c r="AF28" s="320"/>
      <c r="AG28" s="2141"/>
      <c r="AH28" s="262"/>
      <c r="AI28" s="319"/>
      <c r="AJ28" s="320"/>
      <c r="AK28" s="2138"/>
      <c r="AL28" s="1351" t="s">
        <v>16</v>
      </c>
      <c r="AM28" s="657"/>
      <c r="AN28" s="1864" t="s">
        <v>16</v>
      </c>
    </row>
    <row r="29" spans="1:40" ht="15.6">
      <c r="A29" s="223"/>
      <c r="B29" s="1830" t="s">
        <v>1341</v>
      </c>
      <c r="C29" s="223"/>
      <c r="D29" s="308"/>
      <c r="E29" s="2135">
        <v>0</v>
      </c>
      <c r="F29" s="319"/>
      <c r="G29" s="2135">
        <v>0</v>
      </c>
      <c r="H29" s="319"/>
      <c r="I29" s="2135">
        <v>0</v>
      </c>
      <c r="J29" s="319"/>
      <c r="K29" s="2135">
        <v>0</v>
      </c>
      <c r="L29" s="261"/>
      <c r="M29" s="2135">
        <v>0</v>
      </c>
      <c r="N29" s="261"/>
      <c r="O29" s="2135">
        <v>0</v>
      </c>
      <c r="P29" s="261"/>
      <c r="Q29" s="517">
        <v>0</v>
      </c>
      <c r="R29" s="261"/>
      <c r="S29" s="517">
        <v>0</v>
      </c>
      <c r="T29" s="261"/>
      <c r="U29" s="517">
        <v>0</v>
      </c>
      <c r="V29" s="261"/>
      <c r="W29" s="517"/>
      <c r="X29" s="261"/>
      <c r="Y29" s="517"/>
      <c r="Z29" s="261"/>
      <c r="AA29" s="2135"/>
      <c r="AB29" s="2135"/>
      <c r="AC29" s="1202">
        <v>0</v>
      </c>
      <c r="AD29" s="319"/>
      <c r="AE29" s="1284"/>
      <c r="AF29" s="320">
        <f>ROUND(SUM(E29:AC29),1)</f>
        <v>0</v>
      </c>
      <c r="AG29" s="2141"/>
      <c r="AH29" s="262"/>
      <c r="AI29" s="319">
        <v>0</v>
      </c>
      <c r="AJ29" s="320"/>
      <c r="AK29" s="2138"/>
      <c r="AL29" s="320">
        <f t="shared" si="0"/>
        <v>0</v>
      </c>
      <c r="AM29" s="657"/>
      <c r="AN29" s="45">
        <f>ROUND(IF(AI29=0,0,AL29/ABS(AI29)),3)</f>
        <v>0</v>
      </c>
    </row>
    <row r="30" spans="1:40" ht="15.6">
      <c r="A30" s="223"/>
      <c r="B30" s="1830" t="s">
        <v>1343</v>
      </c>
      <c r="C30" s="223"/>
      <c r="D30" s="308"/>
      <c r="E30" s="2135">
        <v>0</v>
      </c>
      <c r="F30" s="2135">
        <v>0</v>
      </c>
      <c r="G30" s="2135">
        <v>0</v>
      </c>
      <c r="H30" s="2135"/>
      <c r="I30" s="2135">
        <v>0</v>
      </c>
      <c r="J30" s="2135"/>
      <c r="K30" s="2135">
        <v>0</v>
      </c>
      <c r="L30" s="2135"/>
      <c r="M30" s="2135">
        <v>0</v>
      </c>
      <c r="N30" s="2135"/>
      <c r="O30" s="2135">
        <v>0</v>
      </c>
      <c r="P30" s="2135"/>
      <c r="Q30" s="2135">
        <v>0</v>
      </c>
      <c r="R30" s="2135"/>
      <c r="S30" s="2135">
        <v>0</v>
      </c>
      <c r="T30" s="261"/>
      <c r="U30" s="2135">
        <v>0</v>
      </c>
      <c r="V30" s="261"/>
      <c r="W30" s="517"/>
      <c r="X30" s="261"/>
      <c r="Y30" s="517"/>
      <c r="Z30" s="261"/>
      <c r="AA30" s="2135"/>
      <c r="AB30" s="2135"/>
      <c r="AC30" s="1202">
        <v>0</v>
      </c>
      <c r="AD30" s="319"/>
      <c r="AE30" s="1284"/>
      <c r="AF30" s="320">
        <f>ROUND(SUM(E30:AC30),1)</f>
        <v>0</v>
      </c>
      <c r="AG30" s="2883"/>
      <c r="AH30" s="262"/>
      <c r="AI30" s="319">
        <v>0</v>
      </c>
      <c r="AJ30" s="320"/>
      <c r="AK30" s="2138"/>
      <c r="AL30" s="320">
        <f t="shared" si="0"/>
        <v>0</v>
      </c>
      <c r="AM30" s="657"/>
      <c r="AN30" s="45">
        <f>ROUND(IF(AI30=0,0,AL30/ABS(AI30)),3)</f>
        <v>0</v>
      </c>
    </row>
    <row r="31" spans="1:40" ht="15.6">
      <c r="A31" s="223"/>
      <c r="B31" s="1830" t="s">
        <v>1344</v>
      </c>
      <c r="C31" s="223"/>
      <c r="D31" s="308"/>
      <c r="E31" s="2135">
        <v>0</v>
      </c>
      <c r="F31" s="319"/>
      <c r="G31" s="2135">
        <v>0</v>
      </c>
      <c r="H31" s="319"/>
      <c r="I31" s="2135">
        <v>0</v>
      </c>
      <c r="J31" s="319"/>
      <c r="K31" s="2135">
        <v>0</v>
      </c>
      <c r="L31" s="261"/>
      <c r="M31" s="2135">
        <v>0</v>
      </c>
      <c r="N31" s="261"/>
      <c r="O31" s="2135">
        <v>0</v>
      </c>
      <c r="P31" s="261"/>
      <c r="Q31" s="517">
        <v>0</v>
      </c>
      <c r="R31" s="261"/>
      <c r="S31" s="517">
        <v>0</v>
      </c>
      <c r="T31" s="261"/>
      <c r="U31" s="517">
        <v>0</v>
      </c>
      <c r="V31" s="261"/>
      <c r="W31" s="517"/>
      <c r="X31" s="261"/>
      <c r="Y31" s="517"/>
      <c r="Z31" s="261"/>
      <c r="AA31" s="2135"/>
      <c r="AB31" s="2135"/>
      <c r="AC31" s="1202">
        <v>0</v>
      </c>
      <c r="AD31" s="319"/>
      <c r="AE31" s="1284"/>
      <c r="AF31" s="320">
        <f>ROUND(SUM(E31:AC31),1)</f>
        <v>0</v>
      </c>
      <c r="AG31" s="2141"/>
      <c r="AH31" s="262"/>
      <c r="AI31" s="319">
        <v>0</v>
      </c>
      <c r="AJ31" s="320"/>
      <c r="AK31" s="2138"/>
      <c r="AL31" s="320">
        <f t="shared" si="0"/>
        <v>0</v>
      </c>
      <c r="AM31" s="657"/>
      <c r="AN31" s="45">
        <f>ROUND(IF(AI31=0,0,AL31/ABS(AI31)),3)</f>
        <v>0</v>
      </c>
    </row>
    <row r="32" spans="1:40" ht="15.6">
      <c r="A32" s="223"/>
      <c r="B32" s="1830" t="s">
        <v>1314</v>
      </c>
      <c r="C32" s="223"/>
      <c r="D32" s="308"/>
      <c r="E32" s="2135">
        <v>0</v>
      </c>
      <c r="F32" s="319"/>
      <c r="G32" s="2135">
        <v>0</v>
      </c>
      <c r="H32" s="319"/>
      <c r="I32" s="2135">
        <v>0</v>
      </c>
      <c r="J32" s="319"/>
      <c r="K32" s="2135">
        <v>0</v>
      </c>
      <c r="L32" s="261"/>
      <c r="M32" s="2135">
        <v>0</v>
      </c>
      <c r="N32" s="261"/>
      <c r="O32" s="2135">
        <v>0</v>
      </c>
      <c r="P32" s="261"/>
      <c r="Q32" s="517">
        <v>0</v>
      </c>
      <c r="R32" s="261"/>
      <c r="S32" s="517">
        <v>0</v>
      </c>
      <c r="T32" s="261"/>
      <c r="U32" s="517">
        <v>0</v>
      </c>
      <c r="V32" s="261"/>
      <c r="W32" s="517"/>
      <c r="X32" s="261"/>
      <c r="Y32" s="517"/>
      <c r="Z32" s="261"/>
      <c r="AA32" s="2135"/>
      <c r="AB32" s="2135"/>
      <c r="AC32" s="1202">
        <v>0</v>
      </c>
      <c r="AD32" s="319"/>
      <c r="AE32" s="1284"/>
      <c r="AF32" s="320">
        <f>ROUND(SUM(E32:AC32),1)</f>
        <v>0</v>
      </c>
      <c r="AG32" s="2141"/>
      <c r="AH32" s="262"/>
      <c r="AI32" s="319">
        <v>0</v>
      </c>
      <c r="AJ32" s="320"/>
      <c r="AK32" s="2138"/>
      <c r="AL32" s="320">
        <f t="shared" si="0"/>
        <v>0</v>
      </c>
      <c r="AM32" s="657"/>
      <c r="AN32" s="45">
        <f>ROUND(IF(AI32=0,0,AL32/ABS(AI32)),3)</f>
        <v>0</v>
      </c>
    </row>
    <row r="33" spans="1:41" ht="15.6">
      <c r="A33" s="223"/>
      <c r="B33" s="1830" t="s">
        <v>1315</v>
      </c>
      <c r="C33" s="223"/>
      <c r="D33" s="308"/>
      <c r="E33" s="2135">
        <v>0.1</v>
      </c>
      <c r="F33" s="319"/>
      <c r="G33" s="2135">
        <v>0</v>
      </c>
      <c r="H33" s="319"/>
      <c r="I33" s="2135">
        <v>0.1</v>
      </c>
      <c r="J33" s="319"/>
      <c r="K33" s="2135">
        <v>0</v>
      </c>
      <c r="L33" s="261"/>
      <c r="M33" s="2135">
        <v>0</v>
      </c>
      <c r="N33" s="261"/>
      <c r="O33" s="517">
        <v>0.1</v>
      </c>
      <c r="P33" s="261"/>
      <c r="Q33" s="517">
        <v>0</v>
      </c>
      <c r="R33" s="261"/>
      <c r="S33" s="517">
        <v>0.1</v>
      </c>
      <c r="T33" s="261"/>
      <c r="U33" s="517">
        <v>0</v>
      </c>
      <c r="V33" s="261"/>
      <c r="W33" s="517"/>
      <c r="X33" s="261"/>
      <c r="Y33" s="517"/>
      <c r="Z33" s="261"/>
      <c r="AA33" s="2135"/>
      <c r="AB33" s="2135"/>
      <c r="AC33" s="1202">
        <v>0</v>
      </c>
      <c r="AD33" s="319"/>
      <c r="AE33" s="1284"/>
      <c r="AF33" s="320">
        <f>ROUND(SUM(E33:AC33),1)</f>
        <v>0.4</v>
      </c>
      <c r="AG33" s="2141"/>
      <c r="AH33" s="262"/>
      <c r="AI33" s="319">
        <v>0.8</v>
      </c>
      <c r="AJ33" s="320"/>
      <c r="AK33" s="2138"/>
      <c r="AL33" s="320">
        <f t="shared" si="0"/>
        <v>-0.4</v>
      </c>
      <c r="AM33" s="657"/>
      <c r="AN33" s="45">
        <f>ROUND(IF(AI33=0,0,AL33/ABS(AI33)),3)</f>
        <v>-0.5</v>
      </c>
    </row>
    <row r="34" spans="1:41" ht="15.6">
      <c r="A34" s="223"/>
      <c r="B34" s="1830" t="s">
        <v>1427</v>
      </c>
      <c r="C34" s="223"/>
      <c r="D34" s="308"/>
      <c r="E34" s="2135"/>
      <c r="F34" s="319"/>
      <c r="G34" s="2135"/>
      <c r="H34" s="319"/>
      <c r="I34" s="2135"/>
      <c r="J34" s="319"/>
      <c r="K34" s="2135"/>
      <c r="L34" s="261"/>
      <c r="M34" s="2135"/>
      <c r="N34" s="261"/>
      <c r="O34" s="517"/>
      <c r="P34" s="261"/>
      <c r="Q34" s="517"/>
      <c r="R34" s="261"/>
      <c r="S34" s="517"/>
      <c r="T34" s="261"/>
      <c r="U34" s="517"/>
      <c r="V34" s="261"/>
      <c r="W34" s="517"/>
      <c r="X34" s="261"/>
      <c r="Y34" s="517"/>
      <c r="Z34" s="261"/>
      <c r="AA34" s="2135"/>
      <c r="AB34" s="2135"/>
      <c r="AC34" s="2135"/>
      <c r="AD34" s="319"/>
      <c r="AE34" s="1284"/>
      <c r="AF34" s="320"/>
      <c r="AG34" s="2141"/>
      <c r="AH34" s="262"/>
      <c r="AI34" s="319"/>
      <c r="AJ34" s="320"/>
      <c r="AK34" s="2138"/>
      <c r="AL34" s="1351" t="s">
        <v>16</v>
      </c>
      <c r="AM34" s="657"/>
      <c r="AN34" s="1864" t="s">
        <v>16</v>
      </c>
    </row>
    <row r="35" spans="1:41" ht="15.6">
      <c r="A35" s="223"/>
      <c r="B35" s="1830" t="s">
        <v>1345</v>
      </c>
      <c r="C35" s="223"/>
      <c r="D35" s="308"/>
      <c r="E35" s="2135">
        <v>0</v>
      </c>
      <c r="F35" s="319"/>
      <c r="G35" s="2135">
        <v>0</v>
      </c>
      <c r="H35" s="319"/>
      <c r="I35" s="2135">
        <v>0</v>
      </c>
      <c r="J35" s="319"/>
      <c r="K35" s="2135">
        <v>0</v>
      </c>
      <c r="L35" s="261"/>
      <c r="M35" s="2135">
        <v>0</v>
      </c>
      <c r="N35" s="261"/>
      <c r="O35" s="517">
        <v>0</v>
      </c>
      <c r="P35" s="261"/>
      <c r="Q35" s="517">
        <v>0</v>
      </c>
      <c r="R35" s="261"/>
      <c r="S35" s="517">
        <v>0</v>
      </c>
      <c r="T35" s="261"/>
      <c r="U35" s="517">
        <v>0</v>
      </c>
      <c r="V35" s="261"/>
      <c r="W35" s="517"/>
      <c r="X35" s="261"/>
      <c r="Y35" s="517"/>
      <c r="Z35" s="261"/>
      <c r="AA35" s="2135"/>
      <c r="AB35" s="2135"/>
      <c r="AC35" s="1202">
        <v>0</v>
      </c>
      <c r="AD35" s="319"/>
      <c r="AE35" s="1284"/>
      <c r="AF35" s="320">
        <f t="shared" ref="AF35:AF40" si="3">ROUND(SUM(E35:AC35),1)</f>
        <v>0</v>
      </c>
      <c r="AG35" s="2141"/>
      <c r="AH35" s="262"/>
      <c r="AI35" s="319">
        <v>0</v>
      </c>
      <c r="AJ35" s="320"/>
      <c r="AK35" s="2138"/>
      <c r="AL35" s="320">
        <f t="shared" si="0"/>
        <v>0</v>
      </c>
      <c r="AM35" s="657"/>
      <c r="AN35" s="45">
        <f>ROUND(IF(AI35=0,0,AL35/ABS(AI35)),3)</f>
        <v>0</v>
      </c>
    </row>
    <row r="36" spans="1:41" ht="15.6">
      <c r="A36" s="223"/>
      <c r="B36" s="1830" t="s">
        <v>1347</v>
      </c>
      <c r="C36" s="223"/>
      <c r="D36" s="308"/>
      <c r="E36" s="2135">
        <v>0</v>
      </c>
      <c r="F36" s="319"/>
      <c r="G36" s="2135">
        <v>0</v>
      </c>
      <c r="H36" s="319"/>
      <c r="I36" s="2135">
        <v>0</v>
      </c>
      <c r="J36" s="319"/>
      <c r="K36" s="2135">
        <v>0</v>
      </c>
      <c r="L36" s="261"/>
      <c r="M36" s="2135">
        <v>0</v>
      </c>
      <c r="N36" s="261"/>
      <c r="O36" s="517">
        <v>0</v>
      </c>
      <c r="P36" s="261"/>
      <c r="Q36" s="517">
        <v>0</v>
      </c>
      <c r="R36" s="261"/>
      <c r="S36" s="517">
        <v>0</v>
      </c>
      <c r="T36" s="261"/>
      <c r="U36" s="517">
        <v>0</v>
      </c>
      <c r="V36" s="261"/>
      <c r="W36" s="517"/>
      <c r="X36" s="261"/>
      <c r="Y36" s="517"/>
      <c r="Z36" s="261"/>
      <c r="AA36" s="2135"/>
      <c r="AB36" s="2135"/>
      <c r="AC36" s="1202">
        <v>0</v>
      </c>
      <c r="AD36" s="319"/>
      <c r="AE36" s="1284"/>
      <c r="AF36" s="320">
        <f t="shared" si="3"/>
        <v>0</v>
      </c>
      <c r="AG36" s="2141"/>
      <c r="AH36" s="262"/>
      <c r="AI36" s="319">
        <v>0</v>
      </c>
      <c r="AJ36" s="320"/>
      <c r="AK36" s="2138"/>
      <c r="AL36" s="320">
        <f t="shared" si="0"/>
        <v>0</v>
      </c>
      <c r="AM36" s="657"/>
      <c r="AN36" s="45">
        <f>ROUND(IF(AI36=0,0,AL36/ABS(AI36)),3)</f>
        <v>0</v>
      </c>
    </row>
    <row r="37" spans="1:41" ht="15.6">
      <c r="A37" s="223"/>
      <c r="B37" s="1830" t="s">
        <v>1348</v>
      </c>
      <c r="C37" s="223"/>
      <c r="D37" s="308"/>
      <c r="E37" s="2135">
        <v>0</v>
      </c>
      <c r="F37" s="319"/>
      <c r="G37" s="2135">
        <v>0</v>
      </c>
      <c r="H37" s="319"/>
      <c r="I37" s="2135">
        <v>0</v>
      </c>
      <c r="J37" s="319"/>
      <c r="K37" s="2135">
        <v>0</v>
      </c>
      <c r="L37" s="261"/>
      <c r="M37" s="2135">
        <v>0</v>
      </c>
      <c r="N37" s="261"/>
      <c r="O37" s="517">
        <v>0</v>
      </c>
      <c r="P37" s="261"/>
      <c r="Q37" s="517">
        <v>0</v>
      </c>
      <c r="R37" s="261"/>
      <c r="S37" s="517">
        <v>0</v>
      </c>
      <c r="T37" s="261"/>
      <c r="U37" s="517">
        <v>0</v>
      </c>
      <c r="V37" s="261"/>
      <c r="W37" s="517"/>
      <c r="X37" s="261"/>
      <c r="Y37" s="517"/>
      <c r="Z37" s="261"/>
      <c r="AA37" s="2135"/>
      <c r="AB37" s="2135"/>
      <c r="AC37" s="3166">
        <v>0</v>
      </c>
      <c r="AD37" s="319"/>
      <c r="AE37" s="1284"/>
      <c r="AF37" s="320">
        <f t="shared" si="3"/>
        <v>0</v>
      </c>
      <c r="AG37" s="3521"/>
      <c r="AH37" s="262"/>
      <c r="AI37" s="319">
        <v>0</v>
      </c>
      <c r="AJ37" s="320"/>
      <c r="AK37" s="2138"/>
      <c r="AL37" s="320">
        <f t="shared" si="0"/>
        <v>0</v>
      </c>
      <c r="AM37" s="657"/>
      <c r="AN37" s="45">
        <f>ROUND(IF(AI37=0,0,AL37/ABS(AI37)),3)</f>
        <v>0</v>
      </c>
    </row>
    <row r="38" spans="1:41" ht="15.6">
      <c r="A38" s="223"/>
      <c r="B38" s="1830" t="s">
        <v>1351</v>
      </c>
      <c r="C38" s="223"/>
      <c r="D38" s="308"/>
      <c r="E38" s="2135">
        <v>0</v>
      </c>
      <c r="F38" s="319"/>
      <c r="G38" s="2135">
        <v>0</v>
      </c>
      <c r="H38" s="319"/>
      <c r="I38" s="2135">
        <v>0</v>
      </c>
      <c r="J38" s="319"/>
      <c r="K38" s="2135">
        <v>0</v>
      </c>
      <c r="L38" s="261"/>
      <c r="M38" s="2135">
        <v>0</v>
      </c>
      <c r="N38" s="261"/>
      <c r="O38" s="517">
        <v>0</v>
      </c>
      <c r="P38" s="261"/>
      <c r="Q38" s="517">
        <v>0</v>
      </c>
      <c r="R38" s="261"/>
      <c r="S38" s="517">
        <v>0</v>
      </c>
      <c r="T38" s="261"/>
      <c r="U38" s="517">
        <v>0</v>
      </c>
      <c r="V38" s="261"/>
      <c r="W38" s="517"/>
      <c r="X38" s="261"/>
      <c r="Y38" s="517"/>
      <c r="Z38" s="261"/>
      <c r="AA38" s="2135"/>
      <c r="AB38" s="2135"/>
      <c r="AC38" s="1202">
        <v>0</v>
      </c>
      <c r="AD38" s="319"/>
      <c r="AE38" s="1284"/>
      <c r="AF38" s="320">
        <f t="shared" si="3"/>
        <v>0</v>
      </c>
      <c r="AG38" s="2141"/>
      <c r="AH38" s="262"/>
      <c r="AI38" s="319">
        <v>0</v>
      </c>
      <c r="AJ38" s="320"/>
      <c r="AK38" s="2138"/>
      <c r="AL38" s="320">
        <f t="shared" si="0"/>
        <v>0</v>
      </c>
      <c r="AM38" s="657"/>
      <c r="AN38" s="45">
        <f>ROUND(IF(AI38=0,0,AL38/ABS(AI38)),3)</f>
        <v>0</v>
      </c>
    </row>
    <row r="39" spans="1:41" ht="15.6">
      <c r="A39" s="223"/>
      <c r="B39" s="1830" t="s">
        <v>1353</v>
      </c>
      <c r="C39" s="223"/>
      <c r="D39" s="308"/>
      <c r="E39" s="2135">
        <v>0</v>
      </c>
      <c r="F39" s="319"/>
      <c r="G39" s="2135">
        <v>0</v>
      </c>
      <c r="H39" s="319"/>
      <c r="I39" s="2135">
        <v>0</v>
      </c>
      <c r="J39" s="319"/>
      <c r="K39" s="2135">
        <v>0</v>
      </c>
      <c r="L39" s="261"/>
      <c r="M39" s="2135">
        <v>0</v>
      </c>
      <c r="N39" s="261"/>
      <c r="O39" s="517">
        <v>0</v>
      </c>
      <c r="P39" s="261"/>
      <c r="Q39" s="517">
        <v>0</v>
      </c>
      <c r="R39" s="261"/>
      <c r="S39" s="517">
        <v>0</v>
      </c>
      <c r="T39" s="261"/>
      <c r="U39" s="517">
        <v>0</v>
      </c>
      <c r="V39" s="261"/>
      <c r="W39" s="517"/>
      <c r="X39" s="261"/>
      <c r="Y39" s="517"/>
      <c r="Z39" s="261"/>
      <c r="AA39" s="2135"/>
      <c r="AB39" s="2135"/>
      <c r="AC39" s="1202">
        <v>0</v>
      </c>
      <c r="AD39" s="319"/>
      <c r="AE39" s="1284"/>
      <c r="AF39" s="320">
        <f t="shared" si="3"/>
        <v>0</v>
      </c>
      <c r="AG39" s="2141"/>
      <c r="AH39" s="262"/>
      <c r="AI39" s="319">
        <v>0</v>
      </c>
      <c r="AJ39" s="320"/>
      <c r="AK39" s="2138"/>
      <c r="AL39" s="320">
        <f t="shared" si="0"/>
        <v>0</v>
      </c>
      <c r="AM39" s="657"/>
      <c r="AN39" s="45">
        <f>ROUND(IF(AI39=0,0,AL39/ABS(AI39)),3)</f>
        <v>0</v>
      </c>
    </row>
    <row r="40" spans="1:41" ht="15.6">
      <c r="A40" s="223"/>
      <c r="B40" s="1830" t="s">
        <v>1325</v>
      </c>
      <c r="C40" s="223"/>
      <c r="D40" s="308"/>
      <c r="E40" s="2135">
        <v>0.1</v>
      </c>
      <c r="F40" s="319"/>
      <c r="G40" s="2135">
        <v>0.1</v>
      </c>
      <c r="H40" s="319"/>
      <c r="I40" s="2135">
        <v>-0.1</v>
      </c>
      <c r="J40" s="319"/>
      <c r="K40" s="2135">
        <v>0</v>
      </c>
      <c r="L40" s="261"/>
      <c r="M40" s="2135">
        <v>0.1</v>
      </c>
      <c r="N40" s="261"/>
      <c r="O40" s="517">
        <v>0</v>
      </c>
      <c r="P40" s="261"/>
      <c r="Q40" s="517">
        <v>0</v>
      </c>
      <c r="R40" s="261"/>
      <c r="S40" s="517">
        <v>0</v>
      </c>
      <c r="T40" s="261"/>
      <c r="U40" s="517">
        <v>0</v>
      </c>
      <c r="V40" s="261"/>
      <c r="W40" s="517"/>
      <c r="X40" s="261"/>
      <c r="Y40" s="517"/>
      <c r="Z40" s="261"/>
      <c r="AA40" s="2135"/>
      <c r="AB40" s="2135"/>
      <c r="AC40" s="1202">
        <v>0</v>
      </c>
      <c r="AD40" s="319"/>
      <c r="AE40" s="1284"/>
      <c r="AF40" s="320">
        <f t="shared" si="3"/>
        <v>0.2</v>
      </c>
      <c r="AG40" s="2141"/>
      <c r="AH40" s="262"/>
      <c r="AI40" s="319">
        <v>0.2</v>
      </c>
      <c r="AJ40" s="320"/>
      <c r="AK40" s="2138"/>
      <c r="AL40" s="320">
        <f t="shared" si="0"/>
        <v>0</v>
      </c>
      <c r="AM40" s="657"/>
      <c r="AN40" s="2817">
        <f>ROUND(IF(AI40=0,1,AL40/ABS(AI40)),3)</f>
        <v>0</v>
      </c>
    </row>
    <row r="41" spans="1:41" s="652" customFormat="1" ht="15.6" collapsed="1">
      <c r="A41" s="221"/>
      <c r="B41" s="589" t="s">
        <v>1363</v>
      </c>
      <c r="C41" s="221"/>
      <c r="D41" s="306"/>
      <c r="E41" s="1283">
        <f>ROUND(SUM(E18:E40),1)</f>
        <v>0.2</v>
      </c>
      <c r="F41" s="313"/>
      <c r="G41" s="1283">
        <f>ROUND(SUM(G18:G40),1)</f>
        <v>0.1</v>
      </c>
      <c r="H41" s="2160"/>
      <c r="I41" s="1283">
        <f>ROUND(SUM(I18:I40),1)</f>
        <v>0</v>
      </c>
      <c r="J41" s="313"/>
      <c r="K41" s="1283">
        <f>ROUND(SUM(K18:K40),1)</f>
        <v>0</v>
      </c>
      <c r="L41" s="1886"/>
      <c r="M41" s="1283">
        <f>ROUND(SUM(M18:M40),1)</f>
        <v>0.1</v>
      </c>
      <c r="N41" s="1886"/>
      <c r="O41" s="1283">
        <f>ROUND(SUM(O18:O40),1)</f>
        <v>0.1</v>
      </c>
      <c r="P41" s="1886"/>
      <c r="Q41" s="1283">
        <f>ROUND(SUM(Q18:Q40),1)</f>
        <v>0</v>
      </c>
      <c r="R41" s="1886"/>
      <c r="S41" s="1283">
        <f>ROUND(SUM(S18:S40),1)</f>
        <v>0.1</v>
      </c>
      <c r="T41" s="1886"/>
      <c r="U41" s="3167">
        <f>ROUND(SUM(U18:U40),1)</f>
        <v>0</v>
      </c>
      <c r="V41" s="1886"/>
      <c r="W41" s="1283">
        <f>ROUND(SUM(W18:W40),1)</f>
        <v>0</v>
      </c>
      <c r="X41" s="1886"/>
      <c r="Y41" s="1283">
        <f>ROUND(SUM(Y18:Y40),1)</f>
        <v>0</v>
      </c>
      <c r="Z41" s="1886"/>
      <c r="AA41" s="1283">
        <f>ROUND(SUM(AA18:AA40),1)</f>
        <v>0</v>
      </c>
      <c r="AB41" s="316"/>
      <c r="AC41" s="1283">
        <f>ROUND(SUM(AC18:AC40),1)</f>
        <v>0</v>
      </c>
      <c r="AD41" s="313"/>
      <c r="AE41" s="1285"/>
      <c r="AF41" s="1283">
        <f>ROUND(SUM(AF18:AF40),1)</f>
        <v>0.6</v>
      </c>
      <c r="AG41" s="2142"/>
      <c r="AH41" s="316"/>
      <c r="AI41" s="1283">
        <f>ROUND(SUM(AI18:AI40),1)</f>
        <v>1</v>
      </c>
      <c r="AJ41" s="2185"/>
      <c r="AK41" s="2138"/>
      <c r="AL41" s="1283">
        <f>ROUND(SUM(AL18:AL40),1)</f>
        <v>-0.4</v>
      </c>
      <c r="AM41" s="2098"/>
      <c r="AN41" s="72">
        <f>ROUND(IF(AI41=0,0,AL41/ABS(AI41)),3)</f>
        <v>-0.4</v>
      </c>
    </row>
    <row r="42" spans="1:41" s="681" customFormat="1" ht="15.6">
      <c r="A42" s="261"/>
      <c r="B42" s="2077"/>
      <c r="C42" s="261"/>
      <c r="D42" s="319"/>
      <c r="E42" s="2135"/>
      <c r="F42" s="319"/>
      <c r="G42" s="688"/>
      <c r="H42" s="319"/>
      <c r="I42" s="2135"/>
      <c r="J42" s="319"/>
      <c r="K42" s="688"/>
      <c r="L42" s="261"/>
      <c r="M42" s="517"/>
      <c r="N42" s="261"/>
      <c r="O42" s="516"/>
      <c r="P42" s="261"/>
      <c r="Q42" s="517"/>
      <c r="R42" s="261"/>
      <c r="S42" s="516"/>
      <c r="T42" s="261"/>
      <c r="U42" s="516"/>
      <c r="V42" s="261"/>
      <c r="W42" s="517"/>
      <c r="X42" s="261"/>
      <c r="Y42" s="517"/>
      <c r="Z42" s="261"/>
      <c r="AA42" s="2135"/>
      <c r="AB42" s="2135"/>
      <c r="AC42" s="2135"/>
      <c r="AD42" s="319"/>
      <c r="AE42" s="1284"/>
      <c r="AF42" s="320"/>
      <c r="AG42" s="2137"/>
      <c r="AH42" s="1284"/>
      <c r="AI42" s="2135"/>
      <c r="AJ42" s="320"/>
      <c r="AK42" s="2138"/>
      <c r="AL42" s="689"/>
      <c r="AM42" s="251"/>
      <c r="AN42" s="655"/>
      <c r="AO42" s="251"/>
    </row>
    <row r="43" spans="1:41" ht="15.6">
      <c r="A43" s="223"/>
      <c r="B43" s="223" t="s">
        <v>155</v>
      </c>
      <c r="C43" s="223"/>
      <c r="D43" s="308"/>
      <c r="E43" s="319">
        <v>101</v>
      </c>
      <c r="F43" s="319"/>
      <c r="G43" s="2135">
        <v>69.7</v>
      </c>
      <c r="H43" s="319"/>
      <c r="I43" s="2135">
        <v>195.8</v>
      </c>
      <c r="J43" s="319"/>
      <c r="K43" s="2135">
        <v>203.9</v>
      </c>
      <c r="L43" s="261"/>
      <c r="M43" s="517">
        <v>198.3</v>
      </c>
      <c r="N43" s="261"/>
      <c r="O43" s="516">
        <v>316.5</v>
      </c>
      <c r="P43" s="261"/>
      <c r="Q43" s="517">
        <v>39.799999999999997</v>
      </c>
      <c r="R43" s="261"/>
      <c r="S43" s="516">
        <v>368.2</v>
      </c>
      <c r="T43" s="261"/>
      <c r="U43" s="516">
        <v>213.6</v>
      </c>
      <c r="V43" s="261"/>
      <c r="W43" s="261"/>
      <c r="X43" s="261"/>
      <c r="Y43" s="517"/>
      <c r="Z43" s="261"/>
      <c r="AA43" s="319"/>
      <c r="AB43" s="319"/>
      <c r="AC43" s="319">
        <v>0</v>
      </c>
      <c r="AD43" s="319"/>
      <c r="AE43" s="1284"/>
      <c r="AF43" s="320">
        <f>ROUND(SUM(E43:AC43),1)</f>
        <v>1706.8</v>
      </c>
      <c r="AG43" s="2137"/>
      <c r="AH43" s="1284"/>
      <c r="AI43" s="319">
        <v>1469.5</v>
      </c>
      <c r="AJ43" s="320"/>
      <c r="AK43" s="2181"/>
      <c r="AL43" s="2204">
        <f>ROUND(AF43-AI43,1)</f>
        <v>237.3</v>
      </c>
      <c r="AM43" s="657"/>
      <c r="AN43" s="1847">
        <f>ROUND(IF(AI43=0,0,AL43/ABS(AI43)),3)</f>
        <v>0.161</v>
      </c>
    </row>
    <row r="44" spans="1:41" ht="15.6">
      <c r="A44" s="223"/>
      <c r="B44" s="223"/>
      <c r="C44" s="223"/>
      <c r="D44" s="308"/>
      <c r="E44" s="328"/>
      <c r="F44" s="319"/>
      <c r="G44" s="328"/>
      <c r="H44" s="319"/>
      <c r="I44" s="328"/>
      <c r="J44" s="319"/>
      <c r="K44" s="328"/>
      <c r="L44" s="261"/>
      <c r="M44" s="289"/>
      <c r="N44" s="261"/>
      <c r="O44" s="289"/>
      <c r="P44" s="261"/>
      <c r="Q44" s="289"/>
      <c r="R44" s="261"/>
      <c r="S44" s="289"/>
      <c r="T44" s="261"/>
      <c r="U44" s="289"/>
      <c r="V44" s="261"/>
      <c r="W44" s="289"/>
      <c r="X44" s="261"/>
      <c r="Y44" s="289"/>
      <c r="Z44" s="261"/>
      <c r="AA44" s="328"/>
      <c r="AB44" s="262"/>
      <c r="AC44" s="328"/>
      <c r="AD44" s="319"/>
      <c r="AE44" s="1284"/>
      <c r="AF44" s="328"/>
      <c r="AG44" s="2137"/>
      <c r="AH44" s="1284"/>
      <c r="AI44" s="328"/>
      <c r="AJ44" s="262"/>
      <c r="AK44" s="2181"/>
      <c r="AL44" s="689"/>
      <c r="AM44" s="647"/>
      <c r="AN44" s="655"/>
    </row>
    <row r="45" spans="1:41" ht="15.6">
      <c r="A45" s="223"/>
      <c r="B45" s="221" t="s">
        <v>203</v>
      </c>
      <c r="C45" s="223"/>
      <c r="D45" s="308"/>
      <c r="E45" s="313">
        <f>ROUND(SUM(E41+E43),1)</f>
        <v>101.2</v>
      </c>
      <c r="F45" s="313"/>
      <c r="G45" s="313">
        <f>ROUND(SUM(G41+G43),1)</f>
        <v>69.8</v>
      </c>
      <c r="H45" s="313"/>
      <c r="I45" s="313">
        <f>ROUND(SUM(I41+I43),1)</f>
        <v>195.8</v>
      </c>
      <c r="J45" s="313"/>
      <c r="K45" s="313">
        <f>ROUND(SUM(K41+K43),1)</f>
        <v>203.9</v>
      </c>
      <c r="L45" s="257"/>
      <c r="M45" s="1886">
        <f>ROUND(SUM(M41+M43),1)</f>
        <v>198.4</v>
      </c>
      <c r="N45" s="257"/>
      <c r="O45" s="1886">
        <f>ROUND(SUM(O41+O43),1)</f>
        <v>316.60000000000002</v>
      </c>
      <c r="P45" s="257"/>
      <c r="Q45" s="1886">
        <f>ROUND(SUM(Q41+Q43),1)</f>
        <v>39.799999999999997</v>
      </c>
      <c r="R45" s="257"/>
      <c r="S45" s="1886">
        <f>ROUND(SUM(S41+S43),1)</f>
        <v>368.3</v>
      </c>
      <c r="T45" s="257"/>
      <c r="U45" s="1886">
        <f>ROUND(SUM(U41+U43),1)</f>
        <v>213.6</v>
      </c>
      <c r="V45" s="257"/>
      <c r="W45" s="1886">
        <f>ROUND(SUM(W41+W43),1)</f>
        <v>0</v>
      </c>
      <c r="X45" s="257"/>
      <c r="Y45" s="1886">
        <f>ROUND(SUM(Y41+Y43),1)</f>
        <v>0</v>
      </c>
      <c r="Z45" s="257"/>
      <c r="AA45" s="313">
        <f>ROUND(SUM(AA41+AA43),1)</f>
        <v>0</v>
      </c>
      <c r="AB45" s="313"/>
      <c r="AC45" s="313">
        <f>ROUND(SUM(AC41+AC43),1)</f>
        <v>0</v>
      </c>
      <c r="AD45" s="313"/>
      <c r="AE45" s="1285"/>
      <c r="AF45" s="313">
        <f>ROUND(SUM(AF41+AF43),1)</f>
        <v>1707.4</v>
      </c>
      <c r="AG45" s="2142"/>
      <c r="AH45" s="1285"/>
      <c r="AI45" s="313">
        <f>ROUND(SUM(AI41+AI43),1)</f>
        <v>1470.5</v>
      </c>
      <c r="AJ45" s="2185"/>
      <c r="AK45" s="2181"/>
      <c r="AL45" s="2188">
        <f>ROUND(SUM(AL41+AL43),1)</f>
        <v>236.9</v>
      </c>
      <c r="AM45" s="369"/>
      <c r="AN45" s="555">
        <f>ROUND(SUM(AF45-AI45)/ABS(AI45),3)</f>
        <v>0.161</v>
      </c>
      <c r="AO45" s="652"/>
    </row>
    <row r="46" spans="1:41" ht="15.6">
      <c r="A46" s="223"/>
      <c r="B46" s="223"/>
      <c r="C46" s="223"/>
      <c r="D46" s="308"/>
      <c r="E46" s="328"/>
      <c r="F46" s="319"/>
      <c r="G46" s="328"/>
      <c r="H46" s="319"/>
      <c r="I46" s="328"/>
      <c r="J46" s="319"/>
      <c r="K46" s="328"/>
      <c r="L46" s="261"/>
      <c r="M46" s="289"/>
      <c r="N46" s="261"/>
      <c r="O46" s="289"/>
      <c r="P46" s="261"/>
      <c r="Q46" s="289"/>
      <c r="R46" s="261"/>
      <c r="S46" s="289"/>
      <c r="T46" s="261"/>
      <c r="U46" s="289"/>
      <c r="V46" s="261"/>
      <c r="W46" s="289"/>
      <c r="X46" s="261"/>
      <c r="Y46" s="289"/>
      <c r="Z46" s="261"/>
      <c r="AA46" s="328"/>
      <c r="AB46" s="262"/>
      <c r="AC46" s="328"/>
      <c r="AD46" s="319"/>
      <c r="AE46" s="1284"/>
      <c r="AF46" s="328"/>
      <c r="AG46" s="2137"/>
      <c r="AH46" s="1284"/>
      <c r="AI46" s="328"/>
      <c r="AJ46" s="262"/>
      <c r="AK46" s="2181"/>
      <c r="AL46" s="689"/>
      <c r="AM46" s="647"/>
      <c r="AN46" s="655"/>
    </row>
    <row r="47" spans="1:41" ht="15.6">
      <c r="A47" s="223"/>
      <c r="B47" s="221" t="s">
        <v>24</v>
      </c>
      <c r="C47" s="223"/>
      <c r="D47" s="308"/>
      <c r="E47" s="319"/>
      <c r="F47" s="319"/>
      <c r="G47" s="319"/>
      <c r="H47" s="319"/>
      <c r="I47" s="319"/>
      <c r="J47" s="319"/>
      <c r="K47" s="319"/>
      <c r="L47" s="261"/>
      <c r="M47" s="261"/>
      <c r="N47" s="261"/>
      <c r="O47" s="261"/>
      <c r="P47" s="261"/>
      <c r="Q47" s="261"/>
      <c r="R47" s="261"/>
      <c r="S47" s="261"/>
      <c r="T47" s="261"/>
      <c r="U47" s="261"/>
      <c r="V47" s="261"/>
      <c r="W47" s="261"/>
      <c r="X47" s="261"/>
      <c r="Y47" s="261"/>
      <c r="Z47" s="261"/>
      <c r="AA47" s="319"/>
      <c r="AB47" s="319"/>
      <c r="AC47" s="319"/>
      <c r="AD47" s="319"/>
      <c r="AE47" s="1284"/>
      <c r="AF47" s="319"/>
      <c r="AG47" s="2137"/>
      <c r="AH47" s="1284"/>
      <c r="AI47" s="319"/>
      <c r="AJ47" s="319"/>
      <c r="AK47" s="2181"/>
      <c r="AL47" s="689"/>
      <c r="AM47" s="647"/>
      <c r="AN47" s="655"/>
    </row>
    <row r="48" spans="1:41" ht="15.6">
      <c r="A48" s="223"/>
      <c r="B48" s="223" t="s">
        <v>157</v>
      </c>
      <c r="C48" s="223"/>
      <c r="D48" s="308"/>
      <c r="E48" s="2135"/>
      <c r="F48" s="319"/>
      <c r="G48" s="319"/>
      <c r="H48" s="319"/>
      <c r="I48" s="319"/>
      <c r="J48" s="319"/>
      <c r="K48" s="319"/>
      <c r="L48" s="261"/>
      <c r="M48" s="261"/>
      <c r="N48" s="261"/>
      <c r="O48" s="261"/>
      <c r="P48" s="261"/>
      <c r="Q48" s="517"/>
      <c r="R48" s="261"/>
      <c r="S48" s="261"/>
      <c r="T48" s="261"/>
      <c r="U48" s="261"/>
      <c r="V48" s="261"/>
      <c r="W48" s="261"/>
      <c r="X48" s="261"/>
      <c r="Y48" s="261"/>
      <c r="Z48" s="261"/>
      <c r="AA48" s="319"/>
      <c r="AB48" s="319"/>
      <c r="AC48" s="319"/>
      <c r="AD48" s="319"/>
      <c r="AE48" s="1284"/>
      <c r="AF48" s="2135"/>
      <c r="AG48" s="2137"/>
      <c r="AH48" s="1284"/>
      <c r="AI48" s="319"/>
      <c r="AJ48" s="319"/>
      <c r="AK48" s="2181"/>
      <c r="AL48" s="689"/>
      <c r="AM48" s="657"/>
      <c r="AN48" s="655"/>
    </row>
    <row r="49" spans="1:43" ht="15.6">
      <c r="A49" s="223"/>
      <c r="B49" s="223" t="s">
        <v>26</v>
      </c>
      <c r="C49" s="223"/>
      <c r="D49" s="308"/>
      <c r="E49" s="688">
        <v>0</v>
      </c>
      <c r="F49" s="319"/>
      <c r="G49" s="688">
        <v>0</v>
      </c>
      <c r="H49" s="319"/>
      <c r="I49" s="688">
        <v>0</v>
      </c>
      <c r="J49" s="319"/>
      <c r="K49" s="688">
        <v>0</v>
      </c>
      <c r="L49" s="261"/>
      <c r="M49" s="688">
        <v>0</v>
      </c>
      <c r="N49" s="261"/>
      <c r="O49" s="373">
        <v>0</v>
      </c>
      <c r="P49" s="261"/>
      <c r="Q49" s="373">
        <v>0</v>
      </c>
      <c r="R49" s="261"/>
      <c r="S49" s="373">
        <v>0</v>
      </c>
      <c r="T49" s="261"/>
      <c r="U49" s="373">
        <v>0</v>
      </c>
      <c r="V49" s="261"/>
      <c r="W49" s="373"/>
      <c r="X49" s="261"/>
      <c r="Y49" s="373"/>
      <c r="Z49" s="261"/>
      <c r="AA49" s="688"/>
      <c r="AB49" s="688"/>
      <c r="AC49" s="1202">
        <v>0</v>
      </c>
      <c r="AD49" s="319"/>
      <c r="AE49" s="1284"/>
      <c r="AF49" s="320">
        <f>ROUND(SUM(E49:AC49),1)</f>
        <v>0</v>
      </c>
      <c r="AG49" s="2137"/>
      <c r="AH49" s="1284"/>
      <c r="AI49" s="688">
        <v>0</v>
      </c>
      <c r="AJ49" s="320"/>
      <c r="AK49" s="2138"/>
      <c r="AL49" s="2205">
        <f>ROUND(AF49-AI49,1)</f>
        <v>0</v>
      </c>
      <c r="AM49" s="657"/>
      <c r="AN49" s="45">
        <f>ROUND(IF(AI49=0,0,AL49/ABS(AI49)),3)</f>
        <v>0</v>
      </c>
    </row>
    <row r="50" spans="1:43" ht="15.6">
      <c r="A50" s="223"/>
      <c r="B50" s="223" t="s">
        <v>27</v>
      </c>
      <c r="C50" s="223"/>
      <c r="D50" s="308"/>
      <c r="E50" s="2200">
        <v>0</v>
      </c>
      <c r="F50" s="319"/>
      <c r="G50" s="688">
        <v>0</v>
      </c>
      <c r="H50" s="319"/>
      <c r="I50" s="2135">
        <v>0</v>
      </c>
      <c r="J50" s="319"/>
      <c r="K50" s="688">
        <v>0</v>
      </c>
      <c r="L50" s="261"/>
      <c r="M50" s="688">
        <v>0</v>
      </c>
      <c r="N50" s="261"/>
      <c r="O50" s="516">
        <v>0</v>
      </c>
      <c r="P50" s="261"/>
      <c r="Q50" s="516">
        <v>0</v>
      </c>
      <c r="R50" s="261"/>
      <c r="S50" s="516">
        <v>148.9</v>
      </c>
      <c r="T50" s="261"/>
      <c r="U50" s="516">
        <v>-0.1</v>
      </c>
      <c r="V50" s="261"/>
      <c r="W50" s="373"/>
      <c r="X50" s="261"/>
      <c r="Y50" s="373"/>
      <c r="Z50" s="261"/>
      <c r="AA50" s="688"/>
      <c r="AB50" s="688"/>
      <c r="AC50" s="1202">
        <v>0</v>
      </c>
      <c r="AD50" s="319"/>
      <c r="AE50" s="1284"/>
      <c r="AF50" s="320">
        <f>ROUND(SUM(E50:AC50),1)</f>
        <v>148.80000000000001</v>
      </c>
      <c r="AG50" s="2137"/>
      <c r="AH50" s="1284"/>
      <c r="AI50" s="2200">
        <v>-0.1</v>
      </c>
      <c r="AJ50" s="320"/>
      <c r="AK50" s="2138"/>
      <c r="AL50" s="2205">
        <f>ROUND(AF50-AI50,1)</f>
        <v>148.9</v>
      </c>
      <c r="AM50" s="657"/>
      <c r="AN50" s="2880">
        <f>ROUND(IF(AI50=0,0,AL50/ABS(AI50)),3)</f>
        <v>1489</v>
      </c>
    </row>
    <row r="51" spans="1:43" ht="15.6">
      <c r="A51" s="223"/>
      <c r="B51" s="223" t="s">
        <v>28</v>
      </c>
      <c r="C51" s="223"/>
      <c r="D51" s="308"/>
      <c r="E51" s="688">
        <v>0</v>
      </c>
      <c r="F51" s="319"/>
      <c r="G51" s="688">
        <v>0</v>
      </c>
      <c r="H51" s="319"/>
      <c r="I51" s="688">
        <v>0</v>
      </c>
      <c r="J51" s="319"/>
      <c r="K51" s="688">
        <v>0</v>
      </c>
      <c r="L51" s="261"/>
      <c r="M51" s="688">
        <v>0</v>
      </c>
      <c r="N51" s="261"/>
      <c r="O51" s="373">
        <v>0</v>
      </c>
      <c r="P51" s="261"/>
      <c r="Q51" s="373">
        <v>0</v>
      </c>
      <c r="R51" s="261"/>
      <c r="S51" s="373">
        <v>0</v>
      </c>
      <c r="T51" s="261"/>
      <c r="U51" s="373">
        <v>0</v>
      </c>
      <c r="V51" s="261"/>
      <c r="W51" s="373"/>
      <c r="X51" s="261"/>
      <c r="Y51" s="373"/>
      <c r="Z51" s="261"/>
      <c r="AA51" s="319"/>
      <c r="AB51" s="319"/>
      <c r="AC51" s="1202">
        <v>0</v>
      </c>
      <c r="AD51" s="319"/>
      <c r="AE51" s="1284"/>
      <c r="AF51" s="320">
        <f>ROUND(SUM(E51:AC51),1)</f>
        <v>0</v>
      </c>
      <c r="AG51" s="2137"/>
      <c r="AH51" s="1284"/>
      <c r="AI51" s="688">
        <v>0</v>
      </c>
      <c r="AJ51" s="320"/>
      <c r="AK51" s="2138"/>
      <c r="AL51" s="2205">
        <f>ROUND(AF51-AI51,1)</f>
        <v>0</v>
      </c>
      <c r="AM51" s="647"/>
      <c r="AN51" s="45">
        <f>ROUND(IF(AI51=0,0,AL51/ABS(AI51)),3)</f>
        <v>0</v>
      </c>
    </row>
    <row r="52" spans="1:43" ht="15.6">
      <c r="A52" s="223"/>
      <c r="B52" s="223" t="s">
        <v>29</v>
      </c>
      <c r="C52" s="223"/>
      <c r="D52" s="308"/>
      <c r="E52" s="688"/>
      <c r="F52" s="319"/>
      <c r="G52" s="688"/>
      <c r="H52" s="319"/>
      <c r="I52" s="688"/>
      <c r="J52" s="319"/>
      <c r="K52" s="688"/>
      <c r="L52" s="261"/>
      <c r="M52" s="688"/>
      <c r="N52" s="261"/>
      <c r="O52" s="373"/>
      <c r="P52" s="261"/>
      <c r="Q52" s="373"/>
      <c r="R52" s="261"/>
      <c r="S52" s="373"/>
      <c r="T52" s="261"/>
      <c r="U52" s="373"/>
      <c r="V52" s="261"/>
      <c r="W52" s="373"/>
      <c r="X52" s="261"/>
      <c r="Y52" s="373"/>
      <c r="Z52" s="261"/>
      <c r="AA52" s="688"/>
      <c r="AB52" s="688"/>
      <c r="AC52" s="688"/>
      <c r="AD52" s="319"/>
      <c r="AE52" s="1284"/>
      <c r="AF52" s="320"/>
      <c r="AG52" s="2137"/>
      <c r="AH52" s="1284"/>
      <c r="AI52" s="688"/>
      <c r="AJ52" s="319"/>
      <c r="AK52" s="2181"/>
      <c r="AL52" s="2206" t="s">
        <v>16</v>
      </c>
      <c r="AM52" s="657"/>
      <c r="AN52" s="1175" t="s">
        <v>16</v>
      </c>
    </row>
    <row r="53" spans="1:43" ht="15.6">
      <c r="A53" s="223"/>
      <c r="B53" s="223" t="s">
        <v>30</v>
      </c>
      <c r="C53" s="221"/>
      <c r="D53" s="308"/>
      <c r="E53" s="688">
        <v>0</v>
      </c>
      <c r="F53" s="319"/>
      <c r="G53" s="688">
        <v>0</v>
      </c>
      <c r="H53" s="319"/>
      <c r="I53" s="688">
        <v>0</v>
      </c>
      <c r="J53" s="319"/>
      <c r="K53" s="688">
        <v>0</v>
      </c>
      <c r="L53" s="261"/>
      <c r="M53" s="688">
        <v>0</v>
      </c>
      <c r="N53" s="261"/>
      <c r="O53" s="373">
        <v>0</v>
      </c>
      <c r="P53" s="261"/>
      <c r="Q53" s="373">
        <v>0</v>
      </c>
      <c r="R53" s="261"/>
      <c r="S53" s="373">
        <v>0</v>
      </c>
      <c r="T53" s="261"/>
      <c r="U53" s="373">
        <v>0</v>
      </c>
      <c r="V53" s="261"/>
      <c r="W53" s="373"/>
      <c r="X53" s="261"/>
      <c r="Y53" s="373"/>
      <c r="Z53" s="261"/>
      <c r="AA53" s="319"/>
      <c r="AB53" s="319"/>
      <c r="AC53" s="1202">
        <v>0</v>
      </c>
      <c r="AD53" s="319"/>
      <c r="AE53" s="1284"/>
      <c r="AF53" s="320">
        <f t="shared" ref="AF53:AF58" si="4">ROUND(SUM(E53:AC53),1)</f>
        <v>0</v>
      </c>
      <c r="AG53" s="2137"/>
      <c r="AH53" s="1284"/>
      <c r="AI53" s="688">
        <v>0</v>
      </c>
      <c r="AJ53" s="319"/>
      <c r="AK53" s="2181"/>
      <c r="AL53" s="2205">
        <f t="shared" ref="AL53:AL58" si="5">ROUND(AF53-AI53,1)</f>
        <v>0</v>
      </c>
      <c r="AM53" s="647"/>
      <c r="AN53" s="45">
        <f>ROUND(IF(AI53=0,0,AL53/ABS(AI53)),3)</f>
        <v>0</v>
      </c>
      <c r="AO53" s="647"/>
    </row>
    <row r="54" spans="1:43" ht="15.6">
      <c r="A54" s="223"/>
      <c r="B54" s="223" t="s">
        <v>31</v>
      </c>
      <c r="C54" s="223"/>
      <c r="D54" s="308"/>
      <c r="E54" s="688">
        <v>0</v>
      </c>
      <c r="F54" s="319"/>
      <c r="G54" s="688">
        <v>0</v>
      </c>
      <c r="H54" s="319"/>
      <c r="I54" s="688">
        <v>0</v>
      </c>
      <c r="J54" s="319"/>
      <c r="K54" s="688">
        <v>0</v>
      </c>
      <c r="L54" s="261"/>
      <c r="M54" s="688">
        <v>0</v>
      </c>
      <c r="N54" s="261"/>
      <c r="O54" s="516">
        <v>0</v>
      </c>
      <c r="P54" s="261"/>
      <c r="Q54" s="516">
        <v>0</v>
      </c>
      <c r="R54" s="261"/>
      <c r="S54" s="516">
        <v>38.9</v>
      </c>
      <c r="T54" s="261"/>
      <c r="U54" s="516">
        <v>0</v>
      </c>
      <c r="V54" s="261"/>
      <c r="W54" s="373"/>
      <c r="X54" s="261"/>
      <c r="Y54" s="373"/>
      <c r="Z54" s="261"/>
      <c r="AA54" s="688"/>
      <c r="AB54" s="688"/>
      <c r="AC54" s="1202">
        <v>0</v>
      </c>
      <c r="AD54" s="319"/>
      <c r="AE54" s="1284"/>
      <c r="AF54" s="320">
        <f t="shared" si="4"/>
        <v>38.9</v>
      </c>
      <c r="AG54" s="2137"/>
      <c r="AH54" s="1284"/>
      <c r="AI54" s="2200">
        <v>26.2</v>
      </c>
      <c r="AJ54" s="320"/>
      <c r="AK54" s="2138"/>
      <c r="AL54" s="2205">
        <f t="shared" si="5"/>
        <v>12.7</v>
      </c>
      <c r="AM54" s="657"/>
      <c r="AN54" s="45">
        <f>ROUND(IF(AI54=0,0,AL54/ABS(AI54)),3)</f>
        <v>0.48499999999999999</v>
      </c>
    </row>
    <row r="55" spans="1:43" ht="15.6">
      <c r="A55" s="223"/>
      <c r="B55" s="223" t="s">
        <v>32</v>
      </c>
      <c r="C55" s="223"/>
      <c r="D55" s="308"/>
      <c r="E55" s="688">
        <v>0</v>
      </c>
      <c r="F55" s="319"/>
      <c r="G55" s="688">
        <v>0</v>
      </c>
      <c r="H55" s="319"/>
      <c r="I55" s="688">
        <v>0</v>
      </c>
      <c r="J55" s="319"/>
      <c r="K55" s="688">
        <v>0</v>
      </c>
      <c r="L55" s="261"/>
      <c r="M55" s="688">
        <v>0</v>
      </c>
      <c r="N55" s="261"/>
      <c r="O55" s="373">
        <v>0</v>
      </c>
      <c r="P55" s="261"/>
      <c r="Q55" s="373">
        <v>0</v>
      </c>
      <c r="R55" s="261"/>
      <c r="S55" s="373">
        <v>0</v>
      </c>
      <c r="T55" s="261"/>
      <c r="U55" s="373">
        <v>0</v>
      </c>
      <c r="V55" s="261"/>
      <c r="W55" s="373"/>
      <c r="X55" s="261"/>
      <c r="Y55" s="373"/>
      <c r="Z55" s="261"/>
      <c r="AA55" s="319"/>
      <c r="AB55" s="319"/>
      <c r="AC55" s="1202">
        <v>0</v>
      </c>
      <c r="AD55" s="319"/>
      <c r="AE55" s="1284"/>
      <c r="AF55" s="320">
        <f t="shared" si="4"/>
        <v>0</v>
      </c>
      <c r="AG55" s="2137"/>
      <c r="AH55" s="1284"/>
      <c r="AI55" s="688">
        <v>0</v>
      </c>
      <c r="AJ55" s="320"/>
      <c r="AK55" s="2138"/>
      <c r="AL55" s="2205">
        <f t="shared" si="5"/>
        <v>0</v>
      </c>
      <c r="AM55" s="647"/>
      <c r="AN55" s="45">
        <f>ROUND(IF(AI55=0,0,AL55/ABS(AI55)),3)</f>
        <v>0</v>
      </c>
    </row>
    <row r="56" spans="1:43" ht="15.6">
      <c r="A56" s="223"/>
      <c r="B56" s="223" t="s">
        <v>33</v>
      </c>
      <c r="C56" s="223"/>
      <c r="D56" s="308"/>
      <c r="E56" s="688">
        <v>0</v>
      </c>
      <c r="F56" s="319"/>
      <c r="G56" s="688">
        <v>0</v>
      </c>
      <c r="H56" s="319"/>
      <c r="I56" s="688">
        <v>0</v>
      </c>
      <c r="J56" s="319"/>
      <c r="K56" s="688">
        <v>0</v>
      </c>
      <c r="L56" s="261"/>
      <c r="M56" s="688">
        <v>0</v>
      </c>
      <c r="N56" s="261"/>
      <c r="O56" s="373">
        <v>0</v>
      </c>
      <c r="P56" s="261"/>
      <c r="Q56" s="373">
        <v>0</v>
      </c>
      <c r="R56" s="261"/>
      <c r="S56" s="373">
        <v>0</v>
      </c>
      <c r="T56" s="261"/>
      <c r="U56" s="373">
        <v>0</v>
      </c>
      <c r="V56" s="261"/>
      <c r="W56" s="373"/>
      <c r="X56" s="261"/>
      <c r="Y56" s="373"/>
      <c r="Z56" s="261"/>
      <c r="AA56" s="688"/>
      <c r="AB56" s="688"/>
      <c r="AC56" s="1202">
        <v>0</v>
      </c>
      <c r="AD56" s="319"/>
      <c r="AE56" s="1284"/>
      <c r="AF56" s="320">
        <f t="shared" si="4"/>
        <v>0</v>
      </c>
      <c r="AG56" s="2137"/>
      <c r="AH56" s="1284"/>
      <c r="AI56" s="688">
        <v>0</v>
      </c>
      <c r="AJ56" s="319"/>
      <c r="AK56" s="2181"/>
      <c r="AL56" s="2205">
        <f t="shared" si="5"/>
        <v>0</v>
      </c>
      <c r="AM56" s="657"/>
      <c r="AN56" s="45">
        <f>ROUND(IF(AI56=0,0,AL56/ABS(AI56)),3)</f>
        <v>0</v>
      </c>
    </row>
    <row r="57" spans="1:43" ht="15.6">
      <c r="A57" s="223"/>
      <c r="B57" s="223" t="s">
        <v>34</v>
      </c>
      <c r="C57" s="221"/>
      <c r="D57" s="308"/>
      <c r="E57" s="688">
        <v>0</v>
      </c>
      <c r="F57" s="319"/>
      <c r="G57" s="688">
        <v>0</v>
      </c>
      <c r="H57" s="319"/>
      <c r="I57" s="688">
        <v>0</v>
      </c>
      <c r="J57" s="319"/>
      <c r="K57" s="688">
        <v>0</v>
      </c>
      <c r="L57" s="261"/>
      <c r="M57" s="688">
        <v>0</v>
      </c>
      <c r="N57" s="261"/>
      <c r="O57" s="373">
        <v>0</v>
      </c>
      <c r="P57" s="261"/>
      <c r="Q57" s="373">
        <v>0</v>
      </c>
      <c r="R57" s="261"/>
      <c r="S57" s="373">
        <v>0</v>
      </c>
      <c r="T57" s="261"/>
      <c r="U57" s="373">
        <v>0</v>
      </c>
      <c r="V57" s="261"/>
      <c r="W57" s="373"/>
      <c r="X57" s="261"/>
      <c r="Y57" s="373"/>
      <c r="Z57" s="261"/>
      <c r="AA57" s="319"/>
      <c r="AB57" s="319"/>
      <c r="AC57" s="1202">
        <v>0</v>
      </c>
      <c r="AD57" s="319"/>
      <c r="AE57" s="1284"/>
      <c r="AF57" s="320">
        <f t="shared" si="4"/>
        <v>0</v>
      </c>
      <c r="AG57" s="2137"/>
      <c r="AH57" s="1284"/>
      <c r="AI57" s="688">
        <v>0</v>
      </c>
      <c r="AJ57" s="319"/>
      <c r="AK57" s="2181"/>
      <c r="AL57" s="2205">
        <f t="shared" si="5"/>
        <v>0</v>
      </c>
      <c r="AM57" s="647"/>
      <c r="AN57" s="45">
        <f>ROUND(IF(AI57=0,0,AL57/ABS(AI57)),3)</f>
        <v>0</v>
      </c>
      <c r="AO57" s="647"/>
    </row>
    <row r="58" spans="1:43" ht="15.6">
      <c r="A58" s="223"/>
      <c r="B58" s="223" t="s">
        <v>35</v>
      </c>
      <c r="C58" s="223"/>
      <c r="D58" s="308"/>
      <c r="E58" s="2200">
        <v>26.6</v>
      </c>
      <c r="F58" s="319"/>
      <c r="G58" s="2135">
        <v>27.9</v>
      </c>
      <c r="H58" s="319"/>
      <c r="I58" s="2135">
        <v>39.6</v>
      </c>
      <c r="J58" s="319"/>
      <c r="K58" s="1277">
        <v>23.9</v>
      </c>
      <c r="L58" s="261"/>
      <c r="M58" s="1277">
        <v>12.3</v>
      </c>
      <c r="N58" s="261"/>
      <c r="O58" s="516">
        <v>84.2</v>
      </c>
      <c r="P58" s="261"/>
      <c r="Q58" s="516">
        <v>13.5</v>
      </c>
      <c r="R58" s="261"/>
      <c r="S58" s="516">
        <v>45.7</v>
      </c>
      <c r="T58" s="261"/>
      <c r="U58" s="516">
        <v>24</v>
      </c>
      <c r="V58" s="261"/>
      <c r="W58" s="373"/>
      <c r="X58" s="261"/>
      <c r="Y58" s="373"/>
      <c r="Z58" s="261"/>
      <c r="AA58" s="688"/>
      <c r="AB58" s="688"/>
      <c r="AC58" s="1202">
        <v>0</v>
      </c>
      <c r="AD58" s="319"/>
      <c r="AE58" s="1284"/>
      <c r="AF58" s="320">
        <f t="shared" si="4"/>
        <v>297.7</v>
      </c>
      <c r="AG58" s="2137"/>
      <c r="AH58" s="1284"/>
      <c r="AI58" s="1861">
        <v>381.9</v>
      </c>
      <c r="AJ58" s="262"/>
      <c r="AK58" s="2181"/>
      <c r="AL58" s="2205">
        <f t="shared" si="5"/>
        <v>-84.2</v>
      </c>
      <c r="AM58" s="647"/>
      <c r="AN58" s="1493">
        <f>ROUND((AF58-AI58)/ABS(AI58),3)</f>
        <v>-0.22</v>
      </c>
    </row>
    <row r="59" spans="1:43" ht="15.6">
      <c r="A59" s="223"/>
      <c r="B59" s="221" t="s">
        <v>204</v>
      </c>
      <c r="C59" s="223"/>
      <c r="D59" s="308"/>
      <c r="E59" s="2163">
        <f>ROUND(SUM(E49:E58),1)</f>
        <v>26.6</v>
      </c>
      <c r="F59" s="313"/>
      <c r="G59" s="2163">
        <f>ROUND(SUM(G49:G58),1)</f>
        <v>27.9</v>
      </c>
      <c r="H59" s="313"/>
      <c r="I59" s="2163">
        <f>ROUND(SUM(I49:I58),1)</f>
        <v>39.6</v>
      </c>
      <c r="J59" s="313"/>
      <c r="K59" s="2163">
        <f>ROUND(SUM(K49:K58),1)</f>
        <v>23.9</v>
      </c>
      <c r="L59" s="257"/>
      <c r="M59" s="545">
        <f>ROUND(SUM(M49:M58),1)</f>
        <v>12.3</v>
      </c>
      <c r="N59" s="257"/>
      <c r="O59" s="545">
        <f>ROUND(SUM(O49:O58),1)</f>
        <v>84.2</v>
      </c>
      <c r="P59" s="257"/>
      <c r="Q59" s="545">
        <f>ROUND(SUM(Q49:Q58),1)</f>
        <v>13.5</v>
      </c>
      <c r="R59" s="257"/>
      <c r="S59" s="545">
        <f>ROUND(SUM(S49:S58),1)</f>
        <v>233.5</v>
      </c>
      <c r="T59" s="257"/>
      <c r="U59" s="545">
        <f>ROUND(SUM(U49:U58),1)</f>
        <v>23.9</v>
      </c>
      <c r="V59" s="257"/>
      <c r="W59" s="545">
        <f>ROUND(SUM(W49:W58),1)</f>
        <v>0</v>
      </c>
      <c r="X59" s="257"/>
      <c r="Y59" s="545">
        <f>ROUND(SUM(Y49:Y58),1)</f>
        <v>0</v>
      </c>
      <c r="Z59" s="257"/>
      <c r="AA59" s="2163">
        <f>ROUND(SUM(AA49:AA58),1)</f>
        <v>0</v>
      </c>
      <c r="AB59" s="316"/>
      <c r="AC59" s="2163">
        <f>ROUND(SUM(AC49:AC58),1)</f>
        <v>0</v>
      </c>
      <c r="AD59" s="313"/>
      <c r="AE59" s="1285"/>
      <c r="AF59" s="2163">
        <f>ROUND(SUM(AF49:AF58),1)</f>
        <v>485.4</v>
      </c>
      <c r="AG59" s="2142"/>
      <c r="AH59" s="1285"/>
      <c r="AI59" s="2163">
        <f>ROUND(SUM(AI49:AI58),1)</f>
        <v>408</v>
      </c>
      <c r="AJ59" s="316"/>
      <c r="AK59" s="2181"/>
      <c r="AL59" s="2163">
        <f>ROUND(SUM(AL49:AL58),1)</f>
        <v>77.400000000000006</v>
      </c>
      <c r="AM59" s="665"/>
      <c r="AN59" s="666">
        <f>ROUND(SUM(AF59-AI59)/ABS(AI59),3)</f>
        <v>0.19</v>
      </c>
      <c r="AO59" s="665"/>
      <c r="AP59" s="652"/>
      <c r="AQ59" s="652"/>
    </row>
    <row r="60" spans="1:43" ht="15.6">
      <c r="A60" s="223"/>
      <c r="B60" s="223" t="s">
        <v>205</v>
      </c>
      <c r="C60" s="223"/>
      <c r="D60" s="308"/>
      <c r="E60" s="319"/>
      <c r="F60" s="319"/>
      <c r="G60" s="319"/>
      <c r="H60" s="319"/>
      <c r="I60" s="319"/>
      <c r="J60" s="319"/>
      <c r="K60" s="319"/>
      <c r="L60" s="261"/>
      <c r="M60" s="261"/>
      <c r="N60" s="261"/>
      <c r="O60" s="261"/>
      <c r="P60" s="261"/>
      <c r="Q60" s="261"/>
      <c r="R60" s="261"/>
      <c r="S60" s="261"/>
      <c r="T60" s="261"/>
      <c r="U60" s="261"/>
      <c r="V60" s="261"/>
      <c r="W60" s="261"/>
      <c r="X60" s="261"/>
      <c r="Y60" s="261"/>
      <c r="Z60" s="261"/>
      <c r="AA60" s="319"/>
      <c r="AB60" s="319"/>
      <c r="AC60" s="319"/>
      <c r="AD60" s="319"/>
      <c r="AE60" s="1284"/>
      <c r="AF60" s="329"/>
      <c r="AG60" s="2137"/>
      <c r="AH60" s="1284"/>
      <c r="AI60" s="319"/>
      <c r="AJ60" s="319"/>
      <c r="AK60" s="2181"/>
      <c r="AL60" s="689"/>
      <c r="AM60" s="647"/>
      <c r="AN60" s="655"/>
    </row>
    <row r="61" spans="1:43" ht="15.6">
      <c r="A61" s="223"/>
      <c r="B61" s="223" t="s">
        <v>206</v>
      </c>
      <c r="C61" s="223"/>
      <c r="D61" s="308"/>
      <c r="E61" s="688">
        <v>0</v>
      </c>
      <c r="F61" s="319"/>
      <c r="G61" s="688">
        <v>0</v>
      </c>
      <c r="H61" s="319"/>
      <c r="I61" s="688">
        <v>0</v>
      </c>
      <c r="J61" s="319"/>
      <c r="K61" s="688">
        <v>0</v>
      </c>
      <c r="L61" s="261"/>
      <c r="M61" s="373">
        <v>0</v>
      </c>
      <c r="N61" s="261"/>
      <c r="O61" s="373">
        <v>0</v>
      </c>
      <c r="P61" s="261"/>
      <c r="Q61" s="373">
        <v>0</v>
      </c>
      <c r="R61" s="261"/>
      <c r="S61" s="373">
        <v>0</v>
      </c>
      <c r="T61" s="261"/>
      <c r="U61" s="373">
        <v>0</v>
      </c>
      <c r="V61" s="261"/>
      <c r="W61" s="373"/>
      <c r="X61" s="261"/>
      <c r="Y61" s="373"/>
      <c r="Z61" s="261"/>
      <c r="AA61" s="688"/>
      <c r="AB61" s="688"/>
      <c r="AC61" s="1202">
        <v>0</v>
      </c>
      <c r="AD61" s="319"/>
      <c r="AE61" s="1284"/>
      <c r="AF61" s="320">
        <f>ROUND(SUM(E61:AC61),1)</f>
        <v>0</v>
      </c>
      <c r="AG61" s="2137"/>
      <c r="AH61" s="1284"/>
      <c r="AI61" s="688">
        <v>0</v>
      </c>
      <c r="AJ61" s="329"/>
      <c r="AK61" s="2189"/>
      <c r="AL61" s="2205">
        <f>ROUND(AF61-AI61,1)</f>
        <v>0</v>
      </c>
      <c r="AM61" s="647"/>
      <c r="AN61" s="45">
        <f>ROUND(IF(AI61=0,0,AL61/ABS(AI61)),3)</f>
        <v>0</v>
      </c>
      <c r="AO61" s="370"/>
    </row>
    <row r="62" spans="1:43" ht="15.6">
      <c r="A62" s="223"/>
      <c r="B62" s="223" t="s">
        <v>207</v>
      </c>
      <c r="C62" s="223"/>
      <c r="D62" s="308"/>
      <c r="E62" s="688">
        <v>0</v>
      </c>
      <c r="F62" s="319"/>
      <c r="G62" s="688">
        <v>0</v>
      </c>
      <c r="H62" s="319"/>
      <c r="I62" s="688">
        <v>0</v>
      </c>
      <c r="J62" s="319"/>
      <c r="K62" s="688">
        <v>0</v>
      </c>
      <c r="L62" s="261"/>
      <c r="M62" s="373">
        <v>0</v>
      </c>
      <c r="N62" s="261"/>
      <c r="O62" s="373">
        <v>0</v>
      </c>
      <c r="P62" s="261"/>
      <c r="Q62" s="373">
        <v>0</v>
      </c>
      <c r="R62" s="261"/>
      <c r="S62" s="373">
        <v>0</v>
      </c>
      <c r="T62" s="261"/>
      <c r="U62" s="373">
        <v>0</v>
      </c>
      <c r="V62" s="261"/>
      <c r="W62" s="373"/>
      <c r="X62" s="261"/>
      <c r="Y62" s="373"/>
      <c r="Z62" s="261"/>
      <c r="AA62" s="688"/>
      <c r="AB62" s="688"/>
      <c r="AC62" s="1202">
        <v>0</v>
      </c>
      <c r="AD62" s="319"/>
      <c r="AE62" s="1284"/>
      <c r="AF62" s="320">
        <f>ROUND(SUM(E62:AC62),1)</f>
        <v>0</v>
      </c>
      <c r="AG62" s="2137"/>
      <c r="AH62" s="1284"/>
      <c r="AI62" s="688">
        <v>0</v>
      </c>
      <c r="AJ62" s="329"/>
      <c r="AK62" s="2189"/>
      <c r="AL62" s="2205">
        <f>ROUND(AF62-AI62,1)</f>
        <v>0</v>
      </c>
      <c r="AM62" s="647"/>
      <c r="AN62" s="45">
        <f>ROUND(IF(AI62=0,0,AL62/ABS(AI62)),3)</f>
        <v>0</v>
      </c>
    </row>
    <row r="63" spans="1:43" ht="15.6">
      <c r="A63" s="223"/>
      <c r="B63" s="223" t="s">
        <v>208</v>
      </c>
      <c r="C63" s="223"/>
      <c r="D63" s="308"/>
      <c r="E63" s="688">
        <v>0</v>
      </c>
      <c r="F63" s="319"/>
      <c r="G63" s="688">
        <v>0</v>
      </c>
      <c r="H63" s="319"/>
      <c r="I63" s="688">
        <v>0</v>
      </c>
      <c r="J63" s="319"/>
      <c r="K63" s="688">
        <v>0</v>
      </c>
      <c r="L63" s="261"/>
      <c r="M63" s="373">
        <v>0</v>
      </c>
      <c r="N63" s="261"/>
      <c r="O63" s="373">
        <v>0</v>
      </c>
      <c r="P63" s="261"/>
      <c r="Q63" s="373">
        <v>0</v>
      </c>
      <c r="R63" s="261"/>
      <c r="S63" s="373">
        <v>0</v>
      </c>
      <c r="T63" s="261"/>
      <c r="U63" s="373">
        <v>0</v>
      </c>
      <c r="V63" s="261"/>
      <c r="W63" s="373"/>
      <c r="X63" s="261"/>
      <c r="Y63" s="373"/>
      <c r="Z63" s="668"/>
      <c r="AA63" s="688"/>
      <c r="AB63" s="688"/>
      <c r="AC63" s="1202">
        <v>0</v>
      </c>
      <c r="AD63" s="2190"/>
      <c r="AE63" s="2191"/>
      <c r="AF63" s="320">
        <f>ROUND(SUM(E63:AC63),1)</f>
        <v>0</v>
      </c>
      <c r="AG63" s="2137"/>
      <c r="AH63" s="1284"/>
      <c r="AI63" s="688">
        <v>0</v>
      </c>
      <c r="AJ63" s="329"/>
      <c r="AK63" s="2189"/>
      <c r="AL63" s="2205">
        <f>ROUND(AF63-AI63,1)</f>
        <v>0</v>
      </c>
      <c r="AM63" s="647"/>
      <c r="AN63" s="45">
        <f>ROUND(IF(AI63=0,0,AL63/ABS(AI63)),3)</f>
        <v>0</v>
      </c>
    </row>
    <row r="64" spans="1:43" ht="15.6">
      <c r="A64" s="223"/>
      <c r="B64" s="247" t="s">
        <v>220</v>
      </c>
      <c r="C64" s="223"/>
      <c r="D64" s="308"/>
      <c r="E64" s="320">
        <v>76.599999999999994</v>
      </c>
      <c r="F64" s="319"/>
      <c r="G64" s="2162">
        <v>87.6</v>
      </c>
      <c r="H64" s="319"/>
      <c r="I64" s="2162">
        <v>121.7</v>
      </c>
      <c r="J64" s="319"/>
      <c r="K64" s="2162">
        <v>175.7</v>
      </c>
      <c r="L64" s="261"/>
      <c r="M64" s="280">
        <v>146.5</v>
      </c>
      <c r="N64" s="261"/>
      <c r="O64" s="280">
        <v>196.1</v>
      </c>
      <c r="P64" s="261"/>
      <c r="Q64" s="489">
        <v>57.9</v>
      </c>
      <c r="R64" s="261"/>
      <c r="S64" s="489">
        <v>200.5</v>
      </c>
      <c r="T64" s="261"/>
      <c r="U64" s="489">
        <v>134.69999999999999</v>
      </c>
      <c r="V64" s="261"/>
      <c r="W64" s="489"/>
      <c r="X64" s="261"/>
      <c r="Y64" s="373"/>
      <c r="Z64" s="261"/>
      <c r="AA64" s="526"/>
      <c r="AB64" s="262"/>
      <c r="AC64" s="1202">
        <v>0</v>
      </c>
      <c r="AD64" s="319"/>
      <c r="AE64" s="1284"/>
      <c r="AF64" s="320">
        <f>ROUND(SUM(E64:AC64),1)</f>
        <v>1197.3</v>
      </c>
      <c r="AG64" s="2137"/>
      <c r="AH64" s="1284"/>
      <c r="AI64" s="1862">
        <v>927.9</v>
      </c>
      <c r="AJ64" s="267"/>
      <c r="AK64" s="2138"/>
      <c r="AL64" s="2207">
        <f>ROUND(AF64-AI64,1)</f>
        <v>269.39999999999998</v>
      </c>
      <c r="AM64" s="647"/>
      <c r="AN64" s="1847">
        <f>ROUND(IF(AI64=0,0,AL64/ABS(AI64)),3)</f>
        <v>0.28999999999999998</v>
      </c>
    </row>
    <row r="65" spans="1:41" ht="15.6">
      <c r="A65" s="223"/>
      <c r="B65" s="223"/>
      <c r="C65" s="223"/>
      <c r="D65" s="308"/>
      <c r="E65" s="328"/>
      <c r="F65" s="319"/>
      <c r="G65" s="328"/>
      <c r="H65" s="319"/>
      <c r="I65" s="328"/>
      <c r="J65" s="319"/>
      <c r="K65" s="328"/>
      <c r="L65" s="261"/>
      <c r="M65" s="289"/>
      <c r="N65" s="261"/>
      <c r="O65" s="289"/>
      <c r="P65" s="261"/>
      <c r="Q65" s="289"/>
      <c r="R65" s="261"/>
      <c r="S65" s="289"/>
      <c r="T65" s="261"/>
      <c r="U65" s="289"/>
      <c r="V65" s="261"/>
      <c r="W65" s="289"/>
      <c r="X65" s="261"/>
      <c r="Y65" s="289"/>
      <c r="Z65" s="261"/>
      <c r="AA65" s="328"/>
      <c r="AB65" s="262"/>
      <c r="AC65" s="328"/>
      <c r="AD65" s="319"/>
      <c r="AE65" s="1284"/>
      <c r="AF65" s="328"/>
      <c r="AG65" s="2137"/>
      <c r="AH65" s="1284"/>
      <c r="AI65" s="689"/>
      <c r="AJ65" s="689"/>
      <c r="AK65" s="2193"/>
      <c r="AL65" s="689"/>
      <c r="AM65" s="647"/>
      <c r="AN65" s="655"/>
    </row>
    <row r="66" spans="1:41" ht="15.6">
      <c r="A66" s="223"/>
      <c r="B66" s="221" t="s">
        <v>209</v>
      </c>
      <c r="C66" s="223"/>
      <c r="D66" s="308"/>
      <c r="E66" s="313">
        <f>ROUND(SUM(E59:E64),1)</f>
        <v>103.2</v>
      </c>
      <c r="F66" s="313"/>
      <c r="G66" s="313">
        <f>ROUND(SUM(G59:G64),1)</f>
        <v>115.5</v>
      </c>
      <c r="H66" s="313"/>
      <c r="I66" s="313">
        <f>ROUND(SUM(I59:I64),1)</f>
        <v>161.30000000000001</v>
      </c>
      <c r="J66" s="313"/>
      <c r="K66" s="313">
        <f>ROUND(SUM(K59:K64),1)</f>
        <v>199.6</v>
      </c>
      <c r="L66" s="257"/>
      <c r="M66" s="257">
        <f>ROUND(SUM(M59:M64),1)</f>
        <v>158.80000000000001</v>
      </c>
      <c r="N66" s="257"/>
      <c r="O66" s="257">
        <f>ROUND(SUM(O59:O64),1)</f>
        <v>280.3</v>
      </c>
      <c r="P66" s="257"/>
      <c r="Q66" s="257">
        <f>ROUND(SUM(Q59:Q64),1)</f>
        <v>71.400000000000006</v>
      </c>
      <c r="R66" s="257"/>
      <c r="S66" s="257">
        <f>ROUND(SUM(S59:S64),1)</f>
        <v>434</v>
      </c>
      <c r="T66" s="257"/>
      <c r="U66" s="1886">
        <f>ROUND(SUM(U59:U64),1)</f>
        <v>158.6</v>
      </c>
      <c r="V66" s="257"/>
      <c r="W66" s="257">
        <f>ROUND(SUM(W59:W64),1)</f>
        <v>0</v>
      </c>
      <c r="X66" s="257"/>
      <c r="Y66" s="257">
        <f>ROUND(SUM(Y59:Y64),1)</f>
        <v>0</v>
      </c>
      <c r="Z66" s="257"/>
      <c r="AA66" s="313">
        <f>ROUND(SUM(AA59:AA64),1)</f>
        <v>0</v>
      </c>
      <c r="AB66" s="313"/>
      <c r="AC66" s="313">
        <f>ROUND(SUM(AC59:AC64),1)</f>
        <v>0</v>
      </c>
      <c r="AD66" s="313"/>
      <c r="AE66" s="1285"/>
      <c r="AF66" s="313">
        <f>ROUND(SUM(AF59:AF64),1)</f>
        <v>1682.7</v>
      </c>
      <c r="AG66" s="2142"/>
      <c r="AH66" s="1285"/>
      <c r="AI66" s="313">
        <f>SUM(AI59:AI64)</f>
        <v>1335.9</v>
      </c>
      <c r="AJ66" s="316"/>
      <c r="AK66" s="2181"/>
      <c r="AL66" s="314">
        <f>ROUND(AF66-AI66,1)</f>
        <v>346.8</v>
      </c>
      <c r="AM66" s="665"/>
      <c r="AN66" s="555">
        <f>ROUND(SUM(AF66-AI66)/ABS(AI66),3)</f>
        <v>0.26</v>
      </c>
    </row>
    <row r="67" spans="1:41" ht="15.6">
      <c r="A67" s="223"/>
      <c r="B67" s="223"/>
      <c r="C67" s="223"/>
      <c r="D67" s="308"/>
      <c r="E67" s="328"/>
      <c r="F67" s="319"/>
      <c r="G67" s="328"/>
      <c r="H67" s="319"/>
      <c r="I67" s="328"/>
      <c r="J67" s="319"/>
      <c r="K67" s="328"/>
      <c r="L67" s="261"/>
      <c r="M67" s="289"/>
      <c r="N67" s="261"/>
      <c r="O67" s="289"/>
      <c r="P67" s="261"/>
      <c r="Q67" s="289"/>
      <c r="R67" s="261"/>
      <c r="S67" s="289"/>
      <c r="T67" s="261"/>
      <c r="U67" s="289"/>
      <c r="V67" s="261"/>
      <c r="W67" s="289"/>
      <c r="X67" s="261"/>
      <c r="Y67" s="289"/>
      <c r="Z67" s="261"/>
      <c r="AA67" s="328"/>
      <c r="AB67" s="262"/>
      <c r="AC67" s="328"/>
      <c r="AD67" s="319"/>
      <c r="AE67" s="1284"/>
      <c r="AF67" s="328"/>
      <c r="AG67" s="2137"/>
      <c r="AH67" s="1284"/>
      <c r="AI67" s="328"/>
      <c r="AJ67" s="262"/>
      <c r="AK67" s="2181"/>
      <c r="AL67" s="689"/>
      <c r="AM67" s="647"/>
      <c r="AN67" s="655"/>
    </row>
    <row r="68" spans="1:41" ht="15.6">
      <c r="A68" s="223"/>
      <c r="B68" s="221" t="s">
        <v>210</v>
      </c>
      <c r="C68" s="223"/>
      <c r="D68" s="308"/>
      <c r="E68" s="319"/>
      <c r="F68" s="319"/>
      <c r="G68" s="319"/>
      <c r="H68" s="319"/>
      <c r="I68" s="319"/>
      <c r="J68" s="319"/>
      <c r="K68" s="319"/>
      <c r="L68" s="261"/>
      <c r="M68" s="261"/>
      <c r="N68" s="261"/>
      <c r="O68" s="261"/>
      <c r="P68" s="261"/>
      <c r="Q68" s="261"/>
      <c r="R68" s="261"/>
      <c r="S68" s="261"/>
      <c r="T68" s="261"/>
      <c r="U68" s="261"/>
      <c r="V68" s="261"/>
      <c r="W68" s="261"/>
      <c r="X68" s="261"/>
      <c r="Y68" s="261"/>
      <c r="Z68" s="261"/>
      <c r="AA68" s="319"/>
      <c r="AB68" s="319"/>
      <c r="AC68" s="319"/>
      <c r="AD68" s="319"/>
      <c r="AE68" s="1284"/>
      <c r="AF68" s="689"/>
      <c r="AG68" s="2137"/>
      <c r="AH68" s="262"/>
      <c r="AI68" s="689"/>
      <c r="AJ68" s="689"/>
      <c r="AK68" s="2193"/>
      <c r="AL68" s="689"/>
      <c r="AM68" s="647"/>
      <c r="AN68" s="655"/>
    </row>
    <row r="69" spans="1:41" ht="15.6">
      <c r="A69" s="223"/>
      <c r="B69" s="221" t="s">
        <v>211</v>
      </c>
      <c r="C69" s="223"/>
      <c r="D69" s="308"/>
      <c r="E69" s="313">
        <f>ROUND(E45-E66,1)</f>
        <v>-2</v>
      </c>
      <c r="F69" s="313"/>
      <c r="G69" s="313">
        <f>ROUND(G45-G66,1)</f>
        <v>-45.7</v>
      </c>
      <c r="H69" s="313"/>
      <c r="I69" s="313">
        <f>ROUND(I45-I66,1)</f>
        <v>34.5</v>
      </c>
      <c r="J69" s="313"/>
      <c r="K69" s="313">
        <f>ROUND(K45-K66,1)</f>
        <v>4.3</v>
      </c>
      <c r="L69" s="257"/>
      <c r="M69" s="257">
        <f>ROUND(M45-M66,1)</f>
        <v>39.6</v>
      </c>
      <c r="N69" s="257"/>
      <c r="O69" s="257">
        <f>ROUND(O45-O66,1)</f>
        <v>36.299999999999997</v>
      </c>
      <c r="P69" s="257"/>
      <c r="Q69" s="257">
        <f>ROUND(Q45-Q66,1)</f>
        <v>-31.6</v>
      </c>
      <c r="R69" s="257"/>
      <c r="S69" s="257">
        <f>ROUND(S45-S66,1)</f>
        <v>-65.7</v>
      </c>
      <c r="T69" s="257"/>
      <c r="U69" s="1886">
        <f>ROUND(U45-U66,1)</f>
        <v>55</v>
      </c>
      <c r="V69" s="257"/>
      <c r="W69" s="257">
        <f>ROUND(W45-W66,1)</f>
        <v>0</v>
      </c>
      <c r="X69" s="257"/>
      <c r="Y69" s="257">
        <f>ROUND(Y45-Y66,1)</f>
        <v>0</v>
      </c>
      <c r="Z69" s="257"/>
      <c r="AA69" s="313">
        <f>ROUND(AA45-AA66,1)</f>
        <v>0</v>
      </c>
      <c r="AB69" s="313"/>
      <c r="AC69" s="313">
        <f>ROUND(AC45-AC66,1)</f>
        <v>0</v>
      </c>
      <c r="AD69" s="313"/>
      <c r="AE69" s="1285"/>
      <c r="AF69" s="313">
        <f>ROUND(AF45-AF66,1)</f>
        <v>24.7</v>
      </c>
      <c r="AG69" s="2142"/>
      <c r="AH69" s="1285"/>
      <c r="AI69" s="313">
        <f>ROUND(SUM(AI45-AI66),1)</f>
        <v>134.6</v>
      </c>
      <c r="AJ69" s="316"/>
      <c r="AK69" s="2181"/>
      <c r="AL69" s="314">
        <f>ROUND(AF69-AI69,1)</f>
        <v>-109.9</v>
      </c>
      <c r="AM69" s="665"/>
      <c r="AN69" s="555">
        <f>ROUND(SUM(AF69-AI69)/ABS(AI69),3)</f>
        <v>-0.81599999999999995</v>
      </c>
    </row>
    <row r="70" spans="1:41" ht="15.6">
      <c r="A70" s="223"/>
      <c r="B70" s="223"/>
      <c r="C70" s="223"/>
      <c r="D70" s="308"/>
      <c r="E70" s="328"/>
      <c r="F70" s="319"/>
      <c r="G70" s="328"/>
      <c r="H70" s="319"/>
      <c r="I70" s="328"/>
      <c r="J70" s="319"/>
      <c r="K70" s="328"/>
      <c r="L70" s="261"/>
      <c r="M70" s="289"/>
      <c r="N70" s="261"/>
      <c r="O70" s="289"/>
      <c r="P70" s="261"/>
      <c r="Q70" s="289"/>
      <c r="R70" s="261"/>
      <c r="S70" s="289"/>
      <c r="T70" s="261"/>
      <c r="U70" s="289"/>
      <c r="V70" s="261"/>
      <c r="W70" s="289"/>
      <c r="X70" s="261"/>
      <c r="Y70" s="289"/>
      <c r="Z70" s="261"/>
      <c r="AA70" s="328"/>
      <c r="AB70" s="262"/>
      <c r="AC70" s="328"/>
      <c r="AD70" s="319"/>
      <c r="AE70" s="1284"/>
      <c r="AF70" s="328"/>
      <c r="AG70" s="2137"/>
      <c r="AH70" s="1284"/>
      <c r="AI70" s="328"/>
      <c r="AJ70" s="262"/>
      <c r="AK70" s="2181"/>
      <c r="AL70" s="689"/>
      <c r="AM70" s="647"/>
      <c r="AN70" s="655"/>
    </row>
    <row r="71" spans="1:41" ht="15.6">
      <c r="A71" s="223"/>
      <c r="B71" s="221" t="s">
        <v>212</v>
      </c>
      <c r="C71" s="223"/>
      <c r="D71" s="308"/>
      <c r="E71" s="319"/>
      <c r="F71" s="319"/>
      <c r="G71" s="319"/>
      <c r="H71" s="319"/>
      <c r="I71" s="319"/>
      <c r="J71" s="319"/>
      <c r="K71" s="319"/>
      <c r="L71" s="261"/>
      <c r="M71" s="261"/>
      <c r="N71" s="261"/>
      <c r="O71" s="261"/>
      <c r="P71" s="261"/>
      <c r="Q71" s="261"/>
      <c r="R71" s="261"/>
      <c r="S71" s="261"/>
      <c r="T71" s="261"/>
      <c r="U71" s="261"/>
      <c r="V71" s="261"/>
      <c r="W71" s="261" t="s">
        <v>16</v>
      </c>
      <c r="X71" s="261"/>
      <c r="Y71" s="261"/>
      <c r="Z71" s="261"/>
      <c r="AA71" s="319"/>
      <c r="AB71" s="319"/>
      <c r="AC71" s="319"/>
      <c r="AD71" s="319"/>
      <c r="AE71" s="1284"/>
      <c r="AF71" s="319"/>
      <c r="AG71" s="2137"/>
      <c r="AH71" s="1284"/>
      <c r="AI71" s="329"/>
      <c r="AJ71" s="329"/>
      <c r="AK71" s="2189"/>
      <c r="AL71" s="689"/>
      <c r="AM71" s="647"/>
      <c r="AN71" s="655"/>
    </row>
    <row r="72" spans="1:41" ht="15.6">
      <c r="A72" s="223"/>
      <c r="B72" s="247" t="s">
        <v>221</v>
      </c>
      <c r="C72" s="223"/>
      <c r="D72" s="308"/>
      <c r="E72" s="688">
        <v>0</v>
      </c>
      <c r="F72" s="319"/>
      <c r="G72" s="688">
        <v>0</v>
      </c>
      <c r="H72" s="319"/>
      <c r="I72" s="688">
        <v>0</v>
      </c>
      <c r="J72" s="319"/>
      <c r="K72" s="688">
        <v>0</v>
      </c>
      <c r="L72" s="261"/>
      <c r="M72" s="373">
        <v>0</v>
      </c>
      <c r="N72" s="261"/>
      <c r="O72" s="373">
        <v>0</v>
      </c>
      <c r="P72" s="261"/>
      <c r="Q72" s="373">
        <v>0</v>
      </c>
      <c r="R72" s="261"/>
      <c r="S72" s="373">
        <v>0</v>
      </c>
      <c r="T72" s="261"/>
      <c r="U72" s="373">
        <v>0</v>
      </c>
      <c r="V72" s="261"/>
      <c r="W72" s="373"/>
      <c r="X72" s="261"/>
      <c r="Y72" s="373"/>
      <c r="Z72" s="261"/>
      <c r="AA72" s="688"/>
      <c r="AB72" s="688"/>
      <c r="AC72" s="1202">
        <v>0</v>
      </c>
      <c r="AD72" s="319"/>
      <c r="AE72" s="1284"/>
      <c r="AF72" s="320">
        <f>ROUND(SUM(E72:AC72),1)</f>
        <v>0</v>
      </c>
      <c r="AG72" s="2137"/>
      <c r="AH72" s="1284"/>
      <c r="AI72" s="688">
        <v>0</v>
      </c>
      <c r="AJ72" s="320"/>
      <c r="AK72" s="2138"/>
      <c r="AL72" s="2205">
        <v>0</v>
      </c>
      <c r="AM72" s="647"/>
      <c r="AN72" s="45">
        <f>ROUND(IF(AI72=0,0,AL72/ABS(AI72)),3)</f>
        <v>0</v>
      </c>
      <c r="AO72" s="647"/>
    </row>
    <row r="73" spans="1:41" ht="15.6">
      <c r="A73" s="223"/>
      <c r="B73" s="247" t="s">
        <v>222</v>
      </c>
      <c r="C73" s="223"/>
      <c r="D73" s="308"/>
      <c r="E73" s="688">
        <v>-2</v>
      </c>
      <c r="F73" s="319"/>
      <c r="G73" s="688">
        <v>0</v>
      </c>
      <c r="H73" s="319"/>
      <c r="I73" s="688">
        <v>0</v>
      </c>
      <c r="J73" s="319"/>
      <c r="K73" s="688">
        <v>-0.7</v>
      </c>
      <c r="L73" s="261"/>
      <c r="M73" s="373">
        <v>0</v>
      </c>
      <c r="N73" s="261"/>
      <c r="O73" s="373">
        <v>0</v>
      </c>
      <c r="P73" s="261"/>
      <c r="Q73" s="373">
        <v>0</v>
      </c>
      <c r="R73" s="261"/>
      <c r="S73" s="373">
        <v>-0.7</v>
      </c>
      <c r="T73" s="261"/>
      <c r="U73" s="373">
        <v>0</v>
      </c>
      <c r="V73" s="261"/>
      <c r="W73" s="373"/>
      <c r="X73" s="261"/>
      <c r="Y73" s="373"/>
      <c r="Z73" s="261"/>
      <c r="AA73" s="319"/>
      <c r="AB73" s="319"/>
      <c r="AC73" s="319">
        <v>0</v>
      </c>
      <c r="AD73" s="319"/>
      <c r="AE73" s="1284"/>
      <c r="AF73" s="320">
        <f>ROUND(SUM(E73:AC73),1)</f>
        <v>-3.4</v>
      </c>
      <c r="AG73" s="2137"/>
      <c r="AH73" s="1284"/>
      <c r="AI73" s="2628">
        <v>-13.2</v>
      </c>
      <c r="AJ73" s="262"/>
      <c r="AK73" s="2181"/>
      <c r="AL73" s="2207">
        <f>ROUND(AF73-AI73,1)</f>
        <v>9.8000000000000007</v>
      </c>
      <c r="AM73" s="647"/>
      <c r="AN73" s="2817">
        <f>ROUND(IF(AI73=0,1,AL73/ABS(AI73)),3)</f>
        <v>0.74199999999999999</v>
      </c>
    </row>
    <row r="74" spans="1:41" ht="15.6">
      <c r="A74" s="223"/>
      <c r="B74" s="223"/>
      <c r="C74" s="223"/>
      <c r="D74" s="308"/>
      <c r="E74" s="328"/>
      <c r="F74" s="319"/>
      <c r="G74" s="328"/>
      <c r="H74" s="319"/>
      <c r="I74" s="328"/>
      <c r="J74" s="319"/>
      <c r="K74" s="328"/>
      <c r="L74" s="261"/>
      <c r="M74" s="289"/>
      <c r="N74" s="261"/>
      <c r="O74" s="289"/>
      <c r="P74" s="261"/>
      <c r="Q74" s="289"/>
      <c r="R74" s="261"/>
      <c r="S74" s="289"/>
      <c r="T74" s="261"/>
      <c r="U74" s="289"/>
      <c r="V74" s="261"/>
      <c r="W74" s="420"/>
      <c r="X74" s="261"/>
      <c r="Y74" s="289"/>
      <c r="Z74" s="261"/>
      <c r="AA74" s="328"/>
      <c r="AB74" s="262"/>
      <c r="AC74" s="328"/>
      <c r="AD74" s="319"/>
      <c r="AE74" s="1284"/>
      <c r="AF74" s="328"/>
      <c r="AG74" s="2137"/>
      <c r="AH74" s="1284"/>
      <c r="AI74" s="689"/>
      <c r="AJ74" s="689"/>
      <c r="AK74" s="2193"/>
      <c r="AL74" s="2208"/>
      <c r="AM74" s="690"/>
      <c r="AN74" s="2854"/>
      <c r="AO74" s="647"/>
    </row>
    <row r="75" spans="1:41" ht="15.6">
      <c r="A75" s="223"/>
      <c r="B75" s="221" t="s">
        <v>215</v>
      </c>
      <c r="C75" s="223"/>
      <c r="D75" s="308"/>
      <c r="E75" s="2201">
        <f>ROUND(SUM(E72:E74),1)</f>
        <v>-2</v>
      </c>
      <c r="F75" s="319"/>
      <c r="G75" s="2201">
        <f>ROUND(SUM(G72:G74),1)</f>
        <v>0</v>
      </c>
      <c r="H75" s="319"/>
      <c r="I75" s="2201">
        <f>ROUND(SUM(I72:I74),1)</f>
        <v>0</v>
      </c>
      <c r="J75" s="319"/>
      <c r="K75" s="2201">
        <f>ROUND(SUM(K72:K74),1)</f>
        <v>-0.7</v>
      </c>
      <c r="L75" s="261"/>
      <c r="M75" s="544">
        <f>ROUND(SUM(M72:M74),1)</f>
        <v>0</v>
      </c>
      <c r="N75" s="261"/>
      <c r="O75" s="544">
        <f>ROUND(SUM(O72:O74),1)</f>
        <v>0</v>
      </c>
      <c r="P75" s="261"/>
      <c r="Q75" s="544">
        <f>ROUND(SUM(Q72:Q74),1)</f>
        <v>0</v>
      </c>
      <c r="R75" s="266"/>
      <c r="S75" s="544">
        <f>ROUND(SUM(S72:S74),1)</f>
        <v>-0.7</v>
      </c>
      <c r="T75" s="261"/>
      <c r="U75" s="544">
        <f>ROUND(SUM(U72:U74),1)</f>
        <v>0</v>
      </c>
      <c r="V75" s="261"/>
      <c r="W75" s="544">
        <f>ROUND(SUM(W72:W74),1)</f>
        <v>0</v>
      </c>
      <c r="X75" s="261"/>
      <c r="Y75" s="544">
        <f>ROUND(SUM(Y72:Y74),1)</f>
        <v>0</v>
      </c>
      <c r="Z75" s="274"/>
      <c r="AA75" s="2201">
        <f>ROUND(SUM(AA72:AA74),1)</f>
        <v>0</v>
      </c>
      <c r="AB75" s="2201"/>
      <c r="AC75" s="2201">
        <f>ROUND(SUM(AC72:AC74),1)</f>
        <v>0</v>
      </c>
      <c r="AD75" s="319"/>
      <c r="AE75" s="1284"/>
      <c r="AF75" s="2201">
        <f>ROUND(SUM(AF72:AF74),1)</f>
        <v>-3.4</v>
      </c>
      <c r="AG75" s="2137"/>
      <c r="AH75" s="1284"/>
      <c r="AI75" s="2201">
        <f>ROUND(SUM(AI72:AI74),1)</f>
        <v>-13.2</v>
      </c>
      <c r="AJ75" s="262"/>
      <c r="AK75" s="2181"/>
      <c r="AL75" s="2201">
        <f>ROUND(SUM(AL72:AL74),1)</f>
        <v>9.8000000000000007</v>
      </c>
      <c r="AM75" s="690"/>
      <c r="AN75" s="2807">
        <f>ROUND(IF(AI75=0,1,AL75/ABS(AI75)),3)</f>
        <v>0.74199999999999999</v>
      </c>
    </row>
    <row r="76" spans="1:41" ht="15.6">
      <c r="A76" s="223"/>
      <c r="B76" s="223"/>
      <c r="C76" s="223"/>
      <c r="D76" s="308"/>
      <c r="E76" s="328"/>
      <c r="F76" s="319"/>
      <c r="G76" s="328"/>
      <c r="H76" s="319"/>
      <c r="I76" s="328"/>
      <c r="J76" s="319"/>
      <c r="K76" s="328"/>
      <c r="L76" s="261"/>
      <c r="M76" s="289"/>
      <c r="N76" s="261"/>
      <c r="O76" s="289"/>
      <c r="P76" s="261"/>
      <c r="Q76" s="289"/>
      <c r="R76" s="261"/>
      <c r="S76" s="289"/>
      <c r="T76" s="261"/>
      <c r="U76" s="289"/>
      <c r="V76" s="261"/>
      <c r="W76" s="289"/>
      <c r="X76" s="261"/>
      <c r="Y76" s="289"/>
      <c r="Z76" s="261"/>
      <c r="AA76" s="328"/>
      <c r="AB76" s="262"/>
      <c r="AC76" s="328"/>
      <c r="AD76" s="319"/>
      <c r="AE76" s="1284"/>
      <c r="AF76" s="328"/>
      <c r="AG76" s="2137"/>
      <c r="AH76" s="1284"/>
      <c r="AI76" s="328"/>
      <c r="AJ76" s="262"/>
      <c r="AK76" s="2181"/>
      <c r="AL76" s="328"/>
      <c r="AM76" s="647"/>
      <c r="AN76" s="2855"/>
    </row>
    <row r="77" spans="1:41" ht="15.6">
      <c r="A77" s="223"/>
      <c r="B77" s="221" t="s">
        <v>216</v>
      </c>
      <c r="C77" s="223"/>
      <c r="D77" s="308"/>
      <c r="E77" s="319" t="s">
        <v>16</v>
      </c>
      <c r="F77" s="319" t="s">
        <v>16</v>
      </c>
      <c r="G77" s="319" t="s">
        <v>16</v>
      </c>
      <c r="H77" s="319"/>
      <c r="I77" s="319" t="s">
        <v>16</v>
      </c>
      <c r="J77" s="319"/>
      <c r="K77" s="319" t="s">
        <v>16</v>
      </c>
      <c r="L77" s="261"/>
      <c r="M77" s="261" t="s">
        <v>16</v>
      </c>
      <c r="N77" s="261"/>
      <c r="O77" s="261" t="s">
        <v>16</v>
      </c>
      <c r="P77" s="261"/>
      <c r="Q77" s="261" t="s">
        <v>16</v>
      </c>
      <c r="R77" s="261"/>
      <c r="S77" s="261" t="s">
        <v>16</v>
      </c>
      <c r="T77" s="261"/>
      <c r="U77" s="261" t="s">
        <v>16</v>
      </c>
      <c r="V77" s="261"/>
      <c r="W77" s="261" t="s">
        <v>16</v>
      </c>
      <c r="X77" s="261"/>
      <c r="Y77" s="261" t="s">
        <v>16</v>
      </c>
      <c r="Z77" s="261"/>
      <c r="AA77" s="319" t="s">
        <v>16</v>
      </c>
      <c r="AB77" s="319"/>
      <c r="AC77" s="319" t="s">
        <v>16</v>
      </c>
      <c r="AD77" s="319"/>
      <c r="AE77" s="1284"/>
      <c r="AF77" s="319"/>
      <c r="AG77" s="2137"/>
      <c r="AH77" s="1284"/>
      <c r="AI77" s="319"/>
      <c r="AJ77" s="319"/>
      <c r="AK77" s="2181"/>
      <c r="AL77" s="689"/>
      <c r="AM77" s="647"/>
      <c r="AN77" s="655"/>
    </row>
    <row r="78" spans="1:41" ht="15.6">
      <c r="A78" s="223"/>
      <c r="B78" s="221" t="s">
        <v>217</v>
      </c>
      <c r="C78" s="223"/>
      <c r="D78" s="308"/>
      <c r="E78" s="319"/>
      <c r="F78" s="319"/>
      <c r="G78" s="319" t="s">
        <v>16</v>
      </c>
      <c r="H78" s="319"/>
      <c r="I78" s="319" t="s">
        <v>16</v>
      </c>
      <c r="J78" s="319"/>
      <c r="K78" s="319" t="s">
        <v>16</v>
      </c>
      <c r="L78" s="261"/>
      <c r="M78" s="261" t="s">
        <v>16</v>
      </c>
      <c r="N78" s="261"/>
      <c r="O78" s="261" t="s">
        <v>16</v>
      </c>
      <c r="P78" s="261"/>
      <c r="Q78" s="261" t="s">
        <v>16</v>
      </c>
      <c r="R78" s="261"/>
      <c r="S78" s="261" t="s">
        <v>16</v>
      </c>
      <c r="T78" s="261"/>
      <c r="U78" s="261" t="s">
        <v>16</v>
      </c>
      <c r="V78" s="261"/>
      <c r="W78" s="261" t="s">
        <v>16</v>
      </c>
      <c r="X78" s="261"/>
      <c r="Y78" s="261" t="s">
        <v>16</v>
      </c>
      <c r="Z78" s="261"/>
      <c r="AA78" s="319" t="s">
        <v>16</v>
      </c>
      <c r="AB78" s="319"/>
      <c r="AC78" s="319" t="s">
        <v>16</v>
      </c>
      <c r="AD78" s="319"/>
      <c r="AE78" s="1284"/>
      <c r="AF78" s="319"/>
      <c r="AG78" s="2137"/>
      <c r="AH78" s="1284"/>
      <c r="AI78" s="319"/>
      <c r="AJ78" s="319"/>
      <c r="AK78" s="2181"/>
      <c r="AL78" s="689"/>
      <c r="AM78" s="647"/>
      <c r="AN78" s="655"/>
    </row>
    <row r="79" spans="1:41" ht="16.2" thickBot="1">
      <c r="A79" s="223"/>
      <c r="B79" s="221" t="s">
        <v>174</v>
      </c>
      <c r="C79" s="223"/>
      <c r="D79" s="308"/>
      <c r="E79" s="491">
        <f>ROUND(E69+E75,1)</f>
        <v>-4</v>
      </c>
      <c r="F79" s="319"/>
      <c r="G79" s="491">
        <f>ROUND(G69+G75,1)</f>
        <v>-45.7</v>
      </c>
      <c r="H79" s="319"/>
      <c r="I79" s="491">
        <f>ROUND(I69+I75,1)</f>
        <v>34.5</v>
      </c>
      <c r="J79" s="319"/>
      <c r="K79" s="491">
        <f>ROUND(K69+K75,1)</f>
        <v>3.6</v>
      </c>
      <c r="L79" s="261"/>
      <c r="M79" s="491">
        <f>ROUND(M69+M75,1)</f>
        <v>39.6</v>
      </c>
      <c r="N79" s="261"/>
      <c r="O79" s="491">
        <f>ROUND(O69+O75,1)</f>
        <v>36.299999999999997</v>
      </c>
      <c r="P79" s="261"/>
      <c r="Q79" s="491">
        <f>ROUND(Q69+Q75,1)</f>
        <v>-31.6</v>
      </c>
      <c r="R79" s="261"/>
      <c r="S79" s="491">
        <f>ROUND(S69+S75,1)</f>
        <v>-66.400000000000006</v>
      </c>
      <c r="T79" s="261"/>
      <c r="U79" s="491">
        <f>ROUND(U69+U75,1)</f>
        <v>55</v>
      </c>
      <c r="V79" s="261"/>
      <c r="W79" s="491">
        <f>ROUND(W69+W75,1)</f>
        <v>0</v>
      </c>
      <c r="X79" s="261"/>
      <c r="Y79" s="491">
        <f>ROUND(Y69+Y75,1)</f>
        <v>0</v>
      </c>
      <c r="Z79" s="261"/>
      <c r="AA79" s="491">
        <f>ROUND(AA69+AA75,1)</f>
        <v>0</v>
      </c>
      <c r="AB79" s="341"/>
      <c r="AC79" s="491">
        <f>ROUND(AC69+AC75,1)</f>
        <v>0</v>
      </c>
      <c r="AD79" s="319"/>
      <c r="AE79" s="1284"/>
      <c r="AF79" s="491">
        <f>ROUND(AF69+AF75,1)</f>
        <v>21.3</v>
      </c>
      <c r="AG79" s="2705"/>
      <c r="AH79" s="2706"/>
      <c r="AI79" s="491">
        <f>ROUND(AI69+AI75,1)</f>
        <v>121.4</v>
      </c>
      <c r="AJ79" s="2707"/>
      <c r="AK79" s="2708"/>
      <c r="AL79" s="491">
        <f>ROUND(AF79-AI79,1)</f>
        <v>-100.1</v>
      </c>
      <c r="AM79" s="665"/>
      <c r="AN79" s="651">
        <f>ROUND(SUM(AF79-AI79)/ABS(AI79),3)</f>
        <v>-0.82499999999999996</v>
      </c>
      <c r="AO79" s="1855"/>
    </row>
    <row r="80" spans="1:41" ht="16.2" thickTop="1">
      <c r="A80" s="223"/>
      <c r="B80" s="223"/>
      <c r="C80" s="223"/>
      <c r="D80" s="308"/>
      <c r="E80" s="318"/>
      <c r="F80" s="318"/>
      <c r="G80" s="318"/>
      <c r="H80" s="318"/>
      <c r="I80" s="318"/>
      <c r="J80" s="318"/>
      <c r="K80" s="318"/>
      <c r="L80" s="253"/>
      <c r="M80" s="253"/>
      <c r="N80" s="253"/>
      <c r="O80" s="253"/>
      <c r="P80" s="253"/>
      <c r="Q80" s="253"/>
      <c r="R80" s="253"/>
      <c r="S80" s="253"/>
      <c r="T80" s="253"/>
      <c r="U80" s="253"/>
      <c r="V80" s="253"/>
      <c r="W80" s="253"/>
      <c r="X80" s="253"/>
      <c r="Y80" s="253"/>
      <c r="Z80" s="253"/>
      <c r="AA80" s="318"/>
      <c r="AB80" s="318"/>
      <c r="AC80" s="318"/>
      <c r="AD80" s="318"/>
      <c r="AE80" s="318"/>
      <c r="AF80" s="318"/>
      <c r="AG80" s="318"/>
      <c r="AH80" s="318"/>
      <c r="AI80" s="318"/>
      <c r="AJ80" s="318"/>
      <c r="AK80" s="2209"/>
      <c r="AL80" s="2178"/>
      <c r="AM80" s="647"/>
      <c r="AN80" s="3341"/>
    </row>
    <row r="81" spans="1:40">
      <c r="A81" s="223"/>
      <c r="B81" s="2882" t="s">
        <v>1503</v>
      </c>
      <c r="C81" s="223"/>
      <c r="D81" s="308"/>
      <c r="E81" s="310"/>
      <c r="F81" s="308"/>
      <c r="G81" s="310"/>
      <c r="H81" s="308"/>
      <c r="I81" s="310"/>
      <c r="J81" s="308"/>
      <c r="K81" s="310"/>
      <c r="L81" s="223"/>
      <c r="M81" s="228"/>
      <c r="N81" s="223"/>
      <c r="O81" s="228"/>
      <c r="P81" s="223"/>
      <c r="Q81" s="228"/>
      <c r="R81" s="223"/>
      <c r="S81" s="533" t="s">
        <v>16</v>
      </c>
      <c r="T81" s="223"/>
      <c r="U81" s="533" t="s">
        <v>16</v>
      </c>
      <c r="V81" s="223"/>
      <c r="W81" s="228"/>
      <c r="X81" s="223"/>
      <c r="Y81" s="228"/>
      <c r="Z81" s="223"/>
      <c r="AA81" s="310"/>
      <c r="AB81" s="310"/>
      <c r="AC81" s="310"/>
      <c r="AD81" s="308"/>
      <c r="AE81" s="308"/>
      <c r="AF81" s="310"/>
      <c r="AG81" s="308"/>
      <c r="AH81" s="308"/>
      <c r="AI81" s="310"/>
      <c r="AJ81" s="310"/>
      <c r="AK81" s="310"/>
      <c r="AL81" s="2178"/>
      <c r="AM81" s="647"/>
      <c r="AN81" s="655"/>
    </row>
    <row r="82" spans="1:40">
      <c r="B82" s="223"/>
      <c r="Y82" s="679" t="s">
        <v>16</v>
      </c>
      <c r="AK82" s="2178"/>
      <c r="AL82" s="2152" t="s">
        <v>16</v>
      </c>
      <c r="AM82" s="647"/>
      <c r="AN82" s="691"/>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F10:AN10"/>
  </mergeCells>
  <pageMargins left="0.3" right="0.25" top="0.51" bottom="0.25" header="0" footer="0.25"/>
  <pageSetup scale="39" firstPageNumber="34" orientation="landscape" useFirstPageNumber="1" r:id="rId2"/>
  <headerFooter scaleWithDoc="0" alignWithMargins="0">
    <oddFooter>&amp;C&amp;8&amp;P</oddFooter>
  </headerFooter>
  <ignoredErrors>
    <ignoredError sqref="AN20:AN39 AN41 AN43 AN61:AN64 AN72 AN50:AN57 AN49" unlockedFormula="1"/>
    <ignoredError sqref="AN40"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showOutlineSymbols="0" zoomScale="60" zoomScaleNormal="70" zoomScaleSheetLayoutView="75" workbookViewId="0"/>
  </sheetViews>
  <sheetFormatPr defaultColWidth="8.90625" defaultRowHeight="16.5" customHeight="1"/>
  <cols>
    <col min="1" max="1" width="45.08984375" style="303" customWidth="1"/>
    <col min="2" max="2" width="1.6328125" style="303" customWidth="1"/>
    <col min="3" max="3" width="9.90625" style="303" customWidth="1"/>
    <col min="4" max="4" width="1.6328125" style="303" customWidth="1"/>
    <col min="5" max="5" width="8.90625" style="303" customWidth="1"/>
    <col min="6" max="6" width="1.6328125" style="303" customWidth="1"/>
    <col min="7" max="7" width="8.90625" style="303" customWidth="1"/>
    <col min="8" max="8" width="1.6328125" style="303" customWidth="1"/>
    <col min="9" max="9" width="8.90625" style="303" customWidth="1"/>
    <col min="10" max="10" width="1.54296875" style="303" customWidth="1"/>
    <col min="11" max="11" width="9.453125" style="303" customWidth="1"/>
    <col min="12" max="12" width="1.54296875" style="303" customWidth="1"/>
    <col min="13" max="13" width="13.36328125" style="303" customWidth="1"/>
    <col min="14" max="14" width="1.6328125" style="303" customWidth="1"/>
    <col min="15" max="15" width="11.81640625" style="303" customWidth="1"/>
    <col min="16" max="16" width="1.6328125" style="303" customWidth="1"/>
    <col min="17" max="17" width="11.81640625" style="303" customWidth="1"/>
    <col min="18" max="18" width="1.6328125" style="303" customWidth="1"/>
    <col min="19" max="19" width="12.453125" style="303" customWidth="1"/>
    <col min="20" max="20" width="1.6328125" style="303" customWidth="1"/>
    <col min="21" max="21" width="10.54296875" style="303" customWidth="1"/>
    <col min="22" max="22" width="1.6328125" style="303" customWidth="1"/>
    <col min="23" max="23" width="10.90625" style="303" customWidth="1"/>
    <col min="24" max="24" width="1.6328125" style="303" customWidth="1"/>
    <col min="25" max="25" width="9.36328125" style="303" customWidth="1"/>
    <col min="26" max="27" width="1.6328125" style="303" customWidth="1"/>
    <col min="28" max="28" width="11.54296875" style="303" customWidth="1"/>
    <col min="29" max="30" width="1.6328125" style="303" customWidth="1"/>
    <col min="31" max="31" width="12.453125" style="303" customWidth="1"/>
    <col min="32" max="32" width="1.81640625" style="740" customWidth="1"/>
    <col min="33" max="33" width="2.453125" style="2259" customWidth="1"/>
    <col min="34" max="34" width="10.36328125" style="2260" bestFit="1" customWidth="1"/>
    <col min="35" max="35" width="1.6328125" style="2260" customWidth="1"/>
    <col min="36" max="36" width="14.1796875" style="2259" bestFit="1" customWidth="1"/>
    <col min="37" max="16384" width="8.90625" style="303"/>
  </cols>
  <sheetData>
    <row r="1" spans="1:254" ht="16.5" customHeight="1">
      <c r="A1" s="1184" t="s">
        <v>1217</v>
      </c>
    </row>
    <row r="2" spans="1:254" ht="16.5" customHeight="1">
      <c r="A2" s="430"/>
      <c r="B2" s="430"/>
      <c r="C2" s="430"/>
      <c r="D2" s="430"/>
      <c r="E2" s="430"/>
      <c r="F2" s="430"/>
      <c r="G2" s="430"/>
      <c r="H2" s="430"/>
      <c r="I2" s="430"/>
      <c r="J2" s="430"/>
      <c r="K2" s="430"/>
      <c r="L2" s="430"/>
      <c r="M2" s="430"/>
      <c r="N2" s="430"/>
      <c r="O2" s="430"/>
      <c r="P2" s="430"/>
      <c r="Q2" s="430"/>
      <c r="R2" s="430"/>
      <c r="S2" s="430"/>
      <c r="T2" s="430"/>
      <c r="U2" s="430"/>
      <c r="V2" s="430"/>
      <c r="W2" s="430"/>
      <c r="X2" s="430"/>
      <c r="Y2" s="430"/>
      <c r="Z2" s="430"/>
      <c r="AA2" s="430"/>
      <c r="AB2" s="430"/>
      <c r="AC2" s="430"/>
      <c r="AD2" s="430"/>
      <c r="AE2" s="430"/>
    </row>
    <row r="3" spans="1:254" ht="20.25" customHeight="1">
      <c r="A3" s="427" t="s">
        <v>0</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223"/>
      <c r="AJ3" s="2312" t="s">
        <v>1358</v>
      </c>
      <c r="AK3" s="428"/>
      <c r="AL3" s="428"/>
      <c r="AM3" s="428"/>
      <c r="AN3" s="428"/>
      <c r="AO3" s="428"/>
      <c r="AP3" s="428"/>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s="428"/>
      <c r="CD3" s="428"/>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s="428"/>
      <c r="EE3" s="428"/>
      <c r="EF3" s="428"/>
      <c r="EG3" s="428"/>
      <c r="EH3" s="428"/>
      <c r="EI3" s="428"/>
      <c r="EJ3" s="428"/>
      <c r="EK3" s="428"/>
      <c r="EL3" s="428"/>
      <c r="EM3" s="428"/>
      <c r="EN3" s="428"/>
      <c r="EO3" s="428"/>
      <c r="EP3" s="428"/>
      <c r="EQ3" s="428"/>
      <c r="ER3" s="428"/>
      <c r="ES3" s="428"/>
      <c r="ET3" s="428"/>
      <c r="EU3" s="428"/>
      <c r="EV3" s="428"/>
      <c r="EW3" s="428"/>
      <c r="EX3" s="428"/>
      <c r="EY3" s="428"/>
      <c r="EZ3" s="428"/>
      <c r="FA3" s="428"/>
      <c r="FB3" s="428"/>
      <c r="FC3" s="428"/>
      <c r="FD3" s="428"/>
      <c r="FE3" s="428"/>
      <c r="FF3" s="428"/>
      <c r="FG3" s="428"/>
      <c r="FH3" s="428"/>
      <c r="FI3" s="428"/>
      <c r="FJ3" s="428"/>
      <c r="FK3" s="428"/>
      <c r="FL3" s="428"/>
      <c r="FM3" s="428"/>
      <c r="FN3" s="428"/>
      <c r="FO3" s="428"/>
      <c r="FP3" s="428"/>
      <c r="FQ3" s="428"/>
      <c r="FR3" s="428"/>
      <c r="FS3" s="428"/>
      <c r="FT3" s="428"/>
      <c r="FU3" s="428"/>
      <c r="FV3" s="428"/>
      <c r="FW3" s="428"/>
      <c r="FX3" s="428"/>
      <c r="FY3" s="428"/>
      <c r="FZ3" s="428"/>
      <c r="GA3" s="428"/>
      <c r="GB3" s="428"/>
      <c r="GC3" s="428"/>
      <c r="GD3" s="428"/>
      <c r="GE3" s="428"/>
      <c r="GF3" s="428"/>
      <c r="GG3" s="428"/>
      <c r="GH3" s="428"/>
      <c r="GI3" s="428"/>
      <c r="GJ3" s="428"/>
      <c r="GK3" s="428"/>
      <c r="GL3" s="428"/>
      <c r="GM3" s="428"/>
      <c r="GN3" s="428"/>
      <c r="GO3" s="428"/>
      <c r="GP3" s="428"/>
      <c r="GQ3" s="428"/>
      <c r="GR3" s="428"/>
      <c r="GS3" s="428"/>
      <c r="GT3" s="428"/>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row>
    <row r="4" spans="1:254" ht="20.25" customHeight="1">
      <c r="A4" s="427" t="s">
        <v>223</v>
      </c>
      <c r="B4" s="426"/>
      <c r="C4" s="426"/>
      <c r="D4" s="426"/>
      <c r="E4" s="426"/>
      <c r="F4" s="426"/>
      <c r="G4" s="426"/>
      <c r="H4" s="426"/>
      <c r="I4" s="426" t="s">
        <v>16</v>
      </c>
      <c r="J4" s="426"/>
      <c r="K4" s="426"/>
      <c r="L4" s="426"/>
      <c r="M4" s="426"/>
      <c r="N4" s="426"/>
      <c r="O4" s="426"/>
      <c r="P4" s="426"/>
      <c r="Q4" s="426"/>
      <c r="R4" s="426"/>
      <c r="S4" s="426"/>
      <c r="T4" s="426"/>
      <c r="U4" s="426"/>
      <c r="V4" s="426"/>
      <c r="W4" s="426"/>
      <c r="X4" s="426"/>
      <c r="Y4" s="426" t="s">
        <v>16</v>
      </c>
      <c r="Z4" s="426"/>
      <c r="AA4" s="426"/>
      <c r="AB4" s="426"/>
      <c r="AC4" s="426"/>
      <c r="AD4" s="426"/>
      <c r="AE4" s="426"/>
      <c r="AF4" s="223"/>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28"/>
      <c r="BP4" s="428"/>
      <c r="BQ4" s="428"/>
      <c r="BR4" s="428"/>
      <c r="BS4" s="428"/>
      <c r="BT4" s="428"/>
      <c r="BU4" s="428"/>
      <c r="BV4" s="428"/>
      <c r="BW4" s="428"/>
      <c r="BX4" s="428"/>
      <c r="BY4" s="428"/>
      <c r="BZ4" s="428"/>
      <c r="CA4" s="428"/>
      <c r="CB4" s="428"/>
      <c r="CC4" s="428"/>
      <c r="CD4" s="428"/>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s="428"/>
      <c r="EE4" s="428"/>
      <c r="EF4" s="428"/>
      <c r="EG4" s="428"/>
      <c r="EH4" s="428"/>
      <c r="EI4" s="428"/>
      <c r="EJ4" s="428"/>
      <c r="EK4" s="428"/>
      <c r="EL4" s="428"/>
      <c r="EM4" s="428"/>
      <c r="EN4" s="428"/>
      <c r="EO4" s="428"/>
      <c r="EP4" s="428"/>
      <c r="EQ4" s="428"/>
      <c r="ER4" s="428"/>
      <c r="ES4" s="428"/>
      <c r="ET4" s="428"/>
      <c r="EU4" s="428"/>
      <c r="EV4" s="428"/>
      <c r="EW4" s="428"/>
      <c r="EX4" s="428"/>
      <c r="EY4" s="428"/>
      <c r="EZ4" s="428"/>
      <c r="FA4" s="428"/>
      <c r="FB4" s="428"/>
      <c r="FC4" s="428"/>
      <c r="FD4" s="428"/>
      <c r="FE4" s="428"/>
      <c r="FF4" s="428"/>
      <c r="FG4" s="428"/>
      <c r="FH4" s="428"/>
      <c r="FI4" s="428"/>
      <c r="FJ4" s="428"/>
      <c r="FK4" s="428"/>
      <c r="FL4" s="428"/>
      <c r="FM4" s="428"/>
      <c r="FN4" s="428"/>
      <c r="FO4" s="428"/>
      <c r="FP4" s="428"/>
      <c r="FQ4" s="428"/>
      <c r="FR4" s="428"/>
      <c r="FS4" s="428"/>
      <c r="FT4" s="428"/>
      <c r="FU4" s="428"/>
      <c r="FV4" s="428"/>
      <c r="FW4" s="428"/>
      <c r="FX4" s="428"/>
      <c r="FY4" s="428"/>
      <c r="FZ4" s="428"/>
      <c r="GA4" s="428"/>
      <c r="GB4" s="428"/>
      <c r="GC4" s="428"/>
      <c r="GD4" s="428"/>
      <c r="GE4" s="428"/>
      <c r="GF4" s="428"/>
      <c r="GG4" s="428"/>
      <c r="GH4" s="428"/>
      <c r="GI4" s="428"/>
      <c r="GJ4" s="428"/>
      <c r="GK4" s="428"/>
      <c r="GL4" s="428"/>
      <c r="GM4" s="428"/>
      <c r="GN4" s="428"/>
      <c r="GO4" s="428"/>
      <c r="GP4" s="428"/>
      <c r="GQ4" s="428"/>
      <c r="GR4" s="428"/>
      <c r="GS4" s="428"/>
      <c r="GT4" s="428"/>
      <c r="GU4" s="428"/>
      <c r="GV4" s="428"/>
      <c r="GW4" s="428"/>
      <c r="GX4" s="428"/>
      <c r="GY4" s="428"/>
      <c r="GZ4" s="428"/>
      <c r="HA4" s="428"/>
      <c r="HB4" s="428"/>
      <c r="HC4" s="428"/>
      <c r="HD4" s="428"/>
      <c r="HE4" s="428"/>
      <c r="HF4" s="428"/>
      <c r="HG4" s="428"/>
      <c r="HH4" s="428"/>
      <c r="HI4" s="428"/>
      <c r="HJ4" s="428"/>
      <c r="HK4" s="428"/>
      <c r="HL4" s="428"/>
      <c r="HM4" s="428"/>
      <c r="HN4" s="428"/>
      <c r="HO4" s="428"/>
      <c r="HP4" s="428"/>
      <c r="HQ4" s="428"/>
      <c r="HR4" s="428"/>
      <c r="HS4" s="428"/>
      <c r="HT4" s="428"/>
      <c r="HU4" s="428"/>
      <c r="HV4" s="428"/>
      <c r="HW4" s="428"/>
      <c r="HX4" s="428"/>
      <c r="HY4" s="428"/>
      <c r="HZ4" s="428"/>
      <c r="IA4" s="428"/>
      <c r="IB4" s="428"/>
      <c r="IC4" s="428"/>
      <c r="ID4" s="428"/>
      <c r="IE4" s="428"/>
      <c r="IF4" s="428"/>
      <c r="IG4" s="428"/>
      <c r="IH4" s="428"/>
      <c r="II4" s="428"/>
      <c r="IJ4" s="428"/>
      <c r="IK4" s="428"/>
      <c r="IL4" s="428"/>
      <c r="IM4" s="428"/>
      <c r="IN4" s="428"/>
      <c r="IO4" s="428"/>
      <c r="IP4" s="428"/>
      <c r="IQ4" s="428"/>
      <c r="IR4" s="428"/>
      <c r="IS4" s="428"/>
      <c r="IT4" s="428"/>
    </row>
    <row r="5" spans="1:254" ht="20.25" customHeight="1">
      <c r="A5" s="429" t="s">
        <v>128</v>
      </c>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F5" s="1739"/>
      <c r="AK5" s="427"/>
      <c r="AL5" s="427"/>
      <c r="AM5" s="427"/>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428"/>
      <c r="DI5" s="428"/>
      <c r="DJ5" s="428"/>
      <c r="DK5" s="428"/>
      <c r="DL5" s="428"/>
      <c r="DM5" s="428"/>
      <c r="DN5" s="428"/>
      <c r="DO5" s="428"/>
      <c r="DP5" s="428"/>
      <c r="DQ5" s="428"/>
      <c r="DR5" s="428"/>
      <c r="DS5" s="428"/>
      <c r="DT5" s="428"/>
      <c r="DU5" s="428"/>
      <c r="DV5" s="428"/>
      <c r="DW5" s="428"/>
      <c r="DX5" s="428"/>
      <c r="DY5" s="428"/>
      <c r="DZ5" s="428"/>
      <c r="EA5" s="428"/>
      <c r="EB5" s="428"/>
      <c r="EC5" s="428"/>
      <c r="ED5" s="428"/>
      <c r="EE5" s="428"/>
      <c r="EF5" s="428"/>
      <c r="EG5" s="428"/>
      <c r="EH5" s="428"/>
      <c r="EI5" s="428"/>
      <c r="EJ5" s="428"/>
      <c r="EK5" s="428"/>
      <c r="EL5" s="428"/>
      <c r="EM5" s="428"/>
      <c r="EN5" s="428"/>
      <c r="EO5" s="428"/>
      <c r="EP5" s="428"/>
      <c r="EQ5" s="428"/>
      <c r="ER5" s="428"/>
      <c r="ES5" s="428"/>
      <c r="ET5" s="428"/>
      <c r="EU5" s="428"/>
      <c r="EV5" s="428"/>
      <c r="EW5" s="428"/>
      <c r="EX5" s="428"/>
      <c r="EY5" s="428"/>
      <c r="EZ5" s="428"/>
      <c r="FA5" s="428"/>
      <c r="FB5" s="428"/>
      <c r="FC5" s="428"/>
      <c r="FD5" s="428"/>
      <c r="FE5" s="428"/>
      <c r="FF5" s="428"/>
      <c r="FG5" s="428"/>
      <c r="FH5" s="428"/>
      <c r="FI5" s="428"/>
      <c r="FJ5" s="428"/>
      <c r="FK5" s="428"/>
      <c r="FL5" s="428"/>
      <c r="FM5" s="428"/>
      <c r="FN5" s="428"/>
      <c r="FO5" s="428"/>
      <c r="FP5" s="428"/>
      <c r="FQ5" s="428"/>
      <c r="FR5" s="428"/>
      <c r="FS5" s="428"/>
      <c r="FT5" s="428"/>
      <c r="FU5" s="428"/>
      <c r="FV5" s="428"/>
      <c r="FW5" s="428"/>
      <c r="FX5" s="428"/>
      <c r="FY5" s="428"/>
      <c r="FZ5" s="428"/>
      <c r="GA5" s="428"/>
      <c r="GB5" s="428"/>
      <c r="GC5" s="428"/>
      <c r="GD5" s="428"/>
      <c r="GE5" s="428"/>
      <c r="GF5" s="428"/>
      <c r="GG5" s="428"/>
      <c r="GH5" s="428"/>
      <c r="GI5" s="428"/>
      <c r="GJ5" s="428"/>
      <c r="GK5" s="428"/>
      <c r="GL5" s="428"/>
      <c r="GM5" s="428"/>
      <c r="GN5" s="428"/>
      <c r="GO5" s="428"/>
      <c r="GP5" s="428"/>
      <c r="GQ5" s="428"/>
      <c r="GR5" s="428"/>
      <c r="GS5" s="428"/>
      <c r="GT5" s="428"/>
      <c r="GU5" s="428"/>
      <c r="GV5" s="428"/>
      <c r="GW5" s="428"/>
      <c r="GX5" s="428"/>
      <c r="GY5" s="428"/>
      <c r="GZ5" s="428"/>
      <c r="HA5" s="428"/>
      <c r="HB5" s="428"/>
      <c r="HC5" s="428"/>
      <c r="HD5" s="428"/>
      <c r="HE5" s="428"/>
      <c r="HF5" s="428"/>
      <c r="HG5" s="428"/>
      <c r="HH5" s="428"/>
      <c r="HI5" s="428"/>
      <c r="HJ5" s="428"/>
      <c r="HK5" s="428"/>
      <c r="HL5" s="428"/>
      <c r="HM5" s="428"/>
      <c r="HN5" s="428"/>
      <c r="HO5" s="428"/>
      <c r="HP5" s="428"/>
      <c r="HQ5" s="428"/>
      <c r="HR5" s="428"/>
      <c r="HS5" s="428"/>
      <c r="HT5" s="428"/>
      <c r="HU5" s="428"/>
      <c r="HV5" s="428"/>
      <c r="HW5" s="428"/>
      <c r="HX5" s="428"/>
      <c r="HY5" s="428"/>
      <c r="HZ5" s="428"/>
      <c r="IA5" s="428"/>
      <c r="IB5" s="428"/>
      <c r="IC5" s="428"/>
      <c r="ID5" s="428"/>
      <c r="IE5" s="428"/>
      <c r="IF5" s="428"/>
      <c r="IG5" s="428"/>
      <c r="IH5" s="428"/>
      <c r="II5" s="428"/>
      <c r="IJ5" s="428"/>
      <c r="IK5" s="428"/>
      <c r="IL5" s="428"/>
      <c r="IM5" s="428"/>
      <c r="IN5" s="428"/>
      <c r="IO5" s="428"/>
      <c r="IP5" s="428"/>
      <c r="IQ5" s="428"/>
      <c r="IR5" s="428"/>
      <c r="IS5" s="428"/>
      <c r="IT5" s="428"/>
    </row>
    <row r="6" spans="1:254" ht="20.25" customHeight="1">
      <c r="A6" s="429" t="s">
        <v>1528</v>
      </c>
      <c r="B6" s="426"/>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223"/>
      <c r="AK6" s="428"/>
      <c r="AL6" s="428"/>
      <c r="AM6" s="428"/>
      <c r="AN6" s="428"/>
      <c r="AO6" s="428"/>
      <c r="AP6" s="428"/>
      <c r="AQ6" s="428"/>
      <c r="AR6" s="428"/>
      <c r="AS6" s="428"/>
      <c r="AT6" s="428"/>
      <c r="AU6" s="428"/>
      <c r="AV6" s="428"/>
      <c r="AW6" s="428"/>
      <c r="AX6" s="428"/>
      <c r="AY6" s="428"/>
      <c r="AZ6" s="428"/>
      <c r="BA6" s="428"/>
      <c r="BB6" s="428"/>
      <c r="BC6" s="428"/>
      <c r="BD6" s="428"/>
      <c r="BE6" s="428"/>
      <c r="BF6" s="428"/>
      <c r="BG6" s="428"/>
      <c r="BH6" s="428"/>
      <c r="BI6" s="428"/>
      <c r="BJ6" s="428"/>
      <c r="BK6" s="428"/>
      <c r="BL6" s="428"/>
      <c r="BM6" s="428"/>
      <c r="BN6" s="428"/>
      <c r="BO6" s="428"/>
      <c r="BP6" s="428"/>
      <c r="BQ6" s="428"/>
      <c r="BR6" s="428"/>
      <c r="BS6" s="428"/>
      <c r="BT6" s="428"/>
      <c r="BU6" s="428"/>
      <c r="BV6" s="428"/>
      <c r="BW6" s="428"/>
      <c r="BX6" s="428"/>
      <c r="BY6" s="428"/>
      <c r="BZ6" s="428"/>
      <c r="CA6" s="428"/>
      <c r="CB6" s="428"/>
      <c r="CC6" s="428"/>
      <c r="CD6" s="428"/>
      <c r="CE6" s="428"/>
      <c r="CF6" s="428"/>
      <c r="CG6" s="428"/>
      <c r="CH6" s="428"/>
      <c r="CI6" s="428"/>
      <c r="CJ6" s="428"/>
      <c r="CK6" s="428"/>
      <c r="CL6" s="428"/>
      <c r="CM6" s="428"/>
      <c r="CN6" s="428"/>
      <c r="CO6" s="428"/>
      <c r="CP6" s="428"/>
      <c r="CQ6" s="428"/>
      <c r="CR6" s="428"/>
      <c r="CS6" s="428"/>
      <c r="CT6" s="428"/>
      <c r="CU6" s="428"/>
      <c r="CV6" s="428"/>
      <c r="CW6" s="428"/>
      <c r="CX6" s="428"/>
      <c r="CY6" s="428"/>
      <c r="CZ6" s="428"/>
      <c r="DA6" s="428"/>
      <c r="DB6" s="428"/>
      <c r="DC6" s="428"/>
      <c r="DD6" s="428"/>
      <c r="DE6" s="428"/>
      <c r="DF6" s="428"/>
      <c r="DG6" s="428"/>
      <c r="DH6" s="428"/>
      <c r="DI6" s="428"/>
      <c r="DJ6" s="428"/>
      <c r="DK6" s="428"/>
      <c r="DL6" s="428"/>
      <c r="DM6" s="428"/>
      <c r="DN6" s="428"/>
      <c r="DO6" s="428"/>
      <c r="DP6" s="428"/>
      <c r="DQ6" s="428"/>
      <c r="DR6" s="428"/>
      <c r="DS6" s="428"/>
      <c r="DT6" s="428"/>
      <c r="DU6" s="428"/>
      <c r="DV6" s="428"/>
      <c r="DW6" s="428"/>
      <c r="DX6" s="428"/>
      <c r="DY6" s="428"/>
      <c r="DZ6" s="428"/>
      <c r="EA6" s="428"/>
      <c r="EB6" s="428"/>
      <c r="EC6" s="428"/>
      <c r="ED6" s="428"/>
      <c r="EE6" s="428"/>
      <c r="EF6" s="428"/>
      <c r="EG6" s="428"/>
      <c r="EH6" s="428"/>
      <c r="EI6" s="428"/>
      <c r="EJ6" s="428"/>
      <c r="EK6" s="428"/>
      <c r="EL6" s="428"/>
      <c r="EM6" s="428"/>
      <c r="EN6" s="428"/>
      <c r="EO6" s="428"/>
      <c r="EP6" s="428"/>
      <c r="EQ6" s="428"/>
      <c r="ER6" s="428"/>
      <c r="ES6" s="428"/>
      <c r="ET6" s="428"/>
      <c r="EU6" s="428"/>
      <c r="EV6" s="428"/>
      <c r="EW6" s="428"/>
      <c r="EX6" s="428"/>
      <c r="EY6" s="428"/>
      <c r="EZ6" s="428"/>
      <c r="FA6" s="428"/>
      <c r="FB6" s="428"/>
      <c r="FC6" s="428"/>
      <c r="FD6" s="428"/>
      <c r="FE6" s="428"/>
      <c r="FF6" s="428"/>
      <c r="FG6" s="428"/>
      <c r="FH6" s="428"/>
      <c r="FI6" s="428"/>
      <c r="FJ6" s="428"/>
      <c r="FK6" s="428"/>
      <c r="FL6" s="428"/>
      <c r="FM6" s="428"/>
      <c r="FN6" s="428"/>
      <c r="FO6" s="428"/>
      <c r="FP6" s="428"/>
      <c r="FQ6" s="428"/>
      <c r="FR6" s="428"/>
      <c r="FS6" s="428"/>
      <c r="FT6" s="428"/>
      <c r="FU6" s="428"/>
      <c r="FV6" s="428"/>
      <c r="FW6" s="428"/>
      <c r="FX6" s="428"/>
      <c r="FY6" s="428"/>
      <c r="FZ6" s="428"/>
      <c r="GA6" s="428"/>
      <c r="GB6" s="428"/>
      <c r="GC6" s="428"/>
      <c r="GD6" s="428"/>
      <c r="GE6" s="428"/>
      <c r="GF6" s="428"/>
      <c r="GG6" s="428"/>
      <c r="GH6" s="428"/>
      <c r="GI6" s="428"/>
      <c r="GJ6" s="428"/>
      <c r="GK6" s="428"/>
      <c r="GL6" s="428"/>
      <c r="GM6" s="428"/>
      <c r="GN6" s="428"/>
      <c r="GO6" s="428"/>
      <c r="GP6" s="428"/>
      <c r="GQ6" s="428"/>
      <c r="GR6" s="428"/>
      <c r="GS6" s="428"/>
      <c r="GT6" s="428"/>
      <c r="GU6" s="428"/>
      <c r="GV6" s="428"/>
      <c r="GW6" s="428"/>
      <c r="GX6" s="428"/>
      <c r="GY6" s="428"/>
      <c r="GZ6" s="428"/>
      <c r="HA6" s="428"/>
      <c r="HB6" s="428"/>
      <c r="HC6" s="428"/>
      <c r="HD6" s="428"/>
      <c r="HE6" s="428"/>
      <c r="HF6" s="428"/>
      <c r="HG6" s="428"/>
      <c r="HH6" s="428"/>
      <c r="HI6" s="428"/>
      <c r="HJ6" s="428"/>
      <c r="HK6" s="428"/>
      <c r="HL6" s="428"/>
      <c r="HM6" s="428"/>
      <c r="HN6" s="428"/>
      <c r="HO6" s="428"/>
      <c r="HP6" s="428"/>
      <c r="HQ6" s="428"/>
      <c r="HR6" s="428"/>
      <c r="HS6" s="428"/>
      <c r="HT6" s="428"/>
      <c r="HU6" s="428"/>
      <c r="HV6" s="428"/>
      <c r="HW6" s="428"/>
      <c r="HX6" s="428"/>
      <c r="HY6" s="428"/>
      <c r="HZ6" s="428"/>
      <c r="IA6" s="428"/>
      <c r="IB6" s="428"/>
      <c r="IC6" s="428"/>
      <c r="ID6" s="428"/>
      <c r="IE6" s="428"/>
      <c r="IF6" s="428"/>
      <c r="IG6" s="428"/>
      <c r="IH6" s="428"/>
      <c r="II6" s="428"/>
      <c r="IJ6" s="428"/>
      <c r="IK6" s="428"/>
      <c r="IL6" s="428"/>
      <c r="IM6" s="428"/>
      <c r="IN6" s="428"/>
      <c r="IO6" s="428"/>
      <c r="IP6" s="428"/>
      <c r="IQ6" s="428"/>
      <c r="IR6" s="428"/>
      <c r="IS6" s="428"/>
      <c r="IT6" s="428"/>
    </row>
    <row r="7" spans="1:254" ht="20.25" customHeight="1">
      <c r="A7" s="427" t="s">
        <v>1103</v>
      </c>
      <c r="B7" s="426"/>
      <c r="C7" s="426"/>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223"/>
      <c r="AK7" s="428"/>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c r="DV7" s="428"/>
      <c r="DW7" s="428"/>
      <c r="DX7" s="428"/>
      <c r="DY7" s="428"/>
      <c r="DZ7" s="428"/>
      <c r="EA7" s="428"/>
      <c r="EB7" s="428"/>
      <c r="EC7" s="428"/>
      <c r="ED7" s="428"/>
      <c r="EE7" s="428"/>
      <c r="EF7" s="428"/>
      <c r="EG7" s="428"/>
      <c r="EH7" s="428"/>
      <c r="EI7" s="428"/>
      <c r="EJ7" s="428"/>
      <c r="EK7" s="428"/>
      <c r="EL7" s="428"/>
      <c r="EM7" s="428"/>
      <c r="EN7" s="428"/>
      <c r="EO7" s="428"/>
      <c r="EP7" s="428"/>
      <c r="EQ7" s="428"/>
      <c r="ER7" s="428"/>
      <c r="ES7" s="428"/>
      <c r="ET7" s="428"/>
      <c r="EU7" s="428"/>
      <c r="EV7" s="428"/>
      <c r="EW7" s="428"/>
      <c r="EX7" s="428"/>
      <c r="EY7" s="428"/>
      <c r="EZ7" s="428"/>
      <c r="FA7" s="428"/>
      <c r="FB7" s="428"/>
      <c r="FC7" s="428"/>
      <c r="FD7" s="428"/>
      <c r="FE7" s="428"/>
      <c r="FF7" s="428"/>
      <c r="FG7" s="428"/>
      <c r="FH7" s="428"/>
      <c r="FI7" s="428"/>
      <c r="FJ7" s="428"/>
      <c r="FK7" s="428"/>
      <c r="FL7" s="428"/>
      <c r="FM7" s="428"/>
      <c r="FN7" s="428"/>
      <c r="FO7" s="428"/>
      <c r="FP7" s="428"/>
      <c r="FQ7" s="428"/>
      <c r="FR7" s="428"/>
      <c r="FS7" s="428"/>
      <c r="FT7" s="428"/>
      <c r="FU7" s="428"/>
      <c r="FV7" s="428"/>
      <c r="FW7" s="428"/>
      <c r="FX7" s="428"/>
      <c r="FY7" s="428"/>
      <c r="FZ7" s="428"/>
      <c r="GA7" s="428"/>
      <c r="GB7" s="428"/>
      <c r="GC7" s="428"/>
      <c r="GD7" s="428"/>
      <c r="GE7" s="428"/>
      <c r="GF7" s="428"/>
      <c r="GG7" s="428"/>
      <c r="GH7" s="428"/>
      <c r="GI7" s="428"/>
      <c r="GJ7" s="428"/>
      <c r="GK7" s="428"/>
      <c r="GL7" s="428"/>
      <c r="GM7" s="428"/>
      <c r="GN7" s="428"/>
      <c r="GO7" s="428"/>
      <c r="GP7" s="428"/>
      <c r="GQ7" s="428"/>
      <c r="GR7" s="428"/>
      <c r="GS7" s="428"/>
      <c r="GT7" s="428"/>
      <c r="GU7" s="428"/>
      <c r="GV7" s="428"/>
      <c r="GW7" s="428"/>
      <c r="GX7" s="428"/>
      <c r="GY7" s="428"/>
      <c r="GZ7" s="428"/>
      <c r="HA7" s="428"/>
      <c r="HB7" s="428"/>
      <c r="HC7" s="428"/>
      <c r="HD7" s="428"/>
      <c r="HE7" s="428"/>
      <c r="HF7" s="428"/>
      <c r="HG7" s="428"/>
      <c r="HH7" s="428"/>
      <c r="HI7" s="428"/>
      <c r="HJ7" s="428"/>
      <c r="HK7" s="428"/>
      <c r="HL7" s="428"/>
      <c r="HM7" s="428"/>
      <c r="HN7" s="428"/>
      <c r="HO7" s="428"/>
      <c r="HP7" s="428"/>
      <c r="HQ7" s="428"/>
      <c r="HR7" s="428"/>
      <c r="HS7" s="428"/>
      <c r="HT7" s="428"/>
      <c r="HU7" s="428"/>
      <c r="HV7" s="428"/>
      <c r="HW7" s="428"/>
      <c r="HX7" s="428"/>
      <c r="HY7" s="428"/>
      <c r="HZ7" s="428"/>
      <c r="IA7" s="428"/>
      <c r="IB7" s="428"/>
      <c r="IC7" s="428"/>
      <c r="ID7" s="428"/>
      <c r="IE7" s="428"/>
      <c r="IF7" s="428"/>
      <c r="IG7" s="428"/>
      <c r="IH7" s="428"/>
      <c r="II7" s="428"/>
      <c r="IJ7" s="428"/>
      <c r="IK7" s="428"/>
      <c r="IL7" s="428"/>
      <c r="IM7" s="428"/>
      <c r="IN7" s="428"/>
      <c r="IO7" s="428"/>
      <c r="IP7" s="428"/>
      <c r="IQ7" s="428"/>
      <c r="IR7" s="428"/>
      <c r="IS7" s="428"/>
      <c r="IT7" s="428"/>
    </row>
    <row r="8" spans="1:254" ht="16.5" customHeight="1">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223"/>
    </row>
    <row r="9" spans="1:254" ht="16.5" customHeight="1">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11"/>
      <c r="AG9" s="2261"/>
    </row>
    <row r="10" spans="1:254" ht="16.5" customHeight="1">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303"/>
      <c r="AG10" s="2262"/>
    </row>
    <row r="11" spans="1:254" ht="16.5" customHeight="1">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C11" s="430"/>
      <c r="AD11" s="430"/>
      <c r="AE11" s="430"/>
      <c r="AF11" s="1990"/>
      <c r="AG11" s="2249"/>
      <c r="AH11" s="2261"/>
      <c r="AI11" s="2261"/>
      <c r="AJ11" s="2261"/>
    </row>
    <row r="12" spans="1:254" ht="16.5" customHeight="1">
      <c r="A12" s="426"/>
      <c r="B12" s="426"/>
      <c r="C12" s="435"/>
      <c r="D12" s="435"/>
      <c r="E12" s="435"/>
      <c r="F12" s="435"/>
      <c r="G12" s="435"/>
      <c r="H12" s="435"/>
      <c r="I12" s="435"/>
      <c r="J12" s="435"/>
      <c r="K12" s="435"/>
      <c r="L12" s="435"/>
      <c r="M12" s="435"/>
      <c r="N12" s="435"/>
      <c r="O12" s="435"/>
      <c r="P12" s="435"/>
      <c r="Q12" s="435"/>
      <c r="R12" s="435"/>
      <c r="S12" s="435"/>
      <c r="T12" s="435"/>
      <c r="U12" s="435"/>
      <c r="V12" s="435"/>
      <c r="W12" s="435"/>
      <c r="X12" s="435"/>
      <c r="Y12" s="1549"/>
      <c r="Z12" s="1549"/>
      <c r="AA12" s="435"/>
      <c r="AB12" s="3581" t="s">
        <v>1664</v>
      </c>
      <c r="AC12" s="3581"/>
      <c r="AD12" s="3581"/>
      <c r="AE12" s="3581"/>
      <c r="AF12" s="3581"/>
      <c r="AG12" s="3581"/>
      <c r="AH12" s="3581"/>
      <c r="AI12" s="3581"/>
      <c r="AJ12" s="3581"/>
    </row>
    <row r="13" spans="1:254" ht="16.5" customHeight="1">
      <c r="A13" s="426"/>
      <c r="B13" s="426"/>
      <c r="C13" s="1550" t="s">
        <v>1079</v>
      </c>
      <c r="D13" s="435"/>
      <c r="E13" s="435"/>
      <c r="F13" s="435"/>
      <c r="G13" s="435"/>
      <c r="H13" s="435"/>
      <c r="I13" s="435"/>
      <c r="J13" s="435"/>
      <c r="K13" s="435"/>
      <c r="L13" s="435"/>
      <c r="M13" s="435"/>
      <c r="N13" s="435"/>
      <c r="O13" s="435"/>
      <c r="P13" s="435"/>
      <c r="Q13" s="435"/>
      <c r="R13" s="435"/>
      <c r="S13" s="435"/>
      <c r="T13" s="435"/>
      <c r="U13" s="1859">
        <v>2016</v>
      </c>
      <c r="V13" s="435"/>
      <c r="W13" s="435"/>
      <c r="X13" s="435"/>
      <c r="Y13" s="435"/>
      <c r="Z13" s="435"/>
      <c r="AA13" s="435"/>
      <c r="AB13" s="982"/>
      <c r="AC13" s="2008"/>
      <c r="AD13" s="2008"/>
      <c r="AE13" s="2008"/>
      <c r="AF13" s="1991"/>
      <c r="AG13" s="2250"/>
      <c r="AH13" s="2263" t="s">
        <v>8</v>
      </c>
      <c r="AI13" s="2263"/>
      <c r="AJ13" s="2264" t="s">
        <v>9</v>
      </c>
    </row>
    <row r="14" spans="1:254" ht="16.5" customHeight="1">
      <c r="A14" s="426"/>
      <c r="B14" s="426"/>
      <c r="C14" s="1551" t="s">
        <v>129</v>
      </c>
      <c r="D14" s="435"/>
      <c r="E14" s="1551" t="s">
        <v>130</v>
      </c>
      <c r="F14" s="435"/>
      <c r="G14" s="1551" t="s">
        <v>131</v>
      </c>
      <c r="H14" s="435"/>
      <c r="I14" s="1551" t="s">
        <v>132</v>
      </c>
      <c r="J14" s="435"/>
      <c r="K14" s="1551" t="s">
        <v>133</v>
      </c>
      <c r="L14" s="435"/>
      <c r="M14" s="1551" t="s">
        <v>134</v>
      </c>
      <c r="N14" s="435"/>
      <c r="O14" s="1551" t="s">
        <v>135</v>
      </c>
      <c r="P14" s="435"/>
      <c r="Q14" s="1551" t="s">
        <v>136</v>
      </c>
      <c r="R14" s="435"/>
      <c r="S14" s="1551" t="s">
        <v>137</v>
      </c>
      <c r="T14" s="435"/>
      <c r="U14" s="1551" t="s">
        <v>138</v>
      </c>
      <c r="V14" s="435"/>
      <c r="W14" s="1551" t="s">
        <v>139</v>
      </c>
      <c r="X14" s="435"/>
      <c r="Y14" s="1551" t="s">
        <v>140</v>
      </c>
      <c r="Z14" s="435"/>
      <c r="AA14" s="435"/>
      <c r="AB14" s="1859">
        <v>2015</v>
      </c>
      <c r="AC14" s="435" t="s">
        <v>16</v>
      </c>
      <c r="AD14" s="435"/>
      <c r="AE14" s="1859">
        <v>2014</v>
      </c>
      <c r="AF14" s="721"/>
      <c r="AG14" s="2251"/>
      <c r="AH14" s="2265" t="s">
        <v>13</v>
      </c>
      <c r="AI14" s="2266"/>
      <c r="AJ14" s="2265" t="s">
        <v>14</v>
      </c>
    </row>
    <row r="15" spans="1:254" ht="4.5" customHeight="1">
      <c r="A15" s="426"/>
      <c r="B15" s="426"/>
      <c r="C15" s="431"/>
      <c r="D15" s="426"/>
      <c r="E15" s="431"/>
      <c r="F15" s="426"/>
      <c r="G15" s="431"/>
      <c r="H15" s="426"/>
      <c r="I15" s="431"/>
      <c r="J15" s="426"/>
      <c r="K15" s="431"/>
      <c r="L15" s="426"/>
      <c r="M15" s="431"/>
      <c r="N15" s="426"/>
      <c r="O15" s="431" t="s">
        <v>16</v>
      </c>
      <c r="P15" s="426"/>
      <c r="Q15" s="431"/>
      <c r="R15" s="426"/>
      <c r="S15" s="431"/>
      <c r="T15" s="426"/>
      <c r="U15" s="431" t="s">
        <v>16</v>
      </c>
      <c r="V15" s="426"/>
      <c r="W15" s="431"/>
      <c r="X15" s="426"/>
      <c r="Y15" s="431"/>
      <c r="Z15" s="426"/>
      <c r="AA15" s="426"/>
      <c r="AB15" s="431"/>
      <c r="AC15" s="426"/>
      <c r="AD15" s="426"/>
      <c r="AE15" s="431"/>
      <c r="AF15" s="721"/>
      <c r="AG15" s="2251"/>
    </row>
    <row r="16" spans="1:254" ht="16.5" customHeight="1">
      <c r="A16" s="432" t="s">
        <v>141</v>
      </c>
      <c r="B16" s="426"/>
      <c r="C16" s="433">
        <v>50.6</v>
      </c>
      <c r="D16" s="433"/>
      <c r="E16" s="433">
        <f>+C55</f>
        <v>77.099999999999994</v>
      </c>
      <c r="F16" s="692"/>
      <c r="G16" s="433">
        <f>+E55</f>
        <v>77.900000000000006</v>
      </c>
      <c r="H16" s="692"/>
      <c r="I16" s="433">
        <f>+G55</f>
        <v>60.3</v>
      </c>
      <c r="J16" s="692"/>
      <c r="K16" s="433">
        <f>I55</f>
        <v>81.7</v>
      </c>
      <c r="L16" s="692"/>
      <c r="M16" s="433">
        <f>+K55</f>
        <v>61.1</v>
      </c>
      <c r="N16" s="692"/>
      <c r="O16" s="433">
        <f>+M55</f>
        <v>57.4</v>
      </c>
      <c r="P16" s="692"/>
      <c r="Q16" s="433">
        <f>+O55</f>
        <v>65.2</v>
      </c>
      <c r="R16" s="692"/>
      <c r="S16" s="692">
        <f>+Q55</f>
        <v>44.7</v>
      </c>
      <c r="T16" s="692"/>
      <c r="U16" s="433"/>
      <c r="V16" s="692"/>
      <c r="W16" s="433"/>
      <c r="X16" s="692"/>
      <c r="Y16" s="433"/>
      <c r="Z16" s="433"/>
      <c r="AA16" s="434"/>
      <c r="AB16" s="433">
        <f>C16</f>
        <v>50.6</v>
      </c>
      <c r="AC16" s="433"/>
      <c r="AD16" s="434"/>
      <c r="AE16" s="433">
        <v>62.5</v>
      </c>
      <c r="AF16" s="1777"/>
      <c r="AG16" s="2252"/>
      <c r="AH16" s="2267">
        <f>ROUND(SUM(AB16-AE16),1)</f>
        <v>-11.9</v>
      </c>
      <c r="AJ16" s="2268">
        <f>ROUND(IF(AH16=0,0,AH16/(AE16)),3)</f>
        <v>-0.19</v>
      </c>
    </row>
    <row r="17" spans="1:38" ht="16.5" customHeight="1">
      <c r="A17" s="426"/>
      <c r="B17" s="426"/>
      <c r="C17" s="426" t="s">
        <v>16</v>
      </c>
      <c r="D17" s="426"/>
      <c r="E17" s="436"/>
      <c r="F17" s="436"/>
      <c r="G17" s="436"/>
      <c r="H17" s="436"/>
      <c r="I17" s="436"/>
      <c r="J17" s="436"/>
      <c r="K17" s="436"/>
      <c r="L17" s="436"/>
      <c r="M17" s="436"/>
      <c r="N17" s="436"/>
      <c r="O17" s="436"/>
      <c r="P17" s="436"/>
      <c r="Q17" s="436"/>
      <c r="R17" s="436"/>
      <c r="S17" s="436"/>
      <c r="T17" s="436"/>
      <c r="U17" s="436"/>
      <c r="V17" s="436"/>
      <c r="W17" s="436"/>
      <c r="X17" s="436"/>
      <c r="Y17" s="436"/>
      <c r="Z17" s="426"/>
      <c r="AA17" s="437"/>
      <c r="AB17" s="426" t="s">
        <v>16</v>
      </c>
      <c r="AC17" s="426"/>
      <c r="AD17" s="437"/>
      <c r="AE17" s="426" t="s">
        <v>16</v>
      </c>
      <c r="AF17" s="1779"/>
      <c r="AG17" s="2252"/>
      <c r="AH17" s="2269"/>
      <c r="AJ17" s="2260"/>
    </row>
    <row r="18" spans="1:38" ht="16.5" customHeight="1">
      <c r="A18" s="435" t="s">
        <v>15</v>
      </c>
      <c r="B18" s="426"/>
      <c r="C18" s="426"/>
      <c r="D18" s="426"/>
      <c r="E18" s="436"/>
      <c r="F18" s="436"/>
      <c r="G18" s="436"/>
      <c r="H18" s="436"/>
      <c r="I18" s="436"/>
      <c r="J18" s="436"/>
      <c r="K18" s="436"/>
      <c r="L18" s="436"/>
      <c r="M18" s="436"/>
      <c r="N18" s="436"/>
      <c r="O18" s="436"/>
      <c r="P18" s="436"/>
      <c r="Q18" s="436"/>
      <c r="R18" s="436"/>
      <c r="S18" s="436"/>
      <c r="T18" s="436"/>
      <c r="U18" s="436"/>
      <c r="V18" s="436"/>
      <c r="W18" s="436"/>
      <c r="X18" s="436"/>
      <c r="Y18" s="436"/>
      <c r="Z18" s="426"/>
      <c r="AA18" s="437"/>
      <c r="AB18" s="426"/>
      <c r="AC18" s="426"/>
      <c r="AD18" s="437"/>
      <c r="AE18" s="426"/>
      <c r="AF18" s="449"/>
      <c r="AG18" s="2252"/>
      <c r="AH18" s="2269"/>
      <c r="AJ18" s="2260"/>
    </row>
    <row r="19" spans="1:38" ht="18.75" customHeight="1">
      <c r="A19" s="426" t="s">
        <v>185</v>
      </c>
      <c r="B19" s="426"/>
      <c r="C19" s="438">
        <v>4.5999999999999996</v>
      </c>
      <c r="D19" s="438"/>
      <c r="E19" s="443">
        <v>4.5</v>
      </c>
      <c r="F19" s="452"/>
      <c r="G19" s="443">
        <v>4.5999999999999996</v>
      </c>
      <c r="H19" s="452"/>
      <c r="I19" s="443">
        <v>7.2</v>
      </c>
      <c r="J19" s="452"/>
      <c r="K19" s="694">
        <v>6.6</v>
      </c>
      <c r="L19" s="452"/>
      <c r="M19" s="3349">
        <v>9</v>
      </c>
      <c r="N19" s="452"/>
      <c r="O19" s="443">
        <v>5.9</v>
      </c>
      <c r="P19" s="452"/>
      <c r="Q19" s="442">
        <v>5.8</v>
      </c>
      <c r="R19" s="452"/>
      <c r="S19" s="443">
        <v>4.0999999999999996</v>
      </c>
      <c r="T19" s="452"/>
      <c r="U19" s="443"/>
      <c r="V19" s="452"/>
      <c r="W19" s="442"/>
      <c r="X19" s="452"/>
      <c r="Y19" s="442"/>
      <c r="Z19" s="438"/>
      <c r="AA19" s="439"/>
      <c r="AB19" s="3351">
        <f>ROUND(SUM(C19:Y19),1)</f>
        <v>52.3</v>
      </c>
      <c r="AC19" s="438"/>
      <c r="AD19" s="439"/>
      <c r="AE19" s="695">
        <v>89.8</v>
      </c>
      <c r="AF19" s="442"/>
      <c r="AG19" s="2252"/>
      <c r="AH19" s="2270">
        <f>ROUND(AB19-AE19,1)</f>
        <v>-37.5</v>
      </c>
      <c r="AI19" s="2271"/>
      <c r="AJ19" s="2272">
        <f>ROUND(IF(AE19=0,0,AH19/ABS(AE19)),3)</f>
        <v>-0.41799999999999998</v>
      </c>
    </row>
    <row r="20" spans="1:38" ht="17.25" customHeight="1">
      <c r="A20" s="432" t="s">
        <v>224</v>
      </c>
      <c r="B20" s="426"/>
      <c r="C20" s="438">
        <v>2.5</v>
      </c>
      <c r="D20" s="438"/>
      <c r="E20" s="443">
        <v>2.1</v>
      </c>
      <c r="F20" s="452"/>
      <c r="G20" s="443">
        <v>2.1</v>
      </c>
      <c r="H20" s="452"/>
      <c r="I20" s="443">
        <v>2.1</v>
      </c>
      <c r="J20" s="452"/>
      <c r="K20" s="443">
        <v>1.9</v>
      </c>
      <c r="L20" s="696"/>
      <c r="M20" s="443">
        <v>4.7</v>
      </c>
      <c r="N20" s="452"/>
      <c r="O20" s="443">
        <v>2.1</v>
      </c>
      <c r="P20" s="452"/>
      <c r="Q20" s="442">
        <v>2</v>
      </c>
      <c r="R20" s="452"/>
      <c r="S20" s="443">
        <v>5.5</v>
      </c>
      <c r="T20" s="452"/>
      <c r="U20" s="443"/>
      <c r="V20" s="452"/>
      <c r="W20" s="442"/>
      <c r="X20" s="452"/>
      <c r="Y20" s="442"/>
      <c r="Z20" s="438"/>
      <c r="AA20" s="439"/>
      <c r="AB20" s="3351">
        <f>ROUND(SUM(C20:Y20),1)</f>
        <v>25</v>
      </c>
      <c r="AC20" s="438"/>
      <c r="AD20" s="439"/>
      <c r="AE20" s="695">
        <v>36.200000000000003</v>
      </c>
      <c r="AF20" s="442"/>
      <c r="AG20" s="2252"/>
      <c r="AH20" s="2270">
        <f>ROUND(AB20-AE20,1)</f>
        <v>-11.2</v>
      </c>
      <c r="AI20" s="2271"/>
      <c r="AJ20" s="3303">
        <f>ROUND(IF(AE20=0,0,AH20/ABS(AE20)),3)</f>
        <v>-0.309</v>
      </c>
    </row>
    <row r="21" spans="1:38" ht="17.25" customHeight="1">
      <c r="A21" s="454" t="s">
        <v>225</v>
      </c>
      <c r="B21" s="426"/>
      <c r="C21" s="697">
        <v>222.9</v>
      </c>
      <c r="D21" s="438"/>
      <c r="E21" s="697">
        <v>161.1</v>
      </c>
      <c r="F21" s="452"/>
      <c r="G21" s="3350">
        <v>168.8</v>
      </c>
      <c r="H21" s="452"/>
      <c r="I21" s="3374">
        <v>197.4</v>
      </c>
      <c r="J21" s="452"/>
      <c r="K21" s="694">
        <v>173.8</v>
      </c>
      <c r="L21" s="452"/>
      <c r="M21" s="694">
        <v>176.9</v>
      </c>
      <c r="N21" s="452"/>
      <c r="O21" s="694">
        <v>151.30000000000001</v>
      </c>
      <c r="P21" s="452"/>
      <c r="Q21" s="694">
        <v>150.9</v>
      </c>
      <c r="R21" s="452"/>
      <c r="S21" s="443">
        <v>213.4</v>
      </c>
      <c r="T21" s="452"/>
      <c r="U21" s="694"/>
      <c r="V21" s="452"/>
      <c r="W21" s="698"/>
      <c r="X21" s="452"/>
      <c r="Y21" s="442"/>
      <c r="Z21" s="438"/>
      <c r="AA21" s="439"/>
      <c r="AB21" s="3351">
        <f>ROUND(SUM(C21:Y21),1)</f>
        <v>1616.5</v>
      </c>
      <c r="AC21" s="438"/>
      <c r="AD21" s="439"/>
      <c r="AE21" s="695">
        <v>1760.6</v>
      </c>
      <c r="AF21" s="444"/>
      <c r="AG21" s="2253"/>
      <c r="AH21" s="2273">
        <f>ROUND(AB21-AE21,1)</f>
        <v>-144.1</v>
      </c>
      <c r="AI21" s="2271"/>
      <c r="AJ21" s="2274">
        <f>ROUND(IF(AE21=0,0,AH21/ABS(AE21)),3)</f>
        <v>-8.2000000000000003E-2</v>
      </c>
    </row>
    <row r="22" spans="1:38" ht="16.5" customHeight="1">
      <c r="A22" s="426"/>
      <c r="B22" s="426"/>
      <c r="C22" s="699"/>
      <c r="D22" s="438"/>
      <c r="E22" s="700"/>
      <c r="F22" s="452"/>
      <c r="G22" s="700"/>
      <c r="H22" s="452"/>
      <c r="I22" s="700"/>
      <c r="J22" s="452"/>
      <c r="K22" s="700"/>
      <c r="L22" s="452"/>
      <c r="M22" s="700"/>
      <c r="N22" s="452"/>
      <c r="O22" s="700"/>
      <c r="P22" s="452"/>
      <c r="Q22" s="700"/>
      <c r="R22" s="452"/>
      <c r="S22" s="700"/>
      <c r="T22" s="452"/>
      <c r="U22" s="700"/>
      <c r="V22" s="452"/>
      <c r="W22" s="447"/>
      <c r="X22" s="452"/>
      <c r="Y22" s="700"/>
      <c r="Z22" s="438"/>
      <c r="AA22" s="439"/>
      <c r="AB22" s="3352"/>
      <c r="AC22" s="438"/>
      <c r="AD22" s="439"/>
      <c r="AE22" s="699"/>
      <c r="AF22" s="694"/>
      <c r="AG22" s="2253"/>
      <c r="AH22" s="2275"/>
      <c r="AJ22" s="2260"/>
    </row>
    <row r="23" spans="1:38" ht="16.5" customHeight="1">
      <c r="A23" s="435" t="s">
        <v>156</v>
      </c>
      <c r="B23" s="426"/>
      <c r="C23" s="453">
        <f>ROUND(SUM(C19:C22),1)</f>
        <v>230</v>
      </c>
      <c r="D23" s="440"/>
      <c r="E23" s="453">
        <f>ROUND(SUM(E19:E22),1)</f>
        <v>167.7</v>
      </c>
      <c r="F23" s="453"/>
      <c r="G23" s="453">
        <f>ROUND(SUM(G19:G22),1)</f>
        <v>175.5</v>
      </c>
      <c r="H23" s="453"/>
      <c r="I23" s="453">
        <f>ROUND(SUM(I19:I22),1)</f>
        <v>206.7</v>
      </c>
      <c r="J23" s="453"/>
      <c r="K23" s="453">
        <f>ROUND(SUM(K19:K22),1)</f>
        <v>182.3</v>
      </c>
      <c r="L23" s="453"/>
      <c r="M23" s="453">
        <f>ROUND(SUM(M19:M22),1)</f>
        <v>190.6</v>
      </c>
      <c r="N23" s="453"/>
      <c r="O23" s="453">
        <f>ROUND(SUM(O19:O22),1)</f>
        <v>159.30000000000001</v>
      </c>
      <c r="P23" s="453"/>
      <c r="Q23" s="453">
        <f>ROUND(SUM(Q19:Q22),1)</f>
        <v>158.69999999999999</v>
      </c>
      <c r="R23" s="453"/>
      <c r="S23" s="453">
        <f>ROUND(SUM(S19:S22),1)</f>
        <v>223</v>
      </c>
      <c r="T23" s="453"/>
      <c r="U23" s="453">
        <f>ROUND(SUM(U19:U22),1)</f>
        <v>0</v>
      </c>
      <c r="V23" s="453"/>
      <c r="W23" s="453">
        <f>ROUND(SUM(W19:W22),1)</f>
        <v>0</v>
      </c>
      <c r="X23" s="453"/>
      <c r="Y23" s="453">
        <f>ROUND(SUM(Y19:Y22),1)</f>
        <v>0</v>
      </c>
      <c r="Z23" s="440"/>
      <c r="AA23" s="441"/>
      <c r="AB23" s="3353">
        <f>ROUND(SUM(AB19:AB22),1)</f>
        <v>1693.8</v>
      </c>
      <c r="AC23" s="701"/>
      <c r="AD23" s="440"/>
      <c r="AE23" s="453">
        <f>ROUND(SUM(AE19:AE22),1)</f>
        <v>1886.6</v>
      </c>
      <c r="AF23" s="444"/>
      <c r="AG23" s="2253"/>
      <c r="AH23" s="2276">
        <f>ROUND(SUM(AH19:AH21),1)</f>
        <v>-192.8</v>
      </c>
      <c r="AI23" s="2277"/>
      <c r="AJ23" s="2278">
        <f>ROUND(IF(AH23=0,0,AH23/ABS(AE23)),3)</f>
        <v>-0.10199999999999999</v>
      </c>
      <c r="AK23" s="693"/>
      <c r="AL23" s="693"/>
    </row>
    <row r="24" spans="1:38" ht="16.5" customHeight="1">
      <c r="A24" s="426"/>
      <c r="B24" s="426"/>
      <c r="C24" s="699"/>
      <c r="D24" s="438"/>
      <c r="E24" s="700"/>
      <c r="F24" s="452"/>
      <c r="G24" s="700"/>
      <c r="H24" s="452"/>
      <c r="I24" s="700"/>
      <c r="J24" s="452"/>
      <c r="K24" s="700"/>
      <c r="L24" s="452"/>
      <c r="M24" s="700"/>
      <c r="N24" s="452"/>
      <c r="O24" s="700"/>
      <c r="P24" s="452"/>
      <c r="Q24" s="700"/>
      <c r="R24" s="452"/>
      <c r="S24" s="700"/>
      <c r="T24" s="452"/>
      <c r="U24" s="700"/>
      <c r="V24" s="452"/>
      <c r="W24" s="700"/>
      <c r="X24" s="452"/>
      <c r="Y24" s="700"/>
      <c r="Z24" s="438"/>
      <c r="AA24" s="439"/>
      <c r="AB24" s="3352"/>
      <c r="AC24" s="438"/>
      <c r="AD24" s="439"/>
      <c r="AE24" s="699"/>
      <c r="AF24" s="1799"/>
      <c r="AG24" s="2253"/>
      <c r="AH24" s="2275"/>
      <c r="AJ24" s="2260"/>
    </row>
    <row r="25" spans="1:38" ht="16.5" customHeight="1">
      <c r="A25" s="426"/>
      <c r="B25" s="426"/>
      <c r="C25" s="438"/>
      <c r="D25" s="438"/>
      <c r="E25" s="452"/>
      <c r="F25" s="452"/>
      <c r="G25" s="452"/>
      <c r="H25" s="452"/>
      <c r="I25" s="452"/>
      <c r="J25" s="452"/>
      <c r="K25" s="452"/>
      <c r="L25" s="452"/>
      <c r="M25" s="452"/>
      <c r="N25" s="452"/>
      <c r="O25" s="452"/>
      <c r="P25" s="452"/>
      <c r="Q25" s="452"/>
      <c r="R25" s="452"/>
      <c r="S25" s="452"/>
      <c r="T25" s="452"/>
      <c r="U25" s="452"/>
      <c r="V25" s="452"/>
      <c r="W25" s="452"/>
      <c r="X25" s="452"/>
      <c r="Y25" s="452"/>
      <c r="Z25" s="438"/>
      <c r="AA25" s="439"/>
      <c r="AB25" s="3351"/>
      <c r="AC25" s="438"/>
      <c r="AD25" s="439"/>
      <c r="AE25" s="438"/>
      <c r="AF25" s="1800"/>
      <c r="AG25" s="2253"/>
      <c r="AH25" s="2275"/>
      <c r="AJ25" s="2260"/>
    </row>
    <row r="26" spans="1:38" ht="16.5" customHeight="1">
      <c r="A26" s="426"/>
      <c r="B26" s="426"/>
      <c r="C26" s="438"/>
      <c r="D26" s="438"/>
      <c r="E26" s="452"/>
      <c r="F26" s="452"/>
      <c r="G26" s="452"/>
      <c r="H26" s="452"/>
      <c r="I26" s="452"/>
      <c r="J26" s="452"/>
      <c r="K26" s="452"/>
      <c r="L26" s="452"/>
      <c r="M26" s="452"/>
      <c r="N26" s="452"/>
      <c r="O26" s="452"/>
      <c r="P26" s="452"/>
      <c r="Q26" s="452"/>
      <c r="R26" s="452"/>
      <c r="S26" s="452"/>
      <c r="T26" s="452"/>
      <c r="U26" s="452"/>
      <c r="V26" s="452"/>
      <c r="W26" s="452"/>
      <c r="X26" s="452"/>
      <c r="Y26" s="452"/>
      <c r="Z26" s="438"/>
      <c r="AA26" s="439"/>
      <c r="AB26" s="3351"/>
      <c r="AC26" s="438"/>
      <c r="AD26" s="439"/>
      <c r="AE26" s="438"/>
      <c r="AF26" s="449"/>
      <c r="AG26" s="2252"/>
      <c r="AH26" s="2275"/>
      <c r="AJ26" s="2279"/>
    </row>
    <row r="27" spans="1:38" ht="16.5" customHeight="1">
      <c r="A27" s="435" t="s">
        <v>24</v>
      </c>
      <c r="B27" s="426"/>
      <c r="C27" s="438"/>
      <c r="D27" s="438"/>
      <c r="E27" s="452"/>
      <c r="F27" s="452"/>
      <c r="G27" s="452"/>
      <c r="H27" s="452"/>
      <c r="I27" s="452"/>
      <c r="J27" s="452"/>
      <c r="K27" s="452"/>
      <c r="L27" s="452"/>
      <c r="M27" s="452"/>
      <c r="N27" s="452"/>
      <c r="O27" s="452"/>
      <c r="P27" s="452"/>
      <c r="Q27" s="452"/>
      <c r="R27" s="452"/>
      <c r="S27" s="452"/>
      <c r="T27" s="452"/>
      <c r="U27" s="452"/>
      <c r="V27" s="452"/>
      <c r="W27" s="452"/>
      <c r="X27" s="452"/>
      <c r="Y27" s="452"/>
      <c r="Z27" s="438"/>
      <c r="AA27" s="439"/>
      <c r="AB27" s="3351"/>
      <c r="AC27" s="438"/>
      <c r="AD27" s="439"/>
      <c r="AE27" s="438"/>
      <c r="AF27" s="442"/>
      <c r="AG27" s="2252"/>
      <c r="AH27" s="2275"/>
      <c r="AI27" s="2280"/>
      <c r="AJ27" s="2279"/>
    </row>
    <row r="28" spans="1:38" ht="16.5" customHeight="1">
      <c r="A28" s="426" t="s">
        <v>158</v>
      </c>
      <c r="B28" s="426"/>
      <c r="C28" s="438"/>
      <c r="D28" s="438"/>
      <c r="E28" s="452"/>
      <c r="F28" s="452"/>
      <c r="G28" s="452"/>
      <c r="H28" s="452"/>
      <c r="I28" s="452"/>
      <c r="J28" s="452"/>
      <c r="K28" s="452"/>
      <c r="L28" s="452"/>
      <c r="M28" s="452"/>
      <c r="N28" s="452"/>
      <c r="O28" s="452"/>
      <c r="P28" s="452"/>
      <c r="Q28" s="452"/>
      <c r="R28" s="452"/>
      <c r="S28" s="452"/>
      <c r="T28" s="452"/>
      <c r="U28" s="452"/>
      <c r="V28" s="452"/>
      <c r="W28" s="452"/>
      <c r="X28" s="452"/>
      <c r="Y28" s="452"/>
      <c r="Z28" s="438"/>
      <c r="AA28" s="439"/>
      <c r="AB28" s="3351"/>
      <c r="AC28" s="438"/>
      <c r="AD28" s="439"/>
      <c r="AE28" s="438"/>
      <c r="AF28" s="1789"/>
      <c r="AG28" s="2253"/>
      <c r="AH28" s="2275"/>
      <c r="AJ28" s="2279"/>
    </row>
    <row r="29" spans="1:38" ht="16.5" customHeight="1">
      <c r="A29" s="426" t="s">
        <v>226</v>
      </c>
      <c r="B29" s="426"/>
      <c r="C29" s="438">
        <v>0.4</v>
      </c>
      <c r="D29" s="438"/>
      <c r="E29" s="443">
        <v>0.3</v>
      </c>
      <c r="F29" s="452"/>
      <c r="G29" s="3349">
        <v>0.5</v>
      </c>
      <c r="H29" s="452"/>
      <c r="I29" s="443">
        <v>0.5</v>
      </c>
      <c r="J29" s="452"/>
      <c r="K29" s="443">
        <v>0.3</v>
      </c>
      <c r="L29" s="452"/>
      <c r="M29" s="443">
        <v>0.3</v>
      </c>
      <c r="N29" s="452"/>
      <c r="O29" s="443">
        <v>1.8</v>
      </c>
      <c r="P29" s="452"/>
      <c r="Q29" s="442">
        <v>-0.2</v>
      </c>
      <c r="R29" s="452"/>
      <c r="S29" s="443">
        <v>0.6</v>
      </c>
      <c r="T29" s="452"/>
      <c r="U29" s="443"/>
      <c r="V29" s="452"/>
      <c r="W29" s="443"/>
      <c r="X29" s="452"/>
      <c r="Y29" s="442"/>
      <c r="Z29" s="438"/>
      <c r="AA29" s="439"/>
      <c r="AB29" s="3351">
        <f>ROUND(SUM(C29:Y29),1)</f>
        <v>4.5</v>
      </c>
      <c r="AC29" s="438"/>
      <c r="AD29" s="439"/>
      <c r="AE29" s="438">
        <v>5.4</v>
      </c>
      <c r="AF29" s="449"/>
      <c r="AG29" s="2254"/>
      <c r="AH29" s="2275">
        <f>ROUND(SUM(AB29-AE29),1)</f>
        <v>-0.9</v>
      </c>
      <c r="AJ29" s="2281">
        <f>ROUND(IF(AH29=0,0,AH29/ABS(AE29)),3)</f>
        <v>-0.16700000000000001</v>
      </c>
    </row>
    <row r="30" spans="1:38" ht="16.5" customHeight="1">
      <c r="A30" s="426" t="s">
        <v>186</v>
      </c>
      <c r="B30" s="426"/>
      <c r="C30" s="438">
        <v>2.5</v>
      </c>
      <c r="D30" s="438"/>
      <c r="E30" s="443">
        <v>4.0999999999999996</v>
      </c>
      <c r="F30" s="452"/>
      <c r="G30" s="443">
        <v>3.7</v>
      </c>
      <c r="H30" s="452"/>
      <c r="I30" s="3349">
        <v>4.0999999999999996</v>
      </c>
      <c r="J30" s="452"/>
      <c r="K30" s="443">
        <v>5.4</v>
      </c>
      <c r="L30" s="452"/>
      <c r="M30" s="443">
        <v>27</v>
      </c>
      <c r="N30" s="452"/>
      <c r="O30" s="443">
        <v>3</v>
      </c>
      <c r="P30" s="452"/>
      <c r="Q30" s="442">
        <v>4.4000000000000004</v>
      </c>
      <c r="R30" s="452"/>
      <c r="S30" s="443">
        <v>4.5999999999999996</v>
      </c>
      <c r="T30" s="452"/>
      <c r="U30" s="443"/>
      <c r="V30" s="452"/>
      <c r="W30" s="442"/>
      <c r="X30" s="452"/>
      <c r="Y30" s="442"/>
      <c r="Z30" s="438"/>
      <c r="AA30" s="439"/>
      <c r="AB30" s="3351">
        <f>ROUND(SUM(C30:Y30),1)</f>
        <v>58.8</v>
      </c>
      <c r="AC30" s="438"/>
      <c r="AD30" s="439"/>
      <c r="AE30" s="438">
        <v>101.5</v>
      </c>
      <c r="AF30" s="442"/>
      <c r="AG30" s="2254"/>
      <c r="AH30" s="2275">
        <f>ROUND(SUM(AB30-AE30),1)</f>
        <v>-42.7</v>
      </c>
      <c r="AJ30" s="2281">
        <f>ROUND(IF(AH30=0,0,AH30/ABS(AE30)),3)</f>
        <v>-0.42099999999999999</v>
      </c>
    </row>
    <row r="31" spans="1:38" ht="16.5" customHeight="1">
      <c r="A31" s="426" t="s">
        <v>161</v>
      </c>
      <c r="B31" s="426"/>
      <c r="C31" s="444">
        <v>0</v>
      </c>
      <c r="D31" s="438"/>
      <c r="E31" s="444">
        <v>0</v>
      </c>
      <c r="F31" s="452"/>
      <c r="G31" s="443">
        <v>0.1</v>
      </c>
      <c r="H31" s="452"/>
      <c r="I31" s="444">
        <v>0</v>
      </c>
      <c r="J31" s="452"/>
      <c r="K31" s="444">
        <v>0.2</v>
      </c>
      <c r="L31" s="452"/>
      <c r="M31" s="442">
        <v>0</v>
      </c>
      <c r="N31" s="452"/>
      <c r="O31" s="442">
        <v>0</v>
      </c>
      <c r="P31" s="452"/>
      <c r="Q31" s="442">
        <v>0</v>
      </c>
      <c r="R31" s="452"/>
      <c r="S31" s="443">
        <v>0.2</v>
      </c>
      <c r="T31" s="452"/>
      <c r="U31" s="442"/>
      <c r="V31" s="452"/>
      <c r="W31" s="442"/>
      <c r="X31" s="452"/>
      <c r="Y31" s="444"/>
      <c r="Z31" s="438"/>
      <c r="AA31" s="439"/>
      <c r="AB31" s="3351">
        <f>ROUND(SUM(C31:Y31),1)</f>
        <v>0.5</v>
      </c>
      <c r="AC31" s="438"/>
      <c r="AD31" s="439"/>
      <c r="AE31" s="438">
        <v>0.8</v>
      </c>
      <c r="AF31" s="444"/>
      <c r="AG31" s="2255"/>
      <c r="AH31" s="2275">
        <f>ROUND(SUM(AB31-AE31),1)</f>
        <v>-0.3</v>
      </c>
      <c r="AJ31" s="3354">
        <f>ROUND(IF(AE31=0,1,AH31/ABS(AE31)),3)</f>
        <v>-0.375</v>
      </c>
    </row>
    <row r="32" spans="1:38" ht="16.5" customHeight="1">
      <c r="A32" s="454" t="s">
        <v>227</v>
      </c>
      <c r="B32" s="426"/>
      <c r="C32" s="438">
        <v>200.6</v>
      </c>
      <c r="D32" s="438"/>
      <c r="E32" s="443">
        <v>162.5</v>
      </c>
      <c r="F32" s="452"/>
      <c r="G32" s="443">
        <v>188.8</v>
      </c>
      <c r="H32" s="452"/>
      <c r="I32" s="443">
        <v>180.7</v>
      </c>
      <c r="J32" s="452"/>
      <c r="K32" s="443">
        <v>197</v>
      </c>
      <c r="L32" s="452"/>
      <c r="M32" s="443">
        <v>167</v>
      </c>
      <c r="N32" s="452"/>
      <c r="O32" s="443">
        <v>146.69999999999999</v>
      </c>
      <c r="P32" s="452"/>
      <c r="Q32" s="442">
        <v>175</v>
      </c>
      <c r="R32" s="452"/>
      <c r="S32" s="443">
        <v>198.9</v>
      </c>
      <c r="T32" s="452"/>
      <c r="U32" s="443"/>
      <c r="V32" s="452"/>
      <c r="W32" s="448"/>
      <c r="X32" s="452"/>
      <c r="Y32" s="442"/>
      <c r="Z32" s="438"/>
      <c r="AA32" s="439"/>
      <c r="AB32" s="3351">
        <f>ROUND(SUM(C32:Y32),1)</f>
        <v>1617.2</v>
      </c>
      <c r="AC32" s="438"/>
      <c r="AD32" s="439"/>
      <c r="AE32" s="695">
        <v>1774.5</v>
      </c>
      <c r="AF32" s="444"/>
      <c r="AG32" s="2254"/>
      <c r="AH32" s="2282">
        <f>ROUND(SUM(AB32-AE32),1)</f>
        <v>-157.30000000000001</v>
      </c>
      <c r="AJ32" s="2283">
        <f>ROUND(IF(AH32=0,0,AH32/ABS(AE32)),3)</f>
        <v>-8.8999999999999996E-2</v>
      </c>
    </row>
    <row r="33" spans="1:37" ht="16.5" customHeight="1">
      <c r="A33" s="426"/>
      <c r="B33" s="426"/>
      <c r="C33" s="699"/>
      <c r="D33" s="438"/>
      <c r="E33" s="700"/>
      <c r="F33" s="452"/>
      <c r="G33" s="700"/>
      <c r="H33" s="452"/>
      <c r="I33" s="700"/>
      <c r="J33" s="452"/>
      <c r="K33" s="700"/>
      <c r="L33" s="452"/>
      <c r="M33" s="702"/>
      <c r="N33" s="452"/>
      <c r="O33" s="700"/>
      <c r="P33" s="452"/>
      <c r="Q33" s="700"/>
      <c r="R33" s="452"/>
      <c r="S33" s="700"/>
      <c r="T33" s="452"/>
      <c r="U33" s="700"/>
      <c r="V33" s="452"/>
      <c r="W33" s="447"/>
      <c r="X33" s="452"/>
      <c r="Y33" s="700"/>
      <c r="Z33" s="438"/>
      <c r="AA33" s="439"/>
      <c r="AB33" s="3352"/>
      <c r="AC33" s="438"/>
      <c r="AD33" s="439"/>
      <c r="AE33" s="699"/>
      <c r="AF33" s="1805"/>
      <c r="AG33" s="2255"/>
      <c r="AH33" s="2275"/>
      <c r="AI33" s="2284"/>
      <c r="AJ33" s="2279"/>
    </row>
    <row r="34" spans="1:37" ht="16.5" customHeight="1">
      <c r="A34" s="435" t="s">
        <v>162</v>
      </c>
      <c r="B34" s="426"/>
      <c r="C34" s="453">
        <f>ROUND(SUM(C29:C33),1)</f>
        <v>203.5</v>
      </c>
      <c r="D34" s="440"/>
      <c r="E34" s="453">
        <f>ROUND(SUM(E29:E33),1)</f>
        <v>166.9</v>
      </c>
      <c r="F34" s="453"/>
      <c r="G34" s="453">
        <f>ROUND(SUM(G29:G33),1)</f>
        <v>193.1</v>
      </c>
      <c r="H34" s="453"/>
      <c r="I34" s="453">
        <f>ROUND(SUM(I29:I33),1)</f>
        <v>185.3</v>
      </c>
      <c r="J34" s="453"/>
      <c r="K34" s="1842">
        <f>ROUND(SUM(K29:K33),1)</f>
        <v>202.9</v>
      </c>
      <c r="L34" s="703"/>
      <c r="M34" s="453">
        <f>ROUND(SUM(M29:M33),1)</f>
        <v>194.3</v>
      </c>
      <c r="N34" s="453"/>
      <c r="O34" s="453">
        <f>ROUND(SUM(O29:O33),1)</f>
        <v>151.5</v>
      </c>
      <c r="P34" s="453"/>
      <c r="Q34" s="453">
        <f>ROUND(SUM(Q29:Q33),1)</f>
        <v>179.2</v>
      </c>
      <c r="R34" s="453"/>
      <c r="S34" s="453">
        <f>ROUND(SUM(S29:S33),1)</f>
        <v>204.3</v>
      </c>
      <c r="T34" s="453"/>
      <c r="U34" s="453">
        <f>ROUND(SUM(U29:U33),1)</f>
        <v>0</v>
      </c>
      <c r="V34" s="453"/>
      <c r="W34" s="453">
        <f>ROUND(SUM(W29:W33),1)</f>
        <v>0</v>
      </c>
      <c r="X34" s="453"/>
      <c r="Y34" s="453">
        <f>ROUND(SUM(Y29:Y33),1)</f>
        <v>0</v>
      </c>
      <c r="Z34" s="440"/>
      <c r="AA34" s="441"/>
      <c r="AB34" s="3353">
        <f>ROUND(SUM(AB29:AB33),1)</f>
        <v>1681</v>
      </c>
      <c r="AC34" s="701"/>
      <c r="AD34" s="440"/>
      <c r="AE34" s="453">
        <f>ROUND(SUM(AE29:AE33),1)</f>
        <v>1882.2</v>
      </c>
      <c r="AF34" s="449"/>
      <c r="AG34" s="2252"/>
      <c r="AH34" s="2276">
        <f>ROUND(SUM(AH29:AH32),1)</f>
        <v>-201.2</v>
      </c>
      <c r="AI34" s="2277"/>
      <c r="AJ34" s="2278">
        <f>ROUND(IF(AH34=0,0,AH34/ABS(AE34)),3)</f>
        <v>-0.107</v>
      </c>
      <c r="AK34" s="693"/>
    </row>
    <row r="35" spans="1:37" ht="16.5" customHeight="1">
      <c r="A35" s="426"/>
      <c r="B35" s="426"/>
      <c r="C35" s="699"/>
      <c r="D35" s="438"/>
      <c r="E35" s="700"/>
      <c r="F35" s="452"/>
      <c r="G35" s="700"/>
      <c r="H35" s="452"/>
      <c r="I35" s="700"/>
      <c r="J35" s="452"/>
      <c r="K35" s="447"/>
      <c r="L35" s="452"/>
      <c r="M35" s="700"/>
      <c r="N35" s="452"/>
      <c r="O35" s="700"/>
      <c r="P35" s="452"/>
      <c r="Q35" s="700"/>
      <c r="R35" s="452"/>
      <c r="S35" s="700"/>
      <c r="T35" s="452"/>
      <c r="U35" s="700"/>
      <c r="V35" s="452"/>
      <c r="W35" s="700"/>
      <c r="X35" s="452"/>
      <c r="Y35" s="700"/>
      <c r="Z35" s="438"/>
      <c r="AA35" s="439"/>
      <c r="AB35" s="699"/>
      <c r="AC35" s="446"/>
      <c r="AD35" s="439"/>
      <c r="AE35" s="699"/>
      <c r="AF35" s="442"/>
      <c r="AG35" s="2252"/>
      <c r="AH35" s="2275"/>
      <c r="AJ35" s="2260"/>
    </row>
    <row r="36" spans="1:37" ht="16.5" customHeight="1">
      <c r="A36" s="426"/>
      <c r="B36" s="426"/>
      <c r="C36" s="438"/>
      <c r="D36" s="438"/>
      <c r="E36" s="452"/>
      <c r="F36" s="452"/>
      <c r="G36" s="452"/>
      <c r="H36" s="452"/>
      <c r="I36" s="452"/>
      <c r="J36" s="452"/>
      <c r="K36" s="452"/>
      <c r="L36" s="452"/>
      <c r="M36" s="452"/>
      <c r="N36" s="452"/>
      <c r="O36" s="452"/>
      <c r="P36" s="452"/>
      <c r="Q36" s="452"/>
      <c r="R36" s="452"/>
      <c r="S36" s="452"/>
      <c r="T36" s="452"/>
      <c r="U36" s="452"/>
      <c r="V36" s="452"/>
      <c r="W36" s="452"/>
      <c r="X36" s="452"/>
      <c r="Y36" s="452"/>
      <c r="Z36" s="438"/>
      <c r="AA36" s="439"/>
      <c r="AB36" s="438"/>
      <c r="AC36" s="446"/>
      <c r="AD36" s="439"/>
      <c r="AE36" s="438"/>
      <c r="AF36" s="735"/>
      <c r="AG36" s="2256"/>
      <c r="AH36" s="2275"/>
      <c r="AI36" s="2280"/>
      <c r="AJ36" s="2279"/>
    </row>
    <row r="37" spans="1:37" ht="16.5" customHeight="1">
      <c r="A37" s="426"/>
      <c r="B37" s="426"/>
      <c r="C37" s="438"/>
      <c r="D37" s="438"/>
      <c r="E37" s="452"/>
      <c r="F37" s="452"/>
      <c r="G37" s="452"/>
      <c r="H37" s="452"/>
      <c r="I37" s="452"/>
      <c r="J37" s="452"/>
      <c r="K37" s="452"/>
      <c r="L37" s="452"/>
      <c r="M37" s="452"/>
      <c r="N37" s="452"/>
      <c r="O37" s="452"/>
      <c r="P37" s="452"/>
      <c r="Q37" s="452"/>
      <c r="R37" s="452"/>
      <c r="S37" s="452"/>
      <c r="T37" s="452"/>
      <c r="U37" s="452"/>
      <c r="V37" s="452"/>
      <c r="W37" s="452"/>
      <c r="X37" s="452"/>
      <c r="Y37" s="452"/>
      <c r="Z37" s="438"/>
      <c r="AA37" s="439"/>
      <c r="AB37" s="438"/>
      <c r="AC37" s="446"/>
      <c r="AD37" s="439"/>
      <c r="AE37" s="438"/>
      <c r="AF37" s="1789"/>
      <c r="AG37" s="2257"/>
      <c r="AH37" s="2275"/>
      <c r="AI37" s="2280"/>
      <c r="AJ37" s="2279"/>
    </row>
    <row r="38" spans="1:37" ht="16.5" customHeight="1">
      <c r="A38" s="435" t="s">
        <v>163</v>
      </c>
      <c r="B38" s="426"/>
      <c r="C38" s="438"/>
      <c r="D38" s="438"/>
      <c r="E38" s="452"/>
      <c r="F38" s="452"/>
      <c r="G38" s="452"/>
      <c r="H38" s="452"/>
      <c r="I38" s="452"/>
      <c r="J38" s="452"/>
      <c r="K38" s="452"/>
      <c r="L38" s="452"/>
      <c r="M38" s="452"/>
      <c r="N38" s="452"/>
      <c r="O38" s="452"/>
      <c r="P38" s="452"/>
      <c r="Q38" s="452"/>
      <c r="R38" s="452"/>
      <c r="S38" s="452"/>
      <c r="T38" s="452"/>
      <c r="U38" s="452"/>
      <c r="V38" s="452"/>
      <c r="W38" s="452"/>
      <c r="X38" s="452"/>
      <c r="Y38" s="452"/>
      <c r="Z38" s="438"/>
      <c r="AA38" s="439"/>
      <c r="AB38" s="438"/>
      <c r="AC38" s="446"/>
      <c r="AD38" s="439"/>
      <c r="AE38" s="438"/>
      <c r="AF38" s="720"/>
      <c r="AG38" s="2258"/>
      <c r="AH38" s="2275"/>
      <c r="AI38" s="2280"/>
      <c r="AJ38" s="2279"/>
    </row>
    <row r="39" spans="1:37" ht="16.5" customHeight="1">
      <c r="A39" s="435" t="s">
        <v>46</v>
      </c>
      <c r="B39" s="426"/>
      <c r="C39" s="453">
        <f>ROUND(C23-C34,1)</f>
        <v>26.5</v>
      </c>
      <c r="D39" s="440"/>
      <c r="E39" s="453">
        <f>ROUND(E23-E34,1)</f>
        <v>0.8</v>
      </c>
      <c r="F39" s="453"/>
      <c r="G39" s="453">
        <f>ROUND(G23-G34,1)</f>
        <v>-17.600000000000001</v>
      </c>
      <c r="H39" s="453"/>
      <c r="I39" s="453">
        <f>ROUND(I23-I34,1)</f>
        <v>21.4</v>
      </c>
      <c r="J39" s="453"/>
      <c r="K39" s="453">
        <f>ROUND(K23-K34,1)</f>
        <v>-20.6</v>
      </c>
      <c r="L39" s="453"/>
      <c r="M39" s="453">
        <f>ROUND(M23-M34,1)</f>
        <v>-3.7</v>
      </c>
      <c r="N39" s="453"/>
      <c r="O39" s="453">
        <f>ROUND(O23-O34,1)</f>
        <v>7.8</v>
      </c>
      <c r="P39" s="453"/>
      <c r="Q39" s="453">
        <f>ROUND(Q23-Q34,1)</f>
        <v>-20.5</v>
      </c>
      <c r="R39" s="453"/>
      <c r="S39" s="453">
        <f>ROUND(S23-S34,1)</f>
        <v>18.7</v>
      </c>
      <c r="T39" s="453"/>
      <c r="U39" s="453">
        <f>ROUND(U23-U34,1)</f>
        <v>0</v>
      </c>
      <c r="V39" s="453"/>
      <c r="W39" s="453">
        <f>ROUND(W23-W34,1)</f>
        <v>0</v>
      </c>
      <c r="X39" s="453"/>
      <c r="Y39" s="453">
        <f>ROUND(Y23-Y34,1)</f>
        <v>0</v>
      </c>
      <c r="Z39" s="440"/>
      <c r="AA39" s="441"/>
      <c r="AB39" s="453">
        <f>ROUND(AB23-AB34,1)</f>
        <v>12.8</v>
      </c>
      <c r="AC39" s="701"/>
      <c r="AD39" s="440"/>
      <c r="AE39" s="453">
        <f>ROUND(AE23-AE34,1)</f>
        <v>4.4000000000000004</v>
      </c>
      <c r="AF39" s="1796"/>
      <c r="AG39" s="2256"/>
      <c r="AH39" s="2276">
        <f>ROUND(SUM(AH23-AH34),1)</f>
        <v>8.4</v>
      </c>
      <c r="AI39" s="2277"/>
      <c r="AJ39" s="2278">
        <f>ROUND(IF(AH39=0,0,AH39/ABS(AE39)),3)</f>
        <v>1.909</v>
      </c>
    </row>
    <row r="40" spans="1:37" ht="16.5" customHeight="1">
      <c r="A40" s="426"/>
      <c r="B40" s="426"/>
      <c r="C40" s="699"/>
      <c r="D40" s="438"/>
      <c r="E40" s="700"/>
      <c r="F40" s="452"/>
      <c r="G40" s="700"/>
      <c r="H40" s="452"/>
      <c r="I40" s="700"/>
      <c r="J40" s="452"/>
      <c r="K40" s="700"/>
      <c r="L40" s="452"/>
      <c r="M40" s="700"/>
      <c r="N40" s="452"/>
      <c r="O40" s="700"/>
      <c r="P40" s="452"/>
      <c r="Q40" s="700"/>
      <c r="R40" s="452"/>
      <c r="S40" s="700"/>
      <c r="T40" s="452"/>
      <c r="U40" s="700"/>
      <c r="V40" s="452"/>
      <c r="W40" s="700"/>
      <c r="X40" s="452"/>
      <c r="Y40" s="700"/>
      <c r="Z40" s="438"/>
      <c r="AA40" s="439"/>
      <c r="AB40" s="699"/>
      <c r="AC40" s="446"/>
      <c r="AD40" s="439"/>
      <c r="AE40" s="699"/>
      <c r="AF40" s="253"/>
      <c r="AG40" s="2256"/>
      <c r="AH40" s="2275"/>
      <c r="AJ40" s="2260"/>
    </row>
    <row r="41" spans="1:37" ht="16.5" customHeight="1">
      <c r="A41" s="426"/>
      <c r="B41" s="426"/>
      <c r="C41" s="438"/>
      <c r="D41" s="438"/>
      <c r="E41" s="452"/>
      <c r="F41" s="452"/>
      <c r="G41" s="452"/>
      <c r="H41" s="452"/>
      <c r="I41" s="452"/>
      <c r="J41" s="452"/>
      <c r="K41" s="452"/>
      <c r="L41" s="452"/>
      <c r="M41" s="452"/>
      <c r="N41" s="452"/>
      <c r="O41" s="452"/>
      <c r="P41" s="452"/>
      <c r="Q41" s="452"/>
      <c r="R41" s="452"/>
      <c r="S41" s="452"/>
      <c r="T41" s="452"/>
      <c r="U41" s="452"/>
      <c r="V41" s="452"/>
      <c r="W41" s="452"/>
      <c r="X41" s="452"/>
      <c r="Y41" s="452"/>
      <c r="Z41" s="438"/>
      <c r="AA41" s="439"/>
      <c r="AB41" s="438"/>
      <c r="AC41" s="438"/>
      <c r="AD41" s="439"/>
      <c r="AE41" s="438"/>
      <c r="AF41" s="368"/>
      <c r="AG41" s="2256"/>
      <c r="AH41" s="2275"/>
      <c r="AJ41" s="2260"/>
    </row>
    <row r="42" spans="1:37" ht="16.5" customHeight="1">
      <c r="A42" s="426"/>
      <c r="B42" s="426"/>
      <c r="C42" s="438"/>
      <c r="D42" s="438"/>
      <c r="E42" s="452"/>
      <c r="F42" s="452"/>
      <c r="G42" s="452"/>
      <c r="H42" s="452"/>
      <c r="I42" s="452"/>
      <c r="J42" s="452"/>
      <c r="K42" s="452"/>
      <c r="L42" s="452"/>
      <c r="M42" s="452"/>
      <c r="N42" s="452"/>
      <c r="O42" s="452"/>
      <c r="P42" s="452"/>
      <c r="Q42" s="452"/>
      <c r="R42" s="452"/>
      <c r="S42" s="452"/>
      <c r="T42" s="452"/>
      <c r="U42" s="452"/>
      <c r="V42" s="452"/>
      <c r="W42" s="452"/>
      <c r="X42" s="452"/>
      <c r="Y42" s="452"/>
      <c r="Z42" s="438"/>
      <c r="AA42" s="439"/>
      <c r="AB42" s="438"/>
      <c r="AC42" s="438"/>
      <c r="AD42" s="439"/>
      <c r="AE42" s="438"/>
      <c r="AG42" s="2253"/>
      <c r="AH42" s="2275"/>
      <c r="AJ42" s="2279"/>
    </row>
    <row r="43" spans="1:37" ht="16.5" customHeight="1">
      <c r="A43" s="435" t="s">
        <v>47</v>
      </c>
      <c r="B43" s="426"/>
      <c r="C43" s="438"/>
      <c r="D43" s="438"/>
      <c r="E43" s="452"/>
      <c r="F43" s="452"/>
      <c r="G43" s="452"/>
      <c r="H43" s="452"/>
      <c r="I43" s="452"/>
      <c r="J43" s="452"/>
      <c r="K43" s="704"/>
      <c r="L43" s="452"/>
      <c r="M43" s="452"/>
      <c r="N43" s="452"/>
      <c r="O43" s="452"/>
      <c r="P43" s="452"/>
      <c r="Q43" s="452"/>
      <c r="R43" s="452"/>
      <c r="S43" s="452"/>
      <c r="T43" s="452"/>
      <c r="U43" s="452"/>
      <c r="V43" s="452"/>
      <c r="W43" s="452"/>
      <c r="X43" s="452"/>
      <c r="Y43" s="452"/>
      <c r="Z43" s="438"/>
      <c r="AA43" s="439"/>
      <c r="AB43" s="438"/>
      <c r="AC43" s="438"/>
      <c r="AD43" s="439"/>
      <c r="AE43" s="438"/>
      <c r="AF43" s="368"/>
      <c r="AG43" s="2256"/>
      <c r="AH43" s="2285"/>
      <c r="AI43" s="2286"/>
      <c r="AJ43" s="2279"/>
    </row>
    <row r="44" spans="1:37" ht="16.5" customHeight="1">
      <c r="A44" s="426" t="s">
        <v>188</v>
      </c>
      <c r="B44" s="426"/>
      <c r="C44" s="450">
        <v>0</v>
      </c>
      <c r="D44" s="438"/>
      <c r="E44" s="450">
        <v>0</v>
      </c>
      <c r="F44" s="452"/>
      <c r="G44" s="450">
        <v>0</v>
      </c>
      <c r="H44" s="443"/>
      <c r="I44" s="450">
        <v>0</v>
      </c>
      <c r="J44" s="452"/>
      <c r="K44" s="450">
        <v>0</v>
      </c>
      <c r="L44" s="452"/>
      <c r="M44" s="450">
        <v>0</v>
      </c>
      <c r="N44" s="452"/>
      <c r="O44" s="450">
        <v>0</v>
      </c>
      <c r="P44" s="452"/>
      <c r="Q44" s="450">
        <v>0</v>
      </c>
      <c r="R44" s="452"/>
      <c r="S44" s="450">
        <v>0</v>
      </c>
      <c r="T44" s="452"/>
      <c r="U44" s="450"/>
      <c r="V44" s="452"/>
      <c r="W44" s="450"/>
      <c r="X44" s="452"/>
      <c r="Y44" s="450"/>
      <c r="Z44" s="438"/>
      <c r="AA44" s="439"/>
      <c r="AB44" s="438">
        <f>ROUND(SUM(C44:Y44),1)</f>
        <v>0</v>
      </c>
      <c r="AC44" s="438"/>
      <c r="AD44" s="439"/>
      <c r="AE44" s="451">
        <v>0</v>
      </c>
      <c r="AF44" s="368"/>
      <c r="AG44" s="2256"/>
      <c r="AH44" s="2275">
        <f>ROUND(SUM(AB44-AE44),1)</f>
        <v>0</v>
      </c>
      <c r="AJ44" s="2762">
        <f>ROUND(IF(AH44=0,0,AH44/ABS(AE44)),3)</f>
        <v>0</v>
      </c>
    </row>
    <row r="45" spans="1:37" ht="16.5" customHeight="1">
      <c r="A45" s="426" t="s">
        <v>189</v>
      </c>
      <c r="B45" s="426"/>
      <c r="C45" s="450">
        <v>0</v>
      </c>
      <c r="D45" s="438"/>
      <c r="E45" s="450">
        <v>0</v>
      </c>
      <c r="F45" s="452"/>
      <c r="G45" s="450">
        <v>0</v>
      </c>
      <c r="H45" s="443"/>
      <c r="I45" s="450">
        <v>0</v>
      </c>
      <c r="J45" s="452"/>
      <c r="K45" s="450">
        <v>0</v>
      </c>
      <c r="L45" s="452"/>
      <c r="M45" s="450">
        <v>0</v>
      </c>
      <c r="N45" s="452"/>
      <c r="O45" s="450">
        <v>0</v>
      </c>
      <c r="P45" s="452"/>
      <c r="Q45" s="450">
        <v>0</v>
      </c>
      <c r="R45" s="452"/>
      <c r="S45" s="450">
        <v>0</v>
      </c>
      <c r="T45" s="452"/>
      <c r="U45" s="450"/>
      <c r="V45" s="452"/>
      <c r="W45" s="450"/>
      <c r="X45" s="452"/>
      <c r="Y45" s="450"/>
      <c r="Z45" s="438"/>
      <c r="AA45" s="439"/>
      <c r="AB45" s="438">
        <f>ROUND(SUM(C45:Y45),1)</f>
        <v>0</v>
      </c>
      <c r="AC45" s="438"/>
      <c r="AD45" s="439"/>
      <c r="AE45" s="451">
        <v>-0.3</v>
      </c>
      <c r="AF45" s="368"/>
      <c r="AG45" s="2256"/>
      <c r="AH45" s="2764">
        <f>-ROUND(SUM(AB45-AE45),1)</f>
        <v>-0.3</v>
      </c>
      <c r="AJ45" s="3117">
        <f>ROUND(IF(AH45=0,0,AH45/ABS(AE45)),3)</f>
        <v>-1</v>
      </c>
    </row>
    <row r="46" spans="1:37" ht="16.5" customHeight="1">
      <c r="A46" s="426"/>
      <c r="B46" s="426"/>
      <c r="C46" s="699"/>
      <c r="D46" s="438"/>
      <c r="E46" s="699"/>
      <c r="F46" s="452"/>
      <c r="G46" s="699"/>
      <c r="H46" s="452"/>
      <c r="I46" s="699"/>
      <c r="J46" s="452"/>
      <c r="K46" s="699"/>
      <c r="L46" s="452"/>
      <c r="M46" s="699"/>
      <c r="N46" s="452"/>
      <c r="O46" s="699"/>
      <c r="P46" s="452"/>
      <c r="Q46" s="699"/>
      <c r="R46" s="452"/>
      <c r="S46" s="699"/>
      <c r="T46" s="452"/>
      <c r="U46" s="700"/>
      <c r="V46" s="452"/>
      <c r="W46" s="700"/>
      <c r="X46" s="452"/>
      <c r="Y46" s="700"/>
      <c r="Z46" s="438"/>
      <c r="AA46" s="439"/>
      <c r="AB46" s="699"/>
      <c r="AC46" s="438"/>
      <c r="AD46" s="439"/>
      <c r="AE46" s="699"/>
      <c r="AF46" s="368"/>
      <c r="AG46" s="2256"/>
      <c r="AH46" s="2269"/>
      <c r="AJ46" s="2856"/>
    </row>
    <row r="47" spans="1:37" ht="16.5" customHeight="1">
      <c r="A47" s="435" t="s">
        <v>215</v>
      </c>
      <c r="B47" s="426"/>
      <c r="C47" s="705">
        <f>ROUND(SUM(C44:C46),1)</f>
        <v>0</v>
      </c>
      <c r="D47" s="440"/>
      <c r="E47" s="705">
        <f>ROUND(SUM(E44:E46),1)</f>
        <v>0</v>
      </c>
      <c r="F47" s="453"/>
      <c r="G47" s="705">
        <f>ROUND(SUM(G44:G46),1)</f>
        <v>0</v>
      </c>
      <c r="H47" s="453"/>
      <c r="I47" s="705">
        <f>ROUND(SUM(I44:I46),1)</f>
        <v>0</v>
      </c>
      <c r="J47" s="453"/>
      <c r="K47" s="705">
        <f>ROUND(SUM(K44:K46),1)</f>
        <v>0</v>
      </c>
      <c r="L47" s="453"/>
      <c r="M47" s="705">
        <f>ROUND(SUM(M44:M46),1)</f>
        <v>0</v>
      </c>
      <c r="N47" s="453"/>
      <c r="O47" s="705">
        <f>ROUND(SUM(O44:O46),1)</f>
        <v>0</v>
      </c>
      <c r="P47" s="453"/>
      <c r="Q47" s="705">
        <f>ROUND(SUM(Q44:Q46),1)</f>
        <v>0</v>
      </c>
      <c r="R47" s="453"/>
      <c r="S47" s="705">
        <f>ROUND(SUM(S44:S46),1)</f>
        <v>0</v>
      </c>
      <c r="T47" s="453"/>
      <c r="U47" s="705">
        <f>ROUND(SUM(U44:U46),1)</f>
        <v>0</v>
      </c>
      <c r="V47" s="453"/>
      <c r="W47" s="705">
        <f>ROUND(SUM(W44:W46),1)</f>
        <v>0</v>
      </c>
      <c r="X47" s="453"/>
      <c r="Y47" s="705">
        <f>ROUND(SUM(Y44:Y46),1)</f>
        <v>0</v>
      </c>
      <c r="Z47" s="440"/>
      <c r="AA47" s="441"/>
      <c r="AB47" s="2763">
        <f>ROUND(SUM(AB44+AB45),1)</f>
        <v>0</v>
      </c>
      <c r="AC47" s="701"/>
      <c r="AD47" s="440"/>
      <c r="AE47" s="2763">
        <f>ROUND(SUM(AE44+AE45),1)</f>
        <v>-0.3</v>
      </c>
      <c r="AF47" s="223"/>
      <c r="AG47" s="2253"/>
      <c r="AH47" s="2276">
        <f>ROUND(SUM(AH44:AH45),1)</f>
        <v>-0.3</v>
      </c>
      <c r="AI47" s="2287"/>
      <c r="AJ47" s="2278">
        <f>ROUND(IF(AH47=0,0,AH47/ABS(AE47)),3)</f>
        <v>-1</v>
      </c>
    </row>
    <row r="48" spans="1:37" ht="16.5" customHeight="1">
      <c r="A48" s="426"/>
      <c r="B48" s="426"/>
      <c r="C48" s="699"/>
      <c r="D48" s="438"/>
      <c r="E48" s="700"/>
      <c r="F48" s="452"/>
      <c r="G48" s="700"/>
      <c r="H48" s="452"/>
      <c r="I48" s="700"/>
      <c r="J48" s="452"/>
      <c r="K48" s="700"/>
      <c r="L48" s="452"/>
      <c r="M48" s="700"/>
      <c r="N48" s="452"/>
      <c r="O48" s="700"/>
      <c r="P48" s="452"/>
      <c r="Q48" s="700"/>
      <c r="R48" s="452"/>
      <c r="S48" s="700"/>
      <c r="T48" s="452"/>
      <c r="U48" s="700"/>
      <c r="V48" s="452"/>
      <c r="W48" s="700"/>
      <c r="X48" s="452"/>
      <c r="Y48" s="700"/>
      <c r="Z48" s="438"/>
      <c r="AA48" s="439"/>
      <c r="AB48" s="699"/>
      <c r="AC48" s="438"/>
      <c r="AD48" s="439"/>
      <c r="AE48" s="699"/>
      <c r="AG48" s="2253"/>
      <c r="AH48" s="2269"/>
    </row>
    <row r="49" spans="1:39" ht="16.5" customHeight="1">
      <c r="A49" s="426"/>
      <c r="B49" s="426"/>
      <c r="C49" s="438"/>
      <c r="D49" s="438"/>
      <c r="E49" s="452"/>
      <c r="F49" s="452"/>
      <c r="G49" s="452"/>
      <c r="H49" s="452"/>
      <c r="I49" s="452"/>
      <c r="J49" s="452"/>
      <c r="K49" s="452"/>
      <c r="L49" s="452"/>
      <c r="M49" s="452"/>
      <c r="N49" s="452"/>
      <c r="O49" s="452"/>
      <c r="P49" s="452"/>
      <c r="Q49" s="452"/>
      <c r="R49" s="452"/>
      <c r="S49" s="452"/>
      <c r="T49" s="452"/>
      <c r="U49" s="452"/>
      <c r="V49" s="452"/>
      <c r="W49" s="452"/>
      <c r="X49" s="452"/>
      <c r="Y49" s="452"/>
      <c r="Z49" s="438"/>
      <c r="AA49" s="439"/>
      <c r="AB49" s="438"/>
      <c r="AC49" s="438"/>
      <c r="AD49" s="439"/>
      <c r="AE49" s="438"/>
      <c r="AG49" s="2253"/>
      <c r="AH49" s="2269"/>
    </row>
    <row r="50" spans="1:39" ht="16.5" customHeight="1">
      <c r="A50" s="426"/>
      <c r="B50" s="426"/>
      <c r="C50" s="438"/>
      <c r="D50" s="438"/>
      <c r="E50" s="452"/>
      <c r="F50" s="452"/>
      <c r="G50" s="452"/>
      <c r="H50" s="452"/>
      <c r="I50" s="452"/>
      <c r="J50" s="452"/>
      <c r="K50" s="452"/>
      <c r="L50" s="452"/>
      <c r="M50" s="452"/>
      <c r="N50" s="452"/>
      <c r="O50" s="452"/>
      <c r="P50" s="452"/>
      <c r="Q50" s="452"/>
      <c r="R50" s="452"/>
      <c r="S50" s="452"/>
      <c r="T50" s="452"/>
      <c r="U50" s="452"/>
      <c r="V50" s="452"/>
      <c r="W50" s="452"/>
      <c r="X50" s="452"/>
      <c r="Y50" s="452"/>
      <c r="Z50" s="438"/>
      <c r="AA50" s="439"/>
      <c r="AB50" s="438"/>
      <c r="AC50" s="438"/>
      <c r="AD50" s="439"/>
      <c r="AE50" s="438"/>
      <c r="AG50" s="2253"/>
    </row>
    <row r="51" spans="1:39" ht="16.5" customHeight="1">
      <c r="A51" s="435" t="s">
        <v>172</v>
      </c>
      <c r="B51" s="426"/>
      <c r="C51" s="438"/>
      <c r="D51" s="438"/>
      <c r="E51" s="452"/>
      <c r="F51" s="452"/>
      <c r="G51" s="452"/>
      <c r="H51" s="452"/>
      <c r="I51" s="452"/>
      <c r="J51" s="452"/>
      <c r="K51" s="452"/>
      <c r="L51" s="452"/>
      <c r="M51" s="452"/>
      <c r="N51" s="452"/>
      <c r="O51" s="452"/>
      <c r="P51" s="452"/>
      <c r="Q51" s="452"/>
      <c r="R51" s="452"/>
      <c r="S51" s="452"/>
      <c r="T51" s="452"/>
      <c r="U51" s="452"/>
      <c r="V51" s="452"/>
      <c r="W51" s="452"/>
      <c r="X51" s="452"/>
      <c r="Y51" s="452"/>
      <c r="Z51" s="438"/>
      <c r="AA51" s="439"/>
      <c r="AB51" s="438"/>
      <c r="AC51" s="438"/>
      <c r="AD51" s="439"/>
      <c r="AE51" s="438"/>
      <c r="AG51" s="2253"/>
    </row>
    <row r="52" spans="1:39" ht="16.5" customHeight="1">
      <c r="A52" s="435" t="s">
        <v>234</v>
      </c>
      <c r="B52" s="426"/>
      <c r="C52" s="438"/>
      <c r="D52" s="438"/>
      <c r="E52" s="452"/>
      <c r="F52" s="452"/>
      <c r="G52" s="452"/>
      <c r="H52" s="452"/>
      <c r="I52" s="452"/>
      <c r="J52" s="452"/>
      <c r="K52" s="706"/>
      <c r="L52" s="452"/>
      <c r="M52" s="452"/>
      <c r="N52" s="452"/>
      <c r="O52" s="452"/>
      <c r="P52" s="452"/>
      <c r="Q52" s="452"/>
      <c r="R52" s="452"/>
      <c r="S52" s="452"/>
      <c r="T52" s="452"/>
      <c r="U52" s="452"/>
      <c r="V52" s="452"/>
      <c r="W52" s="452"/>
      <c r="X52" s="452"/>
      <c r="Y52" s="452"/>
      <c r="Z52" s="438"/>
      <c r="AA52" s="439"/>
      <c r="AB52" s="438"/>
      <c r="AC52" s="438"/>
      <c r="AD52" s="439"/>
      <c r="AE52" s="438"/>
      <c r="AG52" s="2253"/>
    </row>
    <row r="53" spans="1:39" ht="16.5" customHeight="1">
      <c r="A53" s="435" t="s">
        <v>174</v>
      </c>
      <c r="B53" s="426"/>
      <c r="C53" s="453">
        <f>ROUND(C39+C47,1)</f>
        <v>26.5</v>
      </c>
      <c r="D53" s="440"/>
      <c r="E53" s="453">
        <f>ROUND(E39+E47,1)</f>
        <v>0.8</v>
      </c>
      <c r="F53" s="453"/>
      <c r="G53" s="453">
        <f>ROUND(G39+G47,1)</f>
        <v>-17.600000000000001</v>
      </c>
      <c r="H53" s="453"/>
      <c r="I53" s="453">
        <f>ROUND(I39+I47,1)</f>
        <v>21.4</v>
      </c>
      <c r="J53" s="453"/>
      <c r="K53" s="1842">
        <f>ROUND(K39+K47,1)</f>
        <v>-20.6</v>
      </c>
      <c r="L53" s="453"/>
      <c r="M53" s="453">
        <f>ROUND(M39+M47,1)</f>
        <v>-3.7</v>
      </c>
      <c r="N53" s="453"/>
      <c r="O53" s="453">
        <f>ROUND(O39+O47,1)</f>
        <v>7.8</v>
      </c>
      <c r="P53" s="453"/>
      <c r="Q53" s="453">
        <f>ROUND(Q39+Q47,1)</f>
        <v>-20.5</v>
      </c>
      <c r="R53" s="453"/>
      <c r="S53" s="453">
        <f>ROUND(S39+S47,1)</f>
        <v>18.7</v>
      </c>
      <c r="T53" s="453"/>
      <c r="U53" s="453">
        <f>ROUND(U39+U47,1)</f>
        <v>0</v>
      </c>
      <c r="V53" s="453"/>
      <c r="W53" s="453">
        <f>ROUND(W39+W47,1)</f>
        <v>0</v>
      </c>
      <c r="X53" s="453"/>
      <c r="Y53" s="453">
        <f>ROUND(Y39+Y47,1)</f>
        <v>0</v>
      </c>
      <c r="Z53" s="440"/>
      <c r="AA53" s="441"/>
      <c r="AB53" s="453">
        <f>ROUND(AB39+AB47,1)</f>
        <v>12.8</v>
      </c>
      <c r="AC53" s="701"/>
      <c r="AD53" s="440"/>
      <c r="AE53" s="453">
        <f>ROUND(AE39+AE47,1)</f>
        <v>4.0999999999999996</v>
      </c>
      <c r="AG53" s="2253"/>
      <c r="AH53" s="2276">
        <f>ROUND(SUM(AH39+AH47),1)</f>
        <v>8.1</v>
      </c>
      <c r="AI53" s="2249"/>
      <c r="AJ53" s="2278">
        <f>ROUND(IF(AH53=0,0,AH53/ABS(AE53)),3)</f>
        <v>1.976</v>
      </c>
      <c r="AK53" s="693"/>
      <c r="AL53" s="693"/>
      <c r="AM53" s="693"/>
    </row>
    <row r="54" spans="1:39" ht="16.5" customHeight="1">
      <c r="A54" s="426"/>
      <c r="B54" s="426"/>
      <c r="C54" s="707"/>
      <c r="D54" s="435"/>
      <c r="E54" s="708"/>
      <c r="F54" s="709"/>
      <c r="G54" s="708"/>
      <c r="H54" s="709"/>
      <c r="I54" s="708"/>
      <c r="J54" s="709"/>
      <c r="K54" s="710"/>
      <c r="L54" s="709"/>
      <c r="M54" s="708"/>
      <c r="N54" s="709"/>
      <c r="O54" s="708"/>
      <c r="P54" s="709"/>
      <c r="Q54" s="708"/>
      <c r="R54" s="709"/>
      <c r="S54" s="708"/>
      <c r="T54" s="709"/>
      <c r="U54" s="708"/>
      <c r="V54" s="709"/>
      <c r="W54" s="708"/>
      <c r="X54" s="709"/>
      <c r="Y54" s="708"/>
      <c r="Z54" s="435"/>
      <c r="AA54" s="711"/>
      <c r="AB54" s="707"/>
      <c r="AC54" s="435"/>
      <c r="AD54" s="711"/>
      <c r="AE54" s="707"/>
      <c r="AG54" s="2253"/>
      <c r="AJ54" s="2260"/>
      <c r="AK54" s="693"/>
      <c r="AL54" s="693"/>
      <c r="AM54" s="693"/>
    </row>
    <row r="55" spans="1:39" ht="16.5" customHeight="1" thickBot="1">
      <c r="A55" s="435" t="s">
        <v>146</v>
      </c>
      <c r="B55" s="426"/>
      <c r="C55" s="433">
        <f>ROUND(C16+C53,1)</f>
        <v>77.099999999999994</v>
      </c>
      <c r="D55" s="433"/>
      <c r="E55" s="433">
        <f>ROUND(E16+E53,1)</f>
        <v>77.900000000000006</v>
      </c>
      <c r="F55" s="692"/>
      <c r="G55" s="433">
        <f>ROUND(G16+G53,1)</f>
        <v>60.3</v>
      </c>
      <c r="H55" s="692"/>
      <c r="I55" s="1844">
        <f>ROUND(I16+I53,1)</f>
        <v>81.7</v>
      </c>
      <c r="J55" s="712"/>
      <c r="K55" s="433">
        <f>ROUND(K16+K53,1)</f>
        <v>61.1</v>
      </c>
      <c r="L55" s="712"/>
      <c r="M55" s="433">
        <f>ROUND(M16+M53,1)</f>
        <v>57.4</v>
      </c>
      <c r="N55" s="692"/>
      <c r="O55" s="433">
        <f>ROUND(O16+O53,1)</f>
        <v>65.2</v>
      </c>
      <c r="P55" s="692"/>
      <c r="Q55" s="433">
        <f>ROUND(Q16+Q53,1)</f>
        <v>44.7</v>
      </c>
      <c r="R55" s="692"/>
      <c r="S55" s="433">
        <f>ROUND(S16+S53,1)</f>
        <v>63.4</v>
      </c>
      <c r="T55" s="692"/>
      <c r="U55" s="433">
        <f>ROUND(U16+U53,1)</f>
        <v>0</v>
      </c>
      <c r="V55" s="692"/>
      <c r="W55" s="433">
        <f>ROUND(W16+W53,1)</f>
        <v>0</v>
      </c>
      <c r="X55" s="692"/>
      <c r="Y55" s="433">
        <f>ROUND(Y16+Y53,1)</f>
        <v>0</v>
      </c>
      <c r="Z55" s="433"/>
      <c r="AA55" s="434"/>
      <c r="AB55" s="433">
        <f>ROUND(AB16+AB53,1)</f>
        <v>63.4</v>
      </c>
      <c r="AC55" s="433"/>
      <c r="AD55" s="434"/>
      <c r="AE55" s="433">
        <f>ROUND(AE16+AE53,1)</f>
        <v>66.599999999999994</v>
      </c>
      <c r="AG55" s="2253"/>
      <c r="AH55" s="2288">
        <f>ROUND(SUM(AB55-AE55),1)</f>
        <v>-3.2</v>
      </c>
      <c r="AI55" s="2286"/>
      <c r="AJ55" s="2289">
        <f>ROUND(IF(AH55=0,0,AH55/ABS(AE55)),3)</f>
        <v>-4.8000000000000001E-2</v>
      </c>
      <c r="AK55" s="693"/>
      <c r="AL55" s="693"/>
      <c r="AM55" s="693"/>
    </row>
    <row r="56" spans="1:39" ht="16.5" customHeight="1" thickTop="1">
      <c r="A56" s="428"/>
      <c r="B56" s="428"/>
      <c r="C56" s="713"/>
      <c r="D56" s="428"/>
      <c r="E56" s="713"/>
      <c r="F56" s="428"/>
      <c r="G56" s="713"/>
      <c r="H56" s="428"/>
      <c r="I56" s="445"/>
      <c r="J56" s="445"/>
      <c r="K56" s="713"/>
      <c r="L56" s="445"/>
      <c r="M56" s="713"/>
      <c r="N56" s="428"/>
      <c r="O56" s="713"/>
      <c r="P56" s="428"/>
      <c r="Q56" s="713"/>
      <c r="R56" s="428"/>
      <c r="S56" s="713"/>
      <c r="T56" s="428"/>
      <c r="U56" s="713"/>
      <c r="V56" s="428"/>
      <c r="W56" s="713"/>
      <c r="X56" s="428"/>
      <c r="Y56" s="713"/>
      <c r="Z56" s="428"/>
      <c r="AA56" s="428"/>
      <c r="AB56" s="713"/>
      <c r="AC56" s="428"/>
      <c r="AD56" s="428"/>
      <c r="AE56" s="713"/>
    </row>
    <row r="57" spans="1:39" ht="16.5" customHeight="1">
      <c r="A57" s="454"/>
    </row>
    <row r="58" spans="1:39" ht="16.5" customHeight="1">
      <c r="A58" s="454"/>
    </row>
    <row r="59" spans="1:39" ht="16.5" customHeight="1">
      <c r="A59" s="454"/>
    </row>
    <row r="60" spans="1:39" ht="16.5" customHeight="1">
      <c r="A60" s="454"/>
    </row>
    <row r="61" spans="1:39" ht="16.5" customHeight="1">
      <c r="A61" s="454"/>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5" orientation="landscape" useFirstPageNumber="1" r:id="rId2"/>
  <headerFooter scaleWithDoc="0" alignWithMargins="0">
    <oddFooter>&amp;C&amp;8 &amp;P</oddFooter>
  </headerFooter>
  <ignoredErrors>
    <ignoredError sqref="C13" numberStoredAsText="1"/>
    <ignoredError sqref="AJ31" formula="1"/>
    <ignoredError sqref="AJ19:AJ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showOutlineSymbols="0" zoomScale="60" zoomScaleNormal="70" workbookViewId="0"/>
  </sheetViews>
  <sheetFormatPr defaultColWidth="8.90625" defaultRowHeight="16.5" customHeight="1"/>
  <cols>
    <col min="1" max="1" width="45.08984375" style="411" customWidth="1"/>
    <col min="2" max="2" width="11" style="411" customWidth="1"/>
    <col min="3" max="3" width="1.6328125" style="411" customWidth="1"/>
    <col min="4" max="4" width="11" style="411" customWidth="1"/>
    <col min="5" max="5" width="1.6328125" style="411" customWidth="1"/>
    <col min="6" max="6" width="11.08984375" style="411" customWidth="1"/>
    <col min="7" max="7" width="1.6328125" style="411" customWidth="1"/>
    <col min="8" max="8" width="11" style="411" customWidth="1"/>
    <col min="9" max="9" width="1.81640625" style="411" customWidth="1"/>
    <col min="10" max="10" width="9.81640625" style="411" customWidth="1"/>
    <col min="11" max="11" width="1.81640625" style="411" customWidth="1"/>
    <col min="12" max="12" width="13.36328125" style="411" customWidth="1"/>
    <col min="13" max="13" width="1.6328125" style="411" customWidth="1"/>
    <col min="14" max="14" width="11.08984375" style="411" customWidth="1"/>
    <col min="15" max="15" width="1.6328125" style="411" customWidth="1"/>
    <col min="16" max="16" width="12.36328125" style="411" customWidth="1"/>
    <col min="17" max="17" width="1.6328125" style="411" customWidth="1"/>
    <col min="18" max="18" width="12" style="411" customWidth="1"/>
    <col min="19" max="19" width="1.6328125" style="411" customWidth="1"/>
    <col min="20" max="20" width="11.08984375" style="411" customWidth="1"/>
    <col min="21" max="21" width="1.6328125" style="411" customWidth="1"/>
    <col min="22" max="22" width="11.81640625" style="411" customWidth="1"/>
    <col min="23" max="23" width="1.6328125" style="411" customWidth="1"/>
    <col min="24" max="24" width="11.08984375" style="411" customWidth="1"/>
    <col min="25" max="26" width="1.6328125" style="411" customWidth="1"/>
    <col min="27" max="27" width="11.54296875" style="411" customWidth="1"/>
    <col min="28" max="29" width="1.6328125" style="411" customWidth="1"/>
    <col min="30" max="30" width="11.54296875" style="411" customWidth="1"/>
    <col min="31" max="31" width="1.81640625" style="740" customWidth="1"/>
    <col min="32" max="32" width="2.453125" style="2259" customWidth="1"/>
    <col min="33" max="33" width="10.36328125" style="2260" bestFit="1" customWidth="1"/>
    <col min="34" max="34" width="1.6328125" style="2260" customWidth="1"/>
    <col min="35" max="35" width="11.08984375" style="2259" customWidth="1"/>
    <col min="36" max="16384" width="8.90625" style="411"/>
  </cols>
  <sheetData>
    <row r="1" spans="1:251" ht="16.5" customHeight="1">
      <c r="A1" s="1184" t="s">
        <v>1217</v>
      </c>
    </row>
    <row r="2" spans="1:251" ht="16.5" customHeight="1">
      <c r="A2" s="1731"/>
    </row>
    <row r="3" spans="1:251" ht="20.25" customHeight="1">
      <c r="A3" s="1993" t="s">
        <v>0</v>
      </c>
      <c r="B3" s="641"/>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223"/>
      <c r="AI3" s="2313" t="s">
        <v>230</v>
      </c>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714"/>
      <c r="BL3" s="714"/>
      <c r="BM3" s="714"/>
      <c r="BN3" s="714"/>
      <c r="BO3" s="714"/>
      <c r="BP3" s="714"/>
      <c r="BQ3" s="714"/>
      <c r="BR3" s="714"/>
      <c r="BS3" s="714"/>
      <c r="BT3" s="714"/>
      <c r="BU3" s="714"/>
      <c r="BV3" s="714"/>
      <c r="BW3" s="714"/>
      <c r="BX3" s="714"/>
      <c r="BY3" s="714"/>
      <c r="BZ3" s="714"/>
      <c r="CA3" s="714"/>
      <c r="CB3" s="714"/>
      <c r="CC3" s="714"/>
      <c r="CD3" s="714"/>
      <c r="CE3" s="714"/>
      <c r="CF3" s="714"/>
      <c r="CG3" s="714"/>
      <c r="CH3" s="714"/>
      <c r="CI3" s="714"/>
      <c r="CJ3" s="714"/>
      <c r="CK3" s="714"/>
      <c r="CL3" s="714"/>
      <c r="CM3" s="714"/>
      <c r="CN3" s="714"/>
      <c r="CO3" s="714"/>
      <c r="CP3" s="714"/>
      <c r="CQ3" s="714"/>
      <c r="CR3" s="714"/>
      <c r="CS3" s="714"/>
      <c r="CT3" s="714"/>
      <c r="CU3" s="714"/>
      <c r="CV3" s="714"/>
      <c r="CW3" s="714"/>
      <c r="CX3" s="714"/>
      <c r="CY3" s="714"/>
      <c r="CZ3" s="714"/>
      <c r="DA3" s="714"/>
      <c r="DB3" s="714"/>
      <c r="DC3" s="714"/>
      <c r="DD3" s="714"/>
      <c r="DE3" s="714"/>
      <c r="DF3" s="714"/>
      <c r="DG3" s="714"/>
      <c r="DH3" s="714"/>
      <c r="DI3" s="714"/>
      <c r="DJ3" s="714"/>
      <c r="DK3" s="714"/>
      <c r="DL3" s="714"/>
      <c r="DM3" s="714"/>
      <c r="DN3" s="714"/>
      <c r="DO3" s="714"/>
      <c r="DP3" s="714"/>
      <c r="DQ3" s="714"/>
      <c r="DR3" s="714"/>
      <c r="DS3" s="714"/>
      <c r="DT3" s="714"/>
      <c r="DU3" s="714"/>
      <c r="DV3" s="714"/>
      <c r="DW3" s="714"/>
      <c r="DX3" s="714"/>
      <c r="DY3" s="714"/>
      <c r="DZ3" s="714"/>
      <c r="EA3" s="714"/>
      <c r="EB3" s="714"/>
      <c r="EC3" s="714"/>
      <c r="ED3" s="714"/>
      <c r="EE3" s="714"/>
      <c r="EF3" s="714"/>
      <c r="EG3" s="714"/>
      <c r="EH3" s="714"/>
      <c r="EI3" s="714"/>
      <c r="EJ3" s="714"/>
      <c r="EK3" s="714"/>
      <c r="EL3" s="714"/>
      <c r="EM3" s="714"/>
      <c r="EN3" s="714"/>
      <c r="EO3" s="714"/>
      <c r="EP3" s="714"/>
      <c r="EQ3" s="714"/>
      <c r="ER3" s="714"/>
      <c r="ES3" s="714"/>
      <c r="ET3" s="714"/>
      <c r="EU3" s="714"/>
      <c r="EV3" s="714"/>
      <c r="EW3" s="714"/>
      <c r="EX3" s="714"/>
      <c r="EY3" s="714"/>
      <c r="EZ3" s="714"/>
      <c r="FA3" s="714"/>
      <c r="FB3" s="714"/>
      <c r="FC3" s="714"/>
      <c r="FD3" s="714"/>
      <c r="FE3" s="714"/>
      <c r="FF3" s="714"/>
      <c r="FG3" s="714"/>
      <c r="FH3" s="714"/>
      <c r="FI3" s="714"/>
      <c r="FJ3" s="714"/>
      <c r="FK3" s="714"/>
      <c r="FL3" s="714"/>
      <c r="FM3" s="714"/>
      <c r="FN3" s="714"/>
      <c r="FO3" s="714"/>
      <c r="FP3" s="714"/>
      <c r="FQ3" s="714"/>
      <c r="FR3" s="714"/>
      <c r="FS3" s="714"/>
      <c r="FT3" s="714"/>
      <c r="FU3" s="714"/>
      <c r="FV3" s="714"/>
      <c r="FW3" s="714"/>
      <c r="FX3" s="714"/>
      <c r="FY3" s="714"/>
      <c r="FZ3" s="714"/>
      <c r="GA3" s="714"/>
      <c r="GB3" s="714"/>
      <c r="GC3" s="714"/>
      <c r="GD3" s="714"/>
      <c r="GE3" s="714"/>
      <c r="GF3" s="714"/>
      <c r="GG3" s="714"/>
      <c r="GH3" s="714"/>
      <c r="GI3" s="714"/>
      <c r="GJ3" s="714"/>
      <c r="GK3" s="714"/>
      <c r="GL3" s="714"/>
      <c r="GM3" s="714"/>
      <c r="GN3" s="714"/>
      <c r="GO3" s="714"/>
      <c r="GP3" s="714"/>
      <c r="GQ3" s="714"/>
      <c r="GR3" s="714"/>
      <c r="GS3" s="714"/>
      <c r="GT3" s="714"/>
      <c r="GU3" s="714"/>
      <c r="GV3" s="714"/>
      <c r="GW3" s="714"/>
      <c r="GX3" s="714"/>
      <c r="GY3" s="714"/>
      <c r="GZ3" s="714"/>
      <c r="HA3" s="714"/>
      <c r="HB3" s="714"/>
      <c r="HC3" s="714"/>
      <c r="HD3" s="714"/>
      <c r="HE3" s="714"/>
      <c r="HF3" s="714"/>
      <c r="HG3" s="714"/>
      <c r="HH3" s="714"/>
      <c r="HI3" s="714"/>
      <c r="HJ3" s="714"/>
      <c r="HK3" s="714"/>
      <c r="HL3" s="714"/>
      <c r="HM3" s="714"/>
      <c r="HN3" s="714"/>
      <c r="HO3" s="714"/>
      <c r="HP3" s="714"/>
      <c r="HQ3" s="714"/>
      <c r="HR3" s="714"/>
      <c r="HS3" s="714"/>
      <c r="HT3" s="714"/>
      <c r="HU3" s="714"/>
      <c r="HV3" s="714"/>
      <c r="HW3" s="714"/>
      <c r="HX3" s="714"/>
      <c r="HY3" s="714"/>
      <c r="HZ3" s="714"/>
      <c r="IA3" s="714"/>
      <c r="IB3" s="714"/>
      <c r="IC3" s="714"/>
      <c r="ID3" s="714"/>
      <c r="IE3" s="714"/>
      <c r="IF3" s="714"/>
      <c r="IG3" s="714"/>
      <c r="IH3" s="714"/>
      <c r="II3" s="714"/>
      <c r="IJ3" s="714"/>
      <c r="IK3" s="714"/>
      <c r="IL3" s="714"/>
      <c r="IM3" s="714"/>
      <c r="IN3" s="714"/>
      <c r="IO3" s="714"/>
      <c r="IP3" s="714"/>
      <c r="IQ3" s="714"/>
    </row>
    <row r="4" spans="1:251" ht="22.5" customHeight="1">
      <c r="A4" s="1993" t="s">
        <v>228</v>
      </c>
      <c r="B4" s="641"/>
      <c r="C4" s="714"/>
      <c r="D4" s="714"/>
      <c r="E4" s="714"/>
      <c r="F4" s="714"/>
      <c r="G4" s="714"/>
      <c r="H4" s="641" t="s">
        <v>16</v>
      </c>
      <c r="I4" s="714"/>
      <c r="J4" s="714"/>
      <c r="K4" s="714"/>
      <c r="L4" s="714"/>
      <c r="M4" s="714"/>
      <c r="N4" s="714"/>
      <c r="O4" s="714"/>
      <c r="P4" s="714"/>
      <c r="Q4" s="714"/>
      <c r="R4" s="714"/>
      <c r="S4" s="714"/>
      <c r="T4" s="714"/>
      <c r="U4" s="714"/>
      <c r="V4" s="714"/>
      <c r="W4" s="714"/>
      <c r="X4" s="714" t="s">
        <v>16</v>
      </c>
      <c r="Y4" s="714"/>
      <c r="Z4" s="714"/>
      <c r="AA4" s="714"/>
      <c r="AB4" s="714"/>
      <c r="AC4" s="714"/>
      <c r="AD4" s="714"/>
      <c r="AE4" s="223"/>
      <c r="AJ4" s="714"/>
      <c r="AK4" s="714"/>
      <c r="AL4" s="714"/>
      <c r="AM4" s="714"/>
      <c r="AN4" s="714"/>
      <c r="AO4" s="714"/>
      <c r="AP4" s="714"/>
      <c r="AQ4" s="714"/>
      <c r="AR4" s="714"/>
      <c r="AS4" s="714"/>
      <c r="AT4" s="714"/>
      <c r="AU4" s="714"/>
      <c r="AV4" s="714"/>
      <c r="AW4" s="714"/>
      <c r="AX4" s="714"/>
      <c r="AY4" s="714"/>
      <c r="AZ4" s="714"/>
      <c r="BA4" s="714"/>
      <c r="BB4" s="714"/>
      <c r="BC4" s="714"/>
      <c r="BD4" s="714"/>
      <c r="BE4" s="714"/>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14"/>
      <c r="CI4" s="714"/>
      <c r="CJ4" s="714"/>
      <c r="CK4" s="714"/>
      <c r="CL4" s="714"/>
      <c r="CM4" s="714"/>
      <c r="CN4" s="714"/>
      <c r="CO4" s="714"/>
      <c r="CP4" s="714"/>
      <c r="CQ4" s="714"/>
      <c r="CR4" s="714"/>
      <c r="CS4" s="714"/>
      <c r="CT4" s="714"/>
      <c r="CU4" s="714"/>
      <c r="CV4" s="714"/>
      <c r="CW4" s="714"/>
      <c r="CX4" s="714"/>
      <c r="CY4" s="714"/>
      <c r="CZ4" s="714"/>
      <c r="DA4" s="714"/>
      <c r="DB4" s="714"/>
      <c r="DC4" s="714"/>
      <c r="DD4" s="714"/>
      <c r="DE4" s="714"/>
      <c r="DF4" s="714"/>
      <c r="DG4" s="714"/>
      <c r="DH4" s="714"/>
      <c r="DI4" s="714"/>
      <c r="DJ4" s="714"/>
      <c r="DK4" s="714"/>
      <c r="DL4" s="714"/>
      <c r="DM4" s="714"/>
      <c r="DN4" s="714"/>
      <c r="DO4" s="714"/>
      <c r="DP4" s="714"/>
      <c r="DQ4" s="714"/>
      <c r="DR4" s="714"/>
      <c r="DS4" s="714"/>
      <c r="DT4" s="714"/>
      <c r="DU4" s="714"/>
      <c r="DV4" s="714"/>
      <c r="DW4" s="714"/>
      <c r="DX4" s="714"/>
      <c r="DY4" s="714"/>
      <c r="DZ4" s="714"/>
      <c r="EA4" s="714"/>
      <c r="EB4" s="714"/>
      <c r="EC4" s="714"/>
      <c r="ED4" s="714"/>
      <c r="EE4" s="714"/>
      <c r="EF4" s="714"/>
      <c r="EG4" s="714"/>
      <c r="EH4" s="714"/>
      <c r="EI4" s="714"/>
      <c r="EJ4" s="714"/>
      <c r="EK4" s="714"/>
      <c r="EL4" s="714"/>
      <c r="EM4" s="714"/>
      <c r="EN4" s="714"/>
      <c r="EO4" s="714"/>
      <c r="EP4" s="714"/>
      <c r="EQ4" s="714"/>
      <c r="ER4" s="714"/>
      <c r="ES4" s="714"/>
      <c r="ET4" s="714"/>
      <c r="EU4" s="714"/>
      <c r="EV4" s="714"/>
      <c r="EW4" s="714"/>
      <c r="EX4" s="714"/>
      <c r="EY4" s="714"/>
      <c r="EZ4" s="714"/>
      <c r="FA4" s="714"/>
      <c r="FB4" s="714"/>
      <c r="FC4" s="714"/>
      <c r="FD4" s="714"/>
      <c r="FE4" s="714"/>
      <c r="FF4" s="714"/>
      <c r="FG4" s="714"/>
      <c r="FH4" s="714"/>
      <c r="FI4" s="714"/>
      <c r="FJ4" s="714"/>
      <c r="FK4" s="714"/>
      <c r="FL4" s="714"/>
      <c r="FM4" s="714"/>
      <c r="FN4" s="714"/>
      <c r="FO4" s="714"/>
      <c r="FP4" s="714"/>
      <c r="FQ4" s="714"/>
      <c r="FR4" s="714"/>
      <c r="FS4" s="714"/>
      <c r="FT4" s="714"/>
      <c r="FU4" s="714"/>
      <c r="FV4" s="714"/>
      <c r="FW4" s="714"/>
      <c r="FX4" s="714"/>
      <c r="FY4" s="714"/>
      <c r="FZ4" s="714"/>
      <c r="GA4" s="714"/>
      <c r="GB4" s="714"/>
      <c r="GC4" s="714"/>
      <c r="GD4" s="714"/>
      <c r="GE4" s="714"/>
      <c r="GF4" s="714"/>
      <c r="GG4" s="714"/>
      <c r="GH4" s="714"/>
      <c r="GI4" s="714"/>
      <c r="GJ4" s="714"/>
      <c r="GK4" s="714"/>
      <c r="GL4" s="714"/>
      <c r="GM4" s="714"/>
      <c r="GN4" s="714"/>
      <c r="GO4" s="714"/>
      <c r="GP4" s="714"/>
      <c r="GQ4" s="714"/>
      <c r="GR4" s="714"/>
      <c r="GS4" s="714"/>
      <c r="GT4" s="714"/>
      <c r="GU4" s="714"/>
      <c r="GV4" s="714"/>
      <c r="GW4" s="714"/>
      <c r="GX4" s="714"/>
      <c r="GY4" s="714"/>
      <c r="GZ4" s="714"/>
      <c r="HA4" s="714"/>
      <c r="HB4" s="714"/>
      <c r="HC4" s="714"/>
      <c r="HD4" s="714"/>
      <c r="HE4" s="714"/>
      <c r="HF4" s="714"/>
      <c r="HG4" s="714"/>
      <c r="HH4" s="714"/>
      <c r="HI4" s="714"/>
      <c r="HJ4" s="714"/>
      <c r="HK4" s="714"/>
      <c r="HL4" s="714"/>
      <c r="HM4" s="714"/>
      <c r="HN4" s="714"/>
      <c r="HO4" s="714"/>
      <c r="HP4" s="714"/>
      <c r="HQ4" s="714"/>
      <c r="HR4" s="714"/>
      <c r="HS4" s="714"/>
      <c r="HT4" s="714"/>
      <c r="HU4" s="714"/>
      <c r="HV4" s="714"/>
      <c r="HW4" s="714"/>
      <c r="HX4" s="714"/>
      <c r="HY4" s="714"/>
      <c r="HZ4" s="714"/>
      <c r="IA4" s="714"/>
      <c r="IB4" s="714"/>
      <c r="IC4" s="714"/>
      <c r="ID4" s="714"/>
      <c r="IE4" s="714"/>
      <c r="IF4" s="714"/>
      <c r="IG4" s="714"/>
      <c r="IH4" s="714"/>
      <c r="II4" s="714"/>
      <c r="IJ4" s="714"/>
      <c r="IK4" s="714"/>
      <c r="IL4" s="714"/>
      <c r="IM4" s="714"/>
      <c r="IN4" s="714"/>
      <c r="IO4" s="714"/>
      <c r="IP4" s="714"/>
      <c r="IQ4" s="714"/>
    </row>
    <row r="5" spans="1:251" ht="20.25" customHeight="1">
      <c r="A5" s="1993" t="s">
        <v>229</v>
      </c>
      <c r="B5" s="641"/>
      <c r="C5" s="714"/>
      <c r="D5" s="714"/>
      <c r="E5" s="714"/>
      <c r="F5" s="714"/>
      <c r="G5" s="714"/>
      <c r="H5" s="714"/>
      <c r="I5" s="714"/>
      <c r="J5" s="714"/>
      <c r="K5" s="714"/>
      <c r="L5" s="714"/>
      <c r="M5" s="714"/>
      <c r="N5" s="714"/>
      <c r="O5" s="714"/>
      <c r="P5" s="714"/>
      <c r="Q5" s="714"/>
      <c r="R5" s="714"/>
      <c r="S5" s="714"/>
      <c r="T5" s="714"/>
      <c r="U5" s="714"/>
      <c r="V5" s="714"/>
      <c r="W5" s="714"/>
      <c r="X5" s="714"/>
      <c r="Y5" s="714"/>
      <c r="Z5" s="714"/>
      <c r="AB5" s="1984"/>
      <c r="AC5" s="1984"/>
      <c r="AD5" s="1984"/>
      <c r="AE5" s="1739"/>
      <c r="AJ5" s="714"/>
      <c r="AK5" s="714"/>
      <c r="AL5" s="714"/>
      <c r="AM5" s="714"/>
      <c r="AN5" s="714"/>
      <c r="AO5" s="714"/>
      <c r="AP5" s="714"/>
      <c r="AQ5" s="714"/>
      <c r="AR5" s="714"/>
      <c r="AS5" s="714"/>
      <c r="AT5" s="714"/>
      <c r="AU5" s="714"/>
      <c r="AV5" s="714"/>
      <c r="AW5" s="714"/>
      <c r="AX5" s="714"/>
      <c r="AY5" s="714"/>
      <c r="AZ5" s="714"/>
      <c r="BA5" s="714"/>
      <c r="BB5" s="714"/>
      <c r="BC5" s="714"/>
      <c r="BD5" s="714"/>
      <c r="BE5" s="714"/>
      <c r="BF5" s="714"/>
      <c r="BG5" s="714"/>
      <c r="BH5" s="714"/>
      <c r="BI5" s="714"/>
      <c r="BJ5" s="714"/>
      <c r="BK5" s="714"/>
      <c r="BL5" s="714"/>
      <c r="BM5" s="714"/>
      <c r="BN5" s="714"/>
      <c r="BO5" s="714"/>
      <c r="BP5" s="714"/>
      <c r="BQ5" s="714"/>
      <c r="BR5" s="714"/>
      <c r="BS5" s="714"/>
      <c r="BT5" s="714"/>
      <c r="BU5" s="714"/>
      <c r="BV5" s="714"/>
      <c r="BW5" s="714"/>
      <c r="BX5" s="714"/>
      <c r="BY5" s="714"/>
      <c r="BZ5" s="714"/>
      <c r="CA5" s="714"/>
      <c r="CB5" s="714"/>
      <c r="CC5" s="714"/>
      <c r="CD5" s="714"/>
      <c r="CE5" s="714"/>
      <c r="CF5" s="714"/>
      <c r="CG5" s="714"/>
      <c r="CH5" s="714"/>
      <c r="CI5" s="714"/>
      <c r="CJ5" s="714"/>
      <c r="CK5" s="714"/>
      <c r="CL5" s="714"/>
      <c r="CM5" s="714"/>
      <c r="CN5" s="714"/>
      <c r="CO5" s="714"/>
      <c r="CP5" s="714"/>
      <c r="CQ5" s="714"/>
      <c r="CR5" s="714"/>
      <c r="CS5" s="714"/>
      <c r="CT5" s="714"/>
      <c r="CU5" s="714"/>
      <c r="CV5" s="714"/>
      <c r="CW5" s="714"/>
      <c r="CX5" s="714"/>
      <c r="CY5" s="714"/>
      <c r="CZ5" s="714"/>
      <c r="DA5" s="714"/>
      <c r="DB5" s="714"/>
      <c r="DC5" s="714"/>
      <c r="DD5" s="714"/>
      <c r="DE5" s="714"/>
      <c r="DF5" s="714"/>
      <c r="DG5" s="714"/>
      <c r="DH5" s="714"/>
      <c r="DI5" s="714"/>
      <c r="DJ5" s="714"/>
      <c r="DK5" s="714"/>
      <c r="DL5" s="714"/>
      <c r="DM5" s="714"/>
      <c r="DN5" s="714"/>
      <c r="DO5" s="714"/>
      <c r="DP5" s="714"/>
      <c r="DQ5" s="714"/>
      <c r="DR5" s="714"/>
      <c r="DS5" s="714"/>
      <c r="DT5" s="714"/>
      <c r="DU5" s="714"/>
      <c r="DV5" s="714"/>
      <c r="DW5" s="714"/>
      <c r="DX5" s="714"/>
      <c r="DY5" s="714"/>
      <c r="DZ5" s="714"/>
      <c r="EA5" s="714"/>
      <c r="EB5" s="714"/>
      <c r="EC5" s="714"/>
      <c r="ED5" s="714"/>
      <c r="EE5" s="714"/>
      <c r="EF5" s="714"/>
      <c r="EG5" s="714"/>
      <c r="EH5" s="714"/>
      <c r="EI5" s="714"/>
      <c r="EJ5" s="714"/>
      <c r="EK5" s="714"/>
      <c r="EL5" s="714"/>
      <c r="EM5" s="714"/>
      <c r="EN5" s="714"/>
      <c r="EO5" s="714"/>
      <c r="EP5" s="714"/>
      <c r="EQ5" s="714"/>
      <c r="ER5" s="714"/>
      <c r="ES5" s="714"/>
      <c r="ET5" s="714"/>
      <c r="EU5" s="714"/>
      <c r="EV5" s="714"/>
      <c r="EW5" s="714"/>
      <c r="EX5" s="714"/>
      <c r="EY5" s="714"/>
      <c r="EZ5" s="714"/>
      <c r="FA5" s="714"/>
      <c r="FB5" s="714"/>
      <c r="FC5" s="714"/>
      <c r="FD5" s="714"/>
      <c r="FE5" s="714"/>
      <c r="FF5" s="714"/>
      <c r="FG5" s="714"/>
      <c r="FH5" s="714"/>
      <c r="FI5" s="714"/>
      <c r="FJ5" s="714"/>
      <c r="FK5" s="714"/>
      <c r="FL5" s="714"/>
      <c r="FM5" s="714"/>
      <c r="FN5" s="714"/>
      <c r="FO5" s="714"/>
      <c r="FP5" s="714"/>
      <c r="FQ5" s="714"/>
      <c r="FR5" s="714"/>
      <c r="FS5" s="714"/>
      <c r="FT5" s="714"/>
      <c r="FU5" s="714"/>
      <c r="FV5" s="714"/>
      <c r="FW5" s="714"/>
      <c r="FX5" s="714"/>
      <c r="FY5" s="714"/>
      <c r="FZ5" s="714"/>
      <c r="GA5" s="714"/>
      <c r="GB5" s="714"/>
      <c r="GC5" s="714"/>
      <c r="GD5" s="714"/>
      <c r="GE5" s="714"/>
      <c r="GF5" s="714"/>
      <c r="GG5" s="714"/>
      <c r="GH5" s="714"/>
      <c r="GI5" s="714"/>
      <c r="GJ5" s="714"/>
      <c r="GK5" s="714"/>
      <c r="GL5" s="714"/>
      <c r="GM5" s="714"/>
      <c r="GN5" s="714"/>
      <c r="GO5" s="714"/>
      <c r="GP5" s="714"/>
      <c r="GQ5" s="714"/>
      <c r="GR5" s="714"/>
      <c r="GS5" s="714"/>
      <c r="GT5" s="714"/>
      <c r="GU5" s="714"/>
      <c r="GV5" s="714"/>
      <c r="GW5" s="714"/>
      <c r="GX5" s="714"/>
      <c r="GY5" s="714"/>
      <c r="GZ5" s="714"/>
      <c r="HA5" s="714"/>
      <c r="HB5" s="714"/>
      <c r="HC5" s="714"/>
      <c r="HD5" s="714"/>
      <c r="HE5" s="714"/>
      <c r="HF5" s="714"/>
      <c r="HG5" s="714"/>
      <c r="HH5" s="714"/>
      <c r="HI5" s="714"/>
      <c r="HJ5" s="714"/>
      <c r="HK5" s="714"/>
      <c r="HL5" s="714"/>
      <c r="HM5" s="714"/>
      <c r="HN5" s="714"/>
      <c r="HO5" s="714"/>
      <c r="HP5" s="714"/>
      <c r="HQ5" s="714"/>
      <c r="HR5" s="714"/>
      <c r="HS5" s="714"/>
      <c r="HT5" s="714"/>
      <c r="HU5" s="714"/>
      <c r="HV5" s="714"/>
      <c r="HW5" s="714"/>
      <c r="HX5" s="714"/>
      <c r="HY5" s="714"/>
      <c r="HZ5" s="714"/>
      <c r="IA5" s="714"/>
      <c r="IB5" s="714"/>
      <c r="IC5" s="714"/>
      <c r="ID5" s="714"/>
      <c r="IE5" s="714"/>
      <c r="IF5" s="714"/>
      <c r="IG5" s="714"/>
      <c r="IH5" s="714"/>
      <c r="II5" s="714"/>
      <c r="IJ5" s="714"/>
      <c r="IK5" s="714"/>
      <c r="IL5" s="714"/>
      <c r="IM5" s="714"/>
      <c r="IN5" s="714"/>
      <c r="IO5" s="714"/>
      <c r="IP5" s="714"/>
      <c r="IQ5" s="714"/>
    </row>
    <row r="6" spans="1:251" ht="20.25" customHeight="1">
      <c r="A6" s="1994" t="s">
        <v>1528</v>
      </c>
      <c r="B6" s="641"/>
      <c r="C6" s="714"/>
      <c r="D6" s="714"/>
      <c r="E6" s="714"/>
      <c r="F6" s="714"/>
      <c r="G6" s="714"/>
      <c r="H6" s="714"/>
      <c r="I6" s="714"/>
      <c r="J6" s="714"/>
      <c r="K6" s="714"/>
      <c r="L6" s="714"/>
      <c r="M6" s="714"/>
      <c r="N6" s="714"/>
      <c r="O6" s="714"/>
      <c r="P6" s="714"/>
      <c r="Q6" s="714"/>
      <c r="R6" s="714"/>
      <c r="S6" s="714"/>
      <c r="T6" s="714"/>
      <c r="U6" s="714"/>
      <c r="V6" s="714"/>
      <c r="W6" s="714"/>
      <c r="X6" s="714"/>
      <c r="Y6" s="714"/>
      <c r="Z6" s="714"/>
      <c r="AA6" s="714"/>
      <c r="AB6" s="714"/>
      <c r="AC6" s="714"/>
      <c r="AD6" s="714"/>
      <c r="AE6" s="223"/>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B6" s="714"/>
      <c r="CC6" s="714"/>
      <c r="CD6" s="714"/>
      <c r="CE6" s="714"/>
      <c r="CF6" s="714"/>
      <c r="CG6" s="714"/>
      <c r="CH6" s="714"/>
      <c r="CI6" s="714"/>
      <c r="CJ6" s="714"/>
      <c r="CK6" s="714"/>
      <c r="CL6" s="714"/>
      <c r="CM6" s="714"/>
      <c r="CN6" s="714"/>
      <c r="CO6" s="714"/>
      <c r="CP6" s="714"/>
      <c r="CQ6" s="714"/>
      <c r="CR6" s="714"/>
      <c r="CS6" s="714"/>
      <c r="CT6" s="714"/>
      <c r="CU6" s="714"/>
      <c r="CV6" s="714"/>
      <c r="CW6" s="714"/>
      <c r="CX6" s="714"/>
      <c r="CY6" s="714"/>
      <c r="CZ6" s="714"/>
      <c r="DA6" s="714"/>
      <c r="DB6" s="714"/>
      <c r="DC6" s="714"/>
      <c r="DD6" s="714"/>
      <c r="DE6" s="714"/>
      <c r="DF6" s="714"/>
      <c r="DG6" s="714"/>
      <c r="DH6" s="714"/>
      <c r="DI6" s="714"/>
      <c r="DJ6" s="714"/>
      <c r="DK6" s="714"/>
      <c r="DL6" s="714"/>
      <c r="DM6" s="714"/>
      <c r="DN6" s="714"/>
      <c r="DO6" s="714"/>
      <c r="DP6" s="714"/>
      <c r="DQ6" s="714"/>
      <c r="DR6" s="714"/>
      <c r="DS6" s="714"/>
      <c r="DT6" s="714"/>
      <c r="DU6" s="714"/>
      <c r="DV6" s="714"/>
      <c r="DW6" s="714"/>
      <c r="DX6" s="714"/>
      <c r="DY6" s="714"/>
      <c r="DZ6" s="714"/>
      <c r="EA6" s="714"/>
      <c r="EB6" s="714"/>
      <c r="EC6" s="714"/>
      <c r="ED6" s="714"/>
      <c r="EE6" s="714"/>
      <c r="EF6" s="714"/>
      <c r="EG6" s="714"/>
      <c r="EH6" s="714"/>
      <c r="EI6" s="714"/>
      <c r="EJ6" s="714"/>
      <c r="EK6" s="714"/>
      <c r="EL6" s="714"/>
      <c r="EM6" s="714"/>
      <c r="EN6" s="714"/>
      <c r="EO6" s="714"/>
      <c r="EP6" s="714"/>
      <c r="EQ6" s="714"/>
      <c r="ER6" s="714"/>
      <c r="ES6" s="714"/>
      <c r="ET6" s="714"/>
      <c r="EU6" s="714"/>
      <c r="EV6" s="714"/>
      <c r="EW6" s="714"/>
      <c r="EX6" s="714"/>
      <c r="EY6" s="714"/>
      <c r="EZ6" s="714"/>
      <c r="FA6" s="714"/>
      <c r="FB6" s="714"/>
      <c r="FC6" s="714"/>
      <c r="FD6" s="714"/>
      <c r="FE6" s="714"/>
      <c r="FF6" s="714"/>
      <c r="FG6" s="714"/>
      <c r="FH6" s="714"/>
      <c r="FI6" s="714"/>
      <c r="FJ6" s="714"/>
      <c r="FK6" s="714"/>
      <c r="FL6" s="714"/>
      <c r="FM6" s="714"/>
      <c r="FN6" s="714"/>
      <c r="FO6" s="714"/>
      <c r="FP6" s="714"/>
      <c r="FQ6" s="714"/>
      <c r="FR6" s="714"/>
      <c r="FS6" s="714"/>
      <c r="FT6" s="714"/>
      <c r="FU6" s="714"/>
      <c r="FV6" s="714"/>
      <c r="FW6" s="714"/>
      <c r="FX6" s="714"/>
      <c r="FY6" s="714"/>
      <c r="FZ6" s="714"/>
      <c r="GA6" s="714"/>
      <c r="GB6" s="714"/>
      <c r="GC6" s="714"/>
      <c r="GD6" s="714"/>
      <c r="GE6" s="714"/>
      <c r="GF6" s="714"/>
      <c r="GG6" s="714"/>
      <c r="GH6" s="714"/>
      <c r="GI6" s="714"/>
      <c r="GJ6" s="714"/>
      <c r="GK6" s="714"/>
      <c r="GL6" s="714"/>
      <c r="GM6" s="714"/>
      <c r="GN6" s="714"/>
      <c r="GO6" s="714"/>
      <c r="GP6" s="714"/>
      <c r="GQ6" s="714"/>
      <c r="GR6" s="714"/>
      <c r="GS6" s="714"/>
      <c r="GT6" s="714"/>
      <c r="GU6" s="714"/>
      <c r="GV6" s="714"/>
      <c r="GW6" s="714"/>
      <c r="GX6" s="714"/>
      <c r="GY6" s="714"/>
      <c r="GZ6" s="714"/>
      <c r="HA6" s="714"/>
      <c r="HB6" s="714"/>
      <c r="HC6" s="714"/>
      <c r="HD6" s="714"/>
      <c r="HE6" s="714"/>
      <c r="HF6" s="714"/>
      <c r="HG6" s="714"/>
      <c r="HH6" s="714"/>
      <c r="HI6" s="714"/>
      <c r="HJ6" s="714"/>
      <c r="HK6" s="714"/>
      <c r="HL6" s="714"/>
      <c r="HM6" s="714"/>
      <c r="HN6" s="714"/>
      <c r="HO6" s="714"/>
      <c r="HP6" s="714"/>
      <c r="HQ6" s="714"/>
      <c r="HR6" s="714"/>
      <c r="HS6" s="714"/>
      <c r="HT6" s="714"/>
      <c r="HU6" s="714"/>
      <c r="HV6" s="714"/>
      <c r="HW6" s="714"/>
      <c r="HX6" s="714"/>
      <c r="HY6" s="714"/>
      <c r="HZ6" s="714"/>
      <c r="IA6" s="714"/>
      <c r="IB6" s="714"/>
      <c r="IC6" s="714"/>
      <c r="ID6" s="714"/>
      <c r="IE6" s="714"/>
      <c r="IF6" s="714"/>
      <c r="IG6" s="714"/>
      <c r="IH6" s="714"/>
      <c r="II6" s="714"/>
      <c r="IJ6" s="714"/>
      <c r="IK6" s="714"/>
      <c r="IL6" s="714"/>
      <c r="IM6" s="714"/>
      <c r="IN6" s="714"/>
      <c r="IO6" s="714"/>
      <c r="IP6" s="714"/>
      <c r="IQ6" s="714"/>
    </row>
    <row r="7" spans="1:251" ht="20.25" customHeight="1">
      <c r="A7" s="1993" t="s">
        <v>1103</v>
      </c>
      <c r="B7" s="641"/>
      <c r="C7" s="714"/>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223"/>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4"/>
      <c r="BK7" s="714"/>
      <c r="BL7" s="714"/>
      <c r="BM7" s="714"/>
      <c r="BN7" s="714"/>
      <c r="BO7" s="714"/>
      <c r="BP7" s="714"/>
      <c r="BQ7" s="714"/>
      <c r="BR7" s="714"/>
      <c r="BS7" s="714"/>
      <c r="BT7" s="714"/>
      <c r="BU7" s="714"/>
      <c r="BV7" s="714"/>
      <c r="BW7" s="714"/>
      <c r="BX7" s="714"/>
      <c r="BY7" s="714"/>
      <c r="BZ7" s="714"/>
      <c r="CA7" s="714"/>
      <c r="CB7" s="714"/>
      <c r="CC7" s="714"/>
      <c r="CD7" s="714"/>
      <c r="CE7" s="714"/>
      <c r="CF7" s="714"/>
      <c r="CG7" s="714"/>
      <c r="CH7" s="714"/>
      <c r="CI7" s="714"/>
      <c r="CJ7" s="714"/>
      <c r="CK7" s="714"/>
      <c r="CL7" s="714"/>
      <c r="CM7" s="714"/>
      <c r="CN7" s="714"/>
      <c r="CO7" s="714"/>
      <c r="CP7" s="714"/>
      <c r="CQ7" s="714"/>
      <c r="CR7" s="714"/>
      <c r="CS7" s="714"/>
      <c r="CT7" s="714"/>
      <c r="CU7" s="714"/>
      <c r="CV7" s="714"/>
      <c r="CW7" s="714"/>
      <c r="CX7" s="714"/>
      <c r="CY7" s="714"/>
      <c r="CZ7" s="714"/>
      <c r="DA7" s="714"/>
      <c r="DB7" s="714"/>
      <c r="DC7" s="714"/>
      <c r="DD7" s="714"/>
      <c r="DE7" s="714"/>
      <c r="DF7" s="714"/>
      <c r="DG7" s="714"/>
      <c r="DH7" s="714"/>
      <c r="DI7" s="714"/>
      <c r="DJ7" s="714"/>
      <c r="DK7" s="714"/>
      <c r="DL7" s="714"/>
      <c r="DM7" s="714"/>
      <c r="DN7" s="714"/>
      <c r="DO7" s="714"/>
      <c r="DP7" s="714"/>
      <c r="DQ7" s="714"/>
      <c r="DR7" s="714"/>
      <c r="DS7" s="714"/>
      <c r="DT7" s="714"/>
      <c r="DU7" s="714"/>
      <c r="DV7" s="714"/>
      <c r="DW7" s="714"/>
      <c r="DX7" s="714"/>
      <c r="DY7" s="714"/>
      <c r="DZ7" s="714"/>
      <c r="EA7" s="714"/>
      <c r="EB7" s="714"/>
      <c r="EC7" s="714"/>
      <c r="ED7" s="714"/>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4"/>
      <c r="FJ7" s="714"/>
      <c r="FK7" s="714"/>
      <c r="FL7" s="714"/>
      <c r="FM7" s="714"/>
      <c r="FN7" s="714"/>
      <c r="FO7" s="714"/>
      <c r="FP7" s="714"/>
      <c r="FQ7" s="714"/>
      <c r="FR7" s="714"/>
      <c r="FS7" s="714"/>
      <c r="FT7" s="714"/>
      <c r="FU7" s="714"/>
      <c r="FV7" s="714"/>
      <c r="FW7" s="714"/>
      <c r="FX7" s="714"/>
      <c r="FY7" s="714"/>
      <c r="FZ7" s="714"/>
      <c r="GA7" s="714"/>
      <c r="GB7" s="714"/>
      <c r="GC7" s="714"/>
      <c r="GD7" s="714"/>
      <c r="GE7" s="714"/>
      <c r="GF7" s="714"/>
      <c r="GG7" s="714"/>
      <c r="GH7" s="714"/>
      <c r="GI7" s="714"/>
      <c r="GJ7" s="714"/>
      <c r="GK7" s="714"/>
      <c r="GL7" s="714"/>
      <c r="GM7" s="714"/>
      <c r="GN7" s="714"/>
      <c r="GO7" s="714"/>
      <c r="GP7" s="714"/>
      <c r="GQ7" s="714"/>
      <c r="GR7" s="714"/>
      <c r="GS7" s="714"/>
      <c r="GT7" s="714"/>
      <c r="GU7" s="714"/>
      <c r="GV7" s="714"/>
      <c r="GW7" s="714"/>
      <c r="GX7" s="714"/>
      <c r="GY7" s="714"/>
      <c r="GZ7" s="714"/>
      <c r="HA7" s="714"/>
      <c r="HB7" s="714"/>
      <c r="HC7" s="714"/>
      <c r="HD7" s="714"/>
      <c r="HE7" s="714"/>
      <c r="HF7" s="714"/>
      <c r="HG7" s="714"/>
      <c r="HH7" s="714"/>
      <c r="HI7" s="714"/>
      <c r="HJ7" s="714"/>
      <c r="HK7" s="714"/>
      <c r="HL7" s="714"/>
      <c r="HM7" s="714"/>
      <c r="HN7" s="714"/>
      <c r="HO7" s="714"/>
      <c r="HP7" s="714"/>
      <c r="HQ7" s="714"/>
      <c r="HR7" s="714"/>
      <c r="HS7" s="714"/>
      <c r="HT7" s="714"/>
      <c r="HU7" s="714"/>
      <c r="HV7" s="714"/>
      <c r="HW7" s="714"/>
      <c r="HX7" s="714"/>
      <c r="HY7" s="714"/>
      <c r="HZ7" s="714"/>
      <c r="IA7" s="714"/>
      <c r="IB7" s="714"/>
      <c r="IC7" s="714"/>
      <c r="ID7" s="714"/>
      <c r="IE7" s="714"/>
      <c r="IF7" s="714"/>
      <c r="IG7" s="714"/>
      <c r="IH7" s="714"/>
      <c r="II7" s="714"/>
      <c r="IJ7" s="714"/>
      <c r="IK7" s="714"/>
      <c r="IL7" s="714"/>
      <c r="IM7" s="714"/>
      <c r="IN7" s="714"/>
      <c r="IO7" s="714"/>
      <c r="IP7" s="714"/>
      <c r="IQ7" s="714"/>
    </row>
    <row r="8" spans="1:251" ht="16.5" customHeight="1">
      <c r="AE8" s="223"/>
    </row>
    <row r="9" spans="1:251" ht="16.5" customHeight="1">
      <c r="A9" s="715"/>
      <c r="B9" s="422"/>
      <c r="C9" s="422"/>
      <c r="D9" s="422"/>
      <c r="E9" s="422"/>
      <c r="F9" s="422"/>
      <c r="G9" s="422"/>
      <c r="H9" s="502"/>
      <c r="I9" s="502"/>
      <c r="J9" s="502"/>
      <c r="K9" s="422"/>
      <c r="L9" s="422"/>
      <c r="M9" s="422"/>
      <c r="N9" s="422"/>
      <c r="O9" s="422"/>
      <c r="P9" s="422"/>
      <c r="Q9" s="422"/>
      <c r="R9" s="422"/>
      <c r="S9" s="422"/>
      <c r="T9" s="422"/>
      <c r="U9" s="422"/>
      <c r="V9" s="422"/>
      <c r="W9" s="422"/>
      <c r="X9" s="422"/>
      <c r="Y9" s="422"/>
      <c r="Z9" s="422"/>
      <c r="AA9" s="422"/>
      <c r="AB9" s="422"/>
      <c r="AC9" s="422"/>
      <c r="AD9" s="422"/>
      <c r="AE9" s="411"/>
      <c r="AF9" s="2261"/>
      <c r="AG9" s="2261"/>
      <c r="AH9" s="2261"/>
      <c r="AI9" s="2261"/>
    </row>
    <row r="10" spans="1:251" ht="16.5" customHeight="1">
      <c r="A10" s="455"/>
      <c r="B10" s="460"/>
      <c r="C10" s="460"/>
      <c r="D10" s="460"/>
      <c r="E10" s="460"/>
      <c r="F10" s="460"/>
      <c r="G10" s="460"/>
      <c r="H10" s="460"/>
      <c r="I10" s="460"/>
      <c r="J10" s="460"/>
      <c r="K10" s="460"/>
      <c r="L10" s="460"/>
      <c r="M10" s="460"/>
      <c r="N10" s="460"/>
      <c r="O10" s="460"/>
      <c r="P10" s="460"/>
      <c r="Q10" s="460"/>
      <c r="R10" s="460"/>
      <c r="S10" s="460"/>
      <c r="T10" s="460"/>
      <c r="U10" s="460"/>
      <c r="V10" s="460"/>
      <c r="W10" s="460"/>
      <c r="X10" s="460"/>
      <c r="Y10" s="460"/>
      <c r="Z10" s="1557"/>
      <c r="AA10" s="3582" t="s">
        <v>1664</v>
      </c>
      <c r="AB10" s="3582"/>
      <c r="AC10" s="3582"/>
      <c r="AD10" s="3582"/>
      <c r="AE10" s="3582"/>
      <c r="AF10" s="3582"/>
      <c r="AG10" s="3582"/>
      <c r="AH10" s="3582"/>
      <c r="AI10" s="3582"/>
    </row>
    <row r="11" spans="1:251" ht="16.5" customHeight="1">
      <c r="A11" s="455"/>
      <c r="B11" s="1556">
        <v>2015</v>
      </c>
      <c r="C11" s="461"/>
      <c r="D11" s="461"/>
      <c r="E11" s="461"/>
      <c r="F11" s="461"/>
      <c r="G11" s="461"/>
      <c r="H11" s="461"/>
      <c r="I11" s="461"/>
      <c r="J11" s="461"/>
      <c r="K11" s="461"/>
      <c r="L11" s="461"/>
      <c r="M11" s="461"/>
      <c r="N11" s="461"/>
      <c r="O11" s="461"/>
      <c r="P11" s="461"/>
      <c r="Q11" s="461"/>
      <c r="R11" s="461"/>
      <c r="S11" s="461"/>
      <c r="T11" s="1556">
        <v>2016</v>
      </c>
      <c r="U11" s="461"/>
      <c r="V11" s="461"/>
      <c r="W11" s="461"/>
      <c r="X11" s="461"/>
      <c r="Y11" s="461"/>
      <c r="Z11" s="1557"/>
      <c r="AA11" s="1557"/>
      <c r="AB11" s="1557"/>
      <c r="AC11" s="1557"/>
      <c r="AD11" s="1557"/>
      <c r="AE11" s="1990"/>
      <c r="AF11" s="2249"/>
      <c r="AG11" s="2263" t="s">
        <v>8</v>
      </c>
      <c r="AH11" s="2263"/>
      <c r="AI11" s="2264" t="s">
        <v>9</v>
      </c>
    </row>
    <row r="12" spans="1:251" ht="16.5" customHeight="1">
      <c r="A12" s="455"/>
      <c r="B12" s="1558" t="s">
        <v>129</v>
      </c>
      <c r="C12" s="461"/>
      <c r="D12" s="1558" t="s">
        <v>130</v>
      </c>
      <c r="E12" s="461"/>
      <c r="F12" s="1558" t="s">
        <v>131</v>
      </c>
      <c r="G12" s="461"/>
      <c r="H12" s="1558" t="s">
        <v>132</v>
      </c>
      <c r="I12" s="461"/>
      <c r="J12" s="1558" t="s">
        <v>133</v>
      </c>
      <c r="K12" s="461"/>
      <c r="L12" s="1556" t="s">
        <v>148</v>
      </c>
      <c r="M12" s="461"/>
      <c r="N12" s="1556" t="s">
        <v>149</v>
      </c>
      <c r="O12" s="461"/>
      <c r="P12" s="1558" t="s">
        <v>136</v>
      </c>
      <c r="Q12" s="461"/>
      <c r="R12" s="1558" t="s">
        <v>137</v>
      </c>
      <c r="S12" s="461"/>
      <c r="T12" s="1558" t="s">
        <v>138</v>
      </c>
      <c r="U12" s="461"/>
      <c r="V12" s="1558" t="s">
        <v>139</v>
      </c>
      <c r="W12" s="461"/>
      <c r="X12" s="1556" t="s">
        <v>192</v>
      </c>
      <c r="Y12" s="461"/>
      <c r="Z12" s="461"/>
      <c r="AA12" s="1558">
        <v>2015</v>
      </c>
      <c r="AB12" s="461" t="s">
        <v>16</v>
      </c>
      <c r="AC12" s="461"/>
      <c r="AD12" s="1558">
        <v>2014</v>
      </c>
      <c r="AE12" s="1749"/>
      <c r="AF12" s="2287"/>
      <c r="AG12" s="2265" t="s">
        <v>13</v>
      </c>
      <c r="AH12" s="2266"/>
      <c r="AI12" s="2265" t="s">
        <v>14</v>
      </c>
    </row>
    <row r="13" spans="1:251" ht="4.5" customHeight="1">
      <c r="A13" s="455"/>
      <c r="B13" s="716"/>
      <c r="C13" s="455"/>
      <c r="D13" s="716"/>
      <c r="E13" s="455"/>
      <c r="F13" s="716"/>
      <c r="G13" s="455"/>
      <c r="H13" s="716"/>
      <c r="I13" s="455"/>
      <c r="J13" s="716"/>
      <c r="K13" s="455"/>
      <c r="L13" s="716"/>
      <c r="M13" s="455"/>
      <c r="N13" s="716"/>
      <c r="O13" s="455"/>
      <c r="P13" s="716"/>
      <c r="Q13" s="455"/>
      <c r="R13" s="716"/>
      <c r="S13" s="455"/>
      <c r="T13" s="716"/>
      <c r="U13" s="455"/>
      <c r="V13" s="716"/>
      <c r="W13" s="455"/>
      <c r="X13" s="716"/>
      <c r="Y13" s="455"/>
      <c r="Z13" s="455"/>
      <c r="AA13" s="716"/>
      <c r="AB13" s="455"/>
      <c r="AC13" s="455"/>
      <c r="AD13" s="716"/>
      <c r="AE13" s="1991"/>
      <c r="AF13" s="2290"/>
    </row>
    <row r="14" spans="1:251" ht="16.5" customHeight="1">
      <c r="A14" s="642" t="s">
        <v>141</v>
      </c>
      <c r="B14" s="717">
        <v>-196.7</v>
      </c>
      <c r="C14" s="717"/>
      <c r="D14" s="717">
        <f>+B50</f>
        <v>-225.9</v>
      </c>
      <c r="E14" s="717"/>
      <c r="F14" s="717">
        <f>+D50</f>
        <v>-218.1</v>
      </c>
      <c r="G14" s="717"/>
      <c r="H14" s="717">
        <f>+F50</f>
        <v>-225.9</v>
      </c>
      <c r="I14" s="717"/>
      <c r="J14" s="717">
        <f>H50</f>
        <v>-224.3</v>
      </c>
      <c r="K14" s="717"/>
      <c r="L14" s="717">
        <f>+J50</f>
        <v>-224.1</v>
      </c>
      <c r="M14" s="717"/>
      <c r="N14" s="717">
        <f>+L50</f>
        <v>-214.9</v>
      </c>
      <c r="O14" s="717"/>
      <c r="P14" s="717">
        <f>+N50</f>
        <v>-214.7</v>
      </c>
      <c r="Q14" s="717"/>
      <c r="R14" s="717">
        <f>+P50</f>
        <v>-236.2</v>
      </c>
      <c r="S14" s="717"/>
      <c r="T14" s="717"/>
      <c r="U14" s="717"/>
      <c r="V14" s="717"/>
      <c r="W14" s="717"/>
      <c r="X14" s="717"/>
      <c r="Y14" s="717"/>
      <c r="Z14" s="718"/>
      <c r="AA14" s="717">
        <f>B14</f>
        <v>-196.7</v>
      </c>
      <c r="AB14" s="719"/>
      <c r="AC14" s="720"/>
      <c r="AD14" s="717">
        <v>-72.7</v>
      </c>
      <c r="AE14" s="721"/>
      <c r="AF14" s="2291"/>
      <c r="AG14" s="2267">
        <f>ROUND(SUM(AA14-AD14),1)</f>
        <v>-124</v>
      </c>
      <c r="AI14" s="2680">
        <f>-ROUND(IF(AG14=0,0,AG14/(AD14)),3)</f>
        <v>-1.706</v>
      </c>
    </row>
    <row r="15" spans="1:251" ht="16.5" customHeight="1">
      <c r="A15" s="352"/>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2"/>
      <c r="AA15" s="721"/>
      <c r="AB15" s="723"/>
      <c r="AC15" s="724"/>
      <c r="AD15" s="721"/>
      <c r="AE15" s="721"/>
      <c r="AF15" s="2291"/>
      <c r="AG15" s="2269"/>
      <c r="AI15" s="2260"/>
    </row>
    <row r="16" spans="1:251" ht="16.5" customHeight="1">
      <c r="A16" s="461" t="s">
        <v>15</v>
      </c>
      <c r="B16" s="721"/>
      <c r="C16" s="721"/>
      <c r="D16" s="721"/>
      <c r="E16" s="721"/>
      <c r="F16" s="721"/>
      <c r="G16" s="721"/>
      <c r="H16" s="721"/>
      <c r="I16" s="721"/>
      <c r="J16" s="721"/>
      <c r="K16" s="721"/>
      <c r="L16" s="721"/>
      <c r="M16" s="721"/>
      <c r="N16" s="721"/>
      <c r="O16" s="721"/>
      <c r="P16" s="721"/>
      <c r="Q16" s="721"/>
      <c r="R16" s="721"/>
      <c r="S16" s="721"/>
      <c r="T16" s="721"/>
      <c r="U16" s="721"/>
      <c r="V16" s="721"/>
      <c r="W16" s="721"/>
      <c r="X16" s="721"/>
      <c r="Y16" s="721"/>
      <c r="Z16" s="722"/>
      <c r="AA16" s="721"/>
      <c r="AB16" s="723"/>
      <c r="AC16" s="724"/>
      <c r="AD16" s="721"/>
      <c r="AE16" s="1777"/>
      <c r="AF16" s="2252"/>
      <c r="AG16" s="2275"/>
      <c r="AI16" s="2279"/>
    </row>
    <row r="17" spans="1:35" ht="16.5" customHeight="1">
      <c r="A17" s="352" t="s">
        <v>185</v>
      </c>
      <c r="B17" s="442">
        <v>16</v>
      </c>
      <c r="C17" s="442"/>
      <c r="D17" s="725">
        <v>40.6</v>
      </c>
      <c r="E17" s="442"/>
      <c r="F17" s="725">
        <v>49.7</v>
      </c>
      <c r="G17" s="442"/>
      <c r="H17" s="725">
        <v>43.9</v>
      </c>
      <c r="I17" s="442"/>
      <c r="J17" s="725">
        <v>43.7</v>
      </c>
      <c r="K17" s="442"/>
      <c r="L17" s="725">
        <v>64.3</v>
      </c>
      <c r="M17" s="442"/>
      <c r="N17" s="725">
        <v>14.8</v>
      </c>
      <c r="O17" s="442"/>
      <c r="P17" s="725">
        <v>37.299999999999997</v>
      </c>
      <c r="Q17" s="442"/>
      <c r="R17" s="725">
        <v>36.5</v>
      </c>
      <c r="S17" s="442"/>
      <c r="T17" s="725"/>
      <c r="U17" s="442"/>
      <c r="V17" s="694"/>
      <c r="W17" s="442"/>
      <c r="X17" s="694"/>
      <c r="Y17" s="442"/>
      <c r="Z17" s="726"/>
      <c r="AA17" s="442">
        <f>ROUND(SUM(B17:X17),1)</f>
        <v>346.8</v>
      </c>
      <c r="AB17" s="727"/>
      <c r="AC17" s="449"/>
      <c r="AD17" s="442">
        <v>320.60000000000002</v>
      </c>
      <c r="AE17" s="1779"/>
      <c r="AF17" s="2252"/>
      <c r="AG17" s="2282">
        <f>ROUND(SUM(AA17-AD17),1)</f>
        <v>26.2</v>
      </c>
      <c r="AI17" s="2283">
        <f>ROUND(IF(AG17=0,0,AG17/ABS(AD17)),3)</f>
        <v>8.2000000000000003E-2</v>
      </c>
    </row>
    <row r="18" spans="1:35" ht="16.5" customHeight="1">
      <c r="A18" s="352"/>
      <c r="B18" s="728"/>
      <c r="C18" s="442"/>
      <c r="D18" s="728"/>
      <c r="E18" s="442"/>
      <c r="F18" s="728"/>
      <c r="G18" s="442"/>
      <c r="H18" s="728"/>
      <c r="I18" s="442"/>
      <c r="J18" s="728"/>
      <c r="K18" s="442"/>
      <c r="L18" s="728"/>
      <c r="M18" s="442"/>
      <c r="N18" s="728"/>
      <c r="O18" s="442"/>
      <c r="P18" s="728"/>
      <c r="Q18" s="442"/>
      <c r="R18" s="728"/>
      <c r="S18" s="442"/>
      <c r="T18" s="728"/>
      <c r="U18" s="442"/>
      <c r="V18" s="728"/>
      <c r="W18" s="442"/>
      <c r="X18" s="728"/>
      <c r="Y18" s="442"/>
      <c r="Z18" s="726"/>
      <c r="AA18" s="728"/>
      <c r="AB18" s="727"/>
      <c r="AC18" s="449"/>
      <c r="AD18" s="728"/>
      <c r="AE18" s="449"/>
      <c r="AF18" s="2252"/>
      <c r="AG18" s="2275"/>
      <c r="AI18" s="2260"/>
    </row>
    <row r="19" spans="1:35" ht="16.5" customHeight="1">
      <c r="A19" s="461" t="s">
        <v>156</v>
      </c>
      <c r="B19" s="729">
        <f>ROUND(SUM(B17),1)</f>
        <v>16</v>
      </c>
      <c r="C19" s="729"/>
      <c r="D19" s="729">
        <f>ROUND(SUM(D17),1)</f>
        <v>40.6</v>
      </c>
      <c r="E19" s="729"/>
      <c r="F19" s="729">
        <f>ROUND(SUM(F17),1)</f>
        <v>49.7</v>
      </c>
      <c r="G19" s="729"/>
      <c r="H19" s="729">
        <f>ROUND(SUM(H17),1)</f>
        <v>43.9</v>
      </c>
      <c r="I19" s="729"/>
      <c r="J19" s="729">
        <f>ROUND(SUM(J17),1)</f>
        <v>43.7</v>
      </c>
      <c r="K19" s="729"/>
      <c r="L19" s="729">
        <f>ROUND(SUM(L17),1)</f>
        <v>64.3</v>
      </c>
      <c r="M19" s="729"/>
      <c r="N19" s="729">
        <f>ROUND(SUM(N17),1)</f>
        <v>14.8</v>
      </c>
      <c r="O19" s="729"/>
      <c r="P19" s="729">
        <f>ROUND(SUM(P17),1)</f>
        <v>37.299999999999997</v>
      </c>
      <c r="Q19" s="729"/>
      <c r="R19" s="729">
        <f>ROUND(SUM(R17),1)</f>
        <v>36.5</v>
      </c>
      <c r="S19" s="729"/>
      <c r="T19" s="729">
        <f>ROUND(SUM(T17),1)</f>
        <v>0</v>
      </c>
      <c r="U19" s="729"/>
      <c r="V19" s="729">
        <f>ROUND(SUM(V17),1)</f>
        <v>0</v>
      </c>
      <c r="W19" s="729"/>
      <c r="X19" s="729">
        <f>ROUND(SUM(X17),1)</f>
        <v>0</v>
      </c>
      <c r="Y19" s="729"/>
      <c r="Z19" s="730"/>
      <c r="AA19" s="729">
        <f>ROUND(SUM(AA17),1)</f>
        <v>346.8</v>
      </c>
      <c r="AB19" s="731"/>
      <c r="AC19" s="732"/>
      <c r="AD19" s="729">
        <f>ROUND(SUM(AD17),1)</f>
        <v>320.60000000000002</v>
      </c>
      <c r="AE19" s="442"/>
      <c r="AF19" s="2252"/>
      <c r="AG19" s="2276">
        <f>ROUND(SUM(AG17),1)</f>
        <v>26.2</v>
      </c>
      <c r="AH19" s="2277"/>
      <c r="AI19" s="2278">
        <f>ROUND(IF(AG19=0,0,AG19/ABS(AD19)),3)</f>
        <v>8.2000000000000003E-2</v>
      </c>
    </row>
    <row r="20" spans="1:35" ht="16.5" customHeight="1">
      <c r="A20" s="352"/>
      <c r="B20" s="728"/>
      <c r="C20" s="442"/>
      <c r="D20" s="728"/>
      <c r="E20" s="442"/>
      <c r="F20" s="728"/>
      <c r="G20" s="442"/>
      <c r="H20" s="728"/>
      <c r="I20" s="442"/>
      <c r="J20" s="728"/>
      <c r="K20" s="442"/>
      <c r="L20" s="728"/>
      <c r="M20" s="442"/>
      <c r="N20" s="728"/>
      <c r="O20" s="442"/>
      <c r="P20" s="728"/>
      <c r="Q20" s="442"/>
      <c r="R20" s="728"/>
      <c r="S20" s="442"/>
      <c r="T20" s="728"/>
      <c r="U20" s="442"/>
      <c r="V20" s="728"/>
      <c r="W20" s="442"/>
      <c r="X20" s="728"/>
      <c r="Y20" s="442"/>
      <c r="Z20" s="726"/>
      <c r="AA20" s="728"/>
      <c r="AB20" s="727"/>
      <c r="AC20" s="449"/>
      <c r="AD20" s="728"/>
      <c r="AE20" s="442"/>
      <c r="AF20" s="2252"/>
      <c r="AG20" s="2275"/>
      <c r="AI20" s="2260"/>
    </row>
    <row r="21" spans="1:35" ht="16.5" customHeight="1">
      <c r="A21" s="352"/>
      <c r="B21" s="442"/>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726"/>
      <c r="AA21" s="442"/>
      <c r="AB21" s="727"/>
      <c r="AC21" s="449"/>
      <c r="AD21" s="442"/>
      <c r="AE21" s="444"/>
      <c r="AF21" s="2253"/>
      <c r="AG21" s="2275"/>
      <c r="AI21" s="2260"/>
    </row>
    <row r="22" spans="1:35" ht="16.5" customHeight="1">
      <c r="A22" s="352"/>
      <c r="B22" s="442"/>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726"/>
      <c r="AA22" s="442"/>
      <c r="AB22" s="727"/>
      <c r="AC22" s="449"/>
      <c r="AD22" s="442"/>
      <c r="AE22" s="694"/>
      <c r="AF22" s="2253"/>
      <c r="AG22" s="2275"/>
      <c r="AI22" s="2279"/>
    </row>
    <row r="23" spans="1:35" ht="16.5" customHeight="1">
      <c r="A23" s="461" t="s">
        <v>24</v>
      </c>
      <c r="B23" s="442"/>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726"/>
      <c r="AA23" s="442"/>
      <c r="AB23" s="727"/>
      <c r="AC23" s="449"/>
      <c r="AD23" s="442"/>
      <c r="AE23" s="444"/>
      <c r="AF23" s="2253"/>
      <c r="AG23" s="2275"/>
      <c r="AH23" s="2280"/>
      <c r="AI23" s="2279"/>
    </row>
    <row r="24" spans="1:35" ht="16.5" customHeight="1">
      <c r="A24" s="352" t="s">
        <v>158</v>
      </c>
      <c r="B24" s="442"/>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726"/>
      <c r="AA24" s="442"/>
      <c r="AB24" s="727"/>
      <c r="AC24" s="449"/>
      <c r="AD24" s="444"/>
      <c r="AE24" s="1799"/>
      <c r="AF24" s="2253"/>
      <c r="AG24" s="2275"/>
      <c r="AI24" s="2279"/>
    </row>
    <row r="25" spans="1:35" ht="16.5" customHeight="1">
      <c r="A25" s="352" t="s">
        <v>226</v>
      </c>
      <c r="B25" s="442">
        <v>7.4</v>
      </c>
      <c r="C25" s="442"/>
      <c r="D25" s="725">
        <v>6.6</v>
      </c>
      <c r="E25" s="442"/>
      <c r="F25" s="725">
        <v>7.4</v>
      </c>
      <c r="G25" s="442"/>
      <c r="H25" s="725">
        <v>9.1</v>
      </c>
      <c r="I25" s="442"/>
      <c r="J25" s="725">
        <v>6.5</v>
      </c>
      <c r="K25" s="442"/>
      <c r="L25" s="725">
        <v>6.7</v>
      </c>
      <c r="M25" s="442"/>
      <c r="N25" s="725">
        <v>7</v>
      </c>
      <c r="O25" s="442"/>
      <c r="P25" s="725">
        <v>6</v>
      </c>
      <c r="Q25" s="442"/>
      <c r="R25" s="725">
        <v>9.6</v>
      </c>
      <c r="S25" s="442"/>
      <c r="T25" s="725"/>
      <c r="U25" s="442"/>
      <c r="V25" s="694"/>
      <c r="W25" s="442"/>
      <c r="X25" s="694"/>
      <c r="Y25" s="442"/>
      <c r="Z25" s="726"/>
      <c r="AA25" s="3387">
        <f>ROUND(SUM(B25:X25),1)</f>
        <v>66.3</v>
      </c>
      <c r="AB25" s="727"/>
      <c r="AC25" s="449"/>
      <c r="AD25" s="442">
        <v>67.5</v>
      </c>
      <c r="AE25" s="1800"/>
      <c r="AF25" s="2253"/>
      <c r="AG25" s="2275">
        <f>ROUND(SUM(AA25-AD25),1)</f>
        <v>-1.2</v>
      </c>
      <c r="AI25" s="2281">
        <f>ROUND(IF(AG25=0,0,AG25/ABS(AD25)),3)</f>
        <v>-1.7999999999999999E-2</v>
      </c>
    </row>
    <row r="26" spans="1:35" ht="16.5" customHeight="1">
      <c r="A26" s="352" t="s">
        <v>186</v>
      </c>
      <c r="B26" s="442">
        <v>39.799999999999997</v>
      </c>
      <c r="C26" s="442"/>
      <c r="D26" s="725">
        <v>25.8</v>
      </c>
      <c r="E26" s="442"/>
      <c r="F26" s="725">
        <v>45.5</v>
      </c>
      <c r="G26" s="442"/>
      <c r="H26" s="725">
        <v>33.799999999999997</v>
      </c>
      <c r="I26" s="442"/>
      <c r="J26" s="725">
        <v>37.700000000000003</v>
      </c>
      <c r="K26" s="442"/>
      <c r="L26" s="725">
        <v>53.1</v>
      </c>
      <c r="M26" s="442"/>
      <c r="N26" s="725">
        <v>5.9</v>
      </c>
      <c r="O26" s="442"/>
      <c r="P26" s="725">
        <v>59.8</v>
      </c>
      <c r="Q26" s="442"/>
      <c r="R26" s="725">
        <v>38.1</v>
      </c>
      <c r="S26" s="442"/>
      <c r="T26" s="725"/>
      <c r="U26" s="442"/>
      <c r="V26" s="694"/>
      <c r="W26" s="442"/>
      <c r="X26" s="694"/>
      <c r="Y26" s="442"/>
      <c r="Z26" s="726"/>
      <c r="AA26" s="3387">
        <f>ROUND(SUM(B26:X26),1)</f>
        <v>339.5</v>
      </c>
      <c r="AB26" s="727"/>
      <c r="AC26" s="449"/>
      <c r="AD26" s="442">
        <v>411.5</v>
      </c>
      <c r="AE26" s="449"/>
      <c r="AF26" s="2252"/>
      <c r="AG26" s="2275">
        <f>ROUND(SUM(AA26-AD26),1)</f>
        <v>-72</v>
      </c>
      <c r="AI26" s="2281">
        <f>ROUND(IF(AG26=0,0,AG26/ABS(AD26)),3)</f>
        <v>-0.17499999999999999</v>
      </c>
    </row>
    <row r="27" spans="1:35" ht="16.5" customHeight="1">
      <c r="A27" s="352" t="s">
        <v>161</v>
      </c>
      <c r="B27" s="442">
        <v>1</v>
      </c>
      <c r="C27" s="442"/>
      <c r="D27" s="725">
        <v>3.4</v>
      </c>
      <c r="E27" s="442"/>
      <c r="F27" s="725">
        <v>5.3</v>
      </c>
      <c r="G27" s="442"/>
      <c r="H27" s="444">
        <v>0.1</v>
      </c>
      <c r="I27" s="442"/>
      <c r="J27" s="725">
        <v>9.5</v>
      </c>
      <c r="K27" s="442"/>
      <c r="L27" s="725">
        <v>0.6</v>
      </c>
      <c r="M27" s="442"/>
      <c r="N27" s="725">
        <v>0.3</v>
      </c>
      <c r="O27" s="442"/>
      <c r="P27" s="725">
        <v>1.5</v>
      </c>
      <c r="Q27" s="442"/>
      <c r="R27" s="444">
        <v>9.8000000000000007</v>
      </c>
      <c r="S27" s="442"/>
      <c r="T27" s="725"/>
      <c r="U27" s="442"/>
      <c r="V27" s="694"/>
      <c r="W27" s="442"/>
      <c r="X27" s="694"/>
      <c r="Y27" s="442"/>
      <c r="Z27" s="726"/>
      <c r="AA27" s="3387">
        <f>ROUND(SUM(B27:X27),1)</f>
        <v>31.5</v>
      </c>
      <c r="AB27" s="727"/>
      <c r="AC27" s="449"/>
      <c r="AD27" s="694">
        <v>38.5</v>
      </c>
      <c r="AE27" s="442"/>
      <c r="AF27" s="2252"/>
      <c r="AG27" s="2282">
        <f>ROUND(SUM(AA27-AD27),1)</f>
        <v>-7</v>
      </c>
      <c r="AI27" s="2283">
        <f>ROUND(IF(AG27=0,0,AG27/ABS(AD27)),3)</f>
        <v>-0.182</v>
      </c>
    </row>
    <row r="28" spans="1:35" ht="16.5" customHeight="1">
      <c r="A28" s="352"/>
      <c r="B28" s="728"/>
      <c r="C28" s="442"/>
      <c r="D28" s="728"/>
      <c r="E28" s="442"/>
      <c r="F28" s="728"/>
      <c r="G28" s="442"/>
      <c r="H28" s="728"/>
      <c r="I28" s="442"/>
      <c r="J28" s="728"/>
      <c r="K28" s="442"/>
      <c r="L28" s="728"/>
      <c r="M28" s="442"/>
      <c r="N28" s="728"/>
      <c r="O28" s="442"/>
      <c r="P28" s="728"/>
      <c r="Q28" s="442"/>
      <c r="R28" s="728"/>
      <c r="S28" s="442"/>
      <c r="T28" s="728"/>
      <c r="U28" s="442"/>
      <c r="V28" s="728"/>
      <c r="W28" s="442"/>
      <c r="X28" s="728"/>
      <c r="Y28" s="442"/>
      <c r="Z28" s="726"/>
      <c r="AA28" s="3388"/>
      <c r="AB28" s="727"/>
      <c r="AC28" s="449"/>
      <c r="AD28" s="728"/>
      <c r="AE28" s="1789"/>
      <c r="AF28" s="2253"/>
      <c r="AG28" s="2275"/>
      <c r="AH28" s="2284"/>
      <c r="AI28" s="2279"/>
    </row>
    <row r="29" spans="1:35" ht="16.5" customHeight="1">
      <c r="A29" s="461" t="s">
        <v>162</v>
      </c>
      <c r="B29" s="729">
        <f>ROUND(SUM(B25:B28),1)</f>
        <v>48.2</v>
      </c>
      <c r="C29" s="729"/>
      <c r="D29" s="729">
        <f>ROUND(SUM(D25:D28),1)</f>
        <v>35.799999999999997</v>
      </c>
      <c r="E29" s="729"/>
      <c r="F29" s="729">
        <f>ROUND(SUM(F25:F28),1)</f>
        <v>58.2</v>
      </c>
      <c r="G29" s="729"/>
      <c r="H29" s="729">
        <f>ROUND(SUM(H25:H28),1)</f>
        <v>43</v>
      </c>
      <c r="I29" s="729"/>
      <c r="J29" s="729">
        <f>ROUND(SUM(J25:J28),1)</f>
        <v>53.7</v>
      </c>
      <c r="K29" s="729"/>
      <c r="L29" s="729">
        <f>ROUND(SUM(L25:L28),1)</f>
        <v>60.4</v>
      </c>
      <c r="M29" s="729"/>
      <c r="N29" s="729">
        <f>ROUND(SUM(N25:N28),1)</f>
        <v>13.2</v>
      </c>
      <c r="O29" s="729"/>
      <c r="P29" s="729">
        <f>ROUND(SUM(P25:P28),1)</f>
        <v>67.3</v>
      </c>
      <c r="Q29" s="729"/>
      <c r="R29" s="729">
        <f>ROUND(SUM(R25:R28),1)</f>
        <v>57.5</v>
      </c>
      <c r="S29" s="729"/>
      <c r="T29" s="729">
        <f>ROUND(SUM(T25:T28),1)</f>
        <v>0</v>
      </c>
      <c r="U29" s="729"/>
      <c r="V29" s="729">
        <f>ROUND(SUM(V25:V28),1)</f>
        <v>0</v>
      </c>
      <c r="W29" s="729">
        <f>SUM(W25:W28)</f>
        <v>0</v>
      </c>
      <c r="X29" s="729">
        <f>ROUND(SUM(X25:X27),1)</f>
        <v>0</v>
      </c>
      <c r="Y29" s="729"/>
      <c r="Z29" s="730"/>
      <c r="AA29" s="3389">
        <f>ROUND(SUM(AA24:AA27),1)</f>
        <v>437.3</v>
      </c>
      <c r="AB29" s="731"/>
      <c r="AC29" s="732"/>
      <c r="AD29" s="729">
        <f>ROUND(SUM(AD24:AD27),1)</f>
        <v>517.5</v>
      </c>
      <c r="AE29" s="449"/>
      <c r="AF29" s="2254"/>
      <c r="AG29" s="2276">
        <f>ROUND(SUM(AG25:AG27),1)</f>
        <v>-80.2</v>
      </c>
      <c r="AH29" s="2277"/>
      <c r="AI29" s="2278">
        <f>ROUND(IF(AG29=0,0,AG29/ABS(AD29)),3)</f>
        <v>-0.155</v>
      </c>
    </row>
    <row r="30" spans="1:35" ht="16.5" customHeight="1">
      <c r="A30" s="352"/>
      <c r="B30" s="728"/>
      <c r="C30" s="442"/>
      <c r="D30" s="728"/>
      <c r="E30" s="442"/>
      <c r="F30" s="728"/>
      <c r="G30" s="442"/>
      <c r="H30" s="728"/>
      <c r="I30" s="442"/>
      <c r="J30" s="728"/>
      <c r="K30" s="442"/>
      <c r="L30" s="728"/>
      <c r="M30" s="442"/>
      <c r="N30" s="728"/>
      <c r="O30" s="442"/>
      <c r="P30" s="728"/>
      <c r="Q30" s="442"/>
      <c r="R30" s="728"/>
      <c r="S30" s="442"/>
      <c r="T30" s="728"/>
      <c r="U30" s="442"/>
      <c r="V30" s="728"/>
      <c r="W30" s="442"/>
      <c r="X30" s="728"/>
      <c r="Y30" s="442"/>
      <c r="Z30" s="726"/>
      <c r="AA30" s="3388"/>
      <c r="AB30" s="727"/>
      <c r="AC30" s="449"/>
      <c r="AD30" s="728"/>
      <c r="AE30" s="442"/>
      <c r="AF30" s="2254"/>
      <c r="AG30" s="2275"/>
      <c r="AI30" s="2260"/>
    </row>
    <row r="31" spans="1:35" ht="16.5" customHeight="1">
      <c r="A31" s="3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726"/>
      <c r="AA31" s="3387"/>
      <c r="AB31" s="727"/>
      <c r="AC31" s="449"/>
      <c r="AD31" s="442"/>
      <c r="AE31" s="444"/>
      <c r="AF31" s="2255"/>
      <c r="AG31" s="2275"/>
      <c r="AH31" s="2280"/>
      <c r="AI31" s="2279"/>
    </row>
    <row r="32" spans="1:35" ht="16.5" customHeight="1">
      <c r="A32" s="352"/>
      <c r="B32" s="442"/>
      <c r="C32" s="442"/>
      <c r="D32" s="442"/>
      <c r="E32" s="442"/>
      <c r="F32" s="442"/>
      <c r="G32" s="442"/>
      <c r="H32" s="442"/>
      <c r="I32" s="442"/>
      <c r="J32" s="442"/>
      <c r="K32" s="442"/>
      <c r="L32" s="442"/>
      <c r="M32" s="442"/>
      <c r="N32" s="442"/>
      <c r="O32" s="442"/>
      <c r="P32" s="442"/>
      <c r="Q32" s="442"/>
      <c r="R32" s="442"/>
      <c r="S32" s="442"/>
      <c r="T32" s="442"/>
      <c r="U32" s="442"/>
      <c r="V32" s="442"/>
      <c r="W32" s="442"/>
      <c r="X32" s="442"/>
      <c r="Y32" s="442"/>
      <c r="Z32" s="726"/>
      <c r="AA32" s="3387"/>
      <c r="AB32" s="727"/>
      <c r="AC32" s="449"/>
      <c r="AD32" s="442"/>
      <c r="AE32" s="444"/>
      <c r="AF32" s="2254"/>
      <c r="AG32" s="2275"/>
      <c r="AH32" s="2280"/>
      <c r="AI32" s="2279"/>
    </row>
    <row r="33" spans="1:35" ht="16.5" customHeight="1">
      <c r="A33" s="461" t="s">
        <v>163</v>
      </c>
      <c r="B33" s="442"/>
      <c r="C33" s="442"/>
      <c r="D33" s="442"/>
      <c r="E33" s="442"/>
      <c r="F33" s="442"/>
      <c r="G33" s="442"/>
      <c r="H33" s="442"/>
      <c r="I33" s="442"/>
      <c r="J33" s="442"/>
      <c r="K33" s="442"/>
      <c r="L33" s="442"/>
      <c r="M33" s="442"/>
      <c r="N33" s="442"/>
      <c r="O33" s="442"/>
      <c r="P33" s="442"/>
      <c r="Q33" s="442"/>
      <c r="R33" s="442"/>
      <c r="S33" s="442"/>
      <c r="T33" s="442"/>
      <c r="U33" s="442"/>
      <c r="V33" s="442"/>
      <c r="W33" s="442"/>
      <c r="X33" s="442"/>
      <c r="Y33" s="442"/>
      <c r="Z33" s="726"/>
      <c r="AA33" s="3387"/>
      <c r="AB33" s="727"/>
      <c r="AC33" s="449"/>
      <c r="AD33" s="442"/>
      <c r="AE33" s="1805"/>
      <c r="AF33" s="2255"/>
      <c r="AG33" s="2275"/>
      <c r="AH33" s="2280"/>
      <c r="AI33" s="2279"/>
    </row>
    <row r="34" spans="1:35" ht="16.5" customHeight="1">
      <c r="A34" s="461" t="s">
        <v>46</v>
      </c>
      <c r="B34" s="729">
        <f>ROUND(B19-B29,1)</f>
        <v>-32.200000000000003</v>
      </c>
      <c r="C34" s="729"/>
      <c r="D34" s="729">
        <f>ROUND(D19-D29,1)</f>
        <v>4.8</v>
      </c>
      <c r="E34" s="729"/>
      <c r="F34" s="729">
        <f>ROUND(F19-F29,1)</f>
        <v>-8.5</v>
      </c>
      <c r="G34" s="729"/>
      <c r="H34" s="729">
        <f>ROUND(H19-H29,1)</f>
        <v>0.9</v>
      </c>
      <c r="I34" s="729"/>
      <c r="J34" s="729">
        <f>ROUND(J19-J29,1)</f>
        <v>-10</v>
      </c>
      <c r="K34" s="729"/>
      <c r="L34" s="729">
        <f>ROUND(L19-L29,1)</f>
        <v>3.9</v>
      </c>
      <c r="M34" s="729"/>
      <c r="N34" s="729">
        <f>ROUND(N19-N29,1)</f>
        <v>1.6</v>
      </c>
      <c r="O34" s="729"/>
      <c r="P34" s="729">
        <f>ROUND(P19-P29,1)</f>
        <v>-30</v>
      </c>
      <c r="Q34" s="729"/>
      <c r="R34" s="729">
        <f>ROUND(R19-R29,1)</f>
        <v>-21</v>
      </c>
      <c r="S34" s="729"/>
      <c r="T34" s="729">
        <f>ROUND(T19-T29,1)</f>
        <v>0</v>
      </c>
      <c r="U34" s="729"/>
      <c r="V34" s="729">
        <f>ROUND(V19-V29,1)</f>
        <v>0</v>
      </c>
      <c r="W34" s="729"/>
      <c r="X34" s="729">
        <f>ROUND(X19-X29,1)</f>
        <v>0</v>
      </c>
      <c r="Y34" s="729"/>
      <c r="Z34" s="730"/>
      <c r="AA34" s="3389">
        <f>ROUND(AA19-AA29,1)</f>
        <v>-90.5</v>
      </c>
      <c r="AB34" s="731"/>
      <c r="AC34" s="732"/>
      <c r="AD34" s="729">
        <f>ROUND(AD19-AD29,1)</f>
        <v>-196.9</v>
      </c>
      <c r="AE34" s="449"/>
      <c r="AF34" s="2252"/>
      <c r="AG34" s="2276">
        <f>ROUND(SUM(AG19-AG29),1)</f>
        <v>106.4</v>
      </c>
      <c r="AH34" s="2277"/>
      <c r="AI34" s="2278">
        <f>ROUND(IF(AG34=0,0,AG34/ABS(AD34)),3)</f>
        <v>0.54</v>
      </c>
    </row>
    <row r="35" spans="1:35" ht="16.5" customHeight="1">
      <c r="A35" s="352"/>
      <c r="B35" s="728"/>
      <c r="C35" s="442"/>
      <c r="D35" s="728"/>
      <c r="E35" s="442"/>
      <c r="F35" s="728"/>
      <c r="G35" s="442"/>
      <c r="H35" s="728"/>
      <c r="I35" s="442"/>
      <c r="J35" s="728"/>
      <c r="K35" s="442"/>
      <c r="L35" s="728"/>
      <c r="M35" s="442"/>
      <c r="N35" s="728"/>
      <c r="O35" s="442"/>
      <c r="P35" s="728"/>
      <c r="Q35" s="442"/>
      <c r="R35" s="728"/>
      <c r="S35" s="442"/>
      <c r="T35" s="728"/>
      <c r="U35" s="442"/>
      <c r="V35" s="728"/>
      <c r="W35" s="442"/>
      <c r="X35" s="728"/>
      <c r="Y35" s="442"/>
      <c r="Z35" s="726"/>
      <c r="AA35" s="3388"/>
      <c r="AB35" s="727"/>
      <c r="AC35" s="449"/>
      <c r="AD35" s="728"/>
      <c r="AE35" s="442"/>
      <c r="AF35" s="2252"/>
      <c r="AG35" s="2275"/>
      <c r="AI35" s="2260"/>
    </row>
    <row r="36" spans="1:35" ht="16.5" customHeight="1">
      <c r="A36" s="352"/>
      <c r="B36" s="442"/>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726"/>
      <c r="AA36" s="3387"/>
      <c r="AB36" s="727"/>
      <c r="AC36" s="449"/>
      <c r="AD36" s="442"/>
      <c r="AE36" s="735"/>
      <c r="AF36" s="2256"/>
      <c r="AG36" s="2275"/>
      <c r="AI36" s="2260"/>
    </row>
    <row r="37" spans="1:35" ht="16.5" customHeight="1">
      <c r="A37" s="352"/>
      <c r="B37" s="442"/>
      <c r="C37" s="442"/>
      <c r="D37" s="442"/>
      <c r="E37" s="442"/>
      <c r="F37" s="442"/>
      <c r="G37" s="442"/>
      <c r="H37" s="442"/>
      <c r="I37" s="442"/>
      <c r="J37" s="442"/>
      <c r="K37" s="442"/>
      <c r="L37" s="442"/>
      <c r="M37" s="442"/>
      <c r="N37" s="442"/>
      <c r="O37" s="442"/>
      <c r="P37" s="442"/>
      <c r="Q37" s="442"/>
      <c r="R37" s="442"/>
      <c r="S37" s="442"/>
      <c r="T37" s="442"/>
      <c r="U37" s="442"/>
      <c r="V37" s="442"/>
      <c r="W37" s="442"/>
      <c r="X37" s="442"/>
      <c r="Y37" s="442"/>
      <c r="Z37" s="726"/>
      <c r="AA37" s="3387"/>
      <c r="AB37" s="727"/>
      <c r="AC37" s="449"/>
      <c r="AD37" s="442"/>
      <c r="AE37" s="1789"/>
      <c r="AF37" s="2257"/>
      <c r="AG37" s="2275"/>
      <c r="AI37" s="2279"/>
    </row>
    <row r="38" spans="1:35" ht="16.5" customHeight="1">
      <c r="A38" s="461" t="s">
        <v>47</v>
      </c>
      <c r="B38" s="442"/>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726"/>
      <c r="AA38" s="3387"/>
      <c r="AB38" s="727"/>
      <c r="AC38" s="449"/>
      <c r="AD38" s="442"/>
      <c r="AE38" s="720"/>
      <c r="AF38" s="2258"/>
      <c r="AG38" s="2285"/>
      <c r="AH38" s="2286"/>
      <c r="AI38" s="2279"/>
    </row>
    <row r="39" spans="1:35" ht="16.5" customHeight="1">
      <c r="A39" s="352" t="s">
        <v>188</v>
      </c>
      <c r="B39" s="694">
        <v>3</v>
      </c>
      <c r="C39" s="442"/>
      <c r="D39" s="725">
        <v>3</v>
      </c>
      <c r="E39" s="442"/>
      <c r="F39" s="725">
        <v>0.8</v>
      </c>
      <c r="G39" s="442"/>
      <c r="H39" s="725">
        <v>0.7</v>
      </c>
      <c r="I39" s="442"/>
      <c r="J39" s="725">
        <v>10.199999999999999</v>
      </c>
      <c r="K39" s="442"/>
      <c r="L39" s="725">
        <v>13.1</v>
      </c>
      <c r="M39" s="442"/>
      <c r="N39" s="3418">
        <v>0.5</v>
      </c>
      <c r="O39" s="442"/>
      <c r="P39" s="725">
        <v>8.5</v>
      </c>
      <c r="Q39" s="442"/>
      <c r="R39" s="725">
        <v>4.7</v>
      </c>
      <c r="S39" s="442"/>
      <c r="T39" s="725"/>
      <c r="U39" s="442"/>
      <c r="V39" s="694"/>
      <c r="W39" s="442"/>
      <c r="X39" s="694"/>
      <c r="Y39" s="442"/>
      <c r="Z39" s="726"/>
      <c r="AA39" s="3387">
        <f>ROUND(SUM(B39:X39),1)</f>
        <v>44.5</v>
      </c>
      <c r="AB39" s="727"/>
      <c r="AC39" s="449"/>
      <c r="AD39" s="733">
        <v>45.4</v>
      </c>
      <c r="AE39" s="1796"/>
      <c r="AF39" s="2256"/>
      <c r="AG39" s="2275">
        <f>ROUND(SUM(AA39-AD39),1)</f>
        <v>-0.9</v>
      </c>
      <c r="AH39" s="2280"/>
      <c r="AI39" s="2281">
        <f>ROUND(IF(AG39=0,0,AG39/ABS(AD39)),3)</f>
        <v>-0.02</v>
      </c>
    </row>
    <row r="40" spans="1:35" ht="16.5" customHeight="1">
      <c r="A40" s="352" t="s">
        <v>189</v>
      </c>
      <c r="B40" s="450">
        <v>0</v>
      </c>
      <c r="C40" s="442"/>
      <c r="D40" s="444">
        <v>0</v>
      </c>
      <c r="E40" s="442"/>
      <c r="F40" s="444">
        <v>-0.1</v>
      </c>
      <c r="G40" s="442"/>
      <c r="H40" s="694">
        <v>0</v>
      </c>
      <c r="I40" s="442"/>
      <c r="J40" s="444">
        <v>0</v>
      </c>
      <c r="K40" s="442"/>
      <c r="L40" s="725">
        <v>-7.8</v>
      </c>
      <c r="M40" s="442"/>
      <c r="N40" s="444">
        <v>-1.9</v>
      </c>
      <c r="O40" s="442"/>
      <c r="P40" s="444">
        <v>0</v>
      </c>
      <c r="Q40" s="442"/>
      <c r="R40" s="444">
        <v>-0.1</v>
      </c>
      <c r="S40" s="442"/>
      <c r="T40" s="444"/>
      <c r="U40" s="442"/>
      <c r="V40" s="725"/>
      <c r="W40" s="442"/>
      <c r="X40" s="694"/>
      <c r="Y40" s="442"/>
      <c r="Z40" s="726"/>
      <c r="AA40" s="3387">
        <f>ROUND(SUM(B40:X40),1)</f>
        <v>-9.9</v>
      </c>
      <c r="AB40" s="727"/>
      <c r="AC40" s="449"/>
      <c r="AD40" s="442">
        <v>-17.7</v>
      </c>
      <c r="AE40" s="253"/>
      <c r="AF40" s="2256"/>
      <c r="AG40" s="2282">
        <f>-ROUND(SUM(AA40-AD40),1)</f>
        <v>-7.8</v>
      </c>
      <c r="AH40" s="2280"/>
      <c r="AI40" s="2641">
        <f>ROUND(IF(AG40=0,0,AG40/ABS(AD40)),3)</f>
        <v>-0.441</v>
      </c>
    </row>
    <row r="41" spans="1:35" ht="16.5" customHeight="1">
      <c r="A41" s="352"/>
      <c r="B41" s="728"/>
      <c r="C41" s="442"/>
      <c r="D41" s="728"/>
      <c r="E41" s="442"/>
      <c r="F41" s="728"/>
      <c r="G41" s="442"/>
      <c r="H41" s="728"/>
      <c r="I41" s="442"/>
      <c r="J41" s="728"/>
      <c r="K41" s="442"/>
      <c r="L41" s="728"/>
      <c r="M41" s="442"/>
      <c r="N41" s="728"/>
      <c r="O41" s="442"/>
      <c r="P41" s="728"/>
      <c r="Q41" s="442"/>
      <c r="R41" s="728"/>
      <c r="S41" s="442"/>
      <c r="T41" s="728"/>
      <c r="U41" s="442"/>
      <c r="V41" s="728"/>
      <c r="W41" s="442"/>
      <c r="X41" s="728"/>
      <c r="Y41" s="442"/>
      <c r="Z41" s="726"/>
      <c r="AA41" s="734"/>
      <c r="AB41" s="727"/>
      <c r="AC41" s="449"/>
      <c r="AD41" s="734"/>
      <c r="AE41" s="368"/>
      <c r="AF41" s="2256"/>
      <c r="AG41" s="2269"/>
    </row>
    <row r="42" spans="1:35" ht="16.5" customHeight="1">
      <c r="A42" s="461" t="s">
        <v>215</v>
      </c>
      <c r="B42" s="729">
        <f>ROUND(SUM(B39:B41),1)</f>
        <v>3</v>
      </c>
      <c r="C42" s="729"/>
      <c r="D42" s="729">
        <f>ROUND(SUM(D39:D41),1)</f>
        <v>3</v>
      </c>
      <c r="E42" s="729"/>
      <c r="F42" s="729">
        <f>ROUND(SUM(F39:F41),1)</f>
        <v>0.7</v>
      </c>
      <c r="G42" s="729"/>
      <c r="H42" s="729">
        <f>ROUND(SUM(H39:H41),1)</f>
        <v>0.7</v>
      </c>
      <c r="I42" s="729"/>
      <c r="J42" s="729">
        <f>ROUND(SUM(J39:J41),1)</f>
        <v>10.199999999999999</v>
      </c>
      <c r="K42" s="729"/>
      <c r="L42" s="729">
        <f>ROUND(SUM(L39:L41),1)</f>
        <v>5.3</v>
      </c>
      <c r="M42" s="729"/>
      <c r="N42" s="729">
        <f>ROUND(SUM(N39:N41),1)</f>
        <v>-1.4</v>
      </c>
      <c r="O42" s="729"/>
      <c r="P42" s="729">
        <f>ROUND(SUM(P39:P41),1)</f>
        <v>8.5</v>
      </c>
      <c r="Q42" s="729"/>
      <c r="R42" s="729">
        <f>ROUND(SUM(R39:R41),1)</f>
        <v>4.5999999999999996</v>
      </c>
      <c r="S42" s="729"/>
      <c r="T42" s="729">
        <f>ROUND(SUM(T39:T41),1)</f>
        <v>0</v>
      </c>
      <c r="U42" s="729"/>
      <c r="V42" s="729">
        <f>ROUND(SUM(V39:V41),1)</f>
        <v>0</v>
      </c>
      <c r="W42" s="729"/>
      <c r="X42" s="729">
        <f>ROUND(SUM(X39:X41),1)</f>
        <v>0</v>
      </c>
      <c r="Y42" s="729"/>
      <c r="Z42" s="730"/>
      <c r="AA42" s="729">
        <f>ROUND(SUM(AA39:AA41),1)</f>
        <v>34.6</v>
      </c>
      <c r="AB42" s="731"/>
      <c r="AC42" s="732"/>
      <c r="AD42" s="729">
        <f>ROUND(SUM(AD39:AD41),1)</f>
        <v>27.7</v>
      </c>
      <c r="AF42" s="2253"/>
      <c r="AG42" s="2276">
        <f>ROUND(SUM(AG39-AG40),1)</f>
        <v>6.9</v>
      </c>
      <c r="AH42" s="2287"/>
      <c r="AI42" s="2278">
        <f>ROUND(IF(AG42=0,0,AG42/ABS(AD42)),3)</f>
        <v>0.249</v>
      </c>
    </row>
    <row r="43" spans="1:35" ht="16.5" customHeight="1">
      <c r="A43" s="352"/>
      <c r="B43" s="728"/>
      <c r="C43" s="442"/>
      <c r="D43" s="728"/>
      <c r="E43" s="442"/>
      <c r="F43" s="728"/>
      <c r="G43" s="442"/>
      <c r="H43" s="728"/>
      <c r="I43" s="442"/>
      <c r="J43" s="728"/>
      <c r="K43" s="442"/>
      <c r="L43" s="728"/>
      <c r="M43" s="442"/>
      <c r="N43" s="728"/>
      <c r="O43" s="442"/>
      <c r="P43" s="728"/>
      <c r="Q43" s="442"/>
      <c r="R43" s="728"/>
      <c r="S43" s="442"/>
      <c r="T43" s="728"/>
      <c r="U43" s="442"/>
      <c r="V43" s="728"/>
      <c r="W43" s="442"/>
      <c r="X43" s="728"/>
      <c r="Y43" s="442"/>
      <c r="Z43" s="726"/>
      <c r="AA43" s="728"/>
      <c r="AB43" s="727"/>
      <c r="AC43" s="449"/>
      <c r="AD43" s="728"/>
      <c r="AE43" s="368"/>
      <c r="AF43" s="2256"/>
      <c r="AG43" s="2269"/>
    </row>
    <row r="44" spans="1:35" ht="16.5" customHeight="1">
      <c r="A44" s="352"/>
      <c r="B44" s="442"/>
      <c r="C44" s="442"/>
      <c r="D44" s="442"/>
      <c r="E44" s="442"/>
      <c r="F44" s="442"/>
      <c r="G44" s="442"/>
      <c r="H44" s="442"/>
      <c r="I44" s="442"/>
      <c r="J44" s="442"/>
      <c r="K44" s="442"/>
      <c r="L44" s="442"/>
      <c r="M44" s="442"/>
      <c r="N44" s="442"/>
      <c r="O44" s="442"/>
      <c r="P44" s="442"/>
      <c r="Q44" s="442"/>
      <c r="R44" s="442"/>
      <c r="S44" s="442"/>
      <c r="T44" s="442"/>
      <c r="U44" s="442"/>
      <c r="V44" s="442"/>
      <c r="W44" s="442"/>
      <c r="X44" s="442"/>
      <c r="Y44" s="442"/>
      <c r="Z44" s="726"/>
      <c r="AA44" s="442"/>
      <c r="AB44" s="727"/>
      <c r="AC44" s="449"/>
      <c r="AD44" s="442"/>
      <c r="AE44" s="368"/>
      <c r="AF44" s="2256"/>
      <c r="AG44" s="2269"/>
    </row>
    <row r="45" spans="1:35" ht="16.5" customHeight="1">
      <c r="A45" s="352"/>
      <c r="B45" s="442"/>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726"/>
      <c r="AA45" s="442"/>
      <c r="AB45" s="727"/>
      <c r="AC45" s="449"/>
      <c r="AD45" s="442"/>
      <c r="AE45" s="368"/>
      <c r="AF45" s="2256"/>
    </row>
    <row r="46" spans="1:35" ht="16.5" customHeight="1">
      <c r="A46" s="461" t="s">
        <v>172</v>
      </c>
      <c r="B46" s="442"/>
      <c r="C46" s="442"/>
      <c r="D46" s="442"/>
      <c r="E46" s="442"/>
      <c r="F46" s="442"/>
      <c r="G46" s="442"/>
      <c r="H46" s="442"/>
      <c r="I46" s="442"/>
      <c r="J46" s="442"/>
      <c r="K46" s="442"/>
      <c r="L46" s="442"/>
      <c r="M46" s="442"/>
      <c r="N46" s="442"/>
      <c r="O46" s="442"/>
      <c r="P46" s="442"/>
      <c r="Q46" s="442"/>
      <c r="R46" s="442"/>
      <c r="S46" s="442"/>
      <c r="T46" s="442"/>
      <c r="U46" s="442"/>
      <c r="V46" s="442"/>
      <c r="W46" s="442"/>
      <c r="X46" s="442"/>
      <c r="Y46" s="442"/>
      <c r="Z46" s="726"/>
      <c r="AA46" s="442"/>
      <c r="AB46" s="727"/>
      <c r="AC46" s="449"/>
      <c r="AD46" s="442"/>
      <c r="AE46" s="368"/>
      <c r="AF46" s="2256"/>
    </row>
    <row r="47" spans="1:35" ht="16.5" customHeight="1">
      <c r="A47" s="461" t="s">
        <v>234</v>
      </c>
      <c r="B47" s="442"/>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726"/>
      <c r="AA47" s="442"/>
      <c r="AB47" s="727"/>
      <c r="AC47" s="449"/>
      <c r="AD47" s="442"/>
      <c r="AE47" s="223"/>
      <c r="AF47" s="2253"/>
    </row>
    <row r="48" spans="1:35" s="422" customFormat="1" ht="16.5" customHeight="1">
      <c r="A48" s="461" t="s">
        <v>174</v>
      </c>
      <c r="B48" s="729">
        <f>ROUND(SUM(B34,B42),1)</f>
        <v>-29.2</v>
      </c>
      <c r="C48" s="729"/>
      <c r="D48" s="729">
        <f>ROUND(SUM(D34,D42),1)</f>
        <v>7.8</v>
      </c>
      <c r="E48" s="729"/>
      <c r="F48" s="729">
        <f>ROUND(SUM(F34,F42),1)</f>
        <v>-7.8</v>
      </c>
      <c r="G48" s="729"/>
      <c r="H48" s="729">
        <f>ROUND(SUM(H34,H42),1)</f>
        <v>1.6</v>
      </c>
      <c r="I48" s="729"/>
      <c r="J48" s="729">
        <f>ROUND(SUM(J34,J42),1)</f>
        <v>0.2</v>
      </c>
      <c r="K48" s="729"/>
      <c r="L48" s="729">
        <f>ROUND(SUM(L34,L42),1)</f>
        <v>9.1999999999999993</v>
      </c>
      <c r="M48" s="729"/>
      <c r="N48" s="729">
        <f>ROUND(SUM(N34,N42),1)</f>
        <v>0.2</v>
      </c>
      <c r="O48" s="729"/>
      <c r="P48" s="729">
        <f>ROUND(SUM(P34,P42),1)</f>
        <v>-21.5</v>
      </c>
      <c r="Q48" s="729"/>
      <c r="R48" s="729">
        <f>ROUND(SUM(R34,R42),1)</f>
        <v>-16.399999999999999</v>
      </c>
      <c r="S48" s="729"/>
      <c r="T48" s="729">
        <f>ROUND(SUM(T34,T42),1)</f>
        <v>0</v>
      </c>
      <c r="U48" s="729"/>
      <c r="V48" s="729">
        <f>ROUND(SUM(V34,V42),1)</f>
        <v>0</v>
      </c>
      <c r="W48" s="729"/>
      <c r="X48" s="729">
        <f>ROUND(SUM(X34,X42),1)</f>
        <v>0</v>
      </c>
      <c r="Y48" s="729"/>
      <c r="Z48" s="730"/>
      <c r="AA48" s="735">
        <f>ROUND(AA34+AA42,1)</f>
        <v>-55.9</v>
      </c>
      <c r="AB48" s="731"/>
      <c r="AC48" s="732"/>
      <c r="AD48" s="735">
        <f>ROUND(AD34+AD42,1)</f>
        <v>-169.2</v>
      </c>
      <c r="AE48" s="740"/>
      <c r="AF48" s="2253"/>
      <c r="AG48" s="2276">
        <f>ROUND(SUM(AG34+AG42),1)</f>
        <v>113.3</v>
      </c>
      <c r="AH48" s="2249"/>
      <c r="AI48" s="2278">
        <f>ROUND(IF(AG48=0,0,AG48/ABS(AD48)),3)</f>
        <v>0.67</v>
      </c>
    </row>
    <row r="49" spans="1:35" ht="16.5" customHeight="1">
      <c r="A49" s="352"/>
      <c r="B49" s="736"/>
      <c r="C49" s="721"/>
      <c r="D49" s="736"/>
      <c r="E49" s="721"/>
      <c r="F49" s="736"/>
      <c r="G49" s="721"/>
      <c r="H49" s="736"/>
      <c r="I49" s="721"/>
      <c r="J49" s="736"/>
      <c r="K49" s="721"/>
      <c r="L49" s="736"/>
      <c r="M49" s="721"/>
      <c r="N49" s="736"/>
      <c r="O49" s="721"/>
      <c r="P49" s="736"/>
      <c r="Q49" s="721"/>
      <c r="R49" s="736"/>
      <c r="S49" s="721"/>
      <c r="T49" s="736"/>
      <c r="U49" s="721"/>
      <c r="V49" s="736"/>
      <c r="W49" s="721"/>
      <c r="X49" s="736"/>
      <c r="Y49" s="721"/>
      <c r="Z49" s="722"/>
      <c r="AA49" s="736"/>
      <c r="AB49" s="723"/>
      <c r="AC49" s="724"/>
      <c r="AD49" s="736"/>
      <c r="AF49" s="2253"/>
      <c r="AI49" s="2260"/>
    </row>
    <row r="50" spans="1:35" ht="16.5" customHeight="1" thickBot="1">
      <c r="A50" s="642" t="s">
        <v>146</v>
      </c>
      <c r="B50" s="717">
        <f>ROUND(SUM(B14,B48),1)</f>
        <v>-225.9</v>
      </c>
      <c r="C50" s="717"/>
      <c r="D50" s="717">
        <f>ROUND(SUM(D14,D48),1)</f>
        <v>-218.1</v>
      </c>
      <c r="E50" s="717"/>
      <c r="F50" s="717">
        <f>ROUND(SUM(F14,F48),1)</f>
        <v>-225.9</v>
      </c>
      <c r="G50" s="717"/>
      <c r="H50" s="717">
        <f>ROUND(SUM(H14,H48),1)</f>
        <v>-224.3</v>
      </c>
      <c r="I50" s="717"/>
      <c r="J50" s="717">
        <f>ROUND(SUM(J14,J48),1)</f>
        <v>-224.1</v>
      </c>
      <c r="K50" s="717"/>
      <c r="L50" s="717">
        <f>ROUND(SUM(L14,L48),1)</f>
        <v>-214.9</v>
      </c>
      <c r="M50" s="717"/>
      <c r="N50" s="717">
        <f>ROUND(SUM(N14,N48),1)</f>
        <v>-214.7</v>
      </c>
      <c r="O50" s="717"/>
      <c r="P50" s="717">
        <f>ROUND(SUM(P14,P48),1)</f>
        <v>-236.2</v>
      </c>
      <c r="Q50" s="717"/>
      <c r="R50" s="737">
        <f>ROUND(SUM(R14,R48),1)</f>
        <v>-252.6</v>
      </c>
      <c r="S50" s="717"/>
      <c r="T50" s="717">
        <f>ROUND(SUM(T14,T48),1)</f>
        <v>0</v>
      </c>
      <c r="U50" s="717"/>
      <c r="V50" s="717">
        <f>ROUND(SUM(V14,V48),1)</f>
        <v>0</v>
      </c>
      <c r="W50" s="717"/>
      <c r="X50" s="717">
        <f>ROUND(SUM(X14,X48),1)</f>
        <v>0</v>
      </c>
      <c r="Y50" s="717"/>
      <c r="Z50" s="718"/>
      <c r="AA50" s="717">
        <f>ROUND(SUM(AA14,AA48),1)</f>
        <v>-252.6</v>
      </c>
      <c r="AB50" s="719"/>
      <c r="AC50" s="720"/>
      <c r="AD50" s="717">
        <f>ROUND(SUM(AD14,AD48),1)</f>
        <v>-241.9</v>
      </c>
      <c r="AF50" s="2253"/>
      <c r="AG50" s="2288">
        <f>ROUND(SUM(AA50-AD50),1)</f>
        <v>-10.7</v>
      </c>
      <c r="AH50" s="2286"/>
      <c r="AI50" s="2289">
        <f>ROUND(IF(AG50=0,0,AG50/ABS(AD50)),3)</f>
        <v>-4.3999999999999997E-2</v>
      </c>
    </row>
    <row r="51" spans="1:35" ht="16.5" customHeight="1" thickTop="1">
      <c r="A51" s="352"/>
      <c r="B51" s="738"/>
      <c r="C51" s="721"/>
      <c r="D51" s="738"/>
      <c r="E51" s="721"/>
      <c r="F51" s="738"/>
      <c r="G51" s="721"/>
      <c r="H51" s="738"/>
      <c r="I51" s="721"/>
      <c r="J51" s="738"/>
      <c r="K51" s="721"/>
      <c r="L51" s="738"/>
      <c r="M51" s="721"/>
      <c r="N51" s="738"/>
      <c r="O51" s="721"/>
      <c r="P51" s="738"/>
      <c r="Q51" s="721"/>
      <c r="R51" s="724"/>
      <c r="S51" s="721"/>
      <c r="T51" s="738"/>
      <c r="U51" s="721"/>
      <c r="V51" s="738"/>
      <c r="W51" s="721"/>
      <c r="X51" s="738"/>
      <c r="Y51" s="721"/>
      <c r="Z51" s="721"/>
      <c r="AA51" s="738"/>
      <c r="AB51" s="721"/>
      <c r="AC51" s="721"/>
      <c r="AD51" s="738"/>
    </row>
    <row r="53" spans="1:35" ht="16.5" customHeight="1">
      <c r="A53" s="739"/>
    </row>
    <row r="54" spans="1:35" ht="16.5" customHeight="1">
      <c r="A54" s="457"/>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1" firstPageNumber="36"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showOutlineSymbols="0" zoomScale="70" zoomScaleNormal="60" zoomScaleSheetLayoutView="75" workbookViewId="0"/>
  </sheetViews>
  <sheetFormatPr defaultColWidth="8.90625" defaultRowHeight="17.399999999999999"/>
  <cols>
    <col min="1" max="1" width="45.5429687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36328125" style="740" customWidth="1"/>
    <col min="13" max="13" width="1.6328125" style="740" customWidth="1"/>
    <col min="14" max="14" width="12"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816406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1746" customWidth="1"/>
    <col min="31" max="31" width="1.81640625" style="2259" customWidth="1"/>
    <col min="32" max="32" width="2.453125" style="2259" customWidth="1"/>
    <col min="33" max="33" width="10.36328125" style="2260" bestFit="1" customWidth="1"/>
    <col min="34" max="34" width="1.6328125" style="2260" customWidth="1"/>
    <col min="35" max="35" width="11.08984375" style="2259" customWidth="1"/>
    <col min="36" max="16384" width="8.90625" style="740"/>
  </cols>
  <sheetData>
    <row r="1" spans="1:35">
      <c r="A1" s="1184" t="s">
        <v>1217</v>
      </c>
    </row>
    <row r="2" spans="1:35">
      <c r="A2" s="1731"/>
    </row>
    <row r="3" spans="1:35" ht="20.25" customHeight="1">
      <c r="A3" s="1740"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2"/>
      <c r="AI3" s="2313" t="s">
        <v>232</v>
      </c>
    </row>
    <row r="4" spans="1:35" ht="20.25" customHeight="1">
      <c r="A4" s="1741"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2"/>
    </row>
    <row r="5" spans="1:35" ht="20.25" customHeight="1">
      <c r="A5" s="1742"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2292"/>
    </row>
    <row r="6" spans="1:35" ht="20.25" customHeight="1">
      <c r="A6" s="1742" t="s">
        <v>1528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2"/>
    </row>
    <row r="7" spans="1:35" ht="20.25" customHeight="1">
      <c r="A7" s="1740" t="s">
        <v>1103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2"/>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352"/>
      <c r="AA8" s="352"/>
      <c r="AB8" s="352"/>
      <c r="AC8" s="352"/>
      <c r="AD8" s="352"/>
      <c r="AE8" s="2259"/>
      <c r="AF8" s="2259"/>
      <c r="AG8" s="2260"/>
      <c r="AH8" s="2260"/>
      <c r="AI8" s="2259"/>
    </row>
    <row r="9" spans="1:35" s="742" customFormat="1" ht="18.899999999999999" customHeight="1">
      <c r="A9" s="1358"/>
      <c r="B9" s="1358"/>
      <c r="C9" s="1358"/>
      <c r="D9" s="1358"/>
      <c r="E9" s="1358"/>
      <c r="F9" s="1358"/>
      <c r="G9" s="1358"/>
      <c r="H9" s="221"/>
      <c r="I9" s="221"/>
      <c r="J9" s="221"/>
      <c r="K9" s="1358"/>
      <c r="L9" s="1358"/>
      <c r="M9" s="1358"/>
      <c r="N9" s="1358"/>
      <c r="O9" s="1358"/>
      <c r="P9" s="1358"/>
      <c r="Q9" s="1358"/>
      <c r="R9" s="1358"/>
      <c r="S9" s="1358"/>
      <c r="T9" s="1358"/>
      <c r="U9" s="1358"/>
      <c r="V9" s="1358"/>
      <c r="W9" s="1358"/>
      <c r="X9" s="1358"/>
      <c r="Y9" s="1358"/>
      <c r="Z9" s="352"/>
      <c r="AA9" s="352"/>
      <c r="AB9" s="352"/>
      <c r="AC9" s="3583"/>
      <c r="AD9" s="3584"/>
      <c r="AE9" s="3584"/>
      <c r="AF9" s="3584"/>
      <c r="AG9" s="3584"/>
      <c r="AH9" s="3584"/>
      <c r="AI9" s="3584"/>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3"/>
      <c r="W10" s="1744"/>
      <c r="X10" s="1745"/>
      <c r="Y10" s="1746"/>
      <c r="Z10" s="3585" t="s">
        <v>1664</v>
      </c>
      <c r="AA10" s="3585"/>
      <c r="AB10" s="3585"/>
      <c r="AC10" s="3585"/>
      <c r="AD10" s="3585"/>
      <c r="AE10" s="3585"/>
      <c r="AF10" s="3585"/>
      <c r="AG10" s="3585"/>
      <c r="AH10" s="3585"/>
      <c r="AI10" s="3585"/>
    </row>
    <row r="11" spans="1:35" s="742" customFormat="1" ht="18.899999999999999" customHeight="1">
      <c r="A11" s="352"/>
      <c r="B11" s="1556">
        <v>2015</v>
      </c>
      <c r="C11" s="461"/>
      <c r="D11" s="461"/>
      <c r="E11" s="461"/>
      <c r="F11" s="461"/>
      <c r="G11" s="461"/>
      <c r="H11" s="461"/>
      <c r="I11" s="461"/>
      <c r="J11" s="461"/>
      <c r="K11" s="461"/>
      <c r="L11" s="461"/>
      <c r="M11" s="461"/>
      <c r="N11" s="461"/>
      <c r="O11" s="461"/>
      <c r="P11" s="461"/>
      <c r="Q11" s="461"/>
      <c r="R11" s="461"/>
      <c r="S11" s="461"/>
      <c r="T11" s="1556">
        <v>2016</v>
      </c>
      <c r="U11" s="461"/>
      <c r="V11" s="461"/>
      <c r="W11" s="461"/>
      <c r="X11" s="461"/>
      <c r="Y11" s="461"/>
      <c r="Z11" s="1557"/>
      <c r="AA11" s="1557"/>
      <c r="AB11" s="1557"/>
      <c r="AC11" s="1557"/>
      <c r="AD11" s="1990"/>
      <c r="AE11" s="2293"/>
      <c r="AF11" s="2249"/>
      <c r="AG11" s="2263" t="s">
        <v>8</v>
      </c>
      <c r="AH11" s="2263"/>
      <c r="AI11" s="2264" t="s">
        <v>9</v>
      </c>
    </row>
    <row r="12" spans="1:35" s="742" customFormat="1" ht="18.899999999999999" customHeight="1">
      <c r="A12" s="352"/>
      <c r="B12" s="1747" t="s">
        <v>129</v>
      </c>
      <c r="C12" s="461"/>
      <c r="D12" s="1747" t="s">
        <v>130</v>
      </c>
      <c r="E12" s="461"/>
      <c r="F12" s="1747" t="s">
        <v>131</v>
      </c>
      <c r="G12" s="461"/>
      <c r="H12" s="1747" t="s">
        <v>132</v>
      </c>
      <c r="I12" s="461"/>
      <c r="J12" s="1748" t="s">
        <v>233</v>
      </c>
      <c r="K12" s="461"/>
      <c r="L12" s="1748" t="s">
        <v>148</v>
      </c>
      <c r="M12" s="461"/>
      <c r="N12" s="1748" t="s">
        <v>149</v>
      </c>
      <c r="O12" s="461"/>
      <c r="P12" s="1747" t="s">
        <v>136</v>
      </c>
      <c r="Q12" s="461"/>
      <c r="R12" s="1747" t="s">
        <v>137</v>
      </c>
      <c r="S12" s="461"/>
      <c r="T12" s="1748" t="s">
        <v>138</v>
      </c>
      <c r="U12" s="461"/>
      <c r="V12" s="1747" t="s">
        <v>139</v>
      </c>
      <c r="W12" s="461"/>
      <c r="X12" s="1748" t="s">
        <v>192</v>
      </c>
      <c r="Y12" s="461"/>
      <c r="Z12" s="461"/>
      <c r="AA12" s="1558">
        <v>2015</v>
      </c>
      <c r="AB12" s="1558"/>
      <c r="AC12" s="1749"/>
      <c r="AD12" s="1747">
        <v>2014</v>
      </c>
      <c r="AE12" s="2287"/>
      <c r="AF12" s="2287"/>
      <c r="AG12" s="2265" t="s">
        <v>13</v>
      </c>
      <c r="AH12" s="2266"/>
      <c r="AI12" s="2265" t="s">
        <v>14</v>
      </c>
    </row>
    <row r="13" spans="1:35" s="742" customFormat="1" ht="18.899999999999999" customHeight="1">
      <c r="A13" s="461" t="s">
        <v>141</v>
      </c>
      <c r="B13" s="1750">
        <v>-16.899999999999999</v>
      </c>
      <c r="C13" s="717"/>
      <c r="D13" s="1750">
        <f>+B38</f>
        <v>-0.4</v>
      </c>
      <c r="E13" s="717"/>
      <c r="F13" s="1750">
        <f>+D38</f>
        <v>-7.6</v>
      </c>
      <c r="G13" s="1751"/>
      <c r="H13" s="1751">
        <f>+F38</f>
        <v>-8.4</v>
      </c>
      <c r="I13" s="1751"/>
      <c r="J13" s="1751">
        <f>H38</f>
        <v>-9.3000000000000007</v>
      </c>
      <c r="K13" s="1751"/>
      <c r="L13" s="1751">
        <f>+J38</f>
        <v>-9.4</v>
      </c>
      <c r="M13" s="1751"/>
      <c r="N13" s="1752">
        <f>+L38</f>
        <v>-9.8000000000000007</v>
      </c>
      <c r="O13" s="1751"/>
      <c r="P13" s="1752">
        <f>+N38</f>
        <v>-10.7</v>
      </c>
      <c r="Q13" s="1751"/>
      <c r="R13" s="1751">
        <f>+P38</f>
        <v>3.4</v>
      </c>
      <c r="S13" s="1751"/>
      <c r="T13" s="1750"/>
      <c r="U13" s="1751"/>
      <c r="V13" s="1751"/>
      <c r="W13" s="1751"/>
      <c r="X13" s="1751"/>
      <c r="Y13" s="1753"/>
      <c r="Z13" s="1754"/>
      <c r="AA13" s="1752">
        <f>+B13</f>
        <v>-16.899999999999999</v>
      </c>
      <c r="AB13" s="1753"/>
      <c r="AC13" s="1755"/>
      <c r="AD13" s="1752">
        <v>-3.9</v>
      </c>
      <c r="AE13" s="2294"/>
      <c r="AF13" s="2290"/>
      <c r="AG13" s="2267">
        <f>ROUND(SUM(AA13-AD13),1)</f>
        <v>-13</v>
      </c>
      <c r="AH13" s="2260"/>
      <c r="AI13" s="2268">
        <f>-ROUND(IF(AG13=0,0,AG13/(AD13)),3)</f>
        <v>-3.3330000000000002</v>
      </c>
    </row>
    <row r="14" spans="1:35" s="742" customFormat="1" ht="18.899999999999999" customHeight="1">
      <c r="A14" s="352"/>
      <c r="B14" s="721"/>
      <c r="C14" s="721"/>
      <c r="D14" s="721"/>
      <c r="E14" s="721"/>
      <c r="F14" s="1756"/>
      <c r="G14" s="1756"/>
      <c r="H14" s="1757"/>
      <c r="I14" s="1757"/>
      <c r="J14" s="1757"/>
      <c r="K14" s="1756"/>
      <c r="L14" s="1757"/>
      <c r="M14" s="1757"/>
      <c r="N14" s="1757"/>
      <c r="O14" s="1757"/>
      <c r="P14" s="1757"/>
      <c r="Q14" s="1757"/>
      <c r="R14" s="1757"/>
      <c r="S14" s="1757"/>
      <c r="T14" s="1757"/>
      <c r="U14" s="1757"/>
      <c r="V14" s="1757"/>
      <c r="W14" s="1757"/>
      <c r="X14" s="1757"/>
      <c r="Y14" s="1758"/>
      <c r="Z14" s="1759"/>
      <c r="AA14" s="721"/>
      <c r="AB14" s="1758"/>
      <c r="AC14" s="1760"/>
      <c r="AD14" s="721"/>
      <c r="AE14" s="2295"/>
      <c r="AF14" s="2291"/>
      <c r="AG14" s="2269"/>
      <c r="AH14" s="2260"/>
      <c r="AI14" s="2259"/>
    </row>
    <row r="15" spans="1:35" s="742" customFormat="1" ht="18.899999999999999" customHeight="1">
      <c r="A15" s="461" t="s">
        <v>15</v>
      </c>
      <c r="B15" s="721"/>
      <c r="C15" s="721"/>
      <c r="D15" s="721"/>
      <c r="E15" s="721"/>
      <c r="F15" s="1756"/>
      <c r="G15" s="1756"/>
      <c r="H15" s="1757"/>
      <c r="I15" s="1757"/>
      <c r="J15" s="1757"/>
      <c r="K15" s="1756"/>
      <c r="L15" s="1757"/>
      <c r="M15" s="1757"/>
      <c r="N15" s="1757"/>
      <c r="O15" s="1757"/>
      <c r="P15" s="1757"/>
      <c r="Q15" s="1757"/>
      <c r="R15" s="1757"/>
      <c r="S15" s="1757"/>
      <c r="T15" s="1757"/>
      <c r="U15" s="1757"/>
      <c r="V15" s="1757"/>
      <c r="W15" s="1757"/>
      <c r="X15" s="1757"/>
      <c r="Y15" s="1758"/>
      <c r="Z15" s="1759"/>
      <c r="AA15" s="721"/>
      <c r="AB15" s="1758"/>
      <c r="AC15" s="1760"/>
      <c r="AD15" s="721"/>
      <c r="AE15" s="2295"/>
      <c r="AF15" s="2291"/>
      <c r="AG15" s="2269"/>
      <c r="AH15" s="2260"/>
      <c r="AI15" s="2259"/>
    </row>
    <row r="16" spans="1:35" s="742" customFormat="1" ht="18.899999999999999" customHeight="1">
      <c r="A16" s="1761" t="s">
        <v>185</v>
      </c>
      <c r="B16" s="1762">
        <v>21.9</v>
      </c>
      <c r="C16" s="442"/>
      <c r="D16" s="725">
        <v>4.8</v>
      </c>
      <c r="E16" s="442"/>
      <c r="F16" s="725">
        <v>4.9000000000000004</v>
      </c>
      <c r="G16" s="442"/>
      <c r="H16" s="725">
        <v>7.2</v>
      </c>
      <c r="I16" s="1763"/>
      <c r="J16" s="725">
        <v>14.3</v>
      </c>
      <c r="K16" s="442"/>
      <c r="L16" s="725">
        <v>4.9000000000000004</v>
      </c>
      <c r="M16" s="1764"/>
      <c r="N16" s="725">
        <v>4.8</v>
      </c>
      <c r="O16" s="1764"/>
      <c r="P16" s="725">
        <v>20.5</v>
      </c>
      <c r="Q16" s="1764"/>
      <c r="R16" s="725">
        <v>7.2</v>
      </c>
      <c r="S16" s="1764"/>
      <c r="T16" s="725"/>
      <c r="U16" s="1764"/>
      <c r="V16" s="725"/>
      <c r="W16" s="1764"/>
      <c r="X16" s="725"/>
      <c r="Y16" s="1765"/>
      <c r="Z16" s="1766"/>
      <c r="AA16" s="1798">
        <f>ROUND(SUM(B16:X16),1)</f>
        <v>90.5</v>
      </c>
      <c r="AB16" s="1765"/>
      <c r="AC16" s="1764"/>
      <c r="AD16" s="1762">
        <v>77.900000000000006</v>
      </c>
      <c r="AE16" s="2296"/>
      <c r="AF16" s="2252"/>
      <c r="AG16" s="2275">
        <f>ROUND(SUM(AA16-AD16),1)</f>
        <v>12.6</v>
      </c>
      <c r="AH16" s="2260"/>
      <c r="AI16" s="2281">
        <f>ROUND(IF(AG16=0,0,AG16/ABS(AD16)),3)</f>
        <v>0.16200000000000001</v>
      </c>
    </row>
    <row r="17" spans="1:35" s="742" customFormat="1" ht="24" customHeight="1">
      <c r="A17" s="461" t="s">
        <v>156</v>
      </c>
      <c r="B17" s="1767">
        <f>ROUND(SUM(B16),1)</f>
        <v>21.9</v>
      </c>
      <c r="C17" s="729"/>
      <c r="D17" s="1767">
        <f>ROUND(SUM(D16),1)</f>
        <v>4.8</v>
      </c>
      <c r="E17" s="729"/>
      <c r="F17" s="1767">
        <f>ROUND(SUM(F16),1)</f>
        <v>4.9000000000000004</v>
      </c>
      <c r="G17" s="729"/>
      <c r="H17" s="1767">
        <f>ROUND(SUM(H16),1)</f>
        <v>7.2</v>
      </c>
      <c r="I17" s="1768"/>
      <c r="J17" s="1767">
        <f>ROUND(SUM(J16),1)</f>
        <v>14.3</v>
      </c>
      <c r="K17" s="729"/>
      <c r="L17" s="1767">
        <f>ROUND(SUM(L16),1)</f>
        <v>4.9000000000000004</v>
      </c>
      <c r="M17" s="1769"/>
      <c r="N17" s="1767">
        <f>ROUND(SUM(N16),1)</f>
        <v>4.8</v>
      </c>
      <c r="O17" s="1769"/>
      <c r="P17" s="1767">
        <f>ROUND(SUM(P16),1)</f>
        <v>20.5</v>
      </c>
      <c r="Q17" s="1769"/>
      <c r="R17" s="1767">
        <f>ROUND(SUM(R16),1)</f>
        <v>7.2</v>
      </c>
      <c r="S17" s="1769"/>
      <c r="T17" s="1767">
        <f>ROUND(SUM(T16),1)</f>
        <v>0</v>
      </c>
      <c r="U17" s="1769"/>
      <c r="V17" s="1767">
        <f>ROUND(SUM(V16),1)</f>
        <v>0</v>
      </c>
      <c r="W17" s="1769"/>
      <c r="X17" s="1767">
        <f>ROUND(SUM(X16),1)</f>
        <v>0</v>
      </c>
      <c r="Y17" s="1770"/>
      <c r="Z17" s="1771"/>
      <c r="AA17" s="1779">
        <f>ROUND(SUM(AA16),1)</f>
        <v>90.5</v>
      </c>
      <c r="AB17" s="1770"/>
      <c r="AC17" s="1771"/>
      <c r="AD17" s="1779">
        <f>ROUND(SUM(AD16),1)</f>
        <v>77.900000000000006</v>
      </c>
      <c r="AE17" s="2297"/>
      <c r="AF17" s="2252"/>
      <c r="AG17" s="2306">
        <f>ROUND(SUM(AG16),1)</f>
        <v>12.6</v>
      </c>
      <c r="AH17" s="2307"/>
      <c r="AI17" s="2308">
        <f>ROUND(IF(AG17=0,0,AG17/ABS(AD17)),3)</f>
        <v>0.16200000000000001</v>
      </c>
    </row>
    <row r="18" spans="1:35" s="742" customFormat="1" ht="18.899999999999999" customHeight="1">
      <c r="A18" s="352"/>
      <c r="B18" s="728"/>
      <c r="C18" s="442"/>
      <c r="D18" s="728" t="s">
        <v>16</v>
      </c>
      <c r="E18" s="442"/>
      <c r="F18" s="728"/>
      <c r="G18" s="442"/>
      <c r="H18" s="1772"/>
      <c r="I18" s="1764"/>
      <c r="J18" s="1772"/>
      <c r="K18" s="442"/>
      <c r="L18" s="1773"/>
      <c r="M18" s="1764"/>
      <c r="N18" s="1772"/>
      <c r="O18" s="1764"/>
      <c r="P18" s="1772"/>
      <c r="Q18" s="1764"/>
      <c r="R18" s="1772"/>
      <c r="S18" s="1764"/>
      <c r="T18" s="1772"/>
      <c r="U18" s="1764"/>
      <c r="V18" s="1772"/>
      <c r="W18" s="1764"/>
      <c r="X18" s="1772"/>
      <c r="Y18" s="1765"/>
      <c r="Z18" s="1766"/>
      <c r="AA18" s="728"/>
      <c r="AB18" s="1765"/>
      <c r="AC18" s="1763"/>
      <c r="AD18" s="728"/>
      <c r="AE18" s="2275"/>
      <c r="AF18" s="2252"/>
      <c r="AG18" s="2275"/>
      <c r="AH18" s="2260"/>
      <c r="AI18" s="2259"/>
    </row>
    <row r="19" spans="1:35" s="742" customFormat="1" ht="18.899999999999999" customHeight="1">
      <c r="A19" s="352"/>
      <c r="B19" s="442"/>
      <c r="C19" s="442"/>
      <c r="D19" s="442" t="s">
        <v>16</v>
      </c>
      <c r="E19" s="442"/>
      <c r="F19" s="442"/>
      <c r="G19" s="442"/>
      <c r="H19" s="1764"/>
      <c r="I19" s="1764"/>
      <c r="J19" s="1764"/>
      <c r="K19" s="442"/>
      <c r="L19" s="1774"/>
      <c r="M19" s="1764"/>
      <c r="N19" s="1764"/>
      <c r="O19" s="1764"/>
      <c r="P19" s="1764"/>
      <c r="Q19" s="1764"/>
      <c r="R19" s="1764"/>
      <c r="S19" s="1764"/>
      <c r="T19" s="1764"/>
      <c r="U19" s="1764"/>
      <c r="V19" s="1764"/>
      <c r="W19" s="1764"/>
      <c r="X19" s="1764"/>
      <c r="Y19" s="1765"/>
      <c r="Z19" s="1766"/>
      <c r="AA19" s="442"/>
      <c r="AB19" s="1765"/>
      <c r="AC19" s="1764"/>
      <c r="AD19" s="442"/>
      <c r="AE19" s="2298"/>
      <c r="AF19" s="2252"/>
      <c r="AG19" s="2275"/>
      <c r="AH19" s="2260"/>
      <c r="AI19" s="2259"/>
    </row>
    <row r="20" spans="1:35" s="742" customFormat="1" ht="18.899999999999999" customHeight="1">
      <c r="A20" s="461" t="s">
        <v>24</v>
      </c>
      <c r="B20" s="442"/>
      <c r="C20" s="442"/>
      <c r="D20" s="442" t="s">
        <v>16</v>
      </c>
      <c r="E20" s="442"/>
      <c r="F20" s="442"/>
      <c r="G20" s="442"/>
      <c r="H20" s="1764"/>
      <c r="I20" s="1764"/>
      <c r="J20" s="1764"/>
      <c r="K20" s="442"/>
      <c r="L20" s="1774"/>
      <c r="M20" s="1764"/>
      <c r="N20" s="1764"/>
      <c r="O20" s="1764"/>
      <c r="P20" s="1764"/>
      <c r="Q20" s="1764"/>
      <c r="R20" s="1764"/>
      <c r="S20" s="1764"/>
      <c r="T20" s="1764"/>
      <c r="U20" s="1764"/>
      <c r="V20" s="1764"/>
      <c r="W20" s="1764"/>
      <c r="X20" s="1764"/>
      <c r="Y20" s="1765"/>
      <c r="Z20" s="1766"/>
      <c r="AA20" s="442"/>
      <c r="AB20" s="1765"/>
      <c r="AC20" s="1764"/>
      <c r="AD20" s="442"/>
      <c r="AE20" s="2298"/>
      <c r="AF20" s="2252"/>
      <c r="AG20" s="2275"/>
      <c r="AH20" s="2260"/>
      <c r="AI20" s="2259"/>
    </row>
    <row r="21" spans="1:35" s="742" customFormat="1" ht="18.899999999999999" customHeight="1">
      <c r="A21" s="352" t="s">
        <v>158</v>
      </c>
      <c r="B21" s="444"/>
      <c r="C21" s="442"/>
      <c r="D21" s="442"/>
      <c r="E21" s="442"/>
      <c r="F21" s="442"/>
      <c r="G21" s="442"/>
      <c r="H21" s="1764"/>
      <c r="I21" s="1764"/>
      <c r="J21" s="1764"/>
      <c r="K21" s="442"/>
      <c r="L21" s="1774"/>
      <c r="M21" s="1764"/>
      <c r="N21" s="1764"/>
      <c r="O21" s="1764"/>
      <c r="P21" s="1764"/>
      <c r="Q21" s="1764"/>
      <c r="R21" s="1764"/>
      <c r="S21" s="1764"/>
      <c r="T21" s="1764"/>
      <c r="U21" s="1764"/>
      <c r="V21" s="1764"/>
      <c r="W21" s="1764"/>
      <c r="X21" s="1764"/>
      <c r="Y21" s="1765"/>
      <c r="Z21" s="1766"/>
      <c r="AA21" s="444"/>
      <c r="AB21" s="1775"/>
      <c r="AC21" s="1776"/>
      <c r="AD21" s="444"/>
      <c r="AE21" s="2299"/>
      <c r="AF21" s="2253"/>
      <c r="AG21" s="2275"/>
      <c r="AH21" s="2260"/>
      <c r="AI21" s="2259"/>
    </row>
    <row r="22" spans="1:35" s="742" customFormat="1" ht="18.899999999999999" customHeight="1">
      <c r="A22" s="352" t="s">
        <v>226</v>
      </c>
      <c r="B22" s="1777">
        <v>4.9000000000000004</v>
      </c>
      <c r="C22" s="442"/>
      <c r="D22" s="1777">
        <v>4.8</v>
      </c>
      <c r="E22" s="442"/>
      <c r="F22" s="725">
        <v>4.8</v>
      </c>
      <c r="G22" s="442"/>
      <c r="H22" s="725">
        <v>7.3</v>
      </c>
      <c r="I22" s="1764"/>
      <c r="J22" s="725">
        <v>4.7</v>
      </c>
      <c r="K22" s="442"/>
      <c r="L22" s="725">
        <v>4.7</v>
      </c>
      <c r="M22" s="1764"/>
      <c r="N22" s="725">
        <v>4.9000000000000004</v>
      </c>
      <c r="O22" s="1764"/>
      <c r="P22" s="725">
        <v>1.1000000000000001</v>
      </c>
      <c r="Q22" s="1764"/>
      <c r="R22" s="725">
        <v>7.1</v>
      </c>
      <c r="S22" s="1764"/>
      <c r="T22" s="725"/>
      <c r="U22" s="1764"/>
      <c r="V22" s="725"/>
      <c r="W22" s="1764"/>
      <c r="X22" s="725"/>
      <c r="Y22" s="1765"/>
      <c r="Z22" s="1766"/>
      <c r="AA22" s="1799">
        <f>ROUND(SUM(B22:X22),1)</f>
        <v>44.3</v>
      </c>
      <c r="AB22" s="1765"/>
      <c r="AC22" s="1764"/>
      <c r="AD22" s="694">
        <v>42.1</v>
      </c>
      <c r="AE22" s="2300"/>
      <c r="AF22" s="2253"/>
      <c r="AG22" s="2275">
        <f>ROUND(SUM(AA22-AD22),1)</f>
        <v>2.2000000000000002</v>
      </c>
      <c r="AH22" s="2260"/>
      <c r="AI22" s="2281">
        <f>ROUND(IF(AG22=0,0,AG22/ABS(AD22)),3)</f>
        <v>5.1999999999999998E-2</v>
      </c>
    </row>
    <row r="23" spans="1:35" s="742" customFormat="1" ht="18.899999999999999" customHeight="1">
      <c r="A23" s="1761" t="s">
        <v>177</v>
      </c>
      <c r="B23" s="1777">
        <v>0.5</v>
      </c>
      <c r="C23" s="442"/>
      <c r="D23" s="1777">
        <v>0.9</v>
      </c>
      <c r="E23" s="442"/>
      <c r="F23" s="725">
        <v>0.9</v>
      </c>
      <c r="G23" s="442"/>
      <c r="H23" s="725">
        <v>0.8</v>
      </c>
      <c r="I23" s="1764"/>
      <c r="J23" s="725">
        <v>1.6</v>
      </c>
      <c r="K23" s="442"/>
      <c r="L23" s="725">
        <v>0.6</v>
      </c>
      <c r="M23" s="1764"/>
      <c r="N23" s="725">
        <v>0.8</v>
      </c>
      <c r="O23" s="1764"/>
      <c r="P23" s="725">
        <v>5.3</v>
      </c>
      <c r="Q23" s="1764"/>
      <c r="R23" s="725">
        <v>1.5</v>
      </c>
      <c r="S23" s="1764"/>
      <c r="T23" s="725"/>
      <c r="U23" s="1764"/>
      <c r="V23" s="725"/>
      <c r="W23" s="1764"/>
      <c r="X23" s="725"/>
      <c r="Y23" s="1765"/>
      <c r="Z23" s="1766"/>
      <c r="AA23" s="3419">
        <f>ROUND(SUM(B23:X23),1)</f>
        <v>12.9</v>
      </c>
      <c r="AB23" s="1765"/>
      <c r="AC23" s="1764"/>
      <c r="AD23" s="444">
        <v>12.2</v>
      </c>
      <c r="AE23" s="2299"/>
      <c r="AF23" s="2253"/>
      <c r="AG23" s="2275">
        <f>ROUND(SUM(AA23-AD23),1)</f>
        <v>0.7</v>
      </c>
      <c r="AH23" s="2280"/>
      <c r="AI23" s="2281">
        <f>ROUND(IF(AG23=0,0,AG23/ABS(AD23)),3)</f>
        <v>5.7000000000000002E-2</v>
      </c>
    </row>
    <row r="24" spans="1:35" s="742" customFormat="1" ht="18.899999999999999" customHeight="1">
      <c r="A24" s="352" t="s">
        <v>161</v>
      </c>
      <c r="B24" s="1778">
        <v>0</v>
      </c>
      <c r="C24" s="442"/>
      <c r="D24" s="1762">
        <v>6.3</v>
      </c>
      <c r="E24" s="442"/>
      <c r="F24" s="1762">
        <v>0</v>
      </c>
      <c r="G24" s="442"/>
      <c r="H24" s="1778">
        <v>0</v>
      </c>
      <c r="I24" s="1764"/>
      <c r="J24" s="698">
        <v>8.1</v>
      </c>
      <c r="K24" s="442"/>
      <c r="L24" s="1778">
        <v>0</v>
      </c>
      <c r="M24" s="1764"/>
      <c r="N24" s="1778">
        <v>0</v>
      </c>
      <c r="O24" s="1764"/>
      <c r="P24" s="1762">
        <v>0</v>
      </c>
      <c r="Q24" s="1764"/>
      <c r="R24" s="1778">
        <v>9.1999999999999993</v>
      </c>
      <c r="S24" s="1764"/>
      <c r="T24" s="698"/>
      <c r="U24" s="1764"/>
      <c r="V24" s="1778"/>
      <c r="W24" s="1764"/>
      <c r="X24" s="1762"/>
      <c r="Y24" s="1765"/>
      <c r="Z24" s="1766"/>
      <c r="AA24" s="1798">
        <f>ROUND(SUM(B24:X24),1)</f>
        <v>23.6</v>
      </c>
      <c r="AB24" s="1765"/>
      <c r="AC24" s="1764"/>
      <c r="AD24" s="1798">
        <v>21.7</v>
      </c>
      <c r="AE24" s="2301"/>
      <c r="AF24" s="2253"/>
      <c r="AG24" s="2275">
        <f>ROUND(SUM(AA24-AD24),1)</f>
        <v>1.9</v>
      </c>
      <c r="AH24" s="2260"/>
      <c r="AI24" s="2281">
        <f>ROUND(IF(AG24=0,0,AG24/ABS(AD24)),3)</f>
        <v>8.7999999999999995E-2</v>
      </c>
    </row>
    <row r="25" spans="1:35" s="742" customFormat="1" ht="22.5" customHeight="1">
      <c r="A25" s="461" t="s">
        <v>162</v>
      </c>
      <c r="B25" s="1779">
        <f>ROUND(SUM(B22)+SUM(B23)+SUM(B24),1)</f>
        <v>5.4</v>
      </c>
      <c r="C25" s="729"/>
      <c r="D25" s="1779">
        <f>ROUND(SUM(D22)+SUM(D23)+SUM(D24),1)</f>
        <v>12</v>
      </c>
      <c r="E25" s="729"/>
      <c r="F25" s="1779">
        <f>ROUND(SUM(F22)+SUM(F23)+SUM(F24),1)</f>
        <v>5.7</v>
      </c>
      <c r="G25" s="1779"/>
      <c r="H25" s="1779">
        <f>ROUND(SUM(H22)+SUM(H23)+SUM(H24),1)</f>
        <v>8.1</v>
      </c>
      <c r="I25" s="1769"/>
      <c r="J25" s="1779">
        <f>ROUND(SUM(J22)+SUM(J23)+SUM(J24),1)</f>
        <v>14.4</v>
      </c>
      <c r="K25" s="729"/>
      <c r="L25" s="1779">
        <f>ROUND(SUM(L22)+SUM(L23)+SUM(L24),1)</f>
        <v>5.3</v>
      </c>
      <c r="M25" s="1769"/>
      <c r="N25" s="1779">
        <f>ROUND(SUM(N22)+SUM(N23)+SUM(N24),1)</f>
        <v>5.7</v>
      </c>
      <c r="O25" s="1769"/>
      <c r="P25" s="1779">
        <f>ROUND(SUM(P22)+SUM(P23)+SUM(P24),1)</f>
        <v>6.4</v>
      </c>
      <c r="Q25" s="1769"/>
      <c r="R25" s="1779">
        <f>ROUND(SUM(R22)+SUM(R23)+SUM(R24),1)</f>
        <v>17.8</v>
      </c>
      <c r="S25" s="1769"/>
      <c r="T25" s="1779">
        <f>ROUND(SUM(T22)+SUM(T23)+SUM(T24),1)</f>
        <v>0</v>
      </c>
      <c r="U25" s="1769"/>
      <c r="V25" s="1779">
        <f>ROUND(SUM(V22)+SUM(V23)+SUM(V24),1)</f>
        <v>0</v>
      </c>
      <c r="W25" s="1769"/>
      <c r="X25" s="1779">
        <f>ROUND(SUM(X22)+SUM(X23)+SUM(X24),1)</f>
        <v>0</v>
      </c>
      <c r="Y25" s="1770"/>
      <c r="Z25" s="1771"/>
      <c r="AA25" s="1800">
        <f>ROUND(SUM(AA22:AA24),1)</f>
        <v>80.8</v>
      </c>
      <c r="AB25" s="1770"/>
      <c r="AC25" s="1771"/>
      <c r="AD25" s="1800">
        <f>ROUND(SUM(AD22:AD24),1)</f>
        <v>76</v>
      </c>
      <c r="AE25" s="2302"/>
      <c r="AF25" s="2253"/>
      <c r="AG25" s="2306">
        <f>ROUND(SUM(AG22:AG24),1)</f>
        <v>4.8</v>
      </c>
      <c r="AH25" s="2277"/>
      <c r="AI25" s="2308">
        <f>ROUND(IF(AG25=0,0,AG25/ABS(AD25)),3)</f>
        <v>6.3E-2</v>
      </c>
    </row>
    <row r="26" spans="1:35" s="742" customFormat="1" ht="18.899999999999999" customHeight="1">
      <c r="A26" s="352"/>
      <c r="B26" s="728"/>
      <c r="C26" s="442"/>
      <c r="D26" s="728" t="s">
        <v>16</v>
      </c>
      <c r="E26" s="442"/>
      <c r="F26" s="728"/>
      <c r="G26" s="442"/>
      <c r="H26" s="1772"/>
      <c r="I26" s="1764"/>
      <c r="J26" s="1772"/>
      <c r="K26" s="442"/>
      <c r="L26" s="1772"/>
      <c r="M26" s="1764"/>
      <c r="N26" s="1772"/>
      <c r="O26" s="1764"/>
      <c r="P26" s="1772"/>
      <c r="Q26" s="1764"/>
      <c r="R26" s="1772"/>
      <c r="S26" s="1764"/>
      <c r="T26" s="1772"/>
      <c r="U26" s="1764"/>
      <c r="V26" s="1772"/>
      <c r="W26" s="1764"/>
      <c r="X26" s="1772"/>
      <c r="Y26" s="1765"/>
      <c r="Z26" s="1766"/>
      <c r="AA26" s="728"/>
      <c r="AB26" s="1765"/>
      <c r="AC26" s="1763"/>
      <c r="AD26" s="728"/>
      <c r="AE26" s="2275"/>
      <c r="AF26" s="2252"/>
      <c r="AG26" s="2275"/>
      <c r="AH26" s="2260"/>
      <c r="AI26" s="2259"/>
    </row>
    <row r="27" spans="1:35" s="742" customFormat="1" ht="18.899999999999999" customHeight="1">
      <c r="A27" s="461" t="s">
        <v>163</v>
      </c>
      <c r="B27" s="442"/>
      <c r="C27" s="442"/>
      <c r="D27" s="449" t="s">
        <v>16</v>
      </c>
      <c r="E27" s="442"/>
      <c r="F27" s="442"/>
      <c r="G27" s="442"/>
      <c r="H27" s="1764"/>
      <c r="I27" s="1764"/>
      <c r="J27" s="1764"/>
      <c r="K27" s="442"/>
      <c r="L27" s="1764"/>
      <c r="M27" s="1764"/>
      <c r="N27" s="1764"/>
      <c r="O27" s="1764"/>
      <c r="P27" s="1764"/>
      <c r="Q27" s="1764"/>
      <c r="R27" s="1764"/>
      <c r="S27" s="1764"/>
      <c r="T27" s="1764"/>
      <c r="U27" s="1764"/>
      <c r="V27" s="1764"/>
      <c r="W27" s="1764"/>
      <c r="X27" s="1764"/>
      <c r="Y27" s="1765"/>
      <c r="Z27" s="1766"/>
      <c r="AA27" s="442"/>
      <c r="AB27" s="1765"/>
      <c r="AC27" s="1764"/>
      <c r="AD27" s="442"/>
      <c r="AE27" s="2298"/>
      <c r="AF27" s="2252"/>
      <c r="AG27" s="2275"/>
      <c r="AH27" s="2260"/>
      <c r="AI27" s="2259"/>
    </row>
    <row r="28" spans="1:35" s="742" customFormat="1" ht="18.75" customHeight="1">
      <c r="A28" s="461" t="s">
        <v>46</v>
      </c>
      <c r="B28" s="1780">
        <f>ROUND(B17-B25,1)</f>
        <v>16.5</v>
      </c>
      <c r="C28" s="729"/>
      <c r="D28" s="1780">
        <f>ROUND(D17-D25,1)</f>
        <v>-7.2</v>
      </c>
      <c r="E28" s="729"/>
      <c r="F28" s="1780">
        <f>ROUND(F17-F25,1)</f>
        <v>-0.8</v>
      </c>
      <c r="G28" s="729"/>
      <c r="H28" s="1780">
        <f>ROUND(H17-H25,1)</f>
        <v>-0.9</v>
      </c>
      <c r="I28" s="732"/>
      <c r="J28" s="1780">
        <f>ROUND(J17-J25,1)</f>
        <v>-0.1</v>
      </c>
      <c r="K28" s="729"/>
      <c r="L28" s="1780">
        <f>ROUND(L17-L25,1)</f>
        <v>-0.4</v>
      </c>
      <c r="M28" s="1769"/>
      <c r="N28" s="1780">
        <f>ROUND(N17-N25,1)</f>
        <v>-0.9</v>
      </c>
      <c r="O28" s="1769"/>
      <c r="P28" s="1780">
        <f>ROUND(P17-P25,1)</f>
        <v>14.1</v>
      </c>
      <c r="Q28" s="1769"/>
      <c r="R28" s="1780">
        <f>ROUND(R17-R25,1)</f>
        <v>-10.6</v>
      </c>
      <c r="S28" s="1769"/>
      <c r="T28" s="1780">
        <f>ROUND(T17-T25,1)</f>
        <v>0</v>
      </c>
      <c r="U28" s="1769"/>
      <c r="V28" s="1780">
        <f>ROUND(V17-V25,1)</f>
        <v>0</v>
      </c>
      <c r="W28" s="1769"/>
      <c r="X28" s="1780">
        <f>ROUND(X17-X25,1)</f>
        <v>0</v>
      </c>
      <c r="Y28" s="1770"/>
      <c r="Z28" s="1771"/>
      <c r="AA28" s="1781">
        <f>ROUND(AA17-AA25,1)</f>
        <v>9.6999999999999993</v>
      </c>
      <c r="AB28" s="1770"/>
      <c r="AC28" s="1782"/>
      <c r="AD28" s="1781">
        <f>ROUND(AD17-AD25,1)</f>
        <v>1.9</v>
      </c>
      <c r="AE28" s="2303"/>
      <c r="AF28" s="2253"/>
      <c r="AG28" s="2763">
        <f>ROUND(SUM(AA28-AD28),1)</f>
        <v>7.8</v>
      </c>
      <c r="AH28" s="2260"/>
      <c r="AI28" s="3519">
        <f>ROUND(IF(AG28=0,0,AG28/ABS(AD28)),3)</f>
        <v>4.1050000000000004</v>
      </c>
    </row>
    <row r="29" spans="1:35" s="742" customFormat="1" ht="18.899999999999999" customHeight="1">
      <c r="A29" s="352"/>
      <c r="B29" s="449"/>
      <c r="C29" s="442"/>
      <c r="D29" s="449" t="s">
        <v>16</v>
      </c>
      <c r="E29" s="442"/>
      <c r="F29" s="449"/>
      <c r="G29" s="442"/>
      <c r="H29" s="1763"/>
      <c r="I29" s="1764"/>
      <c r="J29" s="1763"/>
      <c r="K29" s="442"/>
      <c r="L29" s="1763"/>
      <c r="M29" s="1764"/>
      <c r="N29" s="1772"/>
      <c r="O29" s="1764"/>
      <c r="P29" s="1763"/>
      <c r="Q29" s="1764"/>
      <c r="R29" s="1772"/>
      <c r="S29" s="1764"/>
      <c r="T29" s="1763"/>
      <c r="U29" s="1764"/>
      <c r="V29" s="1763"/>
      <c r="W29" s="1764"/>
      <c r="X29" s="1772"/>
      <c r="Y29" s="1765"/>
      <c r="Z29" s="1766"/>
      <c r="AA29" s="449"/>
      <c r="AB29" s="1765"/>
      <c r="AC29" s="1763"/>
      <c r="AD29" s="449"/>
      <c r="AE29" s="2275"/>
      <c r="AF29" s="2254"/>
      <c r="AG29" s="2275"/>
      <c r="AH29" s="2260"/>
      <c r="AI29" s="2259"/>
    </row>
    <row r="30" spans="1:35" s="742" customFormat="1" ht="18.899999999999999" customHeight="1">
      <c r="A30" s="461" t="s">
        <v>47</v>
      </c>
      <c r="B30" s="442"/>
      <c r="C30" s="442"/>
      <c r="D30" s="442"/>
      <c r="E30" s="442"/>
      <c r="F30" s="442"/>
      <c r="G30" s="442"/>
      <c r="H30" s="1764"/>
      <c r="I30" s="1764"/>
      <c r="J30" s="1764"/>
      <c r="K30" s="442"/>
      <c r="L30" s="1764"/>
      <c r="M30" s="1764"/>
      <c r="N30" s="1764"/>
      <c r="O30" s="1764"/>
      <c r="P30" s="1764"/>
      <c r="Q30" s="1764"/>
      <c r="R30" s="1764"/>
      <c r="S30" s="1764"/>
      <c r="T30" s="1764"/>
      <c r="U30" s="1764"/>
      <c r="V30" s="1764"/>
      <c r="W30" s="1764"/>
      <c r="X30" s="1764"/>
      <c r="Y30" s="1765"/>
      <c r="Z30" s="1766"/>
      <c r="AA30" s="442"/>
      <c r="AB30" s="1765"/>
      <c r="AC30" s="1764"/>
      <c r="AD30" s="442"/>
      <c r="AE30" s="2298"/>
      <c r="AF30" s="2254"/>
      <c r="AG30" s="2275"/>
      <c r="AH30" s="2260"/>
      <c r="AI30" s="2259"/>
    </row>
    <row r="31" spans="1:35" s="742" customFormat="1" ht="18.899999999999999" customHeight="1">
      <c r="A31" s="352" t="s">
        <v>188</v>
      </c>
      <c r="B31" s="444">
        <v>0</v>
      </c>
      <c r="C31" s="442"/>
      <c r="D31" s="444">
        <v>0</v>
      </c>
      <c r="E31" s="442"/>
      <c r="F31" s="444">
        <v>0</v>
      </c>
      <c r="G31" s="442"/>
      <c r="H31" s="444">
        <v>0</v>
      </c>
      <c r="I31" s="1764"/>
      <c r="J31" s="444">
        <v>0</v>
      </c>
      <c r="K31" s="442"/>
      <c r="L31" s="444">
        <v>0</v>
      </c>
      <c r="M31" s="1764"/>
      <c r="N31" s="444">
        <v>0</v>
      </c>
      <c r="O31" s="1764"/>
      <c r="P31" s="444">
        <v>0</v>
      </c>
      <c r="Q31" s="1764"/>
      <c r="R31" s="444">
        <v>0</v>
      </c>
      <c r="S31" s="1764"/>
      <c r="T31" s="444"/>
      <c r="U31" s="1764"/>
      <c r="V31" s="444"/>
      <c r="W31" s="1764"/>
      <c r="X31" s="444"/>
      <c r="Y31" s="1765"/>
      <c r="Z31" s="1766"/>
      <c r="AA31" s="1799">
        <f>ROUND(SUM(B31:X31),1)</f>
        <v>0</v>
      </c>
      <c r="AB31" s="1765"/>
      <c r="AC31" s="1764"/>
      <c r="AD31" s="444">
        <v>0</v>
      </c>
      <c r="AE31" s="2299"/>
      <c r="AF31" s="2255"/>
      <c r="AG31" s="2309">
        <f>ROUND(SUM(AA31-AD31),1)</f>
        <v>0</v>
      </c>
      <c r="AH31" s="2280"/>
      <c r="AI31" s="2281">
        <f>ROUND(IF(AG31=0,0,AG31/ABS(AD31)),3)</f>
        <v>0</v>
      </c>
    </row>
    <row r="32" spans="1:35" s="742" customFormat="1" ht="18.899999999999999" customHeight="1">
      <c r="A32" s="352" t="s">
        <v>189</v>
      </c>
      <c r="B32" s="444">
        <v>0</v>
      </c>
      <c r="C32" s="442"/>
      <c r="D32" s="444">
        <v>0</v>
      </c>
      <c r="E32" s="442"/>
      <c r="F32" s="444">
        <v>0</v>
      </c>
      <c r="G32" s="442"/>
      <c r="H32" s="444">
        <v>0</v>
      </c>
      <c r="I32" s="1764"/>
      <c r="J32" s="444">
        <v>0</v>
      </c>
      <c r="K32" s="442"/>
      <c r="L32" s="444">
        <v>0</v>
      </c>
      <c r="M32" s="1763"/>
      <c r="N32" s="444">
        <v>0</v>
      </c>
      <c r="O32" s="1763"/>
      <c r="P32" s="444">
        <v>0</v>
      </c>
      <c r="Q32" s="1763"/>
      <c r="R32" s="444">
        <v>0</v>
      </c>
      <c r="S32" s="1763"/>
      <c r="T32" s="444"/>
      <c r="U32" s="1763"/>
      <c r="V32" s="444"/>
      <c r="W32" s="1763"/>
      <c r="X32" s="444"/>
      <c r="Y32" s="1765"/>
      <c r="Z32" s="1766"/>
      <c r="AA32" s="1799">
        <f>ROUND(SUM(B32:X32),1)</f>
        <v>0</v>
      </c>
      <c r="AB32" s="1783"/>
      <c r="AC32" s="1784"/>
      <c r="AD32" s="444">
        <v>0</v>
      </c>
      <c r="AE32" s="2299"/>
      <c r="AF32" s="2254"/>
      <c r="AG32" s="2309">
        <f>ROUND(SUM(AA32-AD32),1)</f>
        <v>0</v>
      </c>
      <c r="AH32" s="2280"/>
      <c r="AI32" s="2281">
        <f>ROUND(IF(AG32=0,0,AG32/ABS(AD32)),3)</f>
        <v>0</v>
      </c>
    </row>
    <row r="33" spans="1:35" s="742" customFormat="1" ht="22.5" customHeight="1">
      <c r="A33" s="461" t="s">
        <v>215</v>
      </c>
      <c r="B33" s="1785">
        <f>ROUND(SUM(B31:B32),1)</f>
        <v>0</v>
      </c>
      <c r="C33" s="729"/>
      <c r="D33" s="1785">
        <f>ROUND(SUM(D31:D32),1)</f>
        <v>0</v>
      </c>
      <c r="E33" s="735"/>
      <c r="F33" s="1785">
        <f>ROUND(SUM(F31:F32),1)</f>
        <v>0</v>
      </c>
      <c r="G33" s="735"/>
      <c r="H33" s="1785">
        <f>ROUND(SUM(H31:H32),1)</f>
        <v>0</v>
      </c>
      <c r="I33" s="1786"/>
      <c r="J33" s="1785">
        <f>ROUND(SUM(J31:J32),1)</f>
        <v>0</v>
      </c>
      <c r="K33" s="735"/>
      <c r="L33" s="1785">
        <f>ROUND(SUM(L31:L32),1)</f>
        <v>0</v>
      </c>
      <c r="M33" s="1786"/>
      <c r="N33" s="1785">
        <f>ROUND(SUM(N31:N32),1)</f>
        <v>0</v>
      </c>
      <c r="O33" s="1786"/>
      <c r="P33" s="1785">
        <f>ROUND(SUM(P31:P32),1)</f>
        <v>0</v>
      </c>
      <c r="Q33" s="1786"/>
      <c r="R33" s="1785">
        <f>ROUND(SUM(R31:R32),1)</f>
        <v>0</v>
      </c>
      <c r="S33" s="1786"/>
      <c r="T33" s="1785">
        <f>ROUND(SUM(T31:T32),1)</f>
        <v>0</v>
      </c>
      <c r="U33" s="1786"/>
      <c r="V33" s="1785">
        <f>ROUND(SUM(V31:V32),1)</f>
        <v>0</v>
      </c>
      <c r="W33" s="1786"/>
      <c r="X33" s="1785">
        <f>ROUND(SUM(X31:X32),1)</f>
        <v>0</v>
      </c>
      <c r="Y33" s="1770"/>
      <c r="Z33" s="1771"/>
      <c r="AA33" s="1804">
        <f>ROUND(SUM(AA31:AA32),1)</f>
        <v>0</v>
      </c>
      <c r="AB33" s="1787"/>
      <c r="AC33" s="1788"/>
      <c r="AD33" s="1804">
        <f>ROUND(SUM(AD31:AD32),1)</f>
        <v>0</v>
      </c>
      <c r="AE33" s="2304"/>
      <c r="AF33" s="2255"/>
      <c r="AG33" s="2306">
        <f>ROUND(SUM(AG31-AG32),1)</f>
        <v>0</v>
      </c>
      <c r="AH33" s="2287"/>
      <c r="AI33" s="2308">
        <f>ROUND(IF(AG33=0,0,AG33/ABS(AD33)),3)</f>
        <v>0</v>
      </c>
    </row>
    <row r="34" spans="1:35" s="742" customFormat="1" ht="18.899999999999999" customHeight="1">
      <c r="A34" s="352"/>
      <c r="B34" s="728"/>
      <c r="C34" s="442"/>
      <c r="D34" s="728" t="s">
        <v>16</v>
      </c>
      <c r="E34" s="442"/>
      <c r="F34" s="728"/>
      <c r="G34" s="442"/>
      <c r="H34" s="1772"/>
      <c r="I34" s="1764"/>
      <c r="J34" s="1772"/>
      <c r="K34" s="442"/>
      <c r="L34" s="1772"/>
      <c r="M34" s="1764"/>
      <c r="N34" s="1772"/>
      <c r="O34" s="1764"/>
      <c r="P34" s="1772"/>
      <c r="Q34" s="1764"/>
      <c r="R34" s="1772"/>
      <c r="S34" s="1764"/>
      <c r="T34" s="1772"/>
      <c r="U34" s="1764"/>
      <c r="V34" s="1772"/>
      <c r="W34" s="1764"/>
      <c r="X34" s="1772"/>
      <c r="Y34" s="1765"/>
      <c r="Z34" s="1766"/>
      <c r="AA34" s="728"/>
      <c r="AB34" s="1765"/>
      <c r="AC34" s="1763"/>
      <c r="AD34" s="728"/>
      <c r="AE34" s="2275"/>
      <c r="AF34" s="2252"/>
      <c r="AG34" s="2275"/>
      <c r="AH34" s="2260"/>
      <c r="AI34" s="2259"/>
    </row>
    <row r="35" spans="1:35" s="742" customFormat="1" ht="18.899999999999999" customHeight="1">
      <c r="A35" s="461" t="s">
        <v>172</v>
      </c>
      <c r="B35" s="442"/>
      <c r="C35" s="442"/>
      <c r="D35" s="442" t="s">
        <v>16</v>
      </c>
      <c r="E35" s="442"/>
      <c r="F35" s="442"/>
      <c r="G35" s="442"/>
      <c r="H35" s="1764"/>
      <c r="I35" s="1764"/>
      <c r="J35" s="1764"/>
      <c r="K35" s="442"/>
      <c r="L35" s="1764"/>
      <c r="M35" s="1764"/>
      <c r="N35" s="1764"/>
      <c r="O35" s="1764"/>
      <c r="P35" s="1764"/>
      <c r="Q35" s="1764"/>
      <c r="R35" s="1764"/>
      <c r="S35" s="1764"/>
      <c r="T35" s="1764"/>
      <c r="U35" s="1764"/>
      <c r="V35" s="1764"/>
      <c r="W35" s="1764"/>
      <c r="X35" s="1764"/>
      <c r="Y35" s="1765"/>
      <c r="Z35" s="1766"/>
      <c r="AA35" s="442"/>
      <c r="AB35" s="1765"/>
      <c r="AC35" s="1764"/>
      <c r="AD35" s="442"/>
      <c r="AE35" s="2298"/>
      <c r="AF35" s="2252"/>
      <c r="AG35" s="2275"/>
      <c r="AH35" s="2260"/>
      <c r="AI35" s="2259"/>
    </row>
    <row r="36" spans="1:35" s="742" customFormat="1" ht="18.899999999999999" customHeight="1">
      <c r="A36" s="461" t="s">
        <v>234</v>
      </c>
      <c r="B36" s="442"/>
      <c r="C36" s="442"/>
      <c r="D36" s="442"/>
      <c r="E36" s="442"/>
      <c r="F36" s="442"/>
      <c r="G36" s="442"/>
      <c r="H36" s="1764"/>
      <c r="I36" s="1764"/>
      <c r="J36" s="1764"/>
      <c r="K36" s="442"/>
      <c r="L36" s="1764"/>
      <c r="M36" s="1764"/>
      <c r="N36" s="1764"/>
      <c r="O36" s="1764"/>
      <c r="P36" s="1764"/>
      <c r="Q36" s="1764"/>
      <c r="R36" s="1764"/>
      <c r="S36" s="1764"/>
      <c r="T36" s="1797"/>
      <c r="U36" s="1764"/>
      <c r="V36" s="1764"/>
      <c r="W36" s="1764"/>
      <c r="X36" s="1764"/>
      <c r="Y36" s="1765"/>
      <c r="Z36" s="1766"/>
      <c r="AA36" s="442"/>
      <c r="AB36" s="1765"/>
      <c r="AC36" s="1764"/>
      <c r="AD36" s="735"/>
      <c r="AE36" s="2305"/>
      <c r="AF36" s="2256"/>
      <c r="AG36" s="2275"/>
      <c r="AH36" s="2260"/>
      <c r="AI36" s="2259"/>
    </row>
    <row r="37" spans="1:35" s="744" customFormat="1" ht="18.899999999999999" customHeight="1">
      <c r="A37" s="461" t="s">
        <v>1182</v>
      </c>
      <c r="B37" s="1779">
        <f>ROUND(+B28+B33,1)</f>
        <v>16.5</v>
      </c>
      <c r="C37" s="729"/>
      <c r="D37" s="1779">
        <f>ROUND(+D28+D33,1)</f>
        <v>-7.2</v>
      </c>
      <c r="E37" s="735"/>
      <c r="F37" s="1779">
        <f>ROUND(+F28+F33,1)</f>
        <v>-0.8</v>
      </c>
      <c r="G37" s="735"/>
      <c r="H37" s="1779">
        <f>ROUND(+H28+H33,1)</f>
        <v>-0.9</v>
      </c>
      <c r="I37" s="1786"/>
      <c r="J37" s="1779">
        <f>ROUND(+J28+J33,1)</f>
        <v>-0.1</v>
      </c>
      <c r="K37" s="735"/>
      <c r="L37" s="1779">
        <f>ROUND(+L28+L33,1)</f>
        <v>-0.4</v>
      </c>
      <c r="M37" s="1789"/>
      <c r="N37" s="1779">
        <f>ROUND(+N28+N33,1)</f>
        <v>-0.9</v>
      </c>
      <c r="O37" s="1789"/>
      <c r="P37" s="1779">
        <f>ROUND(+P28+P33,1)</f>
        <v>14.1</v>
      </c>
      <c r="Q37" s="1789"/>
      <c r="R37" s="1779">
        <f>ROUND(+R28+R33,1)</f>
        <v>-10.6</v>
      </c>
      <c r="S37" s="1786"/>
      <c r="T37" s="1779">
        <f>ROUND(+T28+T33,1)</f>
        <v>0</v>
      </c>
      <c r="U37" s="1786"/>
      <c r="V37" s="1779">
        <f>ROUND(+V28+V33,1)</f>
        <v>0</v>
      </c>
      <c r="W37" s="1786"/>
      <c r="X37" s="1779">
        <f>ROUND(+X28+X33,1)</f>
        <v>0</v>
      </c>
      <c r="Y37" s="1770"/>
      <c r="Z37" s="1771"/>
      <c r="AA37" s="1789">
        <f>ROUND(AA28+AA33,1)</f>
        <v>9.6999999999999993</v>
      </c>
      <c r="AB37" s="732"/>
      <c r="AC37" s="1790"/>
      <c r="AD37" s="1789">
        <f>ROUND(AD28+AD33,1)</f>
        <v>1.9</v>
      </c>
      <c r="AE37" s="2303"/>
      <c r="AF37" s="2257"/>
      <c r="AG37" s="2763">
        <f>ROUND(SUM(AA37-AD37),1)</f>
        <v>7.8</v>
      </c>
      <c r="AH37" s="2260"/>
      <c r="AI37" s="3518">
        <f>ROUND(IF(AG37=0,0,AG37/ABS(AD37)),3)</f>
        <v>4.1050000000000004</v>
      </c>
    </row>
    <row r="38" spans="1:35" s="742" customFormat="1" ht="22.5" customHeight="1" thickBot="1">
      <c r="A38" s="461" t="s">
        <v>146</v>
      </c>
      <c r="B38" s="1791">
        <f>ROUND(B13+B37,1)</f>
        <v>-0.4</v>
      </c>
      <c r="C38" s="717"/>
      <c r="D38" s="1791">
        <f>ROUND(D13+D37,1)</f>
        <v>-7.6</v>
      </c>
      <c r="E38" s="717"/>
      <c r="F38" s="1791">
        <f>ROUND(F13+F37,1)</f>
        <v>-8.4</v>
      </c>
      <c r="G38" s="717"/>
      <c r="H38" s="1791">
        <f>ROUND(H13+H37,1)</f>
        <v>-9.3000000000000007</v>
      </c>
      <c r="I38" s="1792"/>
      <c r="J38" s="1791">
        <f>ROUND(J13+J37,1)</f>
        <v>-9.4</v>
      </c>
      <c r="K38" s="717"/>
      <c r="L38" s="1791">
        <f>ROUND(L13+L37,1)</f>
        <v>-9.8000000000000007</v>
      </c>
      <c r="M38" s="720"/>
      <c r="N38" s="1791">
        <f>ROUND(N13+N37,1)</f>
        <v>-10.7</v>
      </c>
      <c r="O38" s="720"/>
      <c r="P38" s="1791">
        <f>ROUND(P13+P37,1)</f>
        <v>3.4</v>
      </c>
      <c r="Q38" s="720"/>
      <c r="R38" s="1791">
        <f>ROUND(R13+R37,1)</f>
        <v>-7.2</v>
      </c>
      <c r="S38" s="1792"/>
      <c r="T38" s="1791">
        <f>ROUND(T13+T37,1)</f>
        <v>0</v>
      </c>
      <c r="U38" s="1792"/>
      <c r="V38" s="1791">
        <f>ROUND(V13+V37,1)</f>
        <v>0</v>
      </c>
      <c r="W38" s="1792"/>
      <c r="X38" s="1791">
        <f>ROUND(X13+X37,1)</f>
        <v>0</v>
      </c>
      <c r="Y38" s="1753"/>
      <c r="Z38" s="1754"/>
      <c r="AA38" s="1791">
        <f>ROUND(SUM(AA13,AA37),1)</f>
        <v>-7.2</v>
      </c>
      <c r="AB38" s="720"/>
      <c r="AC38" s="1793"/>
      <c r="AD38" s="1841">
        <f>ROUND(SUM(AD13,AD37),1)</f>
        <v>-2</v>
      </c>
      <c r="AE38" s="2267"/>
      <c r="AF38" s="2258"/>
      <c r="AG38" s="2310">
        <f>ROUND(SUM(AA38-AD38),1)</f>
        <v>-5.2</v>
      </c>
      <c r="AH38" s="2286"/>
      <c r="AI38" s="2875">
        <f>ROUND(IF(AG38=0,0,AG38/ABS(AD38)),3)</f>
        <v>-2.6</v>
      </c>
    </row>
    <row r="39" spans="1:35" s="742" customFormat="1" ht="18.899999999999999" customHeight="1" thickTop="1">
      <c r="A39" s="352" t="s">
        <v>16</v>
      </c>
      <c r="B39" s="1794"/>
      <c r="C39" s="1795"/>
      <c r="D39" s="1794"/>
      <c r="E39" s="1795"/>
      <c r="F39" s="1794"/>
      <c r="G39" s="1795"/>
      <c r="H39" s="1794"/>
      <c r="I39" s="1795"/>
      <c r="J39" s="1794"/>
      <c r="K39" s="1795"/>
      <c r="L39" s="1794"/>
      <c r="M39" s="1795"/>
      <c r="N39" s="1794"/>
      <c r="O39" s="1795"/>
      <c r="P39" s="1794"/>
      <c r="Q39" s="1795"/>
      <c r="R39" s="1794"/>
      <c r="S39" s="1795"/>
      <c r="T39" s="1794"/>
      <c r="U39" s="1795"/>
      <c r="V39" s="1794"/>
      <c r="W39" s="1795"/>
      <c r="X39" s="1794"/>
      <c r="Y39" s="1795"/>
      <c r="Z39" s="1795"/>
      <c r="AA39" s="1794"/>
      <c r="AB39" s="1796"/>
      <c r="AC39" s="1796"/>
      <c r="AD39" s="1796"/>
      <c r="AE39" s="2284"/>
      <c r="AF39" s="2284"/>
      <c r="AG39" s="2269"/>
      <c r="AH39" s="2260"/>
      <c r="AI39" s="2259"/>
    </row>
    <row r="40" spans="1:35" s="742" customFormat="1" ht="18.899999999999999" customHeight="1">
      <c r="B40" s="1267"/>
      <c r="C40" s="1714"/>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796"/>
      <c r="AA40" s="1796"/>
      <c r="AB40" s="1796"/>
      <c r="AC40" s="1796"/>
      <c r="AD40" s="1796"/>
      <c r="AE40" s="2284"/>
      <c r="AF40" s="2284"/>
      <c r="AG40" s="2269"/>
      <c r="AH40" s="2260"/>
      <c r="AI40" s="2259"/>
    </row>
    <row r="41" spans="1:35" ht="15.75" customHeight="1">
      <c r="A41" s="746"/>
      <c r="B41" s="1714"/>
      <c r="C41" s="1714"/>
      <c r="D41" s="1714"/>
      <c r="E41" s="1714"/>
      <c r="F41" s="1714"/>
      <c r="G41" s="1714"/>
      <c r="H41" s="1714"/>
      <c r="I41" s="1714"/>
      <c r="J41" s="1714"/>
      <c r="K41" s="1714"/>
      <c r="L41" s="1714"/>
      <c r="M41" s="1714"/>
      <c r="N41" s="1714"/>
      <c r="O41" s="1714"/>
      <c r="P41" s="1714"/>
      <c r="Q41" s="1714"/>
      <c r="R41" s="1714"/>
      <c r="S41" s="1714"/>
      <c r="T41" s="1714"/>
      <c r="U41" s="1714"/>
      <c r="V41" s="1714"/>
      <c r="W41" s="1714"/>
      <c r="X41" s="1714"/>
      <c r="Y41" s="1714"/>
      <c r="Z41" s="1714"/>
      <c r="AA41" s="368"/>
      <c r="AB41" s="368"/>
      <c r="AC41" s="368"/>
      <c r="AD41" s="1795"/>
      <c r="AE41" s="2262"/>
      <c r="AF41" s="2262"/>
      <c r="AG41" s="2269"/>
    </row>
    <row r="42" spans="1:35">
      <c r="A42" s="742"/>
      <c r="B42" s="742"/>
      <c r="C42" s="742"/>
      <c r="D42" s="742"/>
      <c r="E42" s="742"/>
      <c r="F42" s="742"/>
      <c r="G42" s="742"/>
      <c r="H42" s="742"/>
      <c r="I42" s="742"/>
      <c r="J42" s="742"/>
      <c r="K42" s="742"/>
      <c r="L42" s="742"/>
      <c r="M42" s="742"/>
      <c r="N42" s="742"/>
      <c r="O42" s="742"/>
      <c r="P42" s="742"/>
      <c r="Q42" s="742"/>
      <c r="R42" s="742"/>
      <c r="S42" s="742"/>
      <c r="T42" s="742"/>
      <c r="U42" s="742"/>
      <c r="V42" s="742"/>
      <c r="W42" s="742"/>
      <c r="X42" s="742"/>
      <c r="Y42" s="742"/>
      <c r="Z42" s="742"/>
    </row>
    <row r="43" spans="1:35" ht="13.5" customHeight="1">
      <c r="A43" s="1358"/>
      <c r="B43" s="1714"/>
      <c r="C43" s="1714"/>
      <c r="D43" s="1714"/>
      <c r="E43" s="1714"/>
      <c r="F43" s="1714"/>
      <c r="G43" s="1714"/>
      <c r="H43" s="1714"/>
      <c r="I43" s="1714"/>
      <c r="J43" s="1714"/>
      <c r="K43" s="1714"/>
      <c r="L43" s="1714"/>
      <c r="M43" s="1714"/>
      <c r="N43" s="1714"/>
      <c r="O43" s="1714"/>
      <c r="P43" s="1714"/>
      <c r="Q43" s="1714"/>
      <c r="R43" s="1714"/>
      <c r="S43" s="1714"/>
      <c r="T43" s="1714"/>
      <c r="U43" s="1714"/>
      <c r="V43" s="1714"/>
      <c r="W43" s="1714"/>
      <c r="X43" s="1714"/>
      <c r="Y43" s="1714"/>
      <c r="Z43" s="1714"/>
      <c r="AA43" s="368"/>
      <c r="AB43" s="368"/>
      <c r="AC43" s="368"/>
      <c r="AD43" s="1795"/>
      <c r="AE43" s="2262"/>
      <c r="AF43" s="2262"/>
      <c r="AG43" s="2269"/>
    </row>
    <row r="44" spans="1:35">
      <c r="A44" s="1358"/>
      <c r="B44" s="1714"/>
      <c r="C44" s="1714"/>
      <c r="D44" s="1714"/>
      <c r="E44" s="1714"/>
      <c r="F44" s="1714"/>
      <c r="G44" s="1714"/>
      <c r="H44" s="1714"/>
      <c r="I44" s="1714"/>
      <c r="J44" s="1714"/>
      <c r="K44" s="1714"/>
      <c r="L44" s="1714"/>
      <c r="M44" s="1714"/>
      <c r="N44" s="1714"/>
      <c r="O44" s="1714"/>
      <c r="P44" s="1714"/>
      <c r="Q44" s="1714"/>
      <c r="R44" s="1714"/>
      <c r="S44" s="1714"/>
      <c r="T44" s="1714"/>
      <c r="U44" s="1714"/>
      <c r="V44" s="1714"/>
      <c r="W44" s="1714"/>
      <c r="X44" s="1714"/>
      <c r="Y44" s="1714"/>
      <c r="Z44" s="1714"/>
      <c r="AA44" s="368"/>
      <c r="AB44" s="368"/>
      <c r="AC44" s="368"/>
      <c r="AD44" s="1795"/>
      <c r="AE44" s="2262"/>
      <c r="AF44" s="2262"/>
      <c r="AG44" s="2269"/>
    </row>
    <row r="45" spans="1:35">
      <c r="A45" s="1358"/>
      <c r="B45" s="1714"/>
      <c r="C45" s="1714"/>
      <c r="D45" s="1714"/>
      <c r="E45" s="1714"/>
      <c r="F45" s="1714"/>
      <c r="G45" s="1714"/>
      <c r="H45" s="1714"/>
      <c r="I45" s="1714"/>
      <c r="J45" s="1714"/>
      <c r="K45" s="1714"/>
      <c r="L45" s="1714"/>
      <c r="M45" s="1714"/>
      <c r="N45" s="1714"/>
      <c r="O45" s="1714"/>
      <c r="P45" s="1714"/>
      <c r="Q45" s="1714"/>
      <c r="R45" s="1714"/>
      <c r="S45" s="1714"/>
      <c r="T45" s="1714"/>
      <c r="U45" s="1714"/>
      <c r="V45" s="1714"/>
      <c r="W45" s="1714"/>
      <c r="X45" s="1714"/>
      <c r="Y45" s="1714"/>
      <c r="Z45" s="1714"/>
      <c r="AA45" s="368"/>
      <c r="AB45" s="368"/>
      <c r="AC45" s="368"/>
      <c r="AD45" s="1795"/>
      <c r="AE45" s="2262"/>
      <c r="AF45" s="2262"/>
    </row>
    <row r="46" spans="1:35">
      <c r="A46" s="1358"/>
      <c r="B46" s="1714"/>
      <c r="C46" s="1714"/>
      <c r="D46" s="1714"/>
      <c r="E46" s="1714"/>
      <c r="F46" s="1714"/>
      <c r="G46" s="1714"/>
      <c r="H46" s="1714"/>
      <c r="I46" s="1714"/>
      <c r="J46" s="1714"/>
      <c r="K46" s="1714"/>
      <c r="L46" s="1714"/>
      <c r="M46" s="1714"/>
      <c r="N46" s="1714"/>
      <c r="O46" s="1714"/>
      <c r="P46" s="1714"/>
      <c r="Q46" s="1714"/>
      <c r="R46" s="1714"/>
      <c r="S46" s="1714"/>
      <c r="T46" s="1714"/>
      <c r="U46" s="1714"/>
      <c r="V46" s="1714"/>
      <c r="W46" s="1714"/>
      <c r="X46" s="1714"/>
      <c r="Y46" s="1714"/>
      <c r="Z46" s="1714"/>
      <c r="AA46" s="368"/>
      <c r="AB46" s="368"/>
      <c r="AC46" s="368"/>
      <c r="AD46" s="1795"/>
      <c r="AE46" s="2262"/>
      <c r="AF46" s="2262"/>
    </row>
    <row r="47" spans="1:35">
      <c r="A47" s="1358"/>
      <c r="B47" s="1358"/>
      <c r="C47" s="1358"/>
      <c r="D47" s="1358"/>
      <c r="E47" s="1358"/>
      <c r="F47" s="1358"/>
      <c r="G47" s="1358"/>
      <c r="H47" s="1358"/>
      <c r="I47" s="1358"/>
      <c r="J47" s="1358"/>
      <c r="K47" s="1358"/>
      <c r="L47" s="1358"/>
      <c r="M47" s="1358"/>
      <c r="N47" s="1358"/>
      <c r="O47" s="1358"/>
      <c r="P47" s="1358"/>
      <c r="Q47" s="1358"/>
      <c r="R47" s="1358"/>
      <c r="S47" s="1358"/>
      <c r="T47" s="1358"/>
      <c r="U47" s="1358"/>
      <c r="V47" s="1358"/>
      <c r="W47" s="1358"/>
      <c r="X47" s="1358"/>
      <c r="Y47" s="1358"/>
      <c r="Z47" s="1358"/>
      <c r="AA47" s="223"/>
      <c r="AB47" s="223"/>
      <c r="AC47" s="223"/>
      <c r="AD47" s="352"/>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showOutlineSymbols="0" zoomScale="60" zoomScaleNormal="70" zoomScaleSheetLayoutView="75" workbookViewId="0"/>
  </sheetViews>
  <sheetFormatPr defaultColWidth="8.90625" defaultRowHeight="13.2"/>
  <cols>
    <col min="1" max="1" width="46.90625" style="740" customWidth="1"/>
    <col min="2" max="2" width="8.6328125" style="740" customWidth="1"/>
    <col min="3" max="3" width="1.6328125" style="740" customWidth="1"/>
    <col min="4" max="4" width="8.6328125" style="740" customWidth="1"/>
    <col min="5" max="5" width="1.6328125" style="740" customWidth="1"/>
    <col min="6" max="6" width="8.6328125" style="740" customWidth="1"/>
    <col min="7" max="7" width="1.6328125" style="740" customWidth="1"/>
    <col min="8" max="8" width="8.6328125" style="740" customWidth="1"/>
    <col min="9" max="9" width="1.6328125" style="740" customWidth="1"/>
    <col min="10" max="10" width="10.6328125" style="740" customWidth="1"/>
    <col min="11" max="11" width="1.6328125" style="740" customWidth="1"/>
    <col min="12" max="12" width="14.81640625" style="740" bestFit="1" customWidth="1"/>
    <col min="13" max="13" width="1.6328125" style="740" customWidth="1"/>
    <col min="14" max="14" width="11.90625" style="740" bestFit="1" customWidth="1"/>
    <col min="15" max="15" width="1.6328125" style="740" customWidth="1"/>
    <col min="16" max="16" width="13.54296875" style="740" bestFit="1" customWidth="1"/>
    <col min="17" max="17" width="1.6328125" style="740" customWidth="1"/>
    <col min="18" max="18" width="13.54296875" style="740" bestFit="1" customWidth="1"/>
    <col min="19" max="19" width="1.6328125" style="740" customWidth="1"/>
    <col min="20" max="20" width="11" style="740" bestFit="1" customWidth="1"/>
    <col min="21" max="21" width="1.6328125" style="740" customWidth="1"/>
    <col min="22" max="22" width="12.6328125" style="740" bestFit="1" customWidth="1"/>
    <col min="23" max="23" width="1.6328125" style="740" customWidth="1"/>
    <col min="24" max="24" width="8.6328125" style="740" customWidth="1"/>
    <col min="25" max="26" width="1.6328125" style="740" customWidth="1"/>
    <col min="27" max="27" width="10.08984375" style="740" customWidth="1"/>
    <col min="28" max="29" width="1.81640625" style="740" customWidth="1"/>
    <col min="30" max="30" width="10.08984375" style="740" customWidth="1"/>
    <col min="31" max="31" width="1.81640625" style="740" customWidth="1"/>
    <col min="32" max="32" width="2.453125" style="740" customWidth="1"/>
    <col min="33" max="33" width="10.36328125" style="748" bestFit="1" customWidth="1"/>
    <col min="34" max="34" width="1.6328125" style="748" customWidth="1"/>
    <col min="35" max="35" width="11.08984375" style="740" customWidth="1"/>
    <col min="36" max="16384" width="8.90625" style="740"/>
  </cols>
  <sheetData>
    <row r="1" spans="1:35" ht="15">
      <c r="A1" s="1184" t="s">
        <v>1217</v>
      </c>
    </row>
    <row r="2" spans="1:35" ht="15">
      <c r="A2" s="1731"/>
    </row>
    <row r="3" spans="1:35" ht="20.25" customHeight="1">
      <c r="A3" s="1740"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7"/>
      <c r="AI3" s="1739" t="s">
        <v>236</v>
      </c>
    </row>
    <row r="4" spans="1:35" ht="20.25" customHeight="1">
      <c r="A4" s="1742"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7"/>
    </row>
    <row r="5" spans="1:35" ht="20.25" customHeight="1">
      <c r="A5" s="1742"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41"/>
      <c r="AC5" s="741"/>
      <c r="AE5" s="1739"/>
      <c r="AG5" s="747"/>
    </row>
    <row r="6" spans="1:35" ht="20.25" customHeight="1">
      <c r="A6" s="1742" t="s">
        <v>1528</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7"/>
    </row>
    <row r="7" spans="1:35" ht="20.25" customHeight="1">
      <c r="A7" s="1740" t="s">
        <v>1103</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59"/>
      <c r="AB7" s="2259"/>
      <c r="AC7" s="2259"/>
      <c r="AD7" s="2259"/>
      <c r="AE7" s="2259"/>
      <c r="AF7" s="2259"/>
      <c r="AG7" s="2260"/>
      <c r="AH7" s="2260"/>
      <c r="AI7" s="2259"/>
    </row>
    <row r="8" spans="1:35" s="742" customFormat="1" ht="18.899999999999999" customHeight="1">
      <c r="A8" s="642"/>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59"/>
      <c r="AB8" s="2259"/>
      <c r="AC8" s="2259"/>
      <c r="AD8" s="2259"/>
      <c r="AE8" s="2259"/>
      <c r="AF8" s="2259"/>
      <c r="AG8" s="2260"/>
      <c r="AH8" s="2260"/>
      <c r="AI8" s="2259"/>
    </row>
    <row r="9" spans="1:35" s="742"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59"/>
      <c r="AB9" s="2259"/>
      <c r="AC9" s="3586"/>
      <c r="AD9" s="3587"/>
      <c r="AE9" s="3587"/>
      <c r="AF9" s="3587"/>
      <c r="AG9" s="3587"/>
      <c r="AH9" s="3587"/>
      <c r="AI9" s="3587"/>
    </row>
    <row r="10" spans="1:35" s="742" customFormat="1" ht="18.899999999999999" customHeight="1">
      <c r="A10" s="352"/>
      <c r="B10" s="352"/>
      <c r="C10" s="352"/>
      <c r="D10" s="352"/>
      <c r="E10" s="352"/>
      <c r="F10" s="352"/>
      <c r="G10" s="352"/>
      <c r="H10" s="352"/>
      <c r="I10" s="352"/>
      <c r="J10" s="352"/>
      <c r="K10" s="352"/>
      <c r="L10" s="352"/>
      <c r="M10" s="352"/>
      <c r="N10" s="352"/>
      <c r="O10" s="352"/>
      <c r="P10" s="352"/>
      <c r="Q10" s="352"/>
      <c r="R10" s="352"/>
      <c r="S10" s="352"/>
      <c r="T10" s="352"/>
      <c r="U10" s="352"/>
      <c r="V10" s="1743"/>
      <c r="W10" s="1744"/>
      <c r="X10" s="1745"/>
      <c r="Y10" s="1746"/>
      <c r="AA10" s="3585" t="s">
        <v>1664</v>
      </c>
      <c r="AB10" s="3588"/>
      <c r="AC10" s="3588"/>
      <c r="AD10" s="3588"/>
      <c r="AE10" s="3588"/>
      <c r="AF10" s="3588"/>
      <c r="AG10" s="3588"/>
      <c r="AH10" s="3588"/>
      <c r="AI10" s="3588"/>
    </row>
    <row r="11" spans="1:35" s="742" customFormat="1" ht="18.899999999999999" customHeight="1">
      <c r="A11" s="352"/>
      <c r="B11" s="1556" t="s">
        <v>1079</v>
      </c>
      <c r="C11" s="461"/>
      <c r="D11" s="461"/>
      <c r="E11" s="461"/>
      <c r="F11" s="461"/>
      <c r="G11" s="461"/>
      <c r="H11" s="461"/>
      <c r="I11" s="461"/>
      <c r="J11" s="461"/>
      <c r="K11" s="461"/>
      <c r="L11" s="461"/>
      <c r="M11" s="461"/>
      <c r="N11" s="461"/>
      <c r="O11" s="461"/>
      <c r="P11" s="461"/>
      <c r="Q11" s="461"/>
      <c r="R11" s="461"/>
      <c r="S11" s="461"/>
      <c r="T11" s="1556" t="s">
        <v>1523</v>
      </c>
      <c r="U11" s="461"/>
      <c r="V11" s="461"/>
      <c r="W11" s="461"/>
      <c r="X11" s="461"/>
      <c r="Y11" s="461"/>
      <c r="Z11" s="1557"/>
      <c r="AA11" s="2249"/>
      <c r="AB11" s="2249"/>
      <c r="AC11" s="2249"/>
      <c r="AD11" s="2293"/>
      <c r="AE11" s="2293"/>
      <c r="AF11" s="2249"/>
      <c r="AG11" s="2263" t="s">
        <v>8</v>
      </c>
      <c r="AH11" s="2263"/>
      <c r="AI11" s="2264" t="s">
        <v>9</v>
      </c>
    </row>
    <row r="12" spans="1:35" s="742" customFormat="1" ht="18.899999999999999" customHeight="1">
      <c r="A12" s="352"/>
      <c r="B12" s="1558" t="s">
        <v>129</v>
      </c>
      <c r="C12" s="461"/>
      <c r="D12" s="1747" t="s">
        <v>130</v>
      </c>
      <c r="E12" s="461"/>
      <c r="F12" s="1747" t="s">
        <v>131</v>
      </c>
      <c r="G12" s="461"/>
      <c r="H12" s="1747" t="s">
        <v>132</v>
      </c>
      <c r="I12" s="461"/>
      <c r="J12" s="1748" t="s">
        <v>233</v>
      </c>
      <c r="K12" s="461"/>
      <c r="L12" s="1748" t="s">
        <v>148</v>
      </c>
      <c r="M12" s="461"/>
      <c r="N12" s="1748" t="s">
        <v>149</v>
      </c>
      <c r="O12" s="461"/>
      <c r="P12" s="1747" t="s">
        <v>136</v>
      </c>
      <c r="Q12" s="461"/>
      <c r="R12" s="1747" t="s">
        <v>137</v>
      </c>
      <c r="S12" s="461"/>
      <c r="T12" s="1748" t="s">
        <v>138</v>
      </c>
      <c r="U12" s="461"/>
      <c r="V12" s="1747" t="s">
        <v>139</v>
      </c>
      <c r="W12" s="461"/>
      <c r="X12" s="1748" t="s">
        <v>192</v>
      </c>
      <c r="Y12" s="461"/>
      <c r="Z12" s="461"/>
      <c r="AA12" s="2314">
        <v>2015</v>
      </c>
      <c r="AB12" s="2314"/>
      <c r="AC12" s="2287"/>
      <c r="AD12" s="2315">
        <v>2014</v>
      </c>
      <c r="AE12" s="2287"/>
      <c r="AF12" s="2287"/>
      <c r="AG12" s="2265" t="s">
        <v>13</v>
      </c>
      <c r="AH12" s="2266"/>
      <c r="AI12" s="2265" t="s">
        <v>14</v>
      </c>
    </row>
    <row r="13" spans="1:35" s="742" customFormat="1" ht="18.899999999999999" customHeight="1">
      <c r="A13" s="461" t="s">
        <v>141</v>
      </c>
      <c r="B13" s="1752">
        <v>11.5</v>
      </c>
      <c r="C13" s="717"/>
      <c r="D13" s="1752">
        <f>+B38</f>
        <v>11.2</v>
      </c>
      <c r="E13" s="717"/>
      <c r="F13" s="1752">
        <f>+D38</f>
        <v>11.2</v>
      </c>
      <c r="G13" s="717"/>
      <c r="H13" s="1752">
        <f>+F38</f>
        <v>11.2</v>
      </c>
      <c r="I13" s="1792"/>
      <c r="J13" s="1752">
        <f>H38</f>
        <v>11.2</v>
      </c>
      <c r="K13" s="717"/>
      <c r="L13" s="1752">
        <f>+J38</f>
        <v>11.2</v>
      </c>
      <c r="M13" s="1792"/>
      <c r="N13" s="1752">
        <f>+L38</f>
        <v>11.3</v>
      </c>
      <c r="O13" s="1792"/>
      <c r="P13" s="1752">
        <f>+N38</f>
        <v>11.4</v>
      </c>
      <c r="Q13" s="1792"/>
      <c r="R13" s="1752">
        <f>+P38</f>
        <v>11.5</v>
      </c>
      <c r="S13" s="1792"/>
      <c r="T13" s="1752"/>
      <c r="U13" s="1792"/>
      <c r="V13" s="1752"/>
      <c r="W13" s="1792"/>
      <c r="X13" s="1752"/>
      <c r="Y13" s="1753"/>
      <c r="Z13" s="1754"/>
      <c r="AA13" s="2316">
        <f>+B13</f>
        <v>11.5</v>
      </c>
      <c r="AB13" s="2317"/>
      <c r="AC13" s="2318"/>
      <c r="AD13" s="2316">
        <v>10.9</v>
      </c>
      <c r="AE13" s="2294"/>
      <c r="AF13" s="2290"/>
      <c r="AG13" s="2267">
        <f>ROUND(SUM(AA13-AD13),1)</f>
        <v>0.6</v>
      </c>
      <c r="AH13" s="2260"/>
      <c r="AI13" s="2268">
        <f>ROUND(IF(AG13=0,0,AG13/(AD13)),3)</f>
        <v>5.5E-2</v>
      </c>
    </row>
    <row r="14" spans="1:35" s="742" customFormat="1" ht="18.899999999999999" customHeight="1">
      <c r="A14" s="352"/>
      <c r="B14" s="721"/>
      <c r="C14" s="721"/>
      <c r="D14" s="721"/>
      <c r="E14" s="721"/>
      <c r="F14" s="721"/>
      <c r="G14" s="721"/>
      <c r="H14" s="1760"/>
      <c r="I14" s="1760"/>
      <c r="J14" s="1760"/>
      <c r="K14" s="721"/>
      <c r="L14" s="1760"/>
      <c r="M14" s="1760"/>
      <c r="N14" s="1760"/>
      <c r="O14" s="1760"/>
      <c r="P14" s="1760"/>
      <c r="Q14" s="1760"/>
      <c r="R14" s="1760"/>
      <c r="S14" s="1760"/>
      <c r="T14" s="1760"/>
      <c r="U14" s="1760"/>
      <c r="V14" s="1760"/>
      <c r="W14" s="1760"/>
      <c r="X14" s="1760"/>
      <c r="Y14" s="1758"/>
      <c r="Z14" s="1759"/>
      <c r="AA14" s="2295"/>
      <c r="AB14" s="2319"/>
      <c r="AC14" s="2320"/>
      <c r="AD14" s="2295"/>
      <c r="AE14" s="2295"/>
      <c r="AF14" s="2291"/>
      <c r="AG14" s="2269"/>
      <c r="AH14" s="2260"/>
      <c r="AI14" s="2259"/>
    </row>
    <row r="15" spans="1:35" s="742" customFormat="1" ht="18.899999999999999" customHeight="1">
      <c r="A15" s="461" t="s">
        <v>15</v>
      </c>
      <c r="B15" s="721"/>
      <c r="C15" s="721"/>
      <c r="D15" s="721"/>
      <c r="E15" s="721"/>
      <c r="F15" s="721"/>
      <c r="G15" s="721"/>
      <c r="H15" s="1760"/>
      <c r="I15" s="1760"/>
      <c r="J15" s="1760"/>
      <c r="K15" s="721"/>
      <c r="L15" s="1760"/>
      <c r="M15" s="1760"/>
      <c r="N15" s="1760"/>
      <c r="O15" s="1760"/>
      <c r="P15" s="1760"/>
      <c r="Q15" s="1760"/>
      <c r="R15" s="1760"/>
      <c r="S15" s="1760"/>
      <c r="T15" s="1760"/>
      <c r="U15" s="1760"/>
      <c r="V15" s="1760"/>
      <c r="W15" s="1760"/>
      <c r="X15" s="1760"/>
      <c r="Y15" s="1758"/>
      <c r="Z15" s="1759"/>
      <c r="AA15" s="2295"/>
      <c r="AB15" s="2319"/>
      <c r="AC15" s="2320"/>
      <c r="AD15" s="2295"/>
      <c r="AE15" s="2295"/>
      <c r="AF15" s="2291"/>
      <c r="AG15" s="2269"/>
      <c r="AH15" s="2260"/>
      <c r="AI15" s="2259"/>
    </row>
    <row r="16" spans="1:35" s="742" customFormat="1" ht="18.899999999999999" customHeight="1">
      <c r="A16" s="1761" t="s">
        <v>185</v>
      </c>
      <c r="B16" s="1762">
        <v>-0.3</v>
      </c>
      <c r="C16" s="442"/>
      <c r="D16" s="1762">
        <v>0</v>
      </c>
      <c r="E16" s="442"/>
      <c r="F16" s="698">
        <v>0.1</v>
      </c>
      <c r="G16" s="442"/>
      <c r="H16" s="698">
        <v>0.1</v>
      </c>
      <c r="I16" s="1763"/>
      <c r="J16" s="698">
        <v>0</v>
      </c>
      <c r="K16" s="442"/>
      <c r="L16" s="1778">
        <v>0.1</v>
      </c>
      <c r="M16" s="1764"/>
      <c r="N16" s="698">
        <v>0.1</v>
      </c>
      <c r="O16" s="1764"/>
      <c r="P16" s="1762">
        <v>0.1</v>
      </c>
      <c r="Q16" s="1764"/>
      <c r="R16" s="1778">
        <v>0</v>
      </c>
      <c r="S16" s="1764"/>
      <c r="T16" s="698"/>
      <c r="U16" s="1764"/>
      <c r="V16" s="1778"/>
      <c r="W16" s="1764"/>
      <c r="X16" s="698"/>
      <c r="Y16" s="1765"/>
      <c r="Z16" s="1766"/>
      <c r="AA16" s="2321">
        <f>ROUND(SUM(B16:X16),1)</f>
        <v>0.2</v>
      </c>
      <c r="AB16" s="2322"/>
      <c r="AC16" s="2323"/>
      <c r="AD16" s="2324">
        <v>0.8</v>
      </c>
      <c r="AE16" s="2296"/>
      <c r="AF16" s="2252"/>
      <c r="AG16" s="449">
        <f>ROUND(SUM(AA16-AD16),1)</f>
        <v>-0.6</v>
      </c>
      <c r="AH16" s="2260"/>
      <c r="AI16" s="2281">
        <f>ROUND(IF(AG16=0,0,AG16/ABS(AD16)),3)</f>
        <v>-0.75</v>
      </c>
    </row>
    <row r="17" spans="1:35" s="742" customFormat="1" ht="24" customHeight="1">
      <c r="A17" s="461" t="s">
        <v>156</v>
      </c>
      <c r="B17" s="1779">
        <f>ROUND(SUM(B16),1)</f>
        <v>-0.3</v>
      </c>
      <c r="C17" s="729"/>
      <c r="D17" s="1779">
        <f>ROUND(SUM(D16),1)</f>
        <v>0</v>
      </c>
      <c r="E17" s="729"/>
      <c r="F17" s="1779">
        <f>ROUND(SUM(F16),1)</f>
        <v>0.1</v>
      </c>
      <c r="G17" s="729"/>
      <c r="H17" s="1779">
        <f>ROUND(SUM(H16),1)</f>
        <v>0.1</v>
      </c>
      <c r="I17" s="1768"/>
      <c r="J17" s="1779">
        <f>ROUND(SUM(J16),1)</f>
        <v>0</v>
      </c>
      <c r="K17" s="729"/>
      <c r="L17" s="1779">
        <f>ROUND(SUM(L16),1)</f>
        <v>0.1</v>
      </c>
      <c r="M17" s="1769"/>
      <c r="N17" s="1779">
        <f>ROUND(SUM(N16),1)</f>
        <v>0.1</v>
      </c>
      <c r="O17" s="1769"/>
      <c r="P17" s="1779">
        <f>ROUND(SUM(P16),1)</f>
        <v>0.1</v>
      </c>
      <c r="Q17" s="1769"/>
      <c r="R17" s="1779">
        <f>ROUND(SUM(R16),1)</f>
        <v>0</v>
      </c>
      <c r="S17" s="1769"/>
      <c r="T17" s="1779">
        <f>ROUND(SUM(T16),1)</f>
        <v>0</v>
      </c>
      <c r="U17" s="1769"/>
      <c r="V17" s="1779">
        <f>ROUND(SUM(V16),1)</f>
        <v>0</v>
      </c>
      <c r="W17" s="1769"/>
      <c r="X17" s="1779">
        <f>ROUND(SUM(X16),1)</f>
        <v>0</v>
      </c>
      <c r="Y17" s="1770"/>
      <c r="Z17" s="1771"/>
      <c r="AA17" s="2297">
        <f>ROUND(SUM(AA16),1)</f>
        <v>0.2</v>
      </c>
      <c r="AB17" s="2325"/>
      <c r="AC17" s="2326"/>
      <c r="AD17" s="2297">
        <f>ROUND(SUM(AD16),1)</f>
        <v>0.8</v>
      </c>
      <c r="AE17" s="2297"/>
      <c r="AF17" s="2252"/>
      <c r="AG17" s="2306">
        <f>ROUND(SUM(AG16),1)</f>
        <v>-0.6</v>
      </c>
      <c r="AH17" s="2307"/>
      <c r="AI17" s="2308">
        <f>ROUND(IF(AG17=0,0,AG17/ABS(AD17)),3)</f>
        <v>-0.75</v>
      </c>
    </row>
    <row r="18" spans="1:35" s="742" customFormat="1" ht="18.899999999999999" customHeight="1">
      <c r="A18" s="352"/>
      <c r="B18" s="728"/>
      <c r="C18" s="442"/>
      <c r="D18" s="728" t="s">
        <v>16</v>
      </c>
      <c r="E18" s="442"/>
      <c r="F18" s="728"/>
      <c r="G18" s="442"/>
      <c r="H18" s="1772"/>
      <c r="I18" s="1764"/>
      <c r="J18" s="1772"/>
      <c r="K18" s="442"/>
      <c r="L18" s="1773"/>
      <c r="M18" s="1764"/>
      <c r="N18" s="1772"/>
      <c r="O18" s="1764"/>
      <c r="P18" s="1772"/>
      <c r="Q18" s="1764"/>
      <c r="R18" s="1772"/>
      <c r="S18" s="1764"/>
      <c r="T18" s="1772"/>
      <c r="U18" s="1764"/>
      <c r="V18" s="1772"/>
      <c r="W18" s="1764"/>
      <c r="X18" s="1772"/>
      <c r="Y18" s="1765"/>
      <c r="Z18" s="1766"/>
      <c r="AA18" s="2327"/>
      <c r="AB18" s="2322"/>
      <c r="AC18" s="2328"/>
      <c r="AD18" s="2327"/>
      <c r="AE18" s="2275"/>
      <c r="AF18" s="2252"/>
      <c r="AG18" s="2275"/>
      <c r="AH18" s="2260"/>
      <c r="AI18" s="2259"/>
    </row>
    <row r="19" spans="1:35" s="742" customFormat="1" ht="18.899999999999999" customHeight="1">
      <c r="A19" s="352"/>
      <c r="B19" s="442"/>
      <c r="C19" s="442"/>
      <c r="D19" s="442" t="s">
        <v>16</v>
      </c>
      <c r="E19" s="442"/>
      <c r="F19" s="442"/>
      <c r="G19" s="442"/>
      <c r="H19" s="1764"/>
      <c r="I19" s="1764"/>
      <c r="J19" s="1764"/>
      <c r="K19" s="442"/>
      <c r="L19" s="1774"/>
      <c r="M19" s="1764"/>
      <c r="N19" s="1764"/>
      <c r="O19" s="1764"/>
      <c r="P19" s="1764"/>
      <c r="Q19" s="1764"/>
      <c r="R19" s="1764"/>
      <c r="S19" s="1764"/>
      <c r="T19" s="1764"/>
      <c r="U19" s="1764"/>
      <c r="V19" s="1764"/>
      <c r="W19" s="1764"/>
      <c r="X19" s="1764"/>
      <c r="Y19" s="1765"/>
      <c r="Z19" s="1766"/>
      <c r="AA19" s="2298"/>
      <c r="AB19" s="2322"/>
      <c r="AC19" s="2323"/>
      <c r="AD19" s="2298"/>
      <c r="AE19" s="2298"/>
      <c r="AF19" s="2252"/>
      <c r="AG19" s="2275"/>
      <c r="AH19" s="2260"/>
      <c r="AI19" s="2259"/>
    </row>
    <row r="20" spans="1:35" s="742" customFormat="1" ht="18.899999999999999" customHeight="1">
      <c r="A20" s="461" t="s">
        <v>24</v>
      </c>
      <c r="B20" s="442"/>
      <c r="C20" s="442"/>
      <c r="D20" s="442" t="s">
        <v>16</v>
      </c>
      <c r="E20" s="442"/>
      <c r="F20" s="442"/>
      <c r="G20" s="442"/>
      <c r="H20" s="1764"/>
      <c r="I20" s="1764"/>
      <c r="J20" s="1764"/>
      <c r="K20" s="442"/>
      <c r="L20" s="1774"/>
      <c r="M20" s="1764"/>
      <c r="N20" s="1764"/>
      <c r="O20" s="1764"/>
      <c r="P20" s="1764"/>
      <c r="Q20" s="1764"/>
      <c r="R20" s="1764"/>
      <c r="S20" s="1764"/>
      <c r="T20" s="1764"/>
      <c r="U20" s="1764"/>
      <c r="V20" s="1764"/>
      <c r="W20" s="1764"/>
      <c r="X20" s="1764"/>
      <c r="Y20" s="1765"/>
      <c r="Z20" s="1766"/>
      <c r="AA20" s="2298"/>
      <c r="AB20" s="2322"/>
      <c r="AC20" s="2323"/>
      <c r="AD20" s="2298"/>
      <c r="AE20" s="2298"/>
      <c r="AF20" s="2252"/>
      <c r="AG20" s="2275"/>
      <c r="AH20" s="2260"/>
      <c r="AI20" s="2259"/>
    </row>
    <row r="21" spans="1:35" s="742" customFormat="1" ht="18.899999999999999" customHeight="1">
      <c r="A21" s="352" t="s">
        <v>158</v>
      </c>
      <c r="B21" s="444"/>
      <c r="C21" s="442"/>
      <c r="D21" s="442"/>
      <c r="E21" s="442"/>
      <c r="F21" s="442"/>
      <c r="G21" s="442"/>
      <c r="H21" s="1764"/>
      <c r="I21" s="1764"/>
      <c r="J21" s="1764"/>
      <c r="K21" s="442"/>
      <c r="L21" s="1774"/>
      <c r="M21" s="1764"/>
      <c r="N21" s="1764"/>
      <c r="O21" s="1764"/>
      <c r="P21" s="1764"/>
      <c r="Q21" s="1764"/>
      <c r="R21" s="1764"/>
      <c r="S21" s="1764"/>
      <c r="T21" s="1764"/>
      <c r="U21" s="1764"/>
      <c r="V21" s="1764"/>
      <c r="W21" s="1764"/>
      <c r="X21" s="1764"/>
      <c r="Y21" s="1765"/>
      <c r="Z21" s="1766"/>
      <c r="AA21" s="2299"/>
      <c r="AB21" s="2329"/>
      <c r="AC21" s="2330"/>
      <c r="AD21" s="2299"/>
      <c r="AE21" s="2299"/>
      <c r="AF21" s="2253"/>
      <c r="AG21" s="2275"/>
      <c r="AH21" s="2260"/>
      <c r="AI21" s="2259"/>
    </row>
    <row r="22" spans="1:35" s="742" customFormat="1" ht="18.899999999999999" customHeight="1">
      <c r="A22" s="352" t="s">
        <v>226</v>
      </c>
      <c r="B22" s="444">
        <v>0</v>
      </c>
      <c r="C22" s="442"/>
      <c r="D22" s="444">
        <v>0</v>
      </c>
      <c r="E22" s="442"/>
      <c r="F22" s="444">
        <v>0.1</v>
      </c>
      <c r="G22" s="442"/>
      <c r="H22" s="694">
        <v>0.1</v>
      </c>
      <c r="I22" s="1764"/>
      <c r="J22" s="444">
        <v>0</v>
      </c>
      <c r="K22" s="442"/>
      <c r="L22" s="444">
        <v>0</v>
      </c>
      <c r="M22" s="1764"/>
      <c r="N22" s="444">
        <v>0</v>
      </c>
      <c r="O22" s="1764"/>
      <c r="P22" s="444">
        <v>0</v>
      </c>
      <c r="Q22" s="1764"/>
      <c r="R22" s="444">
        <v>0</v>
      </c>
      <c r="S22" s="1764"/>
      <c r="T22" s="444"/>
      <c r="U22" s="1764"/>
      <c r="V22" s="444"/>
      <c r="W22" s="1764"/>
      <c r="X22" s="694"/>
      <c r="Y22" s="1765"/>
      <c r="Z22" s="1766"/>
      <c r="AA22" s="2301">
        <f>ROUND(SUM(B22:X22),1)</f>
        <v>0.2</v>
      </c>
      <c r="AB22" s="2322"/>
      <c r="AC22" s="2323"/>
      <c r="AD22" s="2300">
        <v>0.2</v>
      </c>
      <c r="AE22" s="2300"/>
      <c r="AF22" s="2253"/>
      <c r="AG22" s="449">
        <f>ROUND(SUM(AA22-AD22),1)</f>
        <v>0</v>
      </c>
      <c r="AH22" s="2260"/>
      <c r="AI22" s="3354">
        <f>ROUND(IF(AD22=0,1,AG22/ABS(AD22)),3)</f>
        <v>0</v>
      </c>
    </row>
    <row r="23" spans="1:35" s="742" customFormat="1" ht="18.899999999999999" customHeight="1">
      <c r="A23" s="1761" t="s">
        <v>177</v>
      </c>
      <c r="B23" s="444">
        <v>0</v>
      </c>
      <c r="C23" s="442"/>
      <c r="D23" s="444">
        <v>0</v>
      </c>
      <c r="E23" s="442"/>
      <c r="F23" s="444">
        <v>0</v>
      </c>
      <c r="G23" s="442"/>
      <c r="H23" s="444">
        <v>0</v>
      </c>
      <c r="I23" s="1764"/>
      <c r="J23" s="444">
        <v>0</v>
      </c>
      <c r="K23" s="442"/>
      <c r="L23" s="444">
        <v>0</v>
      </c>
      <c r="M23" s="1764"/>
      <c r="N23" s="444">
        <v>0</v>
      </c>
      <c r="O23" s="444"/>
      <c r="P23" s="444">
        <v>0</v>
      </c>
      <c r="Q23" s="1764"/>
      <c r="R23" s="444">
        <v>0</v>
      </c>
      <c r="S23" s="1764"/>
      <c r="T23" s="444"/>
      <c r="U23" s="1764"/>
      <c r="V23" s="444"/>
      <c r="W23" s="1764"/>
      <c r="X23" s="444"/>
      <c r="Y23" s="1765"/>
      <c r="Z23" s="1766"/>
      <c r="AA23" s="2301">
        <f>ROUND(SUM(B23:X23),1)</f>
        <v>0</v>
      </c>
      <c r="AB23" s="2322"/>
      <c r="AC23" s="2323"/>
      <c r="AD23" s="2299">
        <v>0</v>
      </c>
      <c r="AE23" s="2299"/>
      <c r="AF23" s="2253"/>
      <c r="AG23" s="2309">
        <f>ROUND(SUM(AA23-AD23),1)</f>
        <v>0</v>
      </c>
      <c r="AH23" s="2280"/>
      <c r="AI23" s="2281">
        <f>ROUND(IF(AG23=0,0,AG23/ABS(AD23)),3)</f>
        <v>0</v>
      </c>
    </row>
    <row r="24" spans="1:35" s="742" customFormat="1" ht="18.899999999999999" customHeight="1">
      <c r="A24" s="352" t="s">
        <v>161</v>
      </c>
      <c r="B24" s="1778">
        <v>0</v>
      </c>
      <c r="C24" s="442"/>
      <c r="D24" s="1778">
        <v>0</v>
      </c>
      <c r="E24" s="442"/>
      <c r="F24" s="1778">
        <v>0</v>
      </c>
      <c r="G24" s="442"/>
      <c r="H24" s="1778">
        <v>0</v>
      </c>
      <c r="I24" s="1764"/>
      <c r="J24" s="1778">
        <v>0</v>
      </c>
      <c r="K24" s="442"/>
      <c r="L24" s="1778">
        <v>0</v>
      </c>
      <c r="M24" s="1764"/>
      <c r="N24" s="698">
        <v>0</v>
      </c>
      <c r="O24" s="1764"/>
      <c r="P24" s="1778">
        <v>0</v>
      </c>
      <c r="Q24" s="1764"/>
      <c r="R24" s="1778">
        <v>0.1</v>
      </c>
      <c r="S24" s="1764"/>
      <c r="T24" s="698"/>
      <c r="U24" s="1764"/>
      <c r="V24" s="1778"/>
      <c r="W24" s="1764"/>
      <c r="X24" s="1778"/>
      <c r="Y24" s="1765"/>
      <c r="Z24" s="1766"/>
      <c r="AA24" s="2321">
        <f>ROUND(SUM(B24:X24),1)</f>
        <v>0.1</v>
      </c>
      <c r="AB24" s="2322"/>
      <c r="AC24" s="2323"/>
      <c r="AD24" s="2321">
        <v>0.1</v>
      </c>
      <c r="AE24" s="2301"/>
      <c r="AF24" s="2253"/>
      <c r="AG24" s="449">
        <f>ROUND(SUM(AA24-AD24),1)</f>
        <v>0</v>
      </c>
      <c r="AH24" s="2260"/>
      <c r="AI24" s="2281">
        <f>ROUND(IF(AD24=0,0,AG24/ABS(AD24)),3)</f>
        <v>0</v>
      </c>
    </row>
    <row r="25" spans="1:35" s="742" customFormat="1" ht="22.5" customHeight="1">
      <c r="A25" s="461" t="s">
        <v>162</v>
      </c>
      <c r="B25" s="1800">
        <f>ROUND(SUM(B22:B24),1)</f>
        <v>0</v>
      </c>
      <c r="C25" s="729"/>
      <c r="D25" s="1800">
        <f>ROUND(SUM(D22:D24),1)</f>
        <v>0</v>
      </c>
      <c r="E25" s="729"/>
      <c r="F25" s="1800">
        <f>ROUND(SUM(F22:F24),1)</f>
        <v>0.1</v>
      </c>
      <c r="G25" s="729"/>
      <c r="H25" s="1800">
        <f>ROUND(SUM(H22:H24),1)</f>
        <v>0.1</v>
      </c>
      <c r="I25" s="1769"/>
      <c r="J25" s="1800">
        <f>ROUND(SUM(J22:J24),1)</f>
        <v>0</v>
      </c>
      <c r="K25" s="729"/>
      <c r="L25" s="1800">
        <f>ROUND(SUM(L22:L24),1)</f>
        <v>0</v>
      </c>
      <c r="M25" s="1769"/>
      <c r="N25" s="1800">
        <f>ROUND(SUM(N22:N24),1)</f>
        <v>0</v>
      </c>
      <c r="O25" s="1786"/>
      <c r="P25" s="1800">
        <f>ROUND(SUM(P22:P24),1)</f>
        <v>0</v>
      </c>
      <c r="Q25" s="1769"/>
      <c r="R25" s="1800">
        <f>ROUND(SUM(R22:R24),1)</f>
        <v>0.1</v>
      </c>
      <c r="S25" s="1769"/>
      <c r="T25" s="1800">
        <f>ROUND(SUM(T22:T24),1)</f>
        <v>0</v>
      </c>
      <c r="U25" s="1786"/>
      <c r="V25" s="1800">
        <f>ROUND(SUM(V22:V24),1)</f>
        <v>0</v>
      </c>
      <c r="W25" s="1786"/>
      <c r="X25" s="1800">
        <f>ROUND(SUM(X22:X24),1)</f>
        <v>0</v>
      </c>
      <c r="Y25" s="1770"/>
      <c r="Z25" s="1771"/>
      <c r="AA25" s="2302">
        <f>ROUND(SUM(AA22:AA24),1)</f>
        <v>0.3</v>
      </c>
      <c r="AB25" s="2325"/>
      <c r="AC25" s="2326"/>
      <c r="AD25" s="2302">
        <f>ROUND(SUM(AD22:AD24),1)</f>
        <v>0.3</v>
      </c>
      <c r="AE25" s="2302"/>
      <c r="AF25" s="2253"/>
      <c r="AG25" s="2306">
        <f>ROUND(SUM(AG22:AG24),1)</f>
        <v>0</v>
      </c>
      <c r="AH25" s="2277"/>
      <c r="AI25" s="2308">
        <f>ROUND(IF(AD25=0,1,AG25/ABS(AD25)),3)</f>
        <v>0</v>
      </c>
    </row>
    <row r="26" spans="1:35" s="742" customFormat="1" ht="18.899999999999999" customHeight="1">
      <c r="A26" s="352"/>
      <c r="B26" s="728"/>
      <c r="C26" s="442"/>
      <c r="D26" s="728" t="s">
        <v>16</v>
      </c>
      <c r="E26" s="442"/>
      <c r="F26" s="728"/>
      <c r="G26" s="442"/>
      <c r="H26" s="1772"/>
      <c r="I26" s="1764"/>
      <c r="J26" s="1772"/>
      <c r="K26" s="442"/>
      <c r="L26" s="1772"/>
      <c r="M26" s="1764"/>
      <c r="N26" s="1772"/>
      <c r="O26" s="1764"/>
      <c r="P26" s="1772"/>
      <c r="Q26" s="1764"/>
      <c r="R26" s="1772"/>
      <c r="S26" s="1764"/>
      <c r="T26" s="1772"/>
      <c r="U26" s="1764"/>
      <c r="V26" s="1772"/>
      <c r="W26" s="1764"/>
      <c r="X26" s="1772"/>
      <c r="Y26" s="1765"/>
      <c r="Z26" s="1766"/>
      <c r="AA26" s="2327"/>
      <c r="AB26" s="2322"/>
      <c r="AC26" s="2328"/>
      <c r="AD26" s="2327"/>
      <c r="AE26" s="2275"/>
      <c r="AF26" s="2252"/>
      <c r="AG26" s="2275"/>
      <c r="AH26" s="2260"/>
      <c r="AI26" s="2259"/>
    </row>
    <row r="27" spans="1:35" s="742" customFormat="1" ht="18.899999999999999" customHeight="1">
      <c r="A27" s="461" t="s">
        <v>163</v>
      </c>
      <c r="B27" s="442"/>
      <c r="C27" s="442"/>
      <c r="D27" s="449" t="s">
        <v>16</v>
      </c>
      <c r="E27" s="442"/>
      <c r="F27" s="442"/>
      <c r="G27" s="442"/>
      <c r="H27" s="1764"/>
      <c r="I27" s="1764"/>
      <c r="J27" s="1764"/>
      <c r="K27" s="442"/>
      <c r="L27" s="1764"/>
      <c r="M27" s="1764"/>
      <c r="N27" s="1764"/>
      <c r="O27" s="1764"/>
      <c r="P27" s="1764"/>
      <c r="Q27" s="1764"/>
      <c r="R27" s="1764"/>
      <c r="S27" s="1764"/>
      <c r="T27" s="1764"/>
      <c r="U27" s="1764"/>
      <c r="V27" s="1764"/>
      <c r="W27" s="1764"/>
      <c r="X27" s="1764"/>
      <c r="Y27" s="1765"/>
      <c r="Z27" s="1766"/>
      <c r="AA27" s="2298"/>
      <c r="AB27" s="2322"/>
      <c r="AC27" s="2323"/>
      <c r="AD27" s="2298"/>
      <c r="AE27" s="2298"/>
      <c r="AF27" s="2252"/>
      <c r="AG27" s="2275"/>
      <c r="AH27" s="2260"/>
      <c r="AI27" s="2259"/>
    </row>
    <row r="28" spans="1:35" s="742" customFormat="1" ht="18.75" customHeight="1">
      <c r="A28" s="461" t="s">
        <v>46</v>
      </c>
      <c r="B28" s="1781">
        <f>ROUND(B17-B25,1)</f>
        <v>-0.3</v>
      </c>
      <c r="C28" s="729"/>
      <c r="D28" s="1781">
        <f>ROUND(D17-D25,1)</f>
        <v>0</v>
      </c>
      <c r="E28" s="1801"/>
      <c r="F28" s="1781">
        <f>ROUND(F17-F25,1)</f>
        <v>0</v>
      </c>
      <c r="G28" s="1801"/>
      <c r="H28" s="1781">
        <f>ROUND(H17-H25,1)</f>
        <v>0</v>
      </c>
      <c r="I28" s="1802"/>
      <c r="J28" s="1781">
        <f>ROUND(J17-J25,1)</f>
        <v>0</v>
      </c>
      <c r="K28" s="1801"/>
      <c r="L28" s="1781">
        <f>ROUND(L17-L25,1)</f>
        <v>0.1</v>
      </c>
      <c r="M28" s="1803"/>
      <c r="N28" s="1781">
        <f>ROUND(N17-N25,1)</f>
        <v>0.1</v>
      </c>
      <c r="O28" s="1803"/>
      <c r="P28" s="1781">
        <f>ROUND(P17-P25,1)</f>
        <v>0.1</v>
      </c>
      <c r="Q28" s="1803"/>
      <c r="R28" s="1781">
        <f>ROUND(R17-R25,1)</f>
        <v>-0.1</v>
      </c>
      <c r="S28" s="1803"/>
      <c r="T28" s="1781">
        <f>ROUND(T17-T25,1)</f>
        <v>0</v>
      </c>
      <c r="U28" s="1803"/>
      <c r="V28" s="1781">
        <f>ROUND(V17-V25,1)</f>
        <v>0</v>
      </c>
      <c r="W28" s="1803"/>
      <c r="X28" s="1781">
        <f>ROUND(X17-X25,1)</f>
        <v>0</v>
      </c>
      <c r="Y28" s="1770"/>
      <c r="Z28" s="1771"/>
      <c r="AA28" s="2331">
        <f>ROUND(AA17-AA25,1)</f>
        <v>-0.1</v>
      </c>
      <c r="AB28" s="2325"/>
      <c r="AC28" s="2332"/>
      <c r="AD28" s="2331">
        <f>ROUND(AD17-AD25,1)</f>
        <v>0.5</v>
      </c>
      <c r="AE28" s="2303"/>
      <c r="AF28" s="2253"/>
      <c r="AG28" s="2276">
        <f>ROUND(SUM(AG17-AG25),1)</f>
        <v>-0.6</v>
      </c>
      <c r="AH28" s="2277"/>
      <c r="AI28" s="2278">
        <f>ROUND(IF(AG28=0,0,AG28/ABS(AD28)),3)</f>
        <v>-1.2</v>
      </c>
    </row>
    <row r="29" spans="1:35" s="742" customFormat="1" ht="18.899999999999999" customHeight="1">
      <c r="A29" s="352"/>
      <c r="B29" s="449"/>
      <c r="C29" s="442"/>
      <c r="D29" s="449" t="s">
        <v>16</v>
      </c>
      <c r="E29" s="442"/>
      <c r="F29" s="449"/>
      <c r="G29" s="442"/>
      <c r="H29" s="1763"/>
      <c r="I29" s="1764"/>
      <c r="J29" s="1763"/>
      <c r="K29" s="442"/>
      <c r="L29" s="1763"/>
      <c r="M29" s="1764"/>
      <c r="N29" s="1772"/>
      <c r="O29" s="1764"/>
      <c r="P29" s="1763"/>
      <c r="Q29" s="1764"/>
      <c r="R29" s="1772"/>
      <c r="S29" s="1764"/>
      <c r="T29" s="1763"/>
      <c r="U29" s="1764"/>
      <c r="V29" s="1763"/>
      <c r="W29" s="1764"/>
      <c r="X29" s="1772"/>
      <c r="Y29" s="1765"/>
      <c r="Z29" s="1766"/>
      <c r="AA29" s="2275"/>
      <c r="AB29" s="2322"/>
      <c r="AC29" s="2328"/>
      <c r="AD29" s="2275"/>
      <c r="AE29" s="2275"/>
      <c r="AF29" s="2254"/>
      <c r="AG29" s="2275"/>
      <c r="AH29" s="2260"/>
      <c r="AI29" s="2259"/>
    </row>
    <row r="30" spans="1:35" s="742" customFormat="1" ht="18.899999999999999" customHeight="1">
      <c r="A30" s="461" t="s">
        <v>47</v>
      </c>
      <c r="B30" s="442"/>
      <c r="C30" s="442"/>
      <c r="D30" s="442"/>
      <c r="E30" s="442"/>
      <c r="F30" s="442"/>
      <c r="G30" s="442"/>
      <c r="H30" s="1764"/>
      <c r="I30" s="1764"/>
      <c r="J30" s="1764"/>
      <c r="K30" s="442"/>
      <c r="L30" s="1764"/>
      <c r="M30" s="1764"/>
      <c r="N30" s="1764"/>
      <c r="O30" s="1764"/>
      <c r="P30" s="1764"/>
      <c r="Q30" s="1764"/>
      <c r="R30" s="1764"/>
      <c r="S30" s="1764"/>
      <c r="T30" s="1764"/>
      <c r="U30" s="1764"/>
      <c r="V30" s="1764"/>
      <c r="W30" s="1764"/>
      <c r="X30" s="1764"/>
      <c r="Y30" s="1765"/>
      <c r="Z30" s="1766"/>
      <c r="AA30" s="2298"/>
      <c r="AB30" s="2322"/>
      <c r="AC30" s="2323"/>
      <c r="AD30" s="2298"/>
      <c r="AE30" s="2298"/>
      <c r="AF30" s="2254"/>
      <c r="AG30" s="2275"/>
      <c r="AH30" s="2260"/>
      <c r="AI30" s="2259"/>
    </row>
    <row r="31" spans="1:35" s="742" customFormat="1" ht="18.899999999999999" customHeight="1">
      <c r="A31" s="352" t="s">
        <v>188</v>
      </c>
      <c r="B31" s="444">
        <v>0</v>
      </c>
      <c r="C31" s="442"/>
      <c r="D31" s="444">
        <v>0</v>
      </c>
      <c r="E31" s="442"/>
      <c r="F31" s="444">
        <v>0</v>
      </c>
      <c r="G31" s="442"/>
      <c r="H31" s="444">
        <v>0</v>
      </c>
      <c r="I31" s="1764"/>
      <c r="J31" s="444">
        <v>0</v>
      </c>
      <c r="K31" s="442"/>
      <c r="L31" s="444">
        <v>0</v>
      </c>
      <c r="M31" s="1764"/>
      <c r="N31" s="444">
        <v>0</v>
      </c>
      <c r="O31" s="1764"/>
      <c r="P31" s="444">
        <v>0</v>
      </c>
      <c r="Q31" s="1764"/>
      <c r="R31" s="444">
        <v>0</v>
      </c>
      <c r="S31" s="1764"/>
      <c r="T31" s="444"/>
      <c r="U31" s="1764"/>
      <c r="V31" s="444"/>
      <c r="W31" s="1764"/>
      <c r="X31" s="444"/>
      <c r="Y31" s="1765"/>
      <c r="Z31" s="1766"/>
      <c r="AA31" s="2301">
        <f>ROUND(SUM(B31:X31),1)</f>
        <v>0</v>
      </c>
      <c r="AB31" s="2322"/>
      <c r="AC31" s="2323"/>
      <c r="AD31" s="2299">
        <v>0</v>
      </c>
      <c r="AE31" s="2299"/>
      <c r="AF31" s="2255"/>
      <c r="AG31" s="2309">
        <f>ROUND(SUM(AA31-AD31),1)</f>
        <v>0</v>
      </c>
      <c r="AH31" s="2280"/>
      <c r="AI31" s="2281">
        <f>ROUND(IF(AG31=0,0,AG31/ABS(AD31)),3)</f>
        <v>0</v>
      </c>
    </row>
    <row r="32" spans="1:35" s="742" customFormat="1" ht="18.899999999999999" customHeight="1">
      <c r="A32" s="352" t="s">
        <v>189</v>
      </c>
      <c r="B32" s="444">
        <v>0</v>
      </c>
      <c r="C32" s="442"/>
      <c r="D32" s="444">
        <v>0</v>
      </c>
      <c r="E32" s="442"/>
      <c r="F32" s="444">
        <v>0</v>
      </c>
      <c r="G32" s="442"/>
      <c r="H32" s="444">
        <v>0</v>
      </c>
      <c r="I32" s="1764"/>
      <c r="J32" s="444">
        <v>0</v>
      </c>
      <c r="K32" s="442"/>
      <c r="L32" s="444">
        <v>0</v>
      </c>
      <c r="M32" s="1763"/>
      <c r="N32" s="444">
        <v>0</v>
      </c>
      <c r="O32" s="1763"/>
      <c r="P32" s="444">
        <v>0</v>
      </c>
      <c r="Q32" s="1763"/>
      <c r="R32" s="444">
        <v>0</v>
      </c>
      <c r="S32" s="1763"/>
      <c r="T32" s="444"/>
      <c r="U32" s="1763"/>
      <c r="V32" s="444"/>
      <c r="W32" s="1763"/>
      <c r="X32" s="444"/>
      <c r="Y32" s="1765"/>
      <c r="Z32" s="1766"/>
      <c r="AA32" s="2301">
        <f>ROUND(SUM(B32:X32),1)</f>
        <v>0</v>
      </c>
      <c r="AB32" s="2333"/>
      <c r="AC32" s="2334"/>
      <c r="AD32" s="2299">
        <v>0</v>
      </c>
      <c r="AE32" s="2299"/>
      <c r="AF32" s="2254"/>
      <c r="AG32" s="2309">
        <f>ROUND(SUM(AA32-AD32),1)</f>
        <v>0</v>
      </c>
      <c r="AH32" s="2280"/>
      <c r="AI32" s="2281">
        <f>ROUND(IF(AG32=0,0,AG32/ABS(AD32)),3)</f>
        <v>0</v>
      </c>
    </row>
    <row r="33" spans="1:35" s="742" customFormat="1" ht="22.5" customHeight="1">
      <c r="A33" s="461" t="s">
        <v>215</v>
      </c>
      <c r="B33" s="1804">
        <f>ROUND(SUM(B31:B32),1)</f>
        <v>0</v>
      </c>
      <c r="C33" s="729"/>
      <c r="D33" s="1804">
        <f>ROUND(SUM(D31:D32),1)</f>
        <v>0</v>
      </c>
      <c r="E33" s="729"/>
      <c r="F33" s="1804">
        <f>ROUND(SUM(F31:F32),1)</f>
        <v>0</v>
      </c>
      <c r="G33" s="729"/>
      <c r="H33" s="1804">
        <f>ROUND(SUM(H31:H32),1)</f>
        <v>0</v>
      </c>
      <c r="I33" s="1769"/>
      <c r="J33" s="1804">
        <f>ROUND(SUM(J31:J32),1)</f>
        <v>0</v>
      </c>
      <c r="K33" s="729"/>
      <c r="L33" s="1804">
        <f>ROUND(SUM(L31:L32),1)</f>
        <v>0</v>
      </c>
      <c r="M33" s="1769"/>
      <c r="N33" s="1804">
        <f>ROUND(SUM(N31:N32),1)</f>
        <v>0</v>
      </c>
      <c r="O33" s="1769"/>
      <c r="P33" s="1804">
        <f>ROUND(SUM(P31:P32),1)</f>
        <v>0</v>
      </c>
      <c r="Q33" s="1805"/>
      <c r="R33" s="1804">
        <f>ROUND(SUM(R31:R32),1)</f>
        <v>0</v>
      </c>
      <c r="S33" s="1769"/>
      <c r="T33" s="1804">
        <f>ROUND(SUM(T31:T32),1)</f>
        <v>0</v>
      </c>
      <c r="U33" s="1769"/>
      <c r="V33" s="1804">
        <f>ROUND(SUM(V31:V32),1)</f>
        <v>0</v>
      </c>
      <c r="W33" s="1769"/>
      <c r="X33" s="1804">
        <f>ROUND(SUM(X31:X32),1)</f>
        <v>0</v>
      </c>
      <c r="Y33" s="1770"/>
      <c r="Z33" s="1771"/>
      <c r="AA33" s="2335">
        <f>ROUND(SUM(AA31:AA32),1)</f>
        <v>0</v>
      </c>
      <c r="AB33" s="2336"/>
      <c r="AC33" s="2337"/>
      <c r="AD33" s="2335">
        <f>ROUND(SUM(AD31:AD32),1)</f>
        <v>0</v>
      </c>
      <c r="AE33" s="2304"/>
      <c r="AF33" s="2255"/>
      <c r="AG33" s="2306">
        <f>ROUND(SUM(AG31-AG32),1)</f>
        <v>0</v>
      </c>
      <c r="AH33" s="2287"/>
      <c r="AI33" s="2308">
        <f>ROUND(IF(AG33=0,0,AG33/ABS(AD33)),3)</f>
        <v>0</v>
      </c>
    </row>
    <row r="34" spans="1:35" s="742" customFormat="1" ht="18.899999999999999" customHeight="1">
      <c r="A34" s="352"/>
      <c r="B34" s="728"/>
      <c r="C34" s="442"/>
      <c r="D34" s="728" t="s">
        <v>16</v>
      </c>
      <c r="E34" s="442"/>
      <c r="F34" s="728"/>
      <c r="G34" s="442"/>
      <c r="H34" s="1772"/>
      <c r="I34" s="1764"/>
      <c r="J34" s="1772"/>
      <c r="K34" s="442"/>
      <c r="L34" s="1772"/>
      <c r="M34" s="1764"/>
      <c r="N34" s="1772"/>
      <c r="O34" s="1764"/>
      <c r="P34" s="1772"/>
      <c r="Q34" s="1764"/>
      <c r="R34" s="1772"/>
      <c r="S34" s="1764"/>
      <c r="T34" s="1772"/>
      <c r="U34" s="1764"/>
      <c r="V34" s="1772"/>
      <c r="W34" s="1764"/>
      <c r="X34" s="1772"/>
      <c r="Y34" s="1765"/>
      <c r="Z34" s="1766"/>
      <c r="AA34" s="2327"/>
      <c r="AB34" s="2322"/>
      <c r="AC34" s="2328"/>
      <c r="AD34" s="2327"/>
      <c r="AE34" s="2275"/>
      <c r="AF34" s="2252"/>
      <c r="AG34" s="2275"/>
      <c r="AH34" s="2260"/>
      <c r="AI34" s="2259"/>
    </row>
    <row r="35" spans="1:35" s="742" customFormat="1" ht="18.899999999999999" customHeight="1">
      <c r="A35" s="461" t="s">
        <v>172</v>
      </c>
      <c r="B35" s="442"/>
      <c r="C35" s="442"/>
      <c r="D35" s="442" t="s">
        <v>16</v>
      </c>
      <c r="E35" s="442"/>
      <c r="F35" s="442"/>
      <c r="G35" s="442"/>
      <c r="H35" s="1764"/>
      <c r="I35" s="1764"/>
      <c r="J35" s="1764"/>
      <c r="K35" s="442"/>
      <c r="L35" s="1764"/>
      <c r="M35" s="1764"/>
      <c r="N35" s="1764"/>
      <c r="O35" s="1764"/>
      <c r="P35" s="1764"/>
      <c r="Q35" s="1764"/>
      <c r="R35" s="1764"/>
      <c r="S35" s="1764"/>
      <c r="T35" s="1764"/>
      <c r="U35" s="1764"/>
      <c r="V35" s="1764"/>
      <c r="W35" s="1764"/>
      <c r="X35" s="1764"/>
      <c r="Y35" s="1765"/>
      <c r="Z35" s="1766"/>
      <c r="AA35" s="2298"/>
      <c r="AB35" s="2322"/>
      <c r="AC35" s="2323"/>
      <c r="AD35" s="2298"/>
      <c r="AE35" s="2298"/>
      <c r="AF35" s="2252"/>
      <c r="AG35" s="2275"/>
      <c r="AH35" s="2260"/>
      <c r="AI35" s="2259"/>
    </row>
    <row r="36" spans="1:35" s="742" customFormat="1" ht="18.899999999999999" customHeight="1">
      <c r="A36" s="461" t="s">
        <v>234</v>
      </c>
      <c r="B36" s="442"/>
      <c r="C36" s="442"/>
      <c r="D36" s="442"/>
      <c r="E36" s="442"/>
      <c r="F36" s="442"/>
      <c r="G36" s="442"/>
      <c r="H36" s="1764"/>
      <c r="I36" s="1764"/>
      <c r="J36" s="1764"/>
      <c r="K36" s="442"/>
      <c r="L36" s="1764"/>
      <c r="M36" s="1764"/>
      <c r="N36" s="1764"/>
      <c r="O36" s="1764"/>
      <c r="P36" s="1764"/>
      <c r="Q36" s="1764"/>
      <c r="R36" s="1764"/>
      <c r="S36" s="1764"/>
      <c r="T36" s="1764"/>
      <c r="U36" s="1764"/>
      <c r="V36" s="1763"/>
      <c r="W36" s="1764"/>
      <c r="X36" s="1764"/>
      <c r="Y36" s="1765"/>
      <c r="Z36" s="1766"/>
      <c r="AA36" s="2298"/>
      <c r="AB36" s="2322"/>
      <c r="AC36" s="2323"/>
      <c r="AD36" s="2305"/>
      <c r="AE36" s="2305"/>
      <c r="AF36" s="2256"/>
      <c r="AG36" s="2275"/>
      <c r="AH36" s="2260"/>
      <c r="AI36" s="2259"/>
    </row>
    <row r="37" spans="1:35" s="744" customFormat="1" ht="18.899999999999999" customHeight="1">
      <c r="A37" s="461" t="s">
        <v>174</v>
      </c>
      <c r="B37" s="1779">
        <f>ROUND(B28+B33,1)</f>
        <v>-0.3</v>
      </c>
      <c r="C37" s="729"/>
      <c r="D37" s="1779">
        <f>ROUND(D28+D33,1)</f>
        <v>0</v>
      </c>
      <c r="E37" s="735"/>
      <c r="F37" s="1779">
        <f>ROUND(F28+F33,1)</f>
        <v>0</v>
      </c>
      <c r="G37" s="735"/>
      <c r="H37" s="1779">
        <f>ROUND(H28+H33,1)</f>
        <v>0</v>
      </c>
      <c r="I37" s="1786"/>
      <c r="J37" s="1779">
        <f>ROUND(J28+J33,1)</f>
        <v>0</v>
      </c>
      <c r="K37" s="735"/>
      <c r="L37" s="1779">
        <f>ROUND(L28+L33,1)</f>
        <v>0.1</v>
      </c>
      <c r="M37" s="1789"/>
      <c r="N37" s="1779">
        <f>ROUND(N28+N33,1)</f>
        <v>0.1</v>
      </c>
      <c r="O37" s="1789"/>
      <c r="P37" s="1779">
        <f>ROUND(P28+P33,1)</f>
        <v>0.1</v>
      </c>
      <c r="Q37" s="1789"/>
      <c r="R37" s="1779">
        <f>ROUND(R28+R33,1)</f>
        <v>-0.1</v>
      </c>
      <c r="S37" s="1786"/>
      <c r="T37" s="1779">
        <f>ROUND(T28+T33,1)</f>
        <v>0</v>
      </c>
      <c r="U37" s="1786"/>
      <c r="V37" s="1779">
        <f>ROUND(V28+V33,1)</f>
        <v>0</v>
      </c>
      <c r="W37" s="1786"/>
      <c r="X37" s="1779">
        <f>ROUND(X28+X33,1)</f>
        <v>0</v>
      </c>
      <c r="Y37" s="1770"/>
      <c r="Z37" s="1771"/>
      <c r="AA37" s="2303">
        <f>ROUND(AA28+AA33,1)</f>
        <v>-0.1</v>
      </c>
      <c r="AB37" s="2309"/>
      <c r="AC37" s="2338"/>
      <c r="AD37" s="2303">
        <f>ROUND(AD28+AD33,1)</f>
        <v>0.5</v>
      </c>
      <c r="AE37" s="2303"/>
      <c r="AF37" s="2257"/>
      <c r="AG37" s="2309">
        <f>ROUND(SUM(AG28+AG33),1)</f>
        <v>-0.6</v>
      </c>
      <c r="AH37" s="2249"/>
      <c r="AI37" s="3520">
        <f>ROUND(IF(AG37=0,0,AG37/ABS(AD37)),3)</f>
        <v>-1.2</v>
      </c>
    </row>
    <row r="38" spans="1:35" s="742" customFormat="1" ht="22.5" customHeight="1" thickBot="1">
      <c r="A38" s="461" t="s">
        <v>146</v>
      </c>
      <c r="B38" s="1791">
        <f>ROUND(SUM(B13,B37),1)</f>
        <v>11.2</v>
      </c>
      <c r="C38" s="717"/>
      <c r="D38" s="1791">
        <f>ROUND(SUM(D13,D37),1)</f>
        <v>11.2</v>
      </c>
      <c r="E38" s="717"/>
      <c r="F38" s="1791">
        <f>ROUND(SUM(F13,F37),1)</f>
        <v>11.2</v>
      </c>
      <c r="G38" s="717"/>
      <c r="H38" s="1791">
        <f>ROUND(SUM(H13,H37),1)</f>
        <v>11.2</v>
      </c>
      <c r="I38" s="1792"/>
      <c r="J38" s="1791">
        <f>ROUND(SUM(J13,J37),1)</f>
        <v>11.2</v>
      </c>
      <c r="K38" s="717"/>
      <c r="L38" s="1791">
        <f>ROUND(SUM(L13,L37),1)</f>
        <v>11.3</v>
      </c>
      <c r="M38" s="720"/>
      <c r="N38" s="1791">
        <f>ROUND(SUM(N13,N37),1)</f>
        <v>11.4</v>
      </c>
      <c r="O38" s="720"/>
      <c r="P38" s="1791">
        <f>ROUND(SUM(P13,P37),1)</f>
        <v>11.5</v>
      </c>
      <c r="Q38" s="720"/>
      <c r="R38" s="1791">
        <f>ROUND(SUM(R13,R37),1)</f>
        <v>11.4</v>
      </c>
      <c r="S38" s="1792"/>
      <c r="T38" s="1791">
        <f>ROUND(SUM(T13,T37),1)</f>
        <v>0</v>
      </c>
      <c r="U38" s="1792"/>
      <c r="V38" s="1791">
        <f>ROUND(SUM(V13,V37),1)</f>
        <v>0</v>
      </c>
      <c r="W38" s="1792"/>
      <c r="X38" s="1791">
        <f>ROUND(SUM(X13,X37),1)</f>
        <v>0</v>
      </c>
      <c r="Y38" s="1753"/>
      <c r="Z38" s="1754"/>
      <c r="AA38" s="2339">
        <f>ROUND(SUM(AA13,AA37),1)</f>
        <v>11.4</v>
      </c>
      <c r="AB38" s="2267"/>
      <c r="AC38" s="2340"/>
      <c r="AD38" s="2310">
        <f>ROUND(SUM(AD13,AD37),1)</f>
        <v>11.4</v>
      </c>
      <c r="AE38" s="2267"/>
      <c r="AF38" s="2258"/>
      <c r="AG38" s="2310">
        <f>ROUND(SUM(AA38-AD38),1)</f>
        <v>0</v>
      </c>
      <c r="AH38" s="2286"/>
      <c r="AI38" s="2311">
        <f>ROUND(IF(AG38=0,0,AG38/ABS(AD38)),3)</f>
        <v>0</v>
      </c>
    </row>
    <row r="39" spans="1:35" s="742" customFormat="1" ht="18.899999999999999" customHeight="1" thickTop="1">
      <c r="A39" s="352" t="s">
        <v>16</v>
      </c>
      <c r="B39" s="1794"/>
      <c r="C39" s="1795"/>
      <c r="D39" s="1794"/>
      <c r="E39" s="1795"/>
      <c r="F39" s="1794"/>
      <c r="G39" s="1795"/>
      <c r="H39" s="1794"/>
      <c r="I39" s="1795"/>
      <c r="J39" s="1794"/>
      <c r="K39" s="1795"/>
      <c r="L39" s="1794"/>
      <c r="M39" s="1795"/>
      <c r="N39" s="1794"/>
      <c r="O39" s="1795"/>
      <c r="P39" s="1794"/>
      <c r="Q39" s="1795"/>
      <c r="R39" s="1794"/>
      <c r="S39" s="1795"/>
      <c r="T39" s="1794"/>
      <c r="U39" s="1795"/>
      <c r="V39" s="1794"/>
      <c r="W39" s="1795"/>
      <c r="X39" s="1794"/>
      <c r="Y39" s="1795"/>
      <c r="Z39" s="1795"/>
      <c r="AA39" s="2341"/>
      <c r="AB39" s="2284"/>
      <c r="AC39" s="2284"/>
      <c r="AD39" s="2284"/>
      <c r="AE39" s="2284"/>
      <c r="AF39" s="2284"/>
      <c r="AG39" s="2269"/>
      <c r="AH39" s="2260"/>
      <c r="AI39" s="2259"/>
    </row>
    <row r="40" spans="1:35" s="742" customFormat="1" ht="18.899999999999999" customHeight="1">
      <c r="B40" s="253"/>
      <c r="C40" s="368"/>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9"/>
      <c r="AH40" s="747"/>
    </row>
    <row r="41" spans="1:35" ht="15.75" customHeight="1">
      <c r="A41" s="746"/>
      <c r="B41" s="368"/>
      <c r="C41" s="368"/>
      <c r="D41" s="368"/>
      <c r="E41" s="36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750"/>
    </row>
    <row r="42" spans="1:35" ht="15">
      <c r="A42" s="742"/>
    </row>
    <row r="43" spans="1:35" ht="13.5" customHeight="1">
      <c r="A43" s="1358"/>
      <c r="B43" s="368"/>
      <c r="C43" s="36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750"/>
    </row>
    <row r="44" spans="1:35" ht="15">
      <c r="A44" s="223"/>
      <c r="B44" s="368"/>
      <c r="C44" s="368"/>
      <c r="D44" s="368"/>
      <c r="E44" s="368"/>
      <c r="F44" s="368"/>
      <c r="G44" s="368"/>
      <c r="H44" s="368"/>
      <c r="I44" s="368"/>
      <c r="J44" s="368"/>
      <c r="K44" s="368"/>
      <c r="L44" s="368"/>
      <c r="M44" s="368"/>
      <c r="N44" s="368"/>
      <c r="O44" s="368"/>
      <c r="P44" s="368"/>
      <c r="Q44" s="368"/>
      <c r="R44" s="368"/>
      <c r="S44" s="368"/>
      <c r="T44" s="368"/>
      <c r="U44" s="368"/>
      <c r="V44" s="368"/>
      <c r="W44" s="368"/>
      <c r="X44" s="368"/>
      <c r="Y44" s="368"/>
      <c r="Z44" s="368"/>
      <c r="AA44" s="368"/>
      <c r="AB44" s="368"/>
      <c r="AC44" s="368"/>
      <c r="AD44" s="368"/>
      <c r="AE44" s="368"/>
      <c r="AF44" s="368"/>
      <c r="AG44" s="750"/>
    </row>
    <row r="45" spans="1:35" ht="15">
      <c r="A45" s="223"/>
      <c r="B45" s="368"/>
      <c r="C45" s="368"/>
      <c r="D45" s="368"/>
      <c r="E45" s="368"/>
      <c r="F45" s="368"/>
      <c r="G45" s="368"/>
      <c r="H45" s="368"/>
      <c r="I45" s="368"/>
      <c r="J45" s="368"/>
      <c r="K45" s="368"/>
      <c r="L45" s="368"/>
      <c r="M45" s="368"/>
      <c r="N45" s="368"/>
      <c r="O45" s="368"/>
      <c r="P45" s="368"/>
      <c r="Q45" s="368"/>
      <c r="R45" s="368"/>
      <c r="S45" s="368"/>
      <c r="T45" s="368"/>
      <c r="U45" s="368"/>
      <c r="V45" s="368"/>
      <c r="W45" s="368"/>
      <c r="X45" s="368"/>
      <c r="Y45" s="368"/>
      <c r="Z45" s="368"/>
      <c r="AA45" s="368"/>
      <c r="AB45" s="368"/>
      <c r="AC45" s="368"/>
      <c r="AD45" s="368"/>
      <c r="AE45" s="368"/>
      <c r="AF45" s="368"/>
    </row>
    <row r="46" spans="1:35" ht="15">
      <c r="A46" s="223"/>
      <c r="B46" s="368"/>
      <c r="C46" s="368"/>
      <c r="D46" s="368"/>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68"/>
      <c r="AD46" s="368"/>
      <c r="AE46" s="368"/>
      <c r="AF46" s="368"/>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8" fitToHeight="0" orientation="landscape" useFirstPageNumber="1" r:id="rId2"/>
  <headerFooter scaleWithDoc="0" alignWithMargins="0">
    <oddFooter>&amp;C&amp;8&amp;P</oddFooter>
  </headerFooter>
  <ignoredErrors>
    <ignoredError sqref="B11 T1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71"/>
  <sheetViews>
    <sheetView showGridLines="0" showOutlineSymbols="0" zoomScale="75" zoomScaleNormal="7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90"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946" customWidth="1"/>
    <col min="30" max="30" width="13.08984375" style="217" customWidth="1"/>
    <col min="31" max="31" width="3" style="217" customWidth="1"/>
    <col min="32" max="32" width="12" style="217" customWidth="1"/>
    <col min="33" max="16384" width="8.90625" style="217"/>
  </cols>
  <sheetData>
    <row r="1" spans="1:33" ht="15">
      <c r="A1" s="1184" t="s">
        <v>1217</v>
      </c>
    </row>
    <row r="2" spans="1:33" ht="15">
      <c r="A2" s="1184"/>
    </row>
    <row r="3" spans="1:33" ht="24" customHeight="1">
      <c r="A3" s="3558" t="s">
        <v>0</v>
      </c>
      <c r="B3" s="3559"/>
      <c r="C3" s="3559"/>
      <c r="D3" s="3559"/>
      <c r="E3" s="3559"/>
      <c r="F3" s="3559"/>
      <c r="G3" s="3559"/>
      <c r="H3" s="3559"/>
      <c r="I3" s="3559"/>
      <c r="J3" s="3559"/>
      <c r="K3" s="3559"/>
      <c r="L3" s="3559"/>
      <c r="M3" s="3559"/>
      <c r="N3" s="3559"/>
      <c r="O3" s="3559"/>
      <c r="P3" s="3559"/>
      <c r="Q3" s="3559"/>
      <c r="R3" s="3559"/>
      <c r="S3" s="3559"/>
      <c r="T3" s="3559"/>
      <c r="U3" s="3559"/>
      <c r="V3" s="3559"/>
      <c r="W3" s="3559"/>
      <c r="X3" s="3559"/>
      <c r="Y3" s="3559"/>
      <c r="Z3" s="3559"/>
      <c r="AA3" s="3559"/>
      <c r="AB3" s="3559"/>
      <c r="AC3" s="142"/>
      <c r="AF3" s="146" t="s">
        <v>56</v>
      </c>
    </row>
    <row r="4" spans="1:33" ht="21">
      <c r="A4" s="3560" t="s">
        <v>1460</v>
      </c>
      <c r="B4" s="3559"/>
      <c r="C4" s="3559"/>
      <c r="D4" s="3559"/>
      <c r="E4" s="3559"/>
      <c r="F4" s="3559"/>
      <c r="G4" s="3559"/>
      <c r="H4" s="3559"/>
      <c r="I4" s="3559"/>
      <c r="J4" s="3559"/>
      <c r="K4" s="3559"/>
      <c r="L4" s="3559"/>
      <c r="M4" s="3559"/>
      <c r="N4" s="3559"/>
      <c r="O4" s="3559"/>
      <c r="P4" s="3559"/>
      <c r="Q4" s="3559"/>
      <c r="R4" s="3559"/>
      <c r="S4" s="3559"/>
      <c r="T4" s="3559"/>
      <c r="U4" s="3559"/>
      <c r="V4" s="3559"/>
      <c r="W4" s="3559"/>
      <c r="X4" s="3559"/>
      <c r="Y4" s="3559"/>
      <c r="Z4" s="3559"/>
      <c r="AA4" s="3559"/>
      <c r="AB4" s="3559"/>
      <c r="AC4" s="142"/>
      <c r="AF4" s="146" t="s">
        <v>57</v>
      </c>
    </row>
    <row r="5" spans="1:33" ht="21">
      <c r="A5" s="3560" t="s">
        <v>1108</v>
      </c>
      <c r="B5" s="3559"/>
      <c r="C5" s="3559"/>
      <c r="D5" s="3559"/>
      <c r="E5" s="3559"/>
      <c r="F5" s="3559"/>
      <c r="G5" s="3559"/>
      <c r="H5" s="3559"/>
      <c r="I5" s="3559"/>
      <c r="J5" s="3559"/>
      <c r="K5" s="3559"/>
      <c r="L5" s="3559"/>
      <c r="M5" s="3559"/>
      <c r="N5" s="3559"/>
      <c r="O5" s="3559"/>
      <c r="P5" s="3559"/>
      <c r="Q5" s="3559"/>
      <c r="R5" s="3559"/>
      <c r="S5" s="3559"/>
      <c r="T5" s="3559"/>
      <c r="U5" s="3559"/>
      <c r="V5" s="3559"/>
      <c r="W5" s="3559"/>
      <c r="X5" s="3559"/>
      <c r="Y5" s="3559"/>
      <c r="Z5" s="3559"/>
      <c r="AA5" s="3559"/>
      <c r="AB5" s="3559"/>
      <c r="AC5" s="142"/>
    </row>
    <row r="6" spans="1:33" ht="23.25" customHeight="1">
      <c r="A6" s="2346" t="s">
        <v>1103</v>
      </c>
      <c r="B6" s="2345"/>
      <c r="C6" s="2345"/>
      <c r="D6" s="2345"/>
      <c r="E6" s="2345"/>
      <c r="F6" s="2345"/>
      <c r="G6" s="2345"/>
      <c r="H6" s="2345"/>
      <c r="I6" s="2345"/>
      <c r="J6" s="2345"/>
      <c r="K6" s="2345"/>
      <c r="L6" s="2345"/>
      <c r="M6" s="2345"/>
      <c r="N6" s="2345"/>
      <c r="O6" s="2345"/>
      <c r="P6" s="2345"/>
      <c r="Q6" s="2345"/>
      <c r="R6" s="2345"/>
      <c r="S6" s="2345"/>
      <c r="T6" s="2345"/>
      <c r="U6" s="2345"/>
      <c r="V6" s="2345"/>
      <c r="W6" s="2345"/>
      <c r="X6" s="2345"/>
      <c r="Y6" s="2345"/>
      <c r="Z6" s="2345"/>
      <c r="AA6" s="2345"/>
      <c r="AB6" s="2345"/>
      <c r="AC6" s="142"/>
    </row>
    <row r="7" spans="1:33" ht="23.25" customHeight="1">
      <c r="A7" s="3560"/>
      <c r="B7" s="3559"/>
      <c r="C7" s="3559"/>
      <c r="D7" s="3559"/>
      <c r="E7" s="3559"/>
      <c r="F7" s="3559"/>
      <c r="G7" s="3559"/>
      <c r="H7" s="3559"/>
      <c r="I7" s="3559"/>
      <c r="J7" s="3559"/>
      <c r="K7" s="3559"/>
      <c r="L7" s="3559"/>
      <c r="M7" s="3559"/>
      <c r="N7" s="3559"/>
      <c r="O7" s="3559"/>
      <c r="P7" s="3559"/>
      <c r="Q7" s="3559"/>
      <c r="R7" s="3559"/>
      <c r="S7" s="3559"/>
      <c r="T7" s="3559"/>
      <c r="U7" s="3559"/>
      <c r="V7" s="3559"/>
      <c r="W7" s="3559"/>
      <c r="X7" s="3559"/>
      <c r="Y7" s="3559"/>
      <c r="Z7" s="3559"/>
      <c r="AA7" s="3559"/>
      <c r="AB7" s="3559"/>
      <c r="AC7" s="142"/>
    </row>
    <row r="8" spans="1:33" ht="21">
      <c r="A8" s="143"/>
      <c r="B8" s="143"/>
      <c r="C8" s="143"/>
      <c r="D8" s="143"/>
      <c r="E8" s="143"/>
      <c r="F8" s="143"/>
      <c r="G8" s="143"/>
      <c r="H8" s="1189"/>
      <c r="I8" s="144"/>
      <c r="J8" s="144"/>
      <c r="K8" s="144"/>
      <c r="L8" s="144"/>
      <c r="M8" s="143"/>
      <c r="N8" s="144"/>
      <c r="O8" s="144"/>
      <c r="P8" s="144"/>
      <c r="Q8" s="144"/>
      <c r="R8" s="144"/>
      <c r="S8" s="144"/>
      <c r="T8" s="144"/>
      <c r="U8" s="2210"/>
      <c r="V8" s="2210"/>
      <c r="W8" s="2210"/>
      <c r="X8" s="2210"/>
      <c r="Y8" s="145"/>
      <c r="Z8" s="145"/>
      <c r="AA8" s="146"/>
      <c r="AB8" s="145"/>
      <c r="AC8" s="147"/>
    </row>
    <row r="9" spans="1:33" ht="20.25" customHeight="1">
      <c r="A9" s="143"/>
      <c r="B9" s="143"/>
      <c r="C9" s="143"/>
      <c r="D9" s="143"/>
      <c r="E9" s="143"/>
      <c r="F9" s="143"/>
      <c r="G9" s="143"/>
      <c r="H9" s="1189"/>
      <c r="I9" s="144"/>
      <c r="J9" s="144"/>
      <c r="K9" s="144"/>
      <c r="L9" s="144"/>
      <c r="M9" s="143"/>
      <c r="N9" s="144"/>
      <c r="O9" s="151"/>
      <c r="P9" s="151"/>
      <c r="Q9" s="151"/>
      <c r="R9" s="151"/>
      <c r="S9" s="154"/>
      <c r="T9" s="154"/>
      <c r="U9" s="1946"/>
      <c r="V9" s="1946"/>
      <c r="W9" s="1946"/>
      <c r="X9" s="1945"/>
      <c r="Y9" s="145"/>
      <c r="Z9" s="145"/>
      <c r="AA9" s="146"/>
      <c r="AB9" s="145"/>
      <c r="AC9" s="147"/>
    </row>
    <row r="10" spans="1:33" ht="12" customHeight="1">
      <c r="A10" s="143"/>
      <c r="B10" s="143"/>
      <c r="C10" s="143"/>
      <c r="D10" s="143"/>
      <c r="E10" s="143"/>
      <c r="F10" s="143"/>
      <c r="G10" s="143"/>
      <c r="H10" s="1189"/>
      <c r="I10" s="144"/>
      <c r="J10" s="144"/>
      <c r="K10" s="144"/>
      <c r="L10" s="144"/>
      <c r="M10" s="143"/>
      <c r="N10" s="144"/>
      <c r="O10" s="151"/>
      <c r="P10" s="1947"/>
      <c r="Q10" s="1945"/>
      <c r="R10" s="1945"/>
      <c r="S10" s="1946"/>
      <c r="T10" s="1946"/>
      <c r="U10" s="1946"/>
      <c r="V10" s="1946"/>
      <c r="W10" s="1946"/>
      <c r="X10" s="1945"/>
      <c r="Y10" s="145"/>
      <c r="Z10" s="145"/>
      <c r="AA10" s="150"/>
      <c r="AB10" s="145"/>
      <c r="AC10" s="147"/>
    </row>
    <row r="11" spans="1:33" ht="8.25" customHeight="1">
      <c r="A11" s="144"/>
      <c r="B11" s="143"/>
      <c r="C11" s="143"/>
      <c r="O11" s="144"/>
      <c r="P11" s="1948"/>
      <c r="Q11" s="1945"/>
      <c r="R11" s="1945"/>
      <c r="S11" s="1945"/>
      <c r="T11" s="1945"/>
      <c r="U11" s="1945"/>
      <c r="V11" s="1945"/>
      <c r="W11" s="2210"/>
      <c r="X11" s="2210"/>
      <c r="Y11" s="2000"/>
      <c r="Z11" s="2000"/>
      <c r="AA11" s="2000"/>
      <c r="AB11" s="2000"/>
      <c r="AC11" s="2211"/>
    </row>
    <row r="12" spans="1:33" ht="15.9" customHeight="1">
      <c r="A12" s="143"/>
      <c r="B12" s="143"/>
      <c r="C12" s="152"/>
      <c r="D12" s="3555"/>
      <c r="E12" s="3556"/>
      <c r="F12" s="3556"/>
      <c r="G12" s="3556"/>
      <c r="H12" s="3556"/>
      <c r="I12" s="3556"/>
      <c r="J12" s="3556"/>
      <c r="K12" s="3556"/>
      <c r="L12" s="3556"/>
      <c r="M12" s="3556"/>
      <c r="N12" s="3556"/>
      <c r="O12" s="1945"/>
      <c r="P12" s="1947"/>
      <c r="Q12" s="1945"/>
      <c r="R12" s="3554"/>
      <c r="S12" s="3554"/>
      <c r="T12" s="3554"/>
      <c r="U12" s="3554"/>
      <c r="V12" s="3554"/>
      <c r="W12" s="3554"/>
      <c r="X12" s="3554"/>
      <c r="Y12" s="3554"/>
      <c r="Z12" s="3554"/>
      <c r="AA12" s="3554"/>
      <c r="AB12" s="3554"/>
      <c r="AC12" s="2211"/>
      <c r="AD12" s="1946"/>
      <c r="AE12" s="1946"/>
      <c r="AF12" s="1946"/>
      <c r="AG12" s="1946"/>
    </row>
    <row r="13" spans="1:33" ht="15.9" customHeight="1">
      <c r="A13" s="1188"/>
      <c r="B13" s="1116"/>
      <c r="C13" s="1116"/>
      <c r="D13" s="159" t="s">
        <v>3</v>
      </c>
      <c r="E13" s="159"/>
      <c r="F13" s="159"/>
      <c r="G13" s="160"/>
      <c r="H13" s="1208" t="s">
        <v>1436</v>
      </c>
      <c r="I13" s="159"/>
      <c r="J13" s="159"/>
      <c r="K13" s="154"/>
      <c r="L13" s="3557" t="s">
        <v>5</v>
      </c>
      <c r="M13" s="3557"/>
      <c r="N13" s="3557"/>
      <c r="O13" s="1883"/>
      <c r="P13" s="1949"/>
      <c r="Q13" s="1949"/>
      <c r="R13" s="2677" t="s">
        <v>1459</v>
      </c>
      <c r="S13" s="2677"/>
      <c r="T13" s="2677"/>
      <c r="U13" s="2677"/>
      <c r="V13" s="2677"/>
      <c r="W13" s="2677"/>
      <c r="X13" s="2677"/>
      <c r="Y13" s="2677"/>
      <c r="Z13" s="2677"/>
      <c r="AA13" s="2677"/>
      <c r="AB13" s="2677"/>
      <c r="AC13" s="2373"/>
      <c r="AD13" s="2374"/>
      <c r="AE13" s="2374"/>
      <c r="AF13" s="2374"/>
    </row>
    <row r="14" spans="1:33" ht="15.75" customHeight="1">
      <c r="A14" s="157"/>
      <c r="B14" s="157"/>
      <c r="C14" s="158"/>
      <c r="D14" s="1883" t="s">
        <v>7</v>
      </c>
      <c r="E14" s="1883"/>
      <c r="F14" s="162" t="str">
        <f>'Exhibit A'!F11</f>
        <v>9 MOS. ENDED</v>
      </c>
      <c r="G14" s="153"/>
      <c r="H14" s="1883" t="s">
        <v>7</v>
      </c>
      <c r="I14" s="1883"/>
      <c r="J14" s="1883" t="str">
        <f>F14</f>
        <v>9 MOS. ENDED</v>
      </c>
      <c r="K14" s="153"/>
      <c r="L14" s="1883" t="s">
        <v>7</v>
      </c>
      <c r="M14" s="1883"/>
      <c r="N14" s="1883" t="str">
        <f>F14</f>
        <v>9 MOS. ENDED</v>
      </c>
      <c r="O14" s="1883"/>
      <c r="P14" s="1950"/>
      <c r="Q14" s="1883"/>
      <c r="R14" s="1883" t="s">
        <v>7</v>
      </c>
      <c r="S14" s="1883"/>
      <c r="T14" s="1883" t="str">
        <f>F14</f>
        <v>9 MOS. ENDED</v>
      </c>
      <c r="U14" s="1949"/>
      <c r="V14" s="1949"/>
      <c r="W14" s="1949"/>
      <c r="X14" s="1949"/>
      <c r="Y14" s="1949" t="s">
        <v>7</v>
      </c>
      <c r="Z14" s="1949"/>
      <c r="AA14" s="1949" t="str">
        <f>'Exhibit A'!AD11</f>
        <v>9 MOS. ENDED</v>
      </c>
      <c r="AB14" s="1949"/>
      <c r="AC14" s="2212"/>
      <c r="AD14" s="24" t="s">
        <v>8</v>
      </c>
      <c r="AE14" s="1186"/>
      <c r="AF14" s="20" t="s">
        <v>9</v>
      </c>
    </row>
    <row r="15" spans="1:33" ht="15.9" customHeight="1">
      <c r="A15" s="157"/>
      <c r="B15" s="157"/>
      <c r="C15" s="157"/>
      <c r="D15" s="163" t="str">
        <f>'Exhibit A'!D12</f>
        <v>DEC. 2015</v>
      </c>
      <c r="E15" s="153"/>
      <c r="F15" s="163" t="str">
        <f>'Exhibit A'!F12</f>
        <v>DEC. 31, 2015</v>
      </c>
      <c r="G15" s="153"/>
      <c r="H15" s="1884" t="str">
        <f>D15</f>
        <v>DEC. 2015</v>
      </c>
      <c r="I15" s="153"/>
      <c r="J15" s="1884" t="str">
        <f>F15</f>
        <v>DEC. 31, 2015</v>
      </c>
      <c r="K15" s="153"/>
      <c r="L15" s="1884" t="str">
        <f>D15</f>
        <v>DEC. 2015</v>
      </c>
      <c r="M15" s="153"/>
      <c r="N15" s="1884" t="str">
        <f>F15</f>
        <v>DEC. 31, 2015</v>
      </c>
      <c r="O15" s="1883"/>
      <c r="P15" s="1950"/>
      <c r="Q15" s="1883"/>
      <c r="R15" s="1884" t="str">
        <f>D15</f>
        <v>DEC. 2015</v>
      </c>
      <c r="S15" s="153"/>
      <c r="T15" s="1884" t="str">
        <f>F15</f>
        <v>DEC. 31, 2015</v>
      </c>
      <c r="U15" s="1949"/>
      <c r="V15" s="1949"/>
      <c r="W15" s="1949"/>
      <c r="X15" s="2001"/>
      <c r="Y15" s="2213" t="str">
        <f>'Exhibit A'!AB12</f>
        <v>DEC. 2014</v>
      </c>
      <c r="Z15" s="2001"/>
      <c r="AA15" s="2213" t="str">
        <f>'Exhibit A'!AD12</f>
        <v>DEC. 31, 2014</v>
      </c>
      <c r="AB15" s="2001"/>
      <c r="AC15" s="2212"/>
      <c r="AD15" s="2214" t="s">
        <v>13</v>
      </c>
      <c r="AE15" s="1184"/>
      <c r="AF15" s="25" t="s">
        <v>14</v>
      </c>
    </row>
    <row r="16" spans="1:33" ht="15.9" customHeight="1">
      <c r="A16" s="156" t="s">
        <v>15</v>
      </c>
      <c r="B16" s="157"/>
      <c r="C16" s="157"/>
      <c r="D16" s="1126" t="s">
        <v>16</v>
      </c>
      <c r="E16" s="157"/>
      <c r="F16" s="158"/>
      <c r="G16" s="157"/>
      <c r="H16" s="1116" t="s">
        <v>16</v>
      </c>
      <c r="I16" s="157"/>
      <c r="J16" s="158"/>
      <c r="K16" s="157"/>
      <c r="L16" s="1116" t="s">
        <v>16</v>
      </c>
      <c r="M16" s="157"/>
      <c r="N16" s="158"/>
      <c r="O16" s="158"/>
      <c r="P16" s="1951"/>
      <c r="Q16" s="164"/>
      <c r="R16" s="158"/>
      <c r="S16" s="158"/>
      <c r="T16" s="158"/>
      <c r="U16" s="165"/>
      <c r="V16" s="165"/>
      <c r="W16" s="2215"/>
      <c r="X16" s="165"/>
      <c r="Y16" s="165"/>
      <c r="Z16" s="177"/>
      <c r="AA16" s="165"/>
      <c r="AB16" s="165"/>
      <c r="AC16" s="2004"/>
      <c r="AD16" s="33"/>
      <c r="AE16" s="2"/>
      <c r="AF16" s="19"/>
    </row>
    <row r="17" spans="1:32" ht="18" customHeight="1">
      <c r="A17" s="157" t="s">
        <v>17</v>
      </c>
      <c r="B17" s="166">
        <v>-6</v>
      </c>
      <c r="C17" s="157"/>
      <c r="D17" s="1127">
        <f>+'Exhibit A'!D14</f>
        <v>3621.7</v>
      </c>
      <c r="E17" s="167" t="s">
        <v>16</v>
      </c>
      <c r="F17" s="167">
        <f>+'Exhibit A'!F14</f>
        <v>24740.9</v>
      </c>
      <c r="G17" s="167"/>
      <c r="H17" s="1249">
        <f>+'Exhibit G state'!T16</f>
        <v>125</v>
      </c>
      <c r="I17" s="167"/>
      <c r="J17" s="2134">
        <f>'Exhibit G state'!AE16</f>
        <v>774.5</v>
      </c>
      <c r="K17" s="167"/>
      <c r="L17" s="1117">
        <f>+'Exhibit A'!L14</f>
        <v>1248.9000000000001</v>
      </c>
      <c r="M17" s="167"/>
      <c r="N17" s="167">
        <f>+'Exhibit A'!N14</f>
        <v>8505.1</v>
      </c>
      <c r="O17" s="169"/>
      <c r="P17" s="1952"/>
      <c r="Q17" s="170"/>
      <c r="R17" s="167">
        <f t="shared" ref="R17:R22" si="0">ROUND(SUM(D17+H17+L17),1)</f>
        <v>4995.6000000000004</v>
      </c>
      <c r="S17" s="167"/>
      <c r="T17" s="168">
        <f t="shared" ref="T17:T22" si="1">ROUND(SUM(F17+J17+N17),1)</f>
        <v>34020.5</v>
      </c>
      <c r="U17" s="1956"/>
      <c r="V17" s="1956"/>
      <c r="W17" s="2216"/>
      <c r="X17" s="1956"/>
      <c r="Y17" s="1956">
        <v>4963.7</v>
      </c>
      <c r="Z17" s="1956" t="s">
        <v>16</v>
      </c>
      <c r="AA17" s="1956">
        <f>'Exhibit F'!AF28+'Exhibit G state'!AH16+'Exhibit H'!AD16</f>
        <v>30174.1</v>
      </c>
      <c r="AB17" s="2002"/>
      <c r="AC17" s="2005"/>
      <c r="AD17" s="2217">
        <f t="shared" ref="AD17:AD22" si="2">ROUND(SUM(T17-AA17),1)</f>
        <v>3846.4</v>
      </c>
      <c r="AE17" s="44"/>
      <c r="AF17" s="45">
        <f>ROUND(+AD17/AA17,3)</f>
        <v>0.127</v>
      </c>
    </row>
    <row r="18" spans="1:32" ht="18" customHeight="1">
      <c r="A18" s="157" t="s">
        <v>18</v>
      </c>
      <c r="B18" s="166" t="s">
        <v>16</v>
      </c>
      <c r="C18" s="157"/>
      <c r="D18" s="1118">
        <f>+'Exhibit A'!D15</f>
        <v>644.70000000000005</v>
      </c>
      <c r="E18" s="171"/>
      <c r="F18" s="171">
        <f>+'Exhibit A'!F15</f>
        <v>5170.5</v>
      </c>
      <c r="G18" s="171"/>
      <c r="H18" s="1250">
        <f>+'Exhibit G state'!T27</f>
        <v>181.4</v>
      </c>
      <c r="I18" s="171"/>
      <c r="J18" s="2125">
        <f>'Exhibit G state'!AE27</f>
        <v>1582.5</v>
      </c>
      <c r="K18" s="171"/>
      <c r="L18" s="1118">
        <f>+'Exhibit A'!L15</f>
        <v>594.4</v>
      </c>
      <c r="M18" s="171"/>
      <c r="N18" s="171">
        <f>+'Exhibit A'!N15</f>
        <v>4719.3</v>
      </c>
      <c r="O18" s="172"/>
      <c r="P18" s="1953"/>
      <c r="Q18" s="173"/>
      <c r="R18" s="171">
        <f t="shared" si="0"/>
        <v>1420.5</v>
      </c>
      <c r="S18" s="171"/>
      <c r="T18" s="174">
        <f t="shared" si="1"/>
        <v>11472.3</v>
      </c>
      <c r="U18" s="196"/>
      <c r="V18" s="196"/>
      <c r="W18" s="1958"/>
      <c r="X18" s="196"/>
      <c r="Y18" s="196">
        <v>1466.4</v>
      </c>
      <c r="Z18" s="196" t="s">
        <v>16</v>
      </c>
      <c r="AA18" s="196">
        <f>'Exhibit F'!AF37+'Exhibit G state'!AH27+'Exhibit H'!AD20</f>
        <v>11300.9</v>
      </c>
      <c r="AB18" s="165"/>
      <c r="AC18" s="2004"/>
      <c r="AD18" s="53">
        <f t="shared" si="2"/>
        <v>171.4</v>
      </c>
      <c r="AE18" s="2"/>
      <c r="AF18" s="45">
        <f t="shared" ref="AF18:AF23" si="3">ROUND(+AD18/AA18,3)</f>
        <v>1.4999999999999999E-2</v>
      </c>
    </row>
    <row r="19" spans="1:32" ht="18" customHeight="1">
      <c r="A19" s="157" t="s">
        <v>19</v>
      </c>
      <c r="B19" s="178"/>
      <c r="C19" s="157"/>
      <c r="D19" s="1118">
        <f>+'Exhibit A'!D16</f>
        <v>1084.3</v>
      </c>
      <c r="E19" s="171"/>
      <c r="F19" s="171">
        <f>+'Exhibit A'!F16</f>
        <v>3885.4</v>
      </c>
      <c r="G19" s="171"/>
      <c r="H19" s="1250">
        <f>+'Exhibit G state'!T34</f>
        <v>230.7</v>
      </c>
      <c r="I19" s="171"/>
      <c r="J19" s="2125">
        <f>'Exhibit G state'!AE34</f>
        <v>1076.5999999999999</v>
      </c>
      <c r="K19" s="171"/>
      <c r="L19" s="1118">
        <f>+'Exhibit A'!L16</f>
        <v>0</v>
      </c>
      <c r="M19" s="171"/>
      <c r="N19" s="171">
        <f>+'Exhibit A'!N16</f>
        <v>0</v>
      </c>
      <c r="O19" s="179"/>
      <c r="P19" s="1954"/>
      <c r="Q19" s="180"/>
      <c r="R19" s="171">
        <f t="shared" si="0"/>
        <v>1315</v>
      </c>
      <c r="S19" s="171"/>
      <c r="T19" s="174">
        <f t="shared" si="1"/>
        <v>4962</v>
      </c>
      <c r="U19" s="196"/>
      <c r="V19" s="196"/>
      <c r="W19" s="2218"/>
      <c r="X19" s="1957"/>
      <c r="Y19" s="196">
        <v>1127</v>
      </c>
      <c r="Z19" s="196" t="s">
        <v>16</v>
      </c>
      <c r="AA19" s="196">
        <f>'Exhibit F'!AF44+'Exhibit G state'!AH34</f>
        <v>4791.5</v>
      </c>
      <c r="AB19" s="165"/>
      <c r="AC19" s="2004"/>
      <c r="AD19" s="53">
        <f t="shared" si="2"/>
        <v>170.5</v>
      </c>
      <c r="AE19" s="2"/>
      <c r="AF19" s="45">
        <f t="shared" si="3"/>
        <v>3.5999999999999997E-2</v>
      </c>
    </row>
    <row r="20" spans="1:32" ht="18" customHeight="1">
      <c r="A20" s="157" t="s">
        <v>20</v>
      </c>
      <c r="B20" s="181"/>
      <c r="C20" s="157"/>
      <c r="D20" s="1118">
        <f>+'Exhibit A'!D17</f>
        <v>75.099999999999994</v>
      </c>
      <c r="E20" s="171"/>
      <c r="F20" s="171">
        <f>+'Exhibit A'!F17</f>
        <v>1255</v>
      </c>
      <c r="G20" s="171"/>
      <c r="H20" s="1250">
        <f>+'Exhibit G state'!T37</f>
        <v>111.4</v>
      </c>
      <c r="I20" s="171"/>
      <c r="J20" s="2125">
        <f>'Exhibit G state'!AE37</f>
        <v>889.5</v>
      </c>
      <c r="K20" s="171"/>
      <c r="L20" s="1118">
        <f>+'Exhibit A'!L17</f>
        <v>84.3</v>
      </c>
      <c r="M20" s="171"/>
      <c r="N20" s="171">
        <f>+'Exhibit A'!N17</f>
        <v>783</v>
      </c>
      <c r="O20" s="172"/>
      <c r="P20" s="1953"/>
      <c r="Q20" s="173"/>
      <c r="R20" s="171">
        <f t="shared" si="0"/>
        <v>270.8</v>
      </c>
      <c r="S20" s="171"/>
      <c r="T20" s="174">
        <f t="shared" si="1"/>
        <v>2927.5</v>
      </c>
      <c r="U20" s="196"/>
      <c r="V20" s="196"/>
      <c r="W20" s="1958"/>
      <c r="X20" s="196"/>
      <c r="Y20" s="196">
        <v>288.60000000000002</v>
      </c>
      <c r="Z20" s="196" t="s">
        <v>16</v>
      </c>
      <c r="AA20" s="196">
        <f>'Exhibit F'!AF52+'Exhibit G state'!AH37+'Exhibit H'!AD23</f>
        <v>2428.5</v>
      </c>
      <c r="AB20" s="165"/>
      <c r="AC20" s="2004"/>
      <c r="AD20" s="53">
        <f t="shared" si="2"/>
        <v>499</v>
      </c>
      <c r="AE20" s="2"/>
      <c r="AF20" s="45">
        <f t="shared" si="3"/>
        <v>0.20499999999999999</v>
      </c>
    </row>
    <row r="21" spans="1:32" ht="18" customHeight="1">
      <c r="A21" s="157" t="s">
        <v>21</v>
      </c>
      <c r="B21" s="182">
        <v>-5</v>
      </c>
      <c r="C21" s="157"/>
      <c r="D21" s="1118">
        <f>+'Exhibit A'!D18</f>
        <v>256</v>
      </c>
      <c r="E21" s="171"/>
      <c r="F21" s="171">
        <f>+'Exhibit A'!F18</f>
        <v>4849.3999999999996</v>
      </c>
      <c r="G21" s="171"/>
      <c r="H21" s="1250">
        <f>+'Exhibit G state'!T81</f>
        <v>1547.7</v>
      </c>
      <c r="I21" s="171"/>
      <c r="J21" s="2125">
        <f>'Exhibit G state'!AE81</f>
        <v>11893.5</v>
      </c>
      <c r="K21" s="171"/>
      <c r="L21" s="1118">
        <f>+'Exhibit A'!L18</f>
        <v>34.6</v>
      </c>
      <c r="M21" s="171"/>
      <c r="N21" s="171">
        <f>+'Exhibit A'!N18</f>
        <v>356.3</v>
      </c>
      <c r="O21" s="172"/>
      <c r="P21" s="1953"/>
      <c r="Q21" s="173"/>
      <c r="R21" s="171">
        <f t="shared" si="0"/>
        <v>1838.3</v>
      </c>
      <c r="S21" s="171"/>
      <c r="T21" s="174">
        <f t="shared" si="1"/>
        <v>17099.2</v>
      </c>
      <c r="U21" s="196"/>
      <c r="V21" s="196"/>
      <c r="W21" s="1958"/>
      <c r="X21" s="196"/>
      <c r="Y21" s="196">
        <v>1807</v>
      </c>
      <c r="Z21" s="196" t="s">
        <v>16</v>
      </c>
      <c r="AA21" s="196">
        <f>+'Exhibit F'!AF89+'Exhibit G state'!AH81+'Exhibit H'!AD43</f>
        <v>19088.5</v>
      </c>
      <c r="AB21" s="165"/>
      <c r="AC21" s="2004"/>
      <c r="AD21" s="53">
        <f t="shared" si="2"/>
        <v>-1989.3</v>
      </c>
      <c r="AE21" s="2"/>
      <c r="AF21" s="45">
        <f t="shared" si="3"/>
        <v>-0.104</v>
      </c>
    </row>
    <row r="22" spans="1:32" ht="18" customHeight="1">
      <c r="A22" s="157" t="s">
        <v>22</v>
      </c>
      <c r="B22" s="182">
        <v>-5</v>
      </c>
      <c r="C22" s="157"/>
      <c r="D22" s="1118">
        <f>+'Exhibit A'!D19</f>
        <v>0.1</v>
      </c>
      <c r="E22" s="171"/>
      <c r="F22" s="171">
        <f>+'Exhibit A'!F19</f>
        <v>0.3</v>
      </c>
      <c r="G22" s="171"/>
      <c r="H22" s="1250">
        <f>+'Exhibit G state'!T83</f>
        <v>0.1</v>
      </c>
      <c r="I22" s="171"/>
      <c r="J22" s="2125">
        <f>'Exhibit G state'!AE83</f>
        <v>0.7</v>
      </c>
      <c r="K22" s="171"/>
      <c r="L22" s="1118">
        <f>+'Exhibit A'!L19</f>
        <v>0</v>
      </c>
      <c r="M22" s="176"/>
      <c r="N22" s="171">
        <f>+'Exhibit A'!N19</f>
        <v>36.5</v>
      </c>
      <c r="O22" s="179"/>
      <c r="P22" s="1954"/>
      <c r="Q22" s="180"/>
      <c r="R22" s="176">
        <f t="shared" si="0"/>
        <v>0.2</v>
      </c>
      <c r="S22" s="179"/>
      <c r="T22" s="174">
        <f t="shared" si="1"/>
        <v>37.5</v>
      </c>
      <c r="U22" s="196"/>
      <c r="V22" s="196"/>
      <c r="W22" s="2218"/>
      <c r="X22" s="2219"/>
      <c r="Y22" s="196">
        <v>0</v>
      </c>
      <c r="Z22" s="196" t="s">
        <v>16</v>
      </c>
      <c r="AA22" s="196">
        <f>+'Exhibit F'!AF91+'Exhibit G state'!AH83+'Exhibit H'!AD45</f>
        <v>37.4</v>
      </c>
      <c r="AB22" s="165"/>
      <c r="AC22" s="2004"/>
      <c r="AD22" s="53">
        <f t="shared" si="2"/>
        <v>0.1</v>
      </c>
      <c r="AE22" s="2"/>
      <c r="AF22" s="45">
        <f t="shared" si="3"/>
        <v>3.0000000000000001E-3</v>
      </c>
    </row>
    <row r="23" spans="1:32" ht="18" customHeight="1">
      <c r="A23" s="156" t="s">
        <v>23</v>
      </c>
      <c r="B23" s="157"/>
      <c r="C23" s="157"/>
      <c r="D23" s="183">
        <f>ROUND(SUM(D17:D22),1)</f>
        <v>5681.9</v>
      </c>
      <c r="E23" s="184"/>
      <c r="F23" s="185">
        <f>ROUND(SUM(F17:F22),1)</f>
        <v>39901.5</v>
      </c>
      <c r="G23" s="184"/>
      <c r="H23" s="183">
        <f>ROUND(SUM(H17:H22),1)</f>
        <v>2196.3000000000002</v>
      </c>
      <c r="I23" s="184"/>
      <c r="J23" s="183">
        <f>ROUND(SUM(J17:J22),1)</f>
        <v>16217.3</v>
      </c>
      <c r="K23" s="184"/>
      <c r="L23" s="183">
        <f>ROUND(SUM(L17:L22),1)</f>
        <v>1962.2</v>
      </c>
      <c r="M23" s="184"/>
      <c r="N23" s="183">
        <f>ROUND(SUM(N17:N22),1)</f>
        <v>14400.2</v>
      </c>
      <c r="O23" s="186"/>
      <c r="P23" s="202"/>
      <c r="Q23" s="187"/>
      <c r="R23" s="183">
        <f>ROUND(SUM(R17:R22),1)</f>
        <v>9840.4</v>
      </c>
      <c r="S23" s="186"/>
      <c r="T23" s="183">
        <f>ROUND(SUM(T17:T22),1)</f>
        <v>70519</v>
      </c>
      <c r="U23" s="204"/>
      <c r="V23" s="204"/>
      <c r="W23" s="2220"/>
      <c r="X23" s="204"/>
      <c r="Y23" s="2221">
        <f>ROUND(SUM(Y17:Y22),1)</f>
        <v>9652.7000000000007</v>
      </c>
      <c r="Z23" s="200"/>
      <c r="AA23" s="2221">
        <f>ROUND(SUM(AA17:AA22),1)</f>
        <v>67820.899999999994</v>
      </c>
      <c r="AB23" s="205"/>
      <c r="AC23" s="2006"/>
      <c r="AD23" s="2222">
        <f>ROUND(SUM(AD17:AD22),1)</f>
        <v>2698.1</v>
      </c>
      <c r="AE23" s="71"/>
      <c r="AF23" s="72">
        <f t="shared" si="3"/>
        <v>0.04</v>
      </c>
    </row>
    <row r="24" spans="1:32" ht="15.9" customHeight="1">
      <c r="A24" s="156"/>
      <c r="B24" s="157"/>
      <c r="C24" s="157"/>
      <c r="D24" s="1119"/>
      <c r="E24" s="171"/>
      <c r="F24" s="172"/>
      <c r="G24" s="171"/>
      <c r="H24" s="1119"/>
      <c r="I24" s="171"/>
      <c r="J24" s="172"/>
      <c r="K24" s="171"/>
      <c r="L24" s="1119"/>
      <c r="M24" s="171"/>
      <c r="N24" s="172"/>
      <c r="O24" s="172"/>
      <c r="P24" s="1953"/>
      <c r="Q24" s="173"/>
      <c r="R24" s="172"/>
      <c r="S24" s="172"/>
      <c r="T24" s="172"/>
      <c r="U24" s="197"/>
      <c r="V24" s="197"/>
      <c r="W24" s="1958"/>
      <c r="X24" s="197"/>
      <c r="Y24" s="197"/>
      <c r="Z24" s="196"/>
      <c r="AA24" s="197"/>
      <c r="AB24" s="165"/>
      <c r="AC24" s="2004"/>
      <c r="AD24" s="54"/>
      <c r="AE24" s="2"/>
      <c r="AF24" s="19"/>
    </row>
    <row r="25" spans="1:32" ht="15.9" customHeight="1">
      <c r="A25" s="156" t="s">
        <v>24</v>
      </c>
      <c r="B25" s="157"/>
      <c r="C25" s="157"/>
      <c r="D25" s="1118"/>
      <c r="E25" s="171"/>
      <c r="F25" s="171"/>
      <c r="G25" s="171"/>
      <c r="H25" s="1118"/>
      <c r="I25" s="171"/>
      <c r="J25" s="171"/>
      <c r="K25" s="171"/>
      <c r="L25" s="1118"/>
      <c r="M25" s="171"/>
      <c r="N25" s="171"/>
      <c r="O25" s="172"/>
      <c r="P25" s="1953"/>
      <c r="Q25" s="173"/>
      <c r="R25" s="171"/>
      <c r="S25" s="171"/>
      <c r="T25" s="171"/>
      <c r="U25" s="196"/>
      <c r="V25" s="196"/>
      <c r="W25" s="1958"/>
      <c r="X25" s="196"/>
      <c r="Y25" s="196"/>
      <c r="Z25" s="196"/>
      <c r="AA25" s="196"/>
      <c r="AB25" s="165"/>
      <c r="AC25" s="2004"/>
      <c r="AD25" s="53"/>
      <c r="AE25" s="2"/>
      <c r="AF25" s="19"/>
    </row>
    <row r="26" spans="1:32" ht="15.9" customHeight="1">
      <c r="A26" s="157" t="s">
        <v>25</v>
      </c>
      <c r="B26" s="181" t="s">
        <v>1195</v>
      </c>
      <c r="C26" s="157"/>
      <c r="D26" s="1120"/>
      <c r="E26" s="176"/>
      <c r="F26" s="175"/>
      <c r="G26" s="171"/>
      <c r="H26" s="1120"/>
      <c r="I26" s="176"/>
      <c r="J26" s="175"/>
      <c r="K26" s="171"/>
      <c r="L26" s="1120"/>
      <c r="M26" s="171"/>
      <c r="N26" s="176"/>
      <c r="O26" s="172"/>
      <c r="P26" s="1953"/>
      <c r="Q26" s="173"/>
      <c r="R26" s="176"/>
      <c r="S26" s="176"/>
      <c r="T26" s="176"/>
      <c r="U26" s="196"/>
      <c r="V26" s="196"/>
      <c r="W26" s="1958"/>
      <c r="X26" s="1957"/>
      <c r="Y26" s="196"/>
      <c r="Z26" s="196"/>
      <c r="AA26" s="196"/>
      <c r="AB26" s="165"/>
      <c r="AC26" s="2004"/>
      <c r="AD26" s="2223"/>
      <c r="AE26" s="2"/>
      <c r="AF26" s="76"/>
    </row>
    <row r="27" spans="1:32" ht="18" customHeight="1">
      <c r="A27" s="1724" t="s">
        <v>26</v>
      </c>
      <c r="B27" s="157"/>
      <c r="C27" s="157"/>
      <c r="D27" s="1128">
        <f>+'Exhibit A'!D24</f>
        <v>1878.8</v>
      </c>
      <c r="E27" s="171"/>
      <c r="F27" s="188">
        <f>+'Exhibit A'!F24</f>
        <v>14983.1</v>
      </c>
      <c r="G27" s="171"/>
      <c r="H27" s="1128">
        <f>+'Exhibit G state'!T89</f>
        <v>269.2</v>
      </c>
      <c r="I27" s="171"/>
      <c r="J27" s="188">
        <f>+'Exhibit G state'!AE89</f>
        <v>3522.6</v>
      </c>
      <c r="K27" s="171"/>
      <c r="L27" s="1120">
        <f>+'Exhibit A'!L24</f>
        <v>0</v>
      </c>
      <c r="M27" s="171"/>
      <c r="N27" s="176">
        <f>+'Exhibit A'!N24</f>
        <v>0</v>
      </c>
      <c r="O27" s="179"/>
      <c r="P27" s="1954"/>
      <c r="Q27" s="180"/>
      <c r="R27" s="174">
        <f>ROUND(SUM(D27+H27+L27),1)</f>
        <v>2148</v>
      </c>
      <c r="S27" s="174"/>
      <c r="T27" s="174">
        <f>ROUND(SUM(F27+J27+N27),1)</f>
        <v>18505.7</v>
      </c>
      <c r="U27" s="196"/>
      <c r="V27" s="196"/>
      <c r="W27" s="2218"/>
      <c r="X27" s="1957"/>
      <c r="Y27" s="196">
        <v>2273.1999999999998</v>
      </c>
      <c r="Z27" s="196" t="s">
        <v>16</v>
      </c>
      <c r="AA27" s="196">
        <f>+'Exhibit F'!AF97+'Exhibit G state'!AH89</f>
        <v>17987.599999999999</v>
      </c>
      <c r="AB27" s="165"/>
      <c r="AC27" s="2004"/>
      <c r="AD27" s="53">
        <f>ROUND(SUM(T27-AA27),1)</f>
        <v>518.1</v>
      </c>
      <c r="AE27" s="2"/>
      <c r="AF27" s="45">
        <f>ROUND(+AD27/AA27,3)</f>
        <v>2.9000000000000001E-2</v>
      </c>
    </row>
    <row r="28" spans="1:32" ht="18" customHeight="1">
      <c r="A28" s="1724" t="s">
        <v>27</v>
      </c>
      <c r="B28" s="181"/>
      <c r="C28" s="157"/>
      <c r="D28" s="1128">
        <f>+'Exhibit A'!D25</f>
        <v>0.7</v>
      </c>
      <c r="E28" s="171"/>
      <c r="F28" s="188">
        <f>+'Exhibit A'!F25</f>
        <v>4.0999999999999996</v>
      </c>
      <c r="G28" s="171"/>
      <c r="H28" s="1128">
        <f>+'Exhibit G state'!T90</f>
        <v>1.6</v>
      </c>
      <c r="I28" s="174"/>
      <c r="J28" s="188">
        <f>+'Exhibit G state'!AE90</f>
        <v>3.2</v>
      </c>
      <c r="K28" s="171"/>
      <c r="L28" s="1120">
        <f>+'Exhibit A'!L25</f>
        <v>0</v>
      </c>
      <c r="M28" s="171"/>
      <c r="N28" s="176">
        <f>+'Exhibit A'!N25</f>
        <v>0</v>
      </c>
      <c r="O28" s="179"/>
      <c r="P28" s="1954"/>
      <c r="Q28" s="180"/>
      <c r="R28" s="174">
        <f t="shared" ref="R28:R35" si="4">ROUND(SUM(D28+H28+L28),1)</f>
        <v>2.2999999999999998</v>
      </c>
      <c r="S28" s="174"/>
      <c r="T28" s="174">
        <f t="shared" ref="T28:T35" si="5">ROUND(SUM(F28+J28+N28),1)</f>
        <v>7.3</v>
      </c>
      <c r="U28" s="196"/>
      <c r="V28" s="196"/>
      <c r="W28" s="2218"/>
      <c r="X28" s="1957"/>
      <c r="Y28" s="1123">
        <v>1.2</v>
      </c>
      <c r="Z28" s="196" t="s">
        <v>16</v>
      </c>
      <c r="AA28" s="196">
        <f>+'Exhibit F'!AF98+'Exhibit G state'!AH90</f>
        <v>6.8000000000000007</v>
      </c>
      <c r="AB28" s="165"/>
      <c r="AC28" s="2004"/>
      <c r="AD28" s="53">
        <f>ROUND(SUM(T28-AA28),1)</f>
        <v>0.5</v>
      </c>
      <c r="AE28" s="2"/>
      <c r="AF28" s="45">
        <f>ROUND(+AD28/AA28,3)</f>
        <v>7.3999999999999996E-2</v>
      </c>
    </row>
    <row r="29" spans="1:32" ht="18" customHeight="1">
      <c r="A29" s="1724" t="s">
        <v>28</v>
      </c>
      <c r="B29" s="189"/>
      <c r="C29" s="157"/>
      <c r="D29" s="1128">
        <f>+'Exhibit A'!D26</f>
        <v>195.2</v>
      </c>
      <c r="E29" s="171"/>
      <c r="F29" s="188">
        <f>+'Exhibit A'!F26</f>
        <v>925.7</v>
      </c>
      <c r="G29" s="171"/>
      <c r="H29" s="1128">
        <f>+'Exhibit G state'!T91</f>
        <v>3.6</v>
      </c>
      <c r="I29" s="171"/>
      <c r="J29" s="188">
        <f>+'Exhibit G state'!AE91</f>
        <v>114.2</v>
      </c>
      <c r="K29" s="171"/>
      <c r="L29" s="1120">
        <f>+'Exhibit A'!L26</f>
        <v>0</v>
      </c>
      <c r="M29" s="171"/>
      <c r="N29" s="176">
        <f>+'Exhibit A'!N26</f>
        <v>0</v>
      </c>
      <c r="O29" s="179"/>
      <c r="P29" s="1954"/>
      <c r="Q29" s="180"/>
      <c r="R29" s="174">
        <f t="shared" si="4"/>
        <v>198.8</v>
      </c>
      <c r="S29" s="174"/>
      <c r="T29" s="174">
        <f t="shared" si="5"/>
        <v>1039.9000000000001</v>
      </c>
      <c r="U29" s="196"/>
      <c r="V29" s="196"/>
      <c r="W29" s="2218"/>
      <c r="X29" s="1957"/>
      <c r="Y29" s="196">
        <v>203</v>
      </c>
      <c r="Z29" s="196" t="s">
        <v>16</v>
      </c>
      <c r="AA29" s="196">
        <f>+'Exhibit F'!AF99+'Exhibit G state'!AH91</f>
        <v>1078.2</v>
      </c>
      <c r="AB29" s="165"/>
      <c r="AC29" s="2004"/>
      <c r="AD29" s="53">
        <f>ROUND(SUM(T29-AA29),1)</f>
        <v>-38.299999999999997</v>
      </c>
      <c r="AE29" s="2"/>
      <c r="AF29" s="45">
        <f>ROUND(+AD29/AA29,3)</f>
        <v>-3.5999999999999997E-2</v>
      </c>
    </row>
    <row r="30" spans="1:32" ht="18" customHeight="1">
      <c r="A30" s="1724" t="s">
        <v>29</v>
      </c>
      <c r="B30" s="189"/>
      <c r="C30" s="157"/>
      <c r="D30" s="1128"/>
      <c r="E30" s="171"/>
      <c r="F30" s="188"/>
      <c r="G30" s="171"/>
      <c r="H30" s="1128"/>
      <c r="I30" s="171"/>
      <c r="J30" s="188"/>
      <c r="K30" s="171"/>
      <c r="L30" s="1120"/>
      <c r="M30" s="171"/>
      <c r="N30" s="176"/>
      <c r="O30" s="179"/>
      <c r="P30" s="1954"/>
      <c r="Q30" s="180"/>
      <c r="R30" s="1130" t="s">
        <v>16</v>
      </c>
      <c r="S30" s="174"/>
      <c r="T30" s="1130" t="s">
        <v>16</v>
      </c>
      <c r="U30" s="196"/>
      <c r="V30" s="196"/>
      <c r="W30" s="2218"/>
      <c r="X30" s="1957"/>
      <c r="Y30" s="1123"/>
      <c r="Z30" s="196" t="s">
        <v>16</v>
      </c>
      <c r="AA30" s="1123" t="s">
        <v>16</v>
      </c>
      <c r="AB30" s="165"/>
      <c r="AC30" s="2004"/>
      <c r="AD30" s="53"/>
      <c r="AE30" s="2"/>
      <c r="AF30" s="45"/>
    </row>
    <row r="31" spans="1:32" ht="18" customHeight="1">
      <c r="A31" s="1725" t="s">
        <v>30</v>
      </c>
      <c r="B31" s="182">
        <v>-5</v>
      </c>
      <c r="C31" s="157"/>
      <c r="D31" s="1128">
        <f>+'Exhibit A'!D28</f>
        <v>1516.8</v>
      </c>
      <c r="E31" s="171"/>
      <c r="F31" s="188">
        <f>+'Exhibit A'!F28</f>
        <v>10381.9</v>
      </c>
      <c r="G31" s="171"/>
      <c r="H31" s="1128">
        <f>+'Exhibit G state'!T93</f>
        <v>425.7</v>
      </c>
      <c r="I31" s="171"/>
      <c r="J31" s="188">
        <f>+'Exhibit G state'!AE93</f>
        <v>3947.7</v>
      </c>
      <c r="K31" s="171"/>
      <c r="L31" s="1120">
        <f>+'Exhibit A'!L28</f>
        <v>0</v>
      </c>
      <c r="M31" s="171"/>
      <c r="N31" s="176">
        <f>+'Exhibit A'!N28</f>
        <v>0</v>
      </c>
      <c r="O31" s="179"/>
      <c r="P31" s="1954"/>
      <c r="Q31" s="180"/>
      <c r="R31" s="174">
        <f t="shared" si="4"/>
        <v>1942.5</v>
      </c>
      <c r="S31" s="174"/>
      <c r="T31" s="174">
        <f t="shared" si="5"/>
        <v>14329.6</v>
      </c>
      <c r="U31" s="196"/>
      <c r="V31" s="196"/>
      <c r="W31" s="2218"/>
      <c r="X31" s="1957"/>
      <c r="Y31" s="196">
        <v>1733.5</v>
      </c>
      <c r="Z31" s="196" t="s">
        <v>16</v>
      </c>
      <c r="AA31" s="196">
        <f>+'Exhibit F'!AF101+'Exhibit G state'!AH93</f>
        <v>13470.5</v>
      </c>
      <c r="AB31" s="165"/>
      <c r="AC31" s="2004"/>
      <c r="AD31" s="53">
        <f t="shared" ref="AD31:AD36" si="6">ROUND(SUM(T31-AA31),1)</f>
        <v>859.1</v>
      </c>
      <c r="AE31" s="2"/>
      <c r="AF31" s="45">
        <f t="shared" ref="AF31:AF36" si="7">ROUND(+AD31/AA31,3)</f>
        <v>6.4000000000000001E-2</v>
      </c>
    </row>
    <row r="32" spans="1:32" ht="18" customHeight="1">
      <c r="A32" s="1724" t="s">
        <v>31</v>
      </c>
      <c r="B32" s="189"/>
      <c r="C32" s="157"/>
      <c r="D32" s="1128">
        <f>+'Exhibit A'!D29</f>
        <v>80.900000000000006</v>
      </c>
      <c r="E32" s="171"/>
      <c r="F32" s="188">
        <f>+'Exhibit A'!F29</f>
        <v>643.6</v>
      </c>
      <c r="G32" s="171"/>
      <c r="H32" s="1128">
        <f>+'Exhibit G state'!T94</f>
        <v>353.7</v>
      </c>
      <c r="I32" s="171"/>
      <c r="J32" s="188">
        <f>+'Exhibit G state'!AE94</f>
        <v>1768.8</v>
      </c>
      <c r="K32" s="171"/>
      <c r="L32" s="1120">
        <f>+'Exhibit A'!L29</f>
        <v>0</v>
      </c>
      <c r="M32" s="171"/>
      <c r="N32" s="176">
        <f>+'Exhibit A'!N29</f>
        <v>0</v>
      </c>
      <c r="O32" s="179"/>
      <c r="P32" s="1954"/>
      <c r="Q32" s="180"/>
      <c r="R32" s="174">
        <f t="shared" si="4"/>
        <v>434.6</v>
      </c>
      <c r="S32" s="174"/>
      <c r="T32" s="174">
        <f t="shared" si="5"/>
        <v>2412.4</v>
      </c>
      <c r="U32" s="196"/>
      <c r="V32" s="196"/>
      <c r="W32" s="2218"/>
      <c r="X32" s="1957"/>
      <c r="Y32" s="196">
        <v>434.2</v>
      </c>
      <c r="Z32" s="196" t="s">
        <v>16</v>
      </c>
      <c r="AA32" s="196">
        <f>+'Exhibit F'!AF102+'Exhibit G state'!AH94</f>
        <v>2387.6</v>
      </c>
      <c r="AB32" s="165"/>
      <c r="AC32" s="2004"/>
      <c r="AD32" s="53">
        <f t="shared" si="6"/>
        <v>24.8</v>
      </c>
      <c r="AE32" s="2"/>
      <c r="AF32" s="45">
        <f t="shared" si="7"/>
        <v>0.01</v>
      </c>
    </row>
    <row r="33" spans="1:32" ht="18" customHeight="1">
      <c r="A33" s="1724" t="s">
        <v>32</v>
      </c>
      <c r="B33" s="157"/>
      <c r="C33" s="157"/>
      <c r="D33" s="1128">
        <f>+'Exhibit A'!D30</f>
        <v>33.799999999999997</v>
      </c>
      <c r="E33" s="171"/>
      <c r="F33" s="188">
        <f>+'Exhibit A'!F30</f>
        <v>154.9</v>
      </c>
      <c r="G33" s="171"/>
      <c r="H33" s="1128">
        <f>+'Exhibit G state'!T95</f>
        <v>18.3</v>
      </c>
      <c r="I33" s="171"/>
      <c r="J33" s="188">
        <f>+'Exhibit G state'!AE95</f>
        <v>82.1</v>
      </c>
      <c r="K33" s="171"/>
      <c r="L33" s="1120">
        <f>+'Exhibit A'!L30</f>
        <v>0</v>
      </c>
      <c r="M33" s="171"/>
      <c r="N33" s="176">
        <f>+'Exhibit A'!N30</f>
        <v>0</v>
      </c>
      <c r="O33" s="179"/>
      <c r="P33" s="1954"/>
      <c r="Q33" s="180"/>
      <c r="R33" s="174">
        <f t="shared" si="4"/>
        <v>52.1</v>
      </c>
      <c r="S33" s="174"/>
      <c r="T33" s="174">
        <f t="shared" si="5"/>
        <v>237</v>
      </c>
      <c r="U33" s="196"/>
      <c r="V33" s="196"/>
      <c r="W33" s="2218"/>
      <c r="X33" s="1957"/>
      <c r="Y33" s="196">
        <v>39</v>
      </c>
      <c r="Z33" s="196" t="s">
        <v>16</v>
      </c>
      <c r="AA33" s="196">
        <f>+'Exhibit F'!AF103+'Exhibit G state'!AH95</f>
        <v>227.89999999999998</v>
      </c>
      <c r="AB33" s="165"/>
      <c r="AC33" s="2004"/>
      <c r="AD33" s="53">
        <f t="shared" si="6"/>
        <v>9.1</v>
      </c>
      <c r="AE33" s="2"/>
      <c r="AF33" s="45">
        <f t="shared" si="7"/>
        <v>0.04</v>
      </c>
    </row>
    <row r="34" spans="1:32" ht="18" customHeight="1">
      <c r="A34" s="1724" t="s">
        <v>33</v>
      </c>
      <c r="B34" s="157"/>
      <c r="C34" s="157"/>
      <c r="D34" s="1128">
        <f>+'Exhibit A'!D31</f>
        <v>361.5</v>
      </c>
      <c r="E34" s="171"/>
      <c r="F34" s="188">
        <f>+'Exhibit A'!F31</f>
        <v>2170.3000000000002</v>
      </c>
      <c r="G34" s="171"/>
      <c r="H34" s="1128">
        <f>+'Exhibit G state'!T96</f>
        <v>0.5</v>
      </c>
      <c r="I34" s="171"/>
      <c r="J34" s="188">
        <f>+'Exhibit G state'!AE96</f>
        <v>3.3</v>
      </c>
      <c r="K34" s="171"/>
      <c r="L34" s="1120">
        <f>+'Exhibit A'!L31</f>
        <v>0</v>
      </c>
      <c r="M34" s="171"/>
      <c r="N34" s="176">
        <f>+'Exhibit A'!N31</f>
        <v>0</v>
      </c>
      <c r="O34" s="179"/>
      <c r="P34" s="1954"/>
      <c r="Q34" s="180"/>
      <c r="R34" s="174">
        <f t="shared" si="4"/>
        <v>362</v>
      </c>
      <c r="S34" s="174"/>
      <c r="T34" s="174">
        <f t="shared" si="5"/>
        <v>2173.6</v>
      </c>
      <c r="U34" s="196"/>
      <c r="V34" s="196"/>
      <c r="W34" s="2218"/>
      <c r="X34" s="1957"/>
      <c r="Y34" s="196">
        <v>333.9</v>
      </c>
      <c r="Z34" s="196" t="s">
        <v>16</v>
      </c>
      <c r="AA34" s="196">
        <f>+'Exhibit F'!AF104+'Exhibit G state'!AH96</f>
        <v>1993.4</v>
      </c>
      <c r="AB34" s="165"/>
      <c r="AC34" s="2004"/>
      <c r="AD34" s="53">
        <f t="shared" si="6"/>
        <v>180.2</v>
      </c>
      <c r="AE34" s="2"/>
      <c r="AF34" s="45">
        <f t="shared" si="7"/>
        <v>0.09</v>
      </c>
    </row>
    <row r="35" spans="1:32" ht="18" customHeight="1">
      <c r="A35" s="1724" t="s">
        <v>34</v>
      </c>
      <c r="B35" s="157"/>
      <c r="C35" s="157"/>
      <c r="D35" s="1128">
        <f>+'Exhibit A'!D32</f>
        <v>9.1999999999999993</v>
      </c>
      <c r="E35" s="171"/>
      <c r="F35" s="188">
        <f>+'Exhibit A'!F32</f>
        <v>45.5</v>
      </c>
      <c r="G35" s="171"/>
      <c r="H35" s="1128">
        <f>+'Exhibit G state'!T97</f>
        <v>1.8</v>
      </c>
      <c r="I35" s="171"/>
      <c r="J35" s="188">
        <f>+'Exhibit G state'!AE97</f>
        <v>86.2</v>
      </c>
      <c r="K35" s="171"/>
      <c r="L35" s="1120">
        <f>+'Exhibit A'!L32</f>
        <v>0</v>
      </c>
      <c r="M35" s="171"/>
      <c r="N35" s="176">
        <f>+'Exhibit A'!N32</f>
        <v>0</v>
      </c>
      <c r="O35" s="179"/>
      <c r="P35" s="1954"/>
      <c r="Q35" s="180"/>
      <c r="R35" s="174">
        <f t="shared" si="4"/>
        <v>11</v>
      </c>
      <c r="S35" s="174"/>
      <c r="T35" s="174">
        <f t="shared" si="5"/>
        <v>131.69999999999999</v>
      </c>
      <c r="U35" s="196"/>
      <c r="V35" s="196"/>
      <c r="W35" s="2218"/>
      <c r="X35" s="1957"/>
      <c r="Y35" s="1123">
        <v>4.9000000000000004</v>
      </c>
      <c r="Z35" s="196" t="s">
        <v>16</v>
      </c>
      <c r="AA35" s="196">
        <f>+'Exhibit F'!AF105+'Exhibit G state'!AH97</f>
        <v>273.89999999999998</v>
      </c>
      <c r="AB35" s="165"/>
      <c r="AC35" s="2004"/>
      <c r="AD35" s="53">
        <f t="shared" si="6"/>
        <v>-142.19999999999999</v>
      </c>
      <c r="AE35" s="2"/>
      <c r="AF35" s="45">
        <f t="shared" si="7"/>
        <v>-0.51900000000000002</v>
      </c>
    </row>
    <row r="36" spans="1:32" ht="18" customHeight="1">
      <c r="A36" s="1724" t="s">
        <v>35</v>
      </c>
      <c r="B36" s="157"/>
      <c r="C36" s="157"/>
      <c r="D36" s="1128">
        <f>+'Exhibit A'!D33</f>
        <v>14.7</v>
      </c>
      <c r="E36" s="171"/>
      <c r="F36" s="188">
        <f>+'Exhibit A'!F33</f>
        <v>96.7</v>
      </c>
      <c r="G36" s="171"/>
      <c r="H36" s="1128">
        <f>+'Exhibit G state'!T98</f>
        <v>852.5</v>
      </c>
      <c r="I36" s="171"/>
      <c r="J36" s="188">
        <f>+'Exhibit G state'!AE98</f>
        <v>3960.9</v>
      </c>
      <c r="K36" s="171"/>
      <c r="L36" s="1120">
        <f>+'Exhibit A'!L33</f>
        <v>0</v>
      </c>
      <c r="M36" s="171"/>
      <c r="N36" s="176">
        <f>+'Exhibit A'!N33</f>
        <v>0</v>
      </c>
      <c r="O36" s="179"/>
      <c r="P36" s="1954"/>
      <c r="Q36" s="180"/>
      <c r="R36" s="190">
        <f>ROUND(SUM(D36+H36+L36),1)</f>
        <v>867.2</v>
      </c>
      <c r="S36" s="174"/>
      <c r="T36" s="190">
        <f>ROUND(SUM(F36+J36+N36),1)</f>
        <v>4057.6</v>
      </c>
      <c r="U36" s="196"/>
      <c r="V36" s="196"/>
      <c r="W36" s="2218"/>
      <c r="X36" s="1957"/>
      <c r="Y36" s="2713">
        <v>852.6</v>
      </c>
      <c r="Z36" s="196" t="s">
        <v>16</v>
      </c>
      <c r="AA36" s="197">
        <f>+'Exhibit F'!AF106+'Exhibit G state'!AH98</f>
        <v>4070</v>
      </c>
      <c r="AB36" s="165"/>
      <c r="AC36" s="2004"/>
      <c r="AD36" s="53">
        <f t="shared" si="6"/>
        <v>-12.4</v>
      </c>
      <c r="AE36" s="2"/>
      <c r="AF36" s="45">
        <f t="shared" si="7"/>
        <v>-3.0000000000000001E-3</v>
      </c>
    </row>
    <row r="37" spans="1:32" ht="18" customHeight="1">
      <c r="A37" s="156" t="s">
        <v>36</v>
      </c>
      <c r="B37" s="157"/>
      <c r="C37" s="157"/>
      <c r="D37" s="183">
        <f>ROUND(SUM(D27:D36),1)</f>
        <v>4091.6</v>
      </c>
      <c r="E37" s="184"/>
      <c r="F37" s="183">
        <f>ROUND(SUM(F27:F36),1)</f>
        <v>29405.8</v>
      </c>
      <c r="G37" s="184"/>
      <c r="H37" s="183">
        <f>ROUND(SUM(H27:H36),1)</f>
        <v>1926.9</v>
      </c>
      <c r="I37" s="184"/>
      <c r="J37" s="183">
        <f>ROUND(SUM(J27:J36),1)</f>
        <v>13489</v>
      </c>
      <c r="K37" s="184"/>
      <c r="L37" s="191">
        <f>ROUND(SUM(L27:L36),1)</f>
        <v>0</v>
      </c>
      <c r="M37" s="184"/>
      <c r="N37" s="192">
        <f>ROUND(SUM(N27:N36),1)</f>
        <v>0</v>
      </c>
      <c r="O37" s="193"/>
      <c r="P37" s="1955"/>
      <c r="Q37" s="194"/>
      <c r="R37" s="183">
        <f>ROUND(SUM(R27:R36),1)</f>
        <v>6018.5</v>
      </c>
      <c r="S37" s="193"/>
      <c r="T37" s="183">
        <f>ROUND(SUM(T27:T36),1)</f>
        <v>42894.8</v>
      </c>
      <c r="U37" s="204"/>
      <c r="V37" s="204"/>
      <c r="W37" s="2224"/>
      <c r="X37" s="2225"/>
      <c r="Y37" s="2221">
        <f>ROUND(SUM(Y27:Y36),1)</f>
        <v>5875.5</v>
      </c>
      <c r="Z37" s="200"/>
      <c r="AA37" s="2221">
        <f>ROUND(SUM(AA27:AA36),1)</f>
        <v>41495.9</v>
      </c>
      <c r="AB37" s="205"/>
      <c r="AC37" s="2006"/>
      <c r="AD37" s="2222">
        <f>ROUND(SUM(AD27:AD36),1)</f>
        <v>1398.9</v>
      </c>
      <c r="AE37" s="71"/>
      <c r="AF37" s="72">
        <f>ROUND(+AD37/AA37,3)</f>
        <v>3.4000000000000002E-2</v>
      </c>
    </row>
    <row r="38" spans="1:32" ht="18" customHeight="1">
      <c r="A38" s="157" t="s">
        <v>37</v>
      </c>
      <c r="B38" s="189"/>
      <c r="C38" s="157"/>
      <c r="D38" s="1118"/>
      <c r="E38" s="171"/>
      <c r="F38" s="171"/>
      <c r="G38" s="171"/>
      <c r="H38" s="1118"/>
      <c r="I38" s="171"/>
      <c r="J38" s="171"/>
      <c r="K38" s="171"/>
      <c r="L38" s="1118"/>
      <c r="M38" s="171"/>
      <c r="N38" s="171"/>
      <c r="O38" s="172"/>
      <c r="P38" s="1953"/>
      <c r="Q38" s="173"/>
      <c r="R38" s="171"/>
      <c r="S38" s="171"/>
      <c r="T38" s="171"/>
      <c r="U38" s="196"/>
      <c r="V38" s="196"/>
      <c r="W38" s="1958"/>
      <c r="X38" s="196"/>
      <c r="Y38" s="196"/>
      <c r="Z38" s="196"/>
      <c r="AA38" s="196"/>
      <c r="AB38" s="165"/>
      <c r="AC38" s="2004"/>
      <c r="AD38" s="53"/>
      <c r="AE38" s="2"/>
      <c r="AF38" s="19"/>
    </row>
    <row r="39" spans="1:32" ht="18" customHeight="1">
      <c r="A39" s="157" t="s">
        <v>38</v>
      </c>
      <c r="B39" s="181"/>
      <c r="C39" s="157"/>
      <c r="D39" s="1118">
        <f>+'Exhibit A'!D36</f>
        <v>628.79999999999995</v>
      </c>
      <c r="E39" s="171"/>
      <c r="F39" s="188">
        <f>+'Exhibit A'!F36</f>
        <v>4664.5</v>
      </c>
      <c r="G39" s="171"/>
      <c r="H39" s="1118">
        <f>+'Exhibit G state'!T101</f>
        <v>714.3</v>
      </c>
      <c r="I39" s="171"/>
      <c r="J39" s="188">
        <f>+'Exhibit G state'!AE101</f>
        <v>5273.9</v>
      </c>
      <c r="K39" s="171"/>
      <c r="L39" s="1121">
        <f>+'Exhibit A'!L36</f>
        <v>0</v>
      </c>
      <c r="M39" s="174"/>
      <c r="N39" s="176">
        <f>+'Exhibit A'!N36</f>
        <v>0</v>
      </c>
      <c r="O39" s="179"/>
      <c r="P39" s="1954"/>
      <c r="Q39" s="180"/>
      <c r="R39" s="174">
        <f>ROUND(SUM(D39+H39+L39),1)</f>
        <v>1343.1</v>
      </c>
      <c r="S39" s="176"/>
      <c r="T39" s="171">
        <f>ROUND(SUM(F39+J39+N39),1)</f>
        <v>9938.4</v>
      </c>
      <c r="U39" s="196"/>
      <c r="V39" s="196"/>
      <c r="W39" s="2218"/>
      <c r="X39" s="1957"/>
      <c r="Y39" s="196">
        <v>1303.2</v>
      </c>
      <c r="Z39" s="196" t="s">
        <v>16</v>
      </c>
      <c r="AA39" s="196">
        <f>+'Exhibit F'!AF109+'Exhibit G state'!AH101</f>
        <v>9689.9000000000015</v>
      </c>
      <c r="AB39" s="165"/>
      <c r="AC39" s="2004"/>
      <c r="AD39" s="53">
        <f t="shared" ref="AD39:AD44" si="8">ROUND(SUM(T39-AA39),1)</f>
        <v>248.5</v>
      </c>
      <c r="AE39" s="2"/>
      <c r="AF39" s="45">
        <f t="shared" ref="AF39:AF44" si="9">ROUND(+AD39/AA39,3)</f>
        <v>2.5999999999999999E-2</v>
      </c>
    </row>
    <row r="40" spans="1:32" ht="18" customHeight="1">
      <c r="A40" s="157" t="s">
        <v>39</v>
      </c>
      <c r="B40" s="189"/>
      <c r="C40" s="157"/>
      <c r="D40" s="1118">
        <f>+'Exhibit A'!D37</f>
        <v>138.4</v>
      </c>
      <c r="E40" s="171"/>
      <c r="F40" s="188">
        <f>+'Exhibit A'!F37</f>
        <v>1289.3</v>
      </c>
      <c r="G40" s="171"/>
      <c r="H40" s="1118">
        <f>+'Exhibit G state'!T102</f>
        <v>368.7</v>
      </c>
      <c r="I40" s="171"/>
      <c r="J40" s="188">
        <f>+'Exhibit G state'!AE102</f>
        <v>2558.5</v>
      </c>
      <c r="K40" s="171"/>
      <c r="L40" s="1121">
        <f>+'Exhibit A'!L37</f>
        <v>1.4</v>
      </c>
      <c r="M40" s="174"/>
      <c r="N40" s="176">
        <f>+'Exhibit A'!N37</f>
        <v>22.8</v>
      </c>
      <c r="O40" s="172"/>
      <c r="P40" s="1953"/>
      <c r="Q40" s="173"/>
      <c r="R40" s="174">
        <f>ROUND(SUM(D40+H40+L40),1)</f>
        <v>508.5</v>
      </c>
      <c r="S40" s="176"/>
      <c r="T40" s="171">
        <f>ROUND(SUM(F40+J40+N40),1)</f>
        <v>3870.6</v>
      </c>
      <c r="U40" s="196"/>
      <c r="V40" s="196"/>
      <c r="W40" s="1958"/>
      <c r="X40" s="196"/>
      <c r="Y40" s="196">
        <v>437.3</v>
      </c>
      <c r="Z40" s="196" t="s">
        <v>16</v>
      </c>
      <c r="AA40" s="196">
        <f>+'Exhibit F'!AF110+'Exhibit G state'!AH102+'Exhibit H'!AD51</f>
        <v>3872.3</v>
      </c>
      <c r="AB40" s="165"/>
      <c r="AC40" s="2004"/>
      <c r="AD40" s="53">
        <f t="shared" si="8"/>
        <v>-1.7</v>
      </c>
      <c r="AE40" s="2"/>
      <c r="AF40" s="45">
        <f t="shared" si="9"/>
        <v>0</v>
      </c>
    </row>
    <row r="41" spans="1:32" ht="18" customHeight="1">
      <c r="A41" s="157" t="s">
        <v>40</v>
      </c>
      <c r="B41" s="166"/>
      <c r="C41" s="157"/>
      <c r="D41" s="1118">
        <f>+'Exhibit A'!D38</f>
        <v>2.9</v>
      </c>
      <c r="E41" s="171"/>
      <c r="F41" s="188">
        <f>+'Exhibit A'!F38</f>
        <v>4600.3999999999996</v>
      </c>
      <c r="G41" s="171"/>
      <c r="H41" s="1118">
        <f>+'Exhibit G state'!T103</f>
        <v>451.9</v>
      </c>
      <c r="I41" s="171"/>
      <c r="J41" s="188">
        <f>+'Exhibit G state'!AE103</f>
        <v>1472.9</v>
      </c>
      <c r="K41" s="171"/>
      <c r="L41" s="1121">
        <f>+'Exhibit A'!L38</f>
        <v>0</v>
      </c>
      <c r="M41" s="171"/>
      <c r="N41" s="176">
        <f>+'Exhibit A'!N38</f>
        <v>0</v>
      </c>
      <c r="O41" s="179"/>
      <c r="P41" s="1954"/>
      <c r="Q41" s="180"/>
      <c r="R41" s="174">
        <f>ROUND(SUM(D41+H41+L41),1)</f>
        <v>454.8</v>
      </c>
      <c r="S41" s="176"/>
      <c r="T41" s="171">
        <f>ROUND(SUM(F41+J41+N41),1)</f>
        <v>6073.3</v>
      </c>
      <c r="U41" s="196"/>
      <c r="V41" s="196"/>
      <c r="W41" s="2218"/>
      <c r="X41" s="1957"/>
      <c r="Y41" s="196">
        <v>413.2</v>
      </c>
      <c r="Z41" s="196" t="s">
        <v>16</v>
      </c>
      <c r="AA41" s="196">
        <f>+'Exhibit F'!AF111+'Exhibit G state'!AH103</f>
        <v>5816.9000000000005</v>
      </c>
      <c r="AB41" s="165"/>
      <c r="AC41" s="2004"/>
      <c r="AD41" s="53">
        <f t="shared" si="8"/>
        <v>256.39999999999998</v>
      </c>
      <c r="AE41" s="2"/>
      <c r="AF41" s="45">
        <f t="shared" si="9"/>
        <v>4.3999999999999997E-2</v>
      </c>
    </row>
    <row r="42" spans="1:32" ht="18" customHeight="1">
      <c r="A42" s="157" t="s">
        <v>41</v>
      </c>
      <c r="B42" s="157"/>
      <c r="C42" s="157"/>
      <c r="D42" s="1118"/>
      <c r="E42" s="171"/>
      <c r="F42" s="171"/>
      <c r="G42" s="171"/>
      <c r="H42" s="1118"/>
      <c r="I42" s="171"/>
      <c r="J42" s="171"/>
      <c r="K42" s="171"/>
      <c r="L42" s="1118"/>
      <c r="M42" s="171"/>
      <c r="N42" s="171"/>
      <c r="O42" s="172"/>
      <c r="P42" s="1953"/>
      <c r="Q42" s="173"/>
      <c r="R42" s="1130" t="s">
        <v>16</v>
      </c>
      <c r="S42" s="171"/>
      <c r="T42" s="1118" t="s">
        <v>16</v>
      </c>
      <c r="U42" s="196"/>
      <c r="V42" s="196"/>
      <c r="W42" s="1958"/>
      <c r="X42" s="196"/>
      <c r="Y42" s="1123"/>
      <c r="Z42" s="196"/>
      <c r="AA42" s="1123" t="s">
        <v>16</v>
      </c>
      <c r="AB42" s="165"/>
      <c r="AC42" s="2004"/>
      <c r="AD42" s="53"/>
      <c r="AE42" s="2"/>
      <c r="AF42" s="45"/>
    </row>
    <row r="43" spans="1:32" ht="18" customHeight="1">
      <c r="A43" s="157" t="s">
        <v>42</v>
      </c>
      <c r="B43" s="181"/>
      <c r="C43" s="157"/>
      <c r="D43" s="1121">
        <v>0</v>
      </c>
      <c r="E43" s="171"/>
      <c r="F43" s="176">
        <v>0</v>
      </c>
      <c r="G43" s="171"/>
      <c r="H43" s="1121">
        <v>0</v>
      </c>
      <c r="I43" s="171"/>
      <c r="J43" s="176">
        <v>0</v>
      </c>
      <c r="K43" s="171"/>
      <c r="L43" s="1121">
        <f>+'Exhibit A'!L40</f>
        <v>315.60000000000002</v>
      </c>
      <c r="M43" s="174"/>
      <c r="N43" s="176">
        <f>+'Exhibit A'!N40</f>
        <v>2111.3000000000002</v>
      </c>
      <c r="O43" s="172"/>
      <c r="P43" s="1953"/>
      <c r="Q43" s="173"/>
      <c r="R43" s="174">
        <f>ROUND(SUM(D43+H43+L43),1)</f>
        <v>315.60000000000002</v>
      </c>
      <c r="S43" s="171"/>
      <c r="T43" s="171">
        <f>ROUND(SUM(F43+J43+N43),1)</f>
        <v>2111.3000000000002</v>
      </c>
      <c r="U43" s="196"/>
      <c r="V43" s="196"/>
      <c r="W43" s="1958"/>
      <c r="X43" s="196"/>
      <c r="Y43" s="196">
        <v>622.29999999999995</v>
      </c>
      <c r="Z43" s="196" t="s">
        <v>16</v>
      </c>
      <c r="AA43" s="196">
        <f>+'Exhibit H'!AD53</f>
        <v>2767.7</v>
      </c>
      <c r="AB43" s="165"/>
      <c r="AC43" s="2004"/>
      <c r="AD43" s="53">
        <f t="shared" si="8"/>
        <v>-656.4</v>
      </c>
      <c r="AE43" s="2"/>
      <c r="AF43" s="45">
        <f t="shared" si="9"/>
        <v>-0.23699999999999999</v>
      </c>
    </row>
    <row r="44" spans="1:32" ht="18" customHeight="1">
      <c r="A44" s="157" t="s">
        <v>43</v>
      </c>
      <c r="B44" s="181" t="s">
        <v>1196</v>
      </c>
      <c r="C44" s="157"/>
      <c r="D44" s="1129">
        <v>0</v>
      </c>
      <c r="E44" s="174"/>
      <c r="F44" s="179">
        <v>0</v>
      </c>
      <c r="G44" s="171"/>
      <c r="H44" s="1118">
        <f>+'Exhibit G state'!T104</f>
        <v>0.3</v>
      </c>
      <c r="I44" s="171"/>
      <c r="J44" s="188">
        <f>+'Exhibit G state'!AE104</f>
        <v>0.9</v>
      </c>
      <c r="K44" s="171"/>
      <c r="L44" s="1121">
        <f>+'Exhibit A'!L41</f>
        <v>0</v>
      </c>
      <c r="M44" s="176"/>
      <c r="N44" s="176">
        <f>+'Exhibit A'!N41</f>
        <v>0</v>
      </c>
      <c r="O44" s="179"/>
      <c r="P44" s="1954"/>
      <c r="Q44" s="180"/>
      <c r="R44" s="171">
        <f>ROUND(SUM(D44+H44+L44),1)</f>
        <v>0.3</v>
      </c>
      <c r="S44" s="179"/>
      <c r="T44" s="171">
        <f>ROUND(SUM(F44+J44+N44),1)</f>
        <v>0.9</v>
      </c>
      <c r="U44" s="196"/>
      <c r="V44" s="196"/>
      <c r="W44" s="2218"/>
      <c r="X44" s="2219"/>
      <c r="Y44" s="1123">
        <v>0</v>
      </c>
      <c r="Z44" s="196" t="s">
        <v>16</v>
      </c>
      <c r="AA44" s="196">
        <f>'Exhibit G state'!AH104</f>
        <v>1.1000000000000001</v>
      </c>
      <c r="AB44" s="165"/>
      <c r="AC44" s="2004"/>
      <c r="AD44" s="53">
        <f t="shared" si="8"/>
        <v>-0.2</v>
      </c>
      <c r="AE44" s="2"/>
      <c r="AF44" s="45">
        <f t="shared" si="9"/>
        <v>-0.182</v>
      </c>
    </row>
    <row r="45" spans="1:32" ht="18" customHeight="1">
      <c r="A45" s="156" t="s">
        <v>60</v>
      </c>
      <c r="B45" s="157"/>
      <c r="C45" s="157"/>
      <c r="D45" s="183">
        <f>ROUND(SUM(+D39+D40+D41+D37),1)</f>
        <v>4861.7</v>
      </c>
      <c r="E45" s="184"/>
      <c r="F45" s="183">
        <f>ROUND(SUM(+F39+F40+F41+F37),1)</f>
        <v>39960</v>
      </c>
      <c r="G45" s="184"/>
      <c r="H45" s="183">
        <f>ROUND(SUM(H37:H44),1)</f>
        <v>3462.1</v>
      </c>
      <c r="I45" s="184"/>
      <c r="J45" s="183">
        <f>ROUND(SUM(J37:J44),1)</f>
        <v>22795.200000000001</v>
      </c>
      <c r="K45" s="184"/>
      <c r="L45" s="183">
        <f>ROUND(SUM(L37:L44),1)</f>
        <v>317</v>
      </c>
      <c r="M45" s="184"/>
      <c r="N45" s="183">
        <f>ROUND(SUM(N37:N44),1)</f>
        <v>2134.1</v>
      </c>
      <c r="O45" s="186"/>
      <c r="P45" s="202"/>
      <c r="Q45" s="187"/>
      <c r="R45" s="183">
        <f>ROUND(SUM(R37:R44),1)</f>
        <v>8640.7999999999993</v>
      </c>
      <c r="S45" s="186"/>
      <c r="T45" s="183">
        <f>ROUND(SUM(T37:T44),1)</f>
        <v>64889.3</v>
      </c>
      <c r="U45" s="204"/>
      <c r="V45" s="204"/>
      <c r="W45" s="2220"/>
      <c r="X45" s="204"/>
      <c r="Y45" s="2221">
        <f>ROUND(SUM(Y37:Y44),1)</f>
        <v>8651.5</v>
      </c>
      <c r="Z45" s="200"/>
      <c r="AA45" s="2221">
        <f>ROUND(SUM(AA37:AA44),1)</f>
        <v>63643.8</v>
      </c>
      <c r="AB45" s="205"/>
      <c r="AC45" s="2006"/>
      <c r="AD45" s="3342">
        <f>ROUND(SUM(AD37:AD44),1)</f>
        <v>1245.5</v>
      </c>
      <c r="AE45" s="71"/>
      <c r="AF45" s="2821">
        <f>ROUND(+AD45/AA45,3)</f>
        <v>0.02</v>
      </c>
    </row>
    <row r="46" spans="1:32" ht="15.9" customHeight="1">
      <c r="A46" s="156"/>
      <c r="B46" s="157"/>
      <c r="C46" s="157"/>
      <c r="D46" s="1119"/>
      <c r="E46" s="171"/>
      <c r="F46" s="172"/>
      <c r="G46" s="171"/>
      <c r="H46" s="1119"/>
      <c r="I46" s="171"/>
      <c r="J46" s="172"/>
      <c r="K46" s="171"/>
      <c r="L46" s="1119"/>
      <c r="M46" s="171"/>
      <c r="N46" s="172"/>
      <c r="O46" s="172"/>
      <c r="P46" s="1953"/>
      <c r="Q46" s="173"/>
      <c r="R46" s="172"/>
      <c r="S46" s="172"/>
      <c r="T46" s="172"/>
      <c r="U46" s="197"/>
      <c r="V46" s="197"/>
      <c r="W46" s="1958"/>
      <c r="X46" s="197"/>
      <c r="Y46" s="197"/>
      <c r="Z46" s="196"/>
      <c r="AA46" s="197"/>
      <c r="AB46" s="165"/>
      <c r="AC46" s="2004"/>
      <c r="AD46" s="54"/>
      <c r="AE46" s="2"/>
      <c r="AF46" s="19"/>
    </row>
    <row r="47" spans="1:32" ht="15.9" customHeight="1">
      <c r="A47" s="156" t="s">
        <v>45</v>
      </c>
      <c r="B47" s="156"/>
      <c r="C47" s="157"/>
      <c r="D47" s="1118"/>
      <c r="E47" s="171"/>
      <c r="F47" s="171"/>
      <c r="G47" s="171"/>
      <c r="H47" s="1118"/>
      <c r="I47" s="171"/>
      <c r="J47" s="171"/>
      <c r="K47" s="171"/>
      <c r="L47" s="1118"/>
      <c r="M47" s="171"/>
      <c r="N47" s="171"/>
      <c r="O47" s="172"/>
      <c r="P47" s="1953"/>
      <c r="Q47" s="173"/>
      <c r="R47" s="171"/>
      <c r="S47" s="171"/>
      <c r="T47" s="171"/>
      <c r="U47" s="196"/>
      <c r="V47" s="196"/>
      <c r="W47" s="1958"/>
      <c r="X47" s="196"/>
      <c r="Y47" s="196"/>
      <c r="Z47" s="196"/>
      <c r="AA47" s="196"/>
      <c r="AB47" s="165"/>
      <c r="AC47" s="2004"/>
      <c r="AD47" s="53"/>
      <c r="AE47" s="2"/>
      <c r="AF47" s="19"/>
    </row>
    <row r="48" spans="1:32" ht="15.9" customHeight="1">
      <c r="A48" s="156" t="s">
        <v>46</v>
      </c>
      <c r="B48" s="156"/>
      <c r="C48" s="157"/>
      <c r="D48" s="195">
        <f>ROUND(SUM(D23-D45),1)</f>
        <v>820.2</v>
      </c>
      <c r="E48" s="184"/>
      <c r="F48" s="195">
        <f>ROUND(SUM(F23-F45),1)</f>
        <v>-58.5</v>
      </c>
      <c r="G48" s="184"/>
      <c r="H48" s="195">
        <f>ROUND(SUM(H23-H45),1)</f>
        <v>-1265.8</v>
      </c>
      <c r="I48" s="184"/>
      <c r="J48" s="195">
        <f>ROUND(SUM(J23-J45),1)</f>
        <v>-6577.9</v>
      </c>
      <c r="K48" s="184"/>
      <c r="L48" s="195">
        <f>ROUND(SUM(L23-L45),1)</f>
        <v>1645.2</v>
      </c>
      <c r="M48" s="184" t="s">
        <v>16</v>
      </c>
      <c r="N48" s="195">
        <f>ROUND(SUM(N23-N45),1)</f>
        <v>12266.1</v>
      </c>
      <c r="O48" s="186"/>
      <c r="P48" s="202"/>
      <c r="Q48" s="187"/>
      <c r="R48" s="195">
        <f>ROUND(SUM(+R23-R45),1)</f>
        <v>1199.5999999999999</v>
      </c>
      <c r="S48" s="186"/>
      <c r="T48" s="195">
        <f>ROUND(SUM(+T23-T45),1)</f>
        <v>5629.7</v>
      </c>
      <c r="U48" s="204"/>
      <c r="V48" s="204"/>
      <c r="W48" s="2220"/>
      <c r="X48" s="204"/>
      <c r="Y48" s="2116">
        <f>ROUND(SUM(Y23-Y45),1)</f>
        <v>1001.2</v>
      </c>
      <c r="Z48" s="200" t="s">
        <v>16</v>
      </c>
      <c r="AA48" s="2116">
        <f>ROUND(SUM(AA23-AA45),1)</f>
        <v>4177.1000000000004</v>
      </c>
      <c r="AB48" s="205"/>
      <c r="AC48" s="2006"/>
      <c r="AD48" s="2116">
        <f>ROUND(SUM(AD23-AD45),1)</f>
        <v>1452.6</v>
      </c>
      <c r="AE48" s="94"/>
      <c r="AF48" s="2842">
        <f>ROUND(+AD48/AA48,3)</f>
        <v>0.34799999999999998</v>
      </c>
    </row>
    <row r="49" spans="1:32" ht="15.9" customHeight="1">
      <c r="A49" s="157"/>
      <c r="B49" s="157"/>
      <c r="C49" s="157"/>
      <c r="D49" s="1119"/>
      <c r="E49" s="171"/>
      <c r="F49" s="172"/>
      <c r="G49" s="171"/>
      <c r="H49" s="1119"/>
      <c r="I49" s="171"/>
      <c r="J49" s="172"/>
      <c r="K49" s="171"/>
      <c r="L49" s="1119"/>
      <c r="M49" s="171"/>
      <c r="N49" s="172"/>
      <c r="O49" s="172"/>
      <c r="P49" s="1953"/>
      <c r="Q49" s="173"/>
      <c r="R49" s="172"/>
      <c r="S49" s="172"/>
      <c r="T49" s="172"/>
      <c r="U49" s="197"/>
      <c r="V49" s="197"/>
      <c r="W49" s="1958"/>
      <c r="X49" s="197"/>
      <c r="Y49" s="197"/>
      <c r="Z49" s="196"/>
      <c r="AA49" s="197"/>
      <c r="AB49" s="165"/>
      <c r="AC49" s="2004"/>
      <c r="AD49" s="54"/>
      <c r="AE49" s="2"/>
      <c r="AF49" s="19"/>
    </row>
    <row r="50" spans="1:32" ht="15.9" customHeight="1">
      <c r="A50" s="156" t="s">
        <v>47</v>
      </c>
      <c r="B50" s="156"/>
      <c r="C50" s="157"/>
      <c r="D50" s="1118"/>
      <c r="E50" s="171"/>
      <c r="F50" s="171"/>
      <c r="G50" s="171"/>
      <c r="H50" s="1118"/>
      <c r="I50" s="171"/>
      <c r="J50" s="171"/>
      <c r="K50" s="171"/>
      <c r="L50" s="1118"/>
      <c r="M50" s="171"/>
      <c r="N50" s="171"/>
      <c r="O50" s="172"/>
      <c r="P50" s="1953"/>
      <c r="Q50" s="173"/>
      <c r="R50" s="171"/>
      <c r="S50" s="171"/>
      <c r="T50" s="171"/>
      <c r="U50" s="196"/>
      <c r="V50" s="196"/>
      <c r="W50" s="1958"/>
      <c r="X50" s="196"/>
      <c r="Y50" s="196"/>
      <c r="Z50" s="196"/>
      <c r="AA50" s="196"/>
      <c r="AB50" s="165"/>
      <c r="AC50" s="2004"/>
      <c r="AD50" s="53"/>
      <c r="AE50" s="2"/>
      <c r="AF50" s="19"/>
    </row>
    <row r="51" spans="1:32" ht="18" customHeight="1">
      <c r="A51" s="177" t="s">
        <v>49</v>
      </c>
      <c r="B51" s="3223" t="s">
        <v>1546</v>
      </c>
      <c r="C51" s="177"/>
      <c r="D51" s="1123">
        <f>+'Exhibit A'!D49</f>
        <v>1923.8000000000002</v>
      </c>
      <c r="E51" s="171"/>
      <c r="F51" s="171">
        <f>+'Exhibit A'!F49</f>
        <v>13501.000000000002</v>
      </c>
      <c r="G51" s="196"/>
      <c r="H51" s="1123">
        <f>+'Exhibit G state'!T112</f>
        <v>497.1</v>
      </c>
      <c r="I51" s="196"/>
      <c r="J51" s="171">
        <f>+'Exhibit G state'!AE112-'Exhibit G state'!AB112</f>
        <v>7606.4</v>
      </c>
      <c r="K51" s="197"/>
      <c r="L51" s="1122">
        <f>+'Exhibit A'!L49</f>
        <v>205.6</v>
      </c>
      <c r="M51" s="197"/>
      <c r="N51" s="179">
        <f>+'Exhibit A'!N49</f>
        <v>2256.6</v>
      </c>
      <c r="O51" s="172"/>
      <c r="P51" s="1953"/>
      <c r="Q51" s="173"/>
      <c r="R51" s="176">
        <f>ROUND(SUM(L51+H51+D51),1)</f>
        <v>2626.5</v>
      </c>
      <c r="S51" s="171"/>
      <c r="T51" s="176">
        <f>ROUND(SUM(F51+J51+N51),1)</f>
        <v>23364</v>
      </c>
      <c r="U51" s="196"/>
      <c r="V51" s="196"/>
      <c r="W51" s="1958"/>
      <c r="X51" s="196"/>
      <c r="Y51" s="1123">
        <v>2782.8</v>
      </c>
      <c r="Z51" s="196" t="s">
        <v>16</v>
      </c>
      <c r="AA51" s="196">
        <v>20766.2</v>
      </c>
      <c r="AB51" s="165"/>
      <c r="AC51" s="2004"/>
      <c r="AD51" s="53">
        <f>ROUND(SUM(T51-AA51),1)</f>
        <v>2597.8000000000002</v>
      </c>
      <c r="AE51" s="99"/>
      <c r="AF51" s="45">
        <f>ROUND(SUM(+AD51/AA51),3)</f>
        <v>0.125</v>
      </c>
    </row>
    <row r="52" spans="1:32" ht="18" customHeight="1">
      <c r="A52" s="177" t="s">
        <v>50</v>
      </c>
      <c r="B52" s="3223" t="s">
        <v>1546</v>
      </c>
      <c r="C52" s="177"/>
      <c r="D52" s="1123">
        <f>+'Exhibit A'!D50</f>
        <v>-314.7</v>
      </c>
      <c r="E52" s="196"/>
      <c r="F52" s="171">
        <f>+'Exhibit A'!F50</f>
        <v>-8000.9</v>
      </c>
      <c r="G52" s="196"/>
      <c r="H52" s="1123">
        <f>+'Exhibit G state'!T113</f>
        <v>-16.5</v>
      </c>
      <c r="I52" s="196"/>
      <c r="J52" s="174">
        <f>'Exhibit G state'!AE113</f>
        <v>-492.1</v>
      </c>
      <c r="K52" s="196"/>
      <c r="L52" s="1122">
        <f>+'Exhibit A'!L50</f>
        <v>-1968</v>
      </c>
      <c r="M52" s="197"/>
      <c r="N52" s="179">
        <f>+'Exhibit A'!N50</f>
        <v>-14048.1</v>
      </c>
      <c r="O52" s="197"/>
      <c r="P52" s="1953"/>
      <c r="Q52" s="198"/>
      <c r="R52" s="174">
        <f>ROUND(SUM(D52+H52+L52),1)</f>
        <v>-2299.1999999999998</v>
      </c>
      <c r="S52" s="197"/>
      <c r="T52" s="171">
        <f>ROUND(SUM(F52+J52+N52),1)</f>
        <v>-22541.1</v>
      </c>
      <c r="U52" s="196"/>
      <c r="V52" s="196"/>
      <c r="W52" s="1958"/>
      <c r="X52" s="197"/>
      <c r="Y52" s="196">
        <v>-3085.5</v>
      </c>
      <c r="Z52" s="196" t="s">
        <v>16</v>
      </c>
      <c r="AA52" s="196">
        <v>-19470.7</v>
      </c>
      <c r="AB52" s="165"/>
      <c r="AC52" s="2004"/>
      <c r="AD52" s="101">
        <f>-ROUND(SUM(T52-AA52),1)</f>
        <v>3070.4</v>
      </c>
      <c r="AE52" s="2"/>
      <c r="AF52" s="105">
        <f>ROUND(SUM(-AD52/AA52),3)</f>
        <v>0.158</v>
      </c>
    </row>
    <row r="53" spans="1:32" ht="18" customHeight="1">
      <c r="A53" s="156" t="s">
        <v>51</v>
      </c>
      <c r="B53" s="156"/>
      <c r="C53" s="157"/>
      <c r="D53" s="183">
        <f>ROUND(SUM(D51:D52),1)</f>
        <v>1609.1</v>
      </c>
      <c r="E53" s="184"/>
      <c r="F53" s="183">
        <f>ROUND(SUM(F51:F52),1)</f>
        <v>5500.1</v>
      </c>
      <c r="G53" s="184"/>
      <c r="H53" s="183">
        <f>ROUND(SUM(H51:H52),1)</f>
        <v>480.6</v>
      </c>
      <c r="I53" s="184"/>
      <c r="J53" s="183">
        <f>ROUND(SUM(J51:J52),1)</f>
        <v>7114.3</v>
      </c>
      <c r="K53" s="184"/>
      <c r="L53" s="183">
        <f>ROUND(SUM(L51:L52),1)</f>
        <v>-1762.4</v>
      </c>
      <c r="M53" s="184"/>
      <c r="N53" s="183">
        <f>ROUND(SUM(N51:N52),1)</f>
        <v>-11791.5</v>
      </c>
      <c r="O53" s="186"/>
      <c r="P53" s="202"/>
      <c r="Q53" s="187"/>
      <c r="R53" s="183">
        <f>ROUND(SUM(R51:R52),1)</f>
        <v>327.3</v>
      </c>
      <c r="S53" s="186"/>
      <c r="T53" s="183">
        <f>ROUND(SUM(T51:T52),1)</f>
        <v>822.9</v>
      </c>
      <c r="U53" s="204"/>
      <c r="V53" s="204"/>
      <c r="W53" s="2220"/>
      <c r="X53" s="204"/>
      <c r="Y53" s="2226">
        <f>ROUND(SUM(+Y51+Y52),1)</f>
        <v>-302.7</v>
      </c>
      <c r="Z53" s="200"/>
      <c r="AA53" s="2226">
        <f>ROUND(SUM(+AA51+AA52),1)</f>
        <v>1295.5</v>
      </c>
      <c r="AB53" s="205"/>
      <c r="AC53" s="2006"/>
      <c r="AD53" s="2226">
        <f>ROUND(SUM(+AD51-AD52),1)</f>
        <v>-472.6</v>
      </c>
      <c r="AE53" s="71"/>
      <c r="AF53" s="108">
        <f>-ROUND(SUM(-AD53/AA53),3)</f>
        <v>-0.36499999999999999</v>
      </c>
    </row>
    <row r="54" spans="1:32" ht="15.9" customHeight="1">
      <c r="A54" s="157"/>
      <c r="B54" s="157"/>
      <c r="C54" s="157"/>
      <c r="D54" s="1119"/>
      <c r="E54" s="171"/>
      <c r="F54" s="172"/>
      <c r="G54" s="171"/>
      <c r="H54" s="1119"/>
      <c r="I54" s="171"/>
      <c r="J54" s="172"/>
      <c r="K54" s="171"/>
      <c r="L54" s="1119"/>
      <c r="M54" s="171"/>
      <c r="N54" s="172"/>
      <c r="O54" s="172"/>
      <c r="P54" s="1953"/>
      <c r="Q54" s="173"/>
      <c r="R54" s="172"/>
      <c r="S54" s="172"/>
      <c r="T54" s="172"/>
      <c r="U54" s="197"/>
      <c r="V54" s="197"/>
      <c r="W54" s="1958"/>
      <c r="X54" s="197"/>
      <c r="Y54" s="197"/>
      <c r="Z54" s="196"/>
      <c r="AA54" s="197"/>
      <c r="AB54" s="165"/>
      <c r="AC54" s="2004"/>
      <c r="AD54" s="54"/>
      <c r="AE54" s="2"/>
      <c r="AF54" s="19"/>
    </row>
    <row r="55" spans="1:32" ht="18" customHeight="1">
      <c r="A55" s="155" t="s">
        <v>45</v>
      </c>
      <c r="B55" s="156"/>
      <c r="C55" s="157"/>
      <c r="D55" s="1118"/>
      <c r="E55" s="171"/>
      <c r="F55" s="171"/>
      <c r="G55" s="171"/>
      <c r="H55" s="1118"/>
      <c r="I55" s="171"/>
      <c r="J55" s="171"/>
      <c r="K55" s="171"/>
      <c r="L55" s="1118"/>
      <c r="M55" s="171"/>
      <c r="N55" s="171"/>
      <c r="O55" s="172"/>
      <c r="P55" s="1953"/>
      <c r="Q55" s="173"/>
      <c r="R55" s="171"/>
      <c r="S55" s="171"/>
      <c r="T55" s="171"/>
      <c r="U55" s="196"/>
      <c r="V55" s="196"/>
      <c r="W55" s="1958"/>
      <c r="X55" s="196"/>
      <c r="Y55" s="196"/>
      <c r="Z55" s="196"/>
      <c r="AA55" s="196"/>
      <c r="AB55" s="165"/>
      <c r="AC55" s="2004"/>
      <c r="AD55" s="53"/>
      <c r="AE55" s="2"/>
      <c r="AF55" s="109"/>
    </row>
    <row r="56" spans="1:32" ht="18" customHeight="1">
      <c r="A56" s="155" t="s">
        <v>61</v>
      </c>
      <c r="B56" s="155"/>
      <c r="C56" s="177"/>
      <c r="D56" s="1123"/>
      <c r="E56" s="171"/>
      <c r="F56" s="171"/>
      <c r="G56" s="171"/>
      <c r="H56" s="1118"/>
      <c r="I56" s="171"/>
      <c r="J56" s="171"/>
      <c r="K56" s="171"/>
      <c r="L56" s="1118"/>
      <c r="M56" s="171"/>
      <c r="N56" s="171"/>
      <c r="O56" s="172"/>
      <c r="P56" s="1953"/>
      <c r="Q56" s="173"/>
      <c r="R56" s="171"/>
      <c r="S56" s="171"/>
      <c r="T56" s="171"/>
      <c r="U56" s="196"/>
      <c r="V56" s="196"/>
      <c r="W56" s="1958"/>
      <c r="X56" s="196"/>
      <c r="Y56" s="196" t="s">
        <v>16</v>
      </c>
      <c r="Z56" s="196"/>
      <c r="AA56" s="196"/>
      <c r="AB56" s="165"/>
      <c r="AC56" s="2004"/>
      <c r="AD56" s="53"/>
      <c r="AE56" s="2"/>
      <c r="AF56" s="19"/>
    </row>
    <row r="57" spans="1:32" ht="18" customHeight="1">
      <c r="A57" s="155" t="s">
        <v>62</v>
      </c>
      <c r="B57" s="155"/>
      <c r="C57" s="177"/>
      <c r="D57" s="200">
        <f>ROUND(SUM(D48+D53),1)</f>
        <v>2429.3000000000002</v>
      </c>
      <c r="E57" s="200"/>
      <c r="F57" s="200">
        <f>ROUND(SUM(F48)+SUM(F53),1)</f>
        <v>5441.6</v>
      </c>
      <c r="G57" s="200"/>
      <c r="H57" s="200">
        <f>ROUND(SUM(H48+H53),1)</f>
        <v>-785.2</v>
      </c>
      <c r="I57" s="200"/>
      <c r="J57" s="200">
        <f>ROUND(SUM(J48)+SUM(J53),1)</f>
        <v>536.4</v>
      </c>
      <c r="K57" s="200"/>
      <c r="L57" s="200">
        <f>ROUND(SUM(L48+L53),1)</f>
        <v>-117.2</v>
      </c>
      <c r="M57" s="201"/>
      <c r="N57" s="201">
        <f>ROUND(SUM(N48+N53),1)</f>
        <v>474.6</v>
      </c>
      <c r="O57" s="202"/>
      <c r="P57" s="202"/>
      <c r="Q57" s="203"/>
      <c r="R57" s="201">
        <f>ROUND(SUM(+R48+R53),1)</f>
        <v>1526.9</v>
      </c>
      <c r="S57" s="201"/>
      <c r="T57" s="201">
        <f>ROUND(SUM(T48+T53),1)</f>
        <v>6452.6</v>
      </c>
      <c r="U57" s="201"/>
      <c r="V57" s="201"/>
      <c r="W57" s="1959"/>
      <c r="X57" s="201"/>
      <c r="Y57" s="200">
        <f>ROUND(SUM(Y48)+SUM(Y53),1)</f>
        <v>698.5</v>
      </c>
      <c r="Z57" s="200"/>
      <c r="AA57" s="200">
        <f>ROUND(SUM(AA48)+SUM(AA53),1)</f>
        <v>5472.6</v>
      </c>
      <c r="AB57" s="205"/>
      <c r="AC57" s="2006"/>
      <c r="AD57" s="2879">
        <f>ROUND(SUM(+AD48+AD53),1)</f>
        <v>980</v>
      </c>
      <c r="AE57" s="71"/>
      <c r="AF57" s="2916">
        <f>ROUND(SUM(AD57/AA57),3)</f>
        <v>0.17899999999999999</v>
      </c>
    </row>
    <row r="58" spans="1:32" ht="15.9" customHeight="1">
      <c r="A58" s="156"/>
      <c r="B58" s="156"/>
      <c r="C58" s="157"/>
      <c r="D58" s="1118"/>
      <c r="E58" s="171"/>
      <c r="F58" s="172"/>
      <c r="G58" s="171"/>
      <c r="H58" s="1118"/>
      <c r="I58" s="171"/>
      <c r="J58" s="171"/>
      <c r="K58" s="171"/>
      <c r="L58" s="1123"/>
      <c r="M58" s="196"/>
      <c r="N58" s="196"/>
      <c r="O58" s="197"/>
      <c r="P58" s="1953"/>
      <c r="Q58" s="198"/>
      <c r="R58" s="196"/>
      <c r="S58" s="196"/>
      <c r="T58" s="196"/>
      <c r="U58" s="196"/>
      <c r="V58" s="196"/>
      <c r="W58" s="1958"/>
      <c r="X58" s="196"/>
      <c r="Y58" s="196"/>
      <c r="Z58" s="196"/>
      <c r="AA58" s="196"/>
      <c r="AB58" s="165"/>
      <c r="AC58" s="2004"/>
      <c r="AD58" s="53"/>
      <c r="AE58" s="2"/>
      <c r="AF58" s="19"/>
    </row>
    <row r="59" spans="1:32" ht="18" customHeight="1">
      <c r="A59" s="206" t="s">
        <v>54</v>
      </c>
      <c r="B59" s="182" t="s">
        <v>1197</v>
      </c>
      <c r="C59" s="157"/>
      <c r="D59" s="195">
        <f>+'Exhibit A'!D57</f>
        <v>10311.799999999999</v>
      </c>
      <c r="E59" s="184"/>
      <c r="F59" s="195">
        <f>+'Exhibit A'!F57</f>
        <v>7299.5</v>
      </c>
      <c r="G59" s="184"/>
      <c r="H59" s="195">
        <v>3794.2</v>
      </c>
      <c r="I59" s="184"/>
      <c r="J59" s="195">
        <v>2472.6</v>
      </c>
      <c r="K59" s="184"/>
      <c r="L59" s="195">
        <f>+'Exhibit A'!L57</f>
        <v>710.5</v>
      </c>
      <c r="M59" s="184"/>
      <c r="N59" s="195">
        <f>+'Exhibit A'!N57</f>
        <v>118.7</v>
      </c>
      <c r="O59" s="186"/>
      <c r="P59" s="202"/>
      <c r="Q59" s="187"/>
      <c r="R59" s="195">
        <f>ROUND(SUM(D59+H59+L59),1)</f>
        <v>14816.5</v>
      </c>
      <c r="S59" s="186"/>
      <c r="T59" s="195">
        <f>ROUND(SUM(F59+J59+N59),1)</f>
        <v>9890.7999999999993</v>
      </c>
      <c r="U59" s="204"/>
      <c r="V59" s="204"/>
      <c r="W59" s="2220"/>
      <c r="X59" s="204"/>
      <c r="Y59" s="2116">
        <v>9563.2000000000007</v>
      </c>
      <c r="Z59" s="200" t="s">
        <v>16</v>
      </c>
      <c r="AA59" s="2116">
        <v>4789.1000000000004</v>
      </c>
      <c r="AB59" s="205"/>
      <c r="AC59" s="2006"/>
      <c r="AD59" s="93">
        <f>ROUND(SUM(T59-AA59),1)</f>
        <v>5101.7</v>
      </c>
      <c r="AE59" s="71"/>
      <c r="AF59" s="95">
        <f>ROUND(+AD59/AA59,3)</f>
        <v>1.0649999999999999</v>
      </c>
    </row>
    <row r="60" spans="1:32" ht="15.9" customHeight="1">
      <c r="A60" s="177"/>
      <c r="B60" s="157"/>
      <c r="C60" s="157"/>
      <c r="D60" s="1124"/>
      <c r="E60" s="157"/>
      <c r="F60" s="158"/>
      <c r="G60" s="157"/>
      <c r="H60" s="1116"/>
      <c r="I60" s="157"/>
      <c r="J60" s="158"/>
      <c r="K60" s="157"/>
      <c r="L60" s="1124"/>
      <c r="M60" s="157"/>
      <c r="N60" s="158"/>
      <c r="O60" s="158"/>
      <c r="P60" s="1951"/>
      <c r="Q60" s="164"/>
      <c r="R60" s="158"/>
      <c r="S60" s="158"/>
      <c r="T60" s="158"/>
      <c r="U60" s="165"/>
      <c r="V60" s="165"/>
      <c r="W60" s="2215"/>
      <c r="X60" s="165"/>
      <c r="Y60" s="165"/>
      <c r="Z60" s="177"/>
      <c r="AA60" s="165"/>
      <c r="AB60" s="165"/>
      <c r="AC60" s="2004"/>
      <c r="AD60" s="54"/>
      <c r="AE60" s="2"/>
      <c r="AF60" s="19"/>
    </row>
    <row r="61" spans="1:32" ht="18" customHeight="1" thickBot="1">
      <c r="A61" s="207" t="s">
        <v>63</v>
      </c>
      <c r="B61" s="208" t="s">
        <v>16</v>
      </c>
      <c r="C61" s="157"/>
      <c r="D61" s="209">
        <f>ROUND(SUM(D57+D59),1)</f>
        <v>12741.1</v>
      </c>
      <c r="E61" s="210"/>
      <c r="F61" s="209">
        <f>ROUND(SUM(F57+F59),1)</f>
        <v>12741.1</v>
      </c>
      <c r="G61" s="210"/>
      <c r="H61" s="209">
        <f>ROUND(SUM(H57+H59),1)</f>
        <v>3009</v>
      </c>
      <c r="I61" s="210"/>
      <c r="J61" s="209">
        <f>ROUND(SUM(J57)+SUM(J59),1)</f>
        <v>3009</v>
      </c>
      <c r="K61" s="210"/>
      <c r="L61" s="209">
        <f>ROUND(SUM(L57+L59),1)</f>
        <v>593.29999999999995</v>
      </c>
      <c r="M61" s="212"/>
      <c r="N61" s="211">
        <f>ROUND(SUM(N57+N59),1)</f>
        <v>593.29999999999995</v>
      </c>
      <c r="O61" s="213"/>
      <c r="P61" s="213"/>
      <c r="Q61" s="2375"/>
      <c r="R61" s="211">
        <f>ROUND(SUM(R57+R59),1)</f>
        <v>16343.4</v>
      </c>
      <c r="S61" s="213"/>
      <c r="T61" s="211">
        <f>ROUND(SUM(T57+T59),1)</f>
        <v>16343.4</v>
      </c>
      <c r="U61" s="213"/>
      <c r="V61" s="213"/>
      <c r="W61" s="1960"/>
      <c r="X61" s="213"/>
      <c r="Y61" s="209">
        <f>ROUND(SUM(Y57+Y59),1)</f>
        <v>10261.700000000001</v>
      </c>
      <c r="Z61" s="210"/>
      <c r="AA61" s="209">
        <f>ROUND(SUM(AA57+AA59),1)</f>
        <v>10261.700000000001</v>
      </c>
      <c r="AB61" s="214"/>
      <c r="AC61" s="2007"/>
      <c r="AD61" s="119">
        <f>ROUND(SUM(AD57+AD59),1)</f>
        <v>6081.7</v>
      </c>
      <c r="AE61" s="71"/>
      <c r="AF61" s="127">
        <f>ROUND(+AD61/AA61,3)</f>
        <v>0.59299999999999997</v>
      </c>
    </row>
    <row r="62" spans="1:32" ht="15.6" thickTop="1">
      <c r="A62" s="215"/>
      <c r="B62" s="215"/>
      <c r="C62" s="215"/>
      <c r="D62" s="216"/>
      <c r="E62" s="216"/>
      <c r="F62" s="216"/>
      <c r="G62" s="216"/>
      <c r="H62" s="1191"/>
      <c r="I62" s="216"/>
      <c r="J62" s="216"/>
      <c r="K62" s="216"/>
      <c r="L62" s="216"/>
      <c r="M62" s="216"/>
      <c r="N62" s="216"/>
      <c r="O62" s="216"/>
      <c r="P62" s="2376"/>
      <c r="Q62" s="216"/>
      <c r="R62" s="216"/>
      <c r="S62" s="216"/>
      <c r="T62" s="216"/>
      <c r="U62" s="2003"/>
      <c r="V62" s="2003"/>
      <c r="W62" s="2003"/>
      <c r="X62" s="2003"/>
      <c r="Y62" s="2003"/>
      <c r="Z62" s="2003"/>
      <c r="AA62" s="2003"/>
      <c r="AB62" s="2003"/>
      <c r="AC62" s="2003"/>
      <c r="AD62" s="133"/>
      <c r="AE62" s="2"/>
      <c r="AF62" s="134"/>
    </row>
    <row r="63" spans="1:32">
      <c r="A63" s="154"/>
      <c r="B63" s="154"/>
      <c r="C63" s="154"/>
      <c r="D63" s="154"/>
      <c r="E63" s="154"/>
      <c r="F63" s="154"/>
      <c r="G63" s="154"/>
      <c r="H63" s="1192"/>
      <c r="I63" s="154"/>
      <c r="J63" s="154"/>
      <c r="K63" s="154"/>
      <c r="L63" s="154"/>
      <c r="M63" s="154"/>
      <c r="N63" s="154"/>
      <c r="O63" s="154"/>
      <c r="P63" s="154"/>
      <c r="Q63" s="154"/>
      <c r="R63" s="154"/>
      <c r="S63" s="154"/>
      <c r="T63" s="154"/>
      <c r="U63" s="1946"/>
      <c r="V63" s="1946"/>
      <c r="W63" s="1946"/>
      <c r="X63" s="1946"/>
      <c r="Y63" s="1946"/>
      <c r="Z63" s="1946"/>
      <c r="AA63" s="1946"/>
      <c r="AB63" s="1946"/>
    </row>
    <row r="64" spans="1:32" ht="18" customHeight="1">
      <c r="A64" s="1125" t="s">
        <v>1498</v>
      </c>
      <c r="B64" s="154"/>
      <c r="C64" s="154"/>
      <c r="D64" s="154"/>
      <c r="E64" s="154"/>
      <c r="F64" s="154"/>
      <c r="G64" s="154"/>
      <c r="H64" s="1192"/>
      <c r="I64" s="154"/>
      <c r="J64" s="154"/>
      <c r="K64" s="154"/>
      <c r="L64" s="154"/>
      <c r="M64" s="154"/>
      <c r="N64" s="154"/>
      <c r="O64" s="154"/>
      <c r="P64" s="154"/>
      <c r="Q64" s="154"/>
      <c r="R64" s="154"/>
      <c r="S64" s="154"/>
      <c r="T64" s="154"/>
      <c r="U64" s="1946"/>
      <c r="V64" s="1946"/>
      <c r="W64" s="1946"/>
      <c r="X64" s="1946"/>
      <c r="Y64" s="1946"/>
      <c r="Z64" s="1946"/>
      <c r="AA64" s="1946"/>
      <c r="AB64" s="1946"/>
    </row>
    <row r="65" spans="1:28" ht="18" customHeight="1">
      <c r="A65" s="2377" t="s">
        <v>1497</v>
      </c>
      <c r="B65" s="154"/>
      <c r="C65" s="154"/>
      <c r="D65" s="154"/>
      <c r="E65" s="154"/>
      <c r="F65" s="154"/>
      <c r="G65" s="154"/>
      <c r="H65" s="1192"/>
      <c r="I65" s="154"/>
      <c r="J65" s="154"/>
      <c r="K65" s="154"/>
      <c r="L65" s="154"/>
      <c r="M65" s="154"/>
      <c r="N65" s="154"/>
      <c r="O65" s="154"/>
      <c r="P65" s="154"/>
      <c r="Q65" s="154"/>
      <c r="R65" s="154"/>
      <c r="S65" s="154"/>
      <c r="T65" s="154"/>
      <c r="U65" s="1946"/>
      <c r="V65" s="1946"/>
      <c r="W65" s="1946"/>
      <c r="X65" s="1946"/>
      <c r="Y65" s="1946"/>
      <c r="Z65" s="1946"/>
      <c r="AA65" s="1946"/>
      <c r="AB65" s="1946"/>
    </row>
    <row r="66" spans="1:28" ht="15">
      <c r="A66" s="1126"/>
      <c r="B66" s="154"/>
      <c r="C66" s="154"/>
      <c r="D66" s="154"/>
      <c r="E66" s="154"/>
      <c r="F66" s="154"/>
      <c r="G66" s="154"/>
      <c r="H66" s="1192"/>
      <c r="I66" s="154"/>
      <c r="J66" s="154"/>
      <c r="K66" s="154"/>
      <c r="L66" s="154"/>
      <c r="M66" s="154"/>
      <c r="N66" s="154"/>
      <c r="O66" s="154"/>
      <c r="P66" s="154"/>
      <c r="Q66" s="154"/>
      <c r="R66" s="154"/>
      <c r="S66" s="154"/>
      <c r="T66" s="154"/>
      <c r="U66" s="1946"/>
      <c r="V66" s="1946"/>
      <c r="W66" s="1946"/>
      <c r="X66" s="1946"/>
      <c r="Y66" s="1946"/>
      <c r="Z66" s="1946"/>
      <c r="AA66" s="1946"/>
      <c r="AB66" s="1946"/>
    </row>
    <row r="67" spans="1:28" ht="15.6">
      <c r="A67" s="218"/>
      <c r="B67" s="219"/>
      <c r="C67" s="199"/>
      <c r="D67" s="220"/>
      <c r="E67" s="220"/>
      <c r="F67" s="220"/>
      <c r="G67" s="220"/>
      <c r="H67" s="1193"/>
      <c r="I67" s="220"/>
      <c r="J67" s="220"/>
      <c r="K67" s="220"/>
      <c r="L67" s="220"/>
      <c r="M67" s="154"/>
      <c r="N67" s="154"/>
      <c r="O67" s="154"/>
      <c r="P67" s="154"/>
      <c r="Q67" s="154"/>
      <c r="R67" s="154"/>
      <c r="S67" s="154"/>
      <c r="T67" s="154"/>
      <c r="U67" s="1946"/>
      <c r="V67" s="1946"/>
      <c r="W67" s="1946"/>
      <c r="X67" s="1946"/>
      <c r="Y67" s="1946"/>
      <c r="Z67" s="1946"/>
      <c r="AA67" s="1946"/>
      <c r="AB67" s="1946"/>
    </row>
    <row r="68" spans="1:28" ht="15">
      <c r="A68" s="161"/>
      <c r="B68" s="161"/>
      <c r="C68" s="161"/>
      <c r="D68" s="1125"/>
      <c r="E68" s="161"/>
      <c r="F68" s="161"/>
      <c r="G68" s="161"/>
      <c r="H68" s="1194"/>
      <c r="I68" s="161"/>
      <c r="J68" s="161"/>
      <c r="K68" s="161"/>
      <c r="L68" s="1125"/>
      <c r="M68" s="154"/>
      <c r="N68" s="154"/>
      <c r="O68" s="154"/>
      <c r="P68" s="154"/>
      <c r="Q68" s="154"/>
      <c r="R68" s="154"/>
      <c r="S68" s="154"/>
      <c r="T68" s="154"/>
      <c r="U68" s="1946"/>
      <c r="V68" s="1946"/>
      <c r="W68" s="1946"/>
      <c r="X68" s="1946"/>
      <c r="Y68" s="1946"/>
      <c r="Z68" s="1946"/>
      <c r="AA68" s="1946"/>
      <c r="AB68" s="1946"/>
    </row>
    <row r="69" spans="1:28" ht="15">
      <c r="A69" s="161"/>
      <c r="B69" s="161"/>
      <c r="C69" s="161"/>
      <c r="D69" s="1125"/>
      <c r="E69" s="161"/>
      <c r="F69" s="161"/>
      <c r="G69" s="161"/>
      <c r="H69" s="1194"/>
      <c r="I69" s="161"/>
      <c r="J69" s="161"/>
      <c r="K69" s="161"/>
      <c r="L69" s="1125"/>
      <c r="M69" s="154"/>
      <c r="N69" s="154"/>
      <c r="O69" s="154"/>
      <c r="P69" s="154"/>
      <c r="Q69" s="154"/>
      <c r="R69" s="154"/>
      <c r="S69" s="154"/>
      <c r="T69" s="154"/>
      <c r="U69" s="1946"/>
      <c r="V69" s="1946"/>
      <c r="W69" s="1946"/>
      <c r="X69" s="1946"/>
      <c r="Y69" s="1946"/>
      <c r="Z69" s="1946"/>
      <c r="AA69" s="1946"/>
      <c r="AB69" s="1946"/>
    </row>
    <row r="70" spans="1:28" ht="15">
      <c r="A70" s="161"/>
      <c r="B70" s="161"/>
      <c r="C70" s="161"/>
      <c r="D70" s="1125"/>
      <c r="E70" s="161"/>
      <c r="F70" s="161"/>
      <c r="G70" s="161"/>
      <c r="H70" s="1194"/>
      <c r="I70" s="161"/>
      <c r="J70" s="161"/>
      <c r="K70" s="161"/>
      <c r="L70" s="1125"/>
      <c r="M70" s="154"/>
      <c r="N70" s="154"/>
      <c r="O70" s="154"/>
      <c r="P70" s="154"/>
      <c r="Q70" s="154"/>
      <c r="R70" s="154"/>
      <c r="S70" s="154"/>
      <c r="T70" s="154"/>
      <c r="U70" s="1946"/>
      <c r="V70" s="1946"/>
      <c r="W70" s="1946"/>
      <c r="X70" s="1946"/>
      <c r="Y70" s="1946"/>
      <c r="Z70" s="1946"/>
      <c r="AA70" s="1946"/>
      <c r="AB70" s="1946"/>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F27 AD30:AF30 AE28:AE29 AD38:AG38 AE31:AE36 AD17:AD22 AD28:AD29 AD31:AD36 AD46:AG47 AE39:AE44 AD39:AD44 AE51:AF52 AD51 AD60:AF60 AD49:AG50 AE48 AG17 AG18:AG22 AF18:AF23 AD23:AE23 AG23 AG27 AG28:AG29 AG31:AG36 AG30 AF28:AF29 AF31:AF37 AD37:AE37 AG37 AG39:AG44 AF39:AF44 AE45 AG45 AG48 AD59:AF59 AD61:AF61 AE53:AF53 AD58:AF58 AE57:AF57" unlockedFormula="1"/>
    <ignoredError sqref="B44 B26 B59"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zoomScaleSheetLayoutView="75" workbookViewId="0"/>
  </sheetViews>
  <sheetFormatPr defaultColWidth="8.90625" defaultRowHeight="15.6"/>
  <cols>
    <col min="1" max="1" width="56.81640625" style="1289" customWidth="1"/>
    <col min="2" max="2" width="2.36328125" style="1289" customWidth="1"/>
    <col min="3" max="3" width="19" style="1473" customWidth="1"/>
    <col min="4" max="4" width="1.6328125" style="1289" customWidth="1"/>
    <col min="5" max="5" width="16.453125" style="1289" customWidth="1"/>
    <col min="6" max="6" width="1.54296875" style="1289" customWidth="1"/>
    <col min="7" max="7" width="16.54296875" style="1289" customWidth="1"/>
    <col min="8" max="8" width="1.54296875" style="1289" customWidth="1"/>
    <col min="9" max="9" width="16.54296875" style="1289" customWidth="1"/>
    <col min="10" max="10" width="1.54296875" style="1289" customWidth="1"/>
    <col min="11" max="11" width="20.1796875" style="1289" customWidth="1"/>
    <col min="12" max="12" width="9.08984375" style="1289" bestFit="1" customWidth="1"/>
    <col min="13" max="13" width="2.54296875" style="1289" customWidth="1"/>
    <col min="14" max="15" width="9" style="1289" bestFit="1" customWidth="1"/>
    <col min="16" max="16384" width="8.90625" style="1289"/>
  </cols>
  <sheetData>
    <row r="1" spans="1:14">
      <c r="A1" s="1184" t="s">
        <v>1217</v>
      </c>
    </row>
    <row r="2" spans="1:14">
      <c r="A2" s="1735"/>
    </row>
    <row r="3" spans="1:14" ht="17.399999999999999">
      <c r="A3" s="1645" t="s">
        <v>0</v>
      </c>
      <c r="B3" s="798"/>
      <c r="C3" s="798"/>
      <c r="D3" s="798"/>
      <c r="E3" s="798"/>
      <c r="F3" s="798"/>
      <c r="G3" s="798"/>
      <c r="H3" s="798"/>
      <c r="I3" s="798"/>
      <c r="J3" s="798"/>
      <c r="K3" s="1647" t="s">
        <v>238</v>
      </c>
      <c r="L3" s="798"/>
    </row>
    <row r="4" spans="1:14" ht="17.399999999999999">
      <c r="A4" s="1645" t="s">
        <v>237</v>
      </c>
      <c r="B4" s="798"/>
      <c r="C4" s="798" t="s">
        <v>16</v>
      </c>
      <c r="D4" s="798"/>
      <c r="E4" s="798"/>
      <c r="F4" s="798"/>
      <c r="G4" s="798"/>
      <c r="H4" s="798"/>
      <c r="I4" s="798"/>
      <c r="J4" s="798"/>
      <c r="L4" s="799"/>
    </row>
    <row r="5" spans="1:14" ht="17.399999999999999">
      <c r="A5" s="1645" t="s">
        <v>239</v>
      </c>
      <c r="B5" s="798"/>
      <c r="C5" s="798"/>
      <c r="D5" s="798"/>
      <c r="E5" s="798"/>
      <c r="F5" s="798"/>
      <c r="G5" s="798"/>
      <c r="H5" s="798"/>
      <c r="I5" s="798"/>
      <c r="J5" s="798"/>
      <c r="K5" s="800"/>
      <c r="L5" s="800"/>
    </row>
    <row r="6" spans="1:14" ht="17.399999999999999">
      <c r="A6" s="1646" t="s">
        <v>240</v>
      </c>
      <c r="B6" s="798"/>
      <c r="C6" s="798"/>
      <c r="D6" s="798"/>
      <c r="E6" s="798"/>
      <c r="F6" s="798"/>
      <c r="G6" s="798"/>
      <c r="H6" s="798"/>
      <c r="I6" s="798"/>
      <c r="J6" s="798"/>
      <c r="K6" s="801"/>
      <c r="L6" s="801"/>
    </row>
    <row r="7" spans="1:14" ht="17.399999999999999">
      <c r="A7" s="1646" t="s">
        <v>1667</v>
      </c>
      <c r="B7" s="798"/>
      <c r="C7" s="798"/>
      <c r="D7" s="798"/>
      <c r="E7" s="798" t="s">
        <v>16</v>
      </c>
      <c r="F7" s="798"/>
      <c r="G7" s="798"/>
      <c r="H7" s="798"/>
      <c r="I7" s="798"/>
      <c r="J7" s="798"/>
      <c r="K7" s="798"/>
      <c r="L7" s="798"/>
    </row>
    <row r="8" spans="1:14" ht="17.399999999999999">
      <c r="A8" s="1645" t="s">
        <v>1105</v>
      </c>
      <c r="B8" s="1463" t="s">
        <v>241</v>
      </c>
      <c r="C8" s="1464"/>
      <c r="D8" s="1464"/>
      <c r="E8" s="1464"/>
      <c r="F8" s="1464"/>
      <c r="G8" s="1464"/>
      <c r="H8" s="1464"/>
      <c r="I8" s="1464"/>
      <c r="J8" s="1464"/>
      <c r="K8" s="1464"/>
      <c r="L8" s="1464"/>
    </row>
    <row r="9" spans="1:14">
      <c r="A9" s="1464"/>
      <c r="B9" s="1464"/>
      <c r="C9" s="802" t="s">
        <v>242</v>
      </c>
      <c r="D9" s="797"/>
      <c r="E9" s="797"/>
      <c r="F9" s="797"/>
      <c r="G9" s="803"/>
      <c r="H9" s="797"/>
      <c r="I9" s="804" t="s">
        <v>243</v>
      </c>
      <c r="J9" s="797"/>
      <c r="K9" s="804" t="s">
        <v>242</v>
      </c>
      <c r="L9" s="804"/>
    </row>
    <row r="10" spans="1:14">
      <c r="A10" s="1464"/>
      <c r="B10" s="1464"/>
      <c r="C10" s="2692" t="s">
        <v>1669</v>
      </c>
      <c r="D10" s="797"/>
      <c r="E10" s="805" t="s">
        <v>244</v>
      </c>
      <c r="F10" s="803"/>
      <c r="G10" s="806" t="s">
        <v>245</v>
      </c>
      <c r="H10" s="803"/>
      <c r="I10" s="806" t="s">
        <v>246</v>
      </c>
      <c r="J10" s="803"/>
      <c r="K10" s="807" t="s">
        <v>1670</v>
      </c>
      <c r="L10" s="808"/>
    </row>
    <row r="11" spans="1:14">
      <c r="A11" s="1464"/>
      <c r="B11" s="1464"/>
      <c r="C11" s="808"/>
      <c r="D11" s="797"/>
      <c r="E11" s="804"/>
      <c r="F11" s="803"/>
      <c r="G11" s="804"/>
      <c r="H11" s="803"/>
      <c r="I11" s="804"/>
      <c r="J11" s="803"/>
      <c r="K11" s="1559"/>
      <c r="L11" s="808"/>
    </row>
    <row r="12" spans="1:14">
      <c r="A12" s="809" t="s">
        <v>151</v>
      </c>
      <c r="B12" s="1464"/>
      <c r="C12" s="1465"/>
      <c r="D12" s="1464"/>
      <c r="E12" s="1466"/>
      <c r="F12" s="1464"/>
      <c r="G12" s="1467"/>
      <c r="H12" s="1464"/>
      <c r="I12" s="1467"/>
      <c r="J12" s="1464"/>
      <c r="K12" s="1465"/>
      <c r="L12" s="1465"/>
    </row>
    <row r="13" spans="1:14">
      <c r="A13" s="1468" t="s">
        <v>247</v>
      </c>
      <c r="B13" s="1466"/>
      <c r="C13" s="1469">
        <v>0</v>
      </c>
      <c r="D13" s="1466"/>
      <c r="E13" s="2227">
        <v>2.5000000000000001E-2</v>
      </c>
      <c r="F13" s="2228"/>
      <c r="G13" s="2227">
        <v>4090.9380000000001</v>
      </c>
      <c r="H13" s="2228"/>
      <c r="I13" s="2227">
        <v>4090.913</v>
      </c>
      <c r="J13" s="1466"/>
      <c r="K13" s="1609">
        <f>ROUND(SUM(C13)+SUM(E13)-SUM(G13)+SUM(I13),3)</f>
        <v>0</v>
      </c>
      <c r="L13" s="1470"/>
    </row>
    <row r="14" spans="1:14">
      <c r="A14" s="1468" t="s">
        <v>248</v>
      </c>
      <c r="B14" s="1468"/>
      <c r="C14" s="1471">
        <v>10244.885</v>
      </c>
      <c r="D14" s="1169"/>
      <c r="E14" s="2229">
        <v>5181.1210000000001</v>
      </c>
      <c r="F14" s="2230"/>
      <c r="G14" s="2229">
        <v>269.28500000000003</v>
      </c>
      <c r="H14" s="2230"/>
      <c r="I14" s="2229">
        <v>-2481.8389999999999</v>
      </c>
      <c r="J14" s="1468"/>
      <c r="K14" s="1472">
        <f>ROUND(SUM(C14)+SUM(E14)-SUM(G14)+SUM(I14),3)</f>
        <v>12674.882</v>
      </c>
      <c r="L14" s="1471"/>
      <c r="M14" s="1473"/>
      <c r="N14" s="1473"/>
    </row>
    <row r="15" spans="1:14">
      <c r="A15" s="1474" t="s">
        <v>249</v>
      </c>
      <c r="B15" s="1464"/>
      <c r="C15" s="1474">
        <v>0</v>
      </c>
      <c r="D15" s="1472"/>
      <c r="E15" s="2231">
        <v>0</v>
      </c>
      <c r="F15" s="2232"/>
      <c r="G15" s="2231">
        <v>0</v>
      </c>
      <c r="H15" s="2232"/>
      <c r="I15" s="2231">
        <v>0</v>
      </c>
      <c r="J15" s="1472"/>
      <c r="K15" s="1472">
        <f t="shared" ref="K15:K21" si="0">ROUND(SUM(C15)+SUM(E15)-SUM(G15)+SUM(I15),3)</f>
        <v>0</v>
      </c>
      <c r="L15" s="1471"/>
      <c r="M15" s="1473"/>
      <c r="N15" s="1473"/>
    </row>
    <row r="16" spans="1:14">
      <c r="A16" s="1464" t="s">
        <v>250</v>
      </c>
      <c r="B16" s="1464"/>
      <c r="C16" s="1474">
        <v>0</v>
      </c>
      <c r="D16" s="1472"/>
      <c r="E16" s="2231">
        <v>0</v>
      </c>
      <c r="F16" s="2232"/>
      <c r="G16" s="2231">
        <v>0</v>
      </c>
      <c r="H16" s="2232"/>
      <c r="I16" s="2231">
        <v>0</v>
      </c>
      <c r="J16" s="1472"/>
      <c r="K16" s="1472">
        <f t="shared" si="0"/>
        <v>0</v>
      </c>
      <c r="L16" s="1471"/>
      <c r="M16" s="1473"/>
      <c r="N16" s="1473"/>
    </row>
    <row r="17" spans="1:14">
      <c r="A17" s="1464" t="s">
        <v>251</v>
      </c>
      <c r="B17" s="1464"/>
      <c r="C17" s="1474">
        <v>0</v>
      </c>
      <c r="D17" s="1472"/>
      <c r="E17" s="2231">
        <v>0</v>
      </c>
      <c r="F17" s="2232"/>
      <c r="G17" s="2231">
        <v>0</v>
      </c>
      <c r="H17" s="2232"/>
      <c r="I17" s="2231">
        <v>0</v>
      </c>
      <c r="J17" s="1472"/>
      <c r="K17" s="1472">
        <f t="shared" si="0"/>
        <v>0</v>
      </c>
      <c r="L17" s="1471"/>
      <c r="M17" s="1473"/>
      <c r="N17" s="1473"/>
    </row>
    <row r="18" spans="1:14">
      <c r="A18" s="1464" t="s">
        <v>252</v>
      </c>
      <c r="B18" s="1464"/>
      <c r="C18" s="1475">
        <v>66.915000000000006</v>
      </c>
      <c r="D18" s="1472"/>
      <c r="E18" s="2231">
        <v>0</v>
      </c>
      <c r="F18" s="2232"/>
      <c r="G18" s="2231">
        <v>0.67200000000000004</v>
      </c>
      <c r="H18" s="2232"/>
      <c r="I18" s="2231">
        <v>0</v>
      </c>
      <c r="J18" s="1472"/>
      <c r="K18" s="1472">
        <f t="shared" si="0"/>
        <v>66.242999999999995</v>
      </c>
      <c r="L18" s="1472"/>
      <c r="M18" s="1473"/>
      <c r="N18" s="1473"/>
    </row>
    <row r="19" spans="1:14">
      <c r="A19" s="1464" t="s">
        <v>253</v>
      </c>
      <c r="B19" s="1464"/>
      <c r="C19" s="1471">
        <v>0</v>
      </c>
      <c r="D19" s="1475"/>
      <c r="E19" s="2231">
        <v>0</v>
      </c>
      <c r="F19" s="2233"/>
      <c r="G19" s="2231">
        <v>0</v>
      </c>
      <c r="H19" s="2233"/>
      <c r="I19" s="2231">
        <v>0</v>
      </c>
      <c r="J19" s="1475"/>
      <c r="K19" s="1472">
        <f t="shared" si="0"/>
        <v>0</v>
      </c>
      <c r="L19" s="1471"/>
      <c r="M19" s="1473"/>
      <c r="N19" s="1473"/>
    </row>
    <row r="20" spans="1:14">
      <c r="A20" s="1474" t="s">
        <v>254</v>
      </c>
      <c r="B20" s="1465"/>
      <c r="C20" s="1471">
        <v>0</v>
      </c>
      <c r="D20" s="1475"/>
      <c r="E20" s="2231">
        <v>0</v>
      </c>
      <c r="F20" s="2233"/>
      <c r="G20" s="2231">
        <v>0</v>
      </c>
      <c r="H20" s="2233"/>
      <c r="I20" s="2231">
        <v>0</v>
      </c>
      <c r="J20" s="1475"/>
      <c r="K20" s="1472">
        <f t="shared" si="0"/>
        <v>0</v>
      </c>
      <c r="L20" s="1471"/>
      <c r="M20" s="1473"/>
      <c r="N20" s="1473"/>
    </row>
    <row r="21" spans="1:14">
      <c r="A21" s="1474" t="s">
        <v>255</v>
      </c>
      <c r="B21" s="1464"/>
      <c r="C21" s="1471">
        <v>0</v>
      </c>
      <c r="D21" s="1472"/>
      <c r="E21" s="2231">
        <v>500.81299999999999</v>
      </c>
      <c r="F21" s="2232"/>
      <c r="G21" s="2231">
        <v>500.81299999999999</v>
      </c>
      <c r="H21" s="2232"/>
      <c r="I21" s="2231">
        <v>0</v>
      </c>
      <c r="J21" s="1472"/>
      <c r="K21" s="1472">
        <f t="shared" si="0"/>
        <v>0</v>
      </c>
      <c r="L21" s="1471"/>
      <c r="M21" s="1473"/>
      <c r="N21" s="1473"/>
    </row>
    <row r="22" spans="1:14">
      <c r="A22" s="1476" t="s">
        <v>256</v>
      </c>
      <c r="B22" s="1464"/>
      <c r="C22" s="1471">
        <v>0</v>
      </c>
      <c r="D22" s="1472"/>
      <c r="E22" s="2231">
        <v>0</v>
      </c>
      <c r="F22" s="2232"/>
      <c r="G22" s="2231">
        <v>0</v>
      </c>
      <c r="H22" s="2232"/>
      <c r="I22" s="2231">
        <v>0</v>
      </c>
      <c r="J22" s="1169"/>
      <c r="K22" s="1471">
        <f>ROUND(SUM(C22)+SUM(E22)-SUM(G22)+SUM(I22),3)</f>
        <v>0</v>
      </c>
      <c r="L22" s="1471"/>
      <c r="M22" s="1473"/>
      <c r="N22" s="1473"/>
    </row>
    <row r="23" spans="1:14" ht="22.5" customHeight="1">
      <c r="A23" s="810" t="s">
        <v>257</v>
      </c>
      <c r="B23" s="1464"/>
      <c r="C23" s="811">
        <f>ROUND(SUM(C13:C22),3)</f>
        <v>10311.799999999999</v>
      </c>
      <c r="D23" s="802"/>
      <c r="E23" s="812">
        <f>ROUND(SUM(E13:E22),3)</f>
        <v>5681.9589999999998</v>
      </c>
      <c r="F23" s="813"/>
      <c r="G23" s="812">
        <f>ROUND(SUM(G13:G22),3)</f>
        <v>4861.7079999999996</v>
      </c>
      <c r="H23" s="813"/>
      <c r="I23" s="812">
        <f>ROUND(SUM(I13:I22),3)</f>
        <v>1609.0740000000001</v>
      </c>
      <c r="J23" s="813"/>
      <c r="K23" s="812">
        <f>ROUND(SUM(K13:K22),3)</f>
        <v>12741.125</v>
      </c>
      <c r="L23" s="1329"/>
      <c r="M23" s="1473"/>
      <c r="N23" s="1473"/>
    </row>
    <row r="24" spans="1:14" ht="8.25" customHeight="1">
      <c r="A24" s="810"/>
      <c r="B24" s="1464"/>
      <c r="C24" s="1467"/>
      <c r="D24" s="1472"/>
      <c r="E24" s="1467"/>
      <c r="F24" s="1472"/>
      <c r="G24" s="1467"/>
      <c r="H24" s="1472"/>
      <c r="I24" s="1467"/>
      <c r="J24" s="1169"/>
      <c r="K24" s="1461"/>
      <c r="L24" s="1467"/>
      <c r="M24" s="1473"/>
      <c r="N24" s="1473"/>
    </row>
    <row r="25" spans="1:14">
      <c r="A25" s="1476"/>
      <c r="B25" s="1468"/>
      <c r="C25" s="1477"/>
      <c r="D25" s="1468"/>
      <c r="E25" s="1477"/>
      <c r="F25" s="1330"/>
      <c r="G25" s="1477"/>
      <c r="H25" s="1330"/>
      <c r="I25" s="1477"/>
      <c r="J25" s="1468"/>
      <c r="K25" s="1478"/>
      <c r="L25" s="1478"/>
      <c r="M25" s="1473"/>
      <c r="N25" s="1473"/>
    </row>
    <row r="26" spans="1:14">
      <c r="A26" s="814" t="s">
        <v>1112</v>
      </c>
      <c r="B26" s="1468"/>
      <c r="C26" s="1468"/>
      <c r="D26" s="1468"/>
      <c r="E26" s="1468"/>
      <c r="F26" s="1330"/>
      <c r="G26" s="1468"/>
      <c r="H26" s="1330"/>
      <c r="I26" s="1468"/>
      <c r="J26" s="1468"/>
      <c r="K26" s="1468"/>
      <c r="L26" s="1468"/>
      <c r="M26" s="1473"/>
      <c r="N26" s="1473"/>
    </row>
    <row r="27" spans="1:14">
      <c r="A27" s="1474" t="s">
        <v>258</v>
      </c>
      <c r="B27" s="1464"/>
      <c r="C27" s="2710">
        <v>2.2280000000000002</v>
      </c>
      <c r="D27"/>
      <c r="E27" s="2231">
        <v>6.0000000000000001E-3</v>
      </c>
      <c r="F27" s="1456"/>
      <c r="G27" s="2231">
        <v>5.0000000000000001E-3</v>
      </c>
      <c r="H27" s="1456"/>
      <c r="I27" s="2231">
        <v>0</v>
      </c>
      <c r="J27" s="1464"/>
      <c r="K27" s="2996">
        <f t="shared" ref="K27:K32" si="1">ROUND(SUM(C27)+SUM(E27)-SUM(G27)+SUM(I27),3)</f>
        <v>2.2290000000000001</v>
      </c>
      <c r="L27" s="1472"/>
      <c r="M27" s="1473"/>
      <c r="N27" s="1473"/>
    </row>
    <row r="28" spans="1:14">
      <c r="A28" s="1474" t="s">
        <v>259</v>
      </c>
      <c r="B28" s="1464"/>
      <c r="C28" s="2709">
        <v>65.688999999999993</v>
      </c>
      <c r="D28"/>
      <c r="E28" s="2231">
        <v>1.0960000000000001</v>
      </c>
      <c r="F28" s="1456"/>
      <c r="G28" s="2231">
        <v>0.64900000000000002</v>
      </c>
      <c r="H28" s="1456"/>
      <c r="I28" s="2231">
        <v>0</v>
      </c>
      <c r="J28" s="1464"/>
      <c r="K28" s="2996">
        <f t="shared" si="1"/>
        <v>66.135999999999996</v>
      </c>
      <c r="L28" s="1169"/>
      <c r="M28" s="1473"/>
      <c r="N28" s="1473"/>
    </row>
    <row r="29" spans="1:14">
      <c r="A29" s="1464" t="s">
        <v>260</v>
      </c>
      <c r="B29" s="1463" t="s">
        <v>241</v>
      </c>
      <c r="C29" s="2709">
        <v>20.423999999999999</v>
      </c>
      <c r="D29"/>
      <c r="E29" s="2231">
        <v>1.0049999999999999</v>
      </c>
      <c r="F29" s="1456"/>
      <c r="G29" s="2231">
        <v>0.129</v>
      </c>
      <c r="H29" s="1456"/>
      <c r="I29" s="2231">
        <v>0</v>
      </c>
      <c r="J29" s="1464"/>
      <c r="K29" s="2996">
        <f t="shared" si="1"/>
        <v>21.3</v>
      </c>
      <c r="L29" s="1472"/>
      <c r="M29" s="1473"/>
      <c r="N29" s="1473"/>
    </row>
    <row r="30" spans="1:14">
      <c r="A30" s="1474" t="s">
        <v>261</v>
      </c>
      <c r="B30" s="1463"/>
      <c r="C30" s="2709">
        <v>0.27400000000000002</v>
      </c>
      <c r="D30"/>
      <c r="E30" s="2231">
        <v>0</v>
      </c>
      <c r="F30" s="1456"/>
      <c r="G30" s="2231">
        <v>7.0999999999999994E-2</v>
      </c>
      <c r="H30" s="1456"/>
      <c r="I30" s="2231">
        <v>-8.9999999999999993E-3</v>
      </c>
      <c r="J30" s="1464"/>
      <c r="K30" s="2996">
        <f t="shared" si="1"/>
        <v>0.19400000000000001</v>
      </c>
      <c r="L30" s="1472"/>
      <c r="M30" s="1473"/>
      <c r="N30" s="1473"/>
    </row>
    <row r="31" spans="1:14">
      <c r="A31" s="1474" t="s">
        <v>262</v>
      </c>
      <c r="B31" s="1463"/>
      <c r="C31" s="2709">
        <v>0.17899999999999999</v>
      </c>
      <c r="D31"/>
      <c r="E31" s="2231">
        <v>9.5000000000000001E-2</v>
      </c>
      <c r="F31" s="1456"/>
      <c r="G31" s="2231">
        <v>4.9000000000000002E-2</v>
      </c>
      <c r="H31" s="1456"/>
      <c r="I31" s="2231">
        <v>0</v>
      </c>
      <c r="J31" s="1464"/>
      <c r="K31" s="2996">
        <f t="shared" si="1"/>
        <v>0.22500000000000001</v>
      </c>
      <c r="L31" s="1472"/>
      <c r="M31" s="1473"/>
      <c r="N31" s="1473"/>
    </row>
    <row r="32" spans="1:14">
      <c r="A32" s="1464" t="s">
        <v>263</v>
      </c>
      <c r="B32" s="1464"/>
      <c r="C32" s="2709">
        <v>4.58</v>
      </c>
      <c r="D32"/>
      <c r="E32" s="2231">
        <v>0.56499999999999995</v>
      </c>
      <c r="F32" s="1456"/>
      <c r="G32" s="2231">
        <v>0.47199999999999998</v>
      </c>
      <c r="H32" s="1456"/>
      <c r="I32" s="2231">
        <v>-8.1000000000000003E-2</v>
      </c>
      <c r="J32" s="1468"/>
      <c r="K32" s="2996">
        <f t="shared" si="1"/>
        <v>4.5919999999999996</v>
      </c>
      <c r="L32" s="1169"/>
      <c r="M32" s="1473"/>
      <c r="N32" s="1473"/>
    </row>
    <row r="33" spans="1:14">
      <c r="A33" s="1464" t="s">
        <v>264</v>
      </c>
      <c r="B33" s="1464"/>
      <c r="C33" s="2760"/>
      <c r="D33"/>
      <c r="E33" s="2234"/>
      <c r="F33" s="2234"/>
      <c r="G33" s="2234"/>
      <c r="H33" s="2234"/>
      <c r="I33" s="2234"/>
      <c r="J33" s="816"/>
      <c r="K33" s="2997"/>
      <c r="L33" s="816"/>
      <c r="M33" s="1473"/>
      <c r="N33" s="1473"/>
    </row>
    <row r="34" spans="1:14">
      <c r="A34" s="1464" t="s">
        <v>265</v>
      </c>
      <c r="B34" s="1464"/>
      <c r="C34" s="2709">
        <v>2.6040000000000001</v>
      </c>
      <c r="D34"/>
      <c r="E34" s="2231">
        <v>0.67</v>
      </c>
      <c r="F34" s="1456"/>
      <c r="G34" s="2231">
        <v>0.438</v>
      </c>
      <c r="H34" s="1456"/>
      <c r="I34" s="2231">
        <v>-7.0000000000000007E-2</v>
      </c>
      <c r="J34" s="1468"/>
      <c r="K34" s="2996">
        <f>ROUND(SUM(C34)+SUM(E34)-SUM(G34)+SUM(I34),3)</f>
        <v>2.766</v>
      </c>
      <c r="L34" s="1169"/>
      <c r="M34" s="1473"/>
      <c r="N34" s="1473"/>
    </row>
    <row r="35" spans="1:14">
      <c r="A35" s="1464" t="s">
        <v>266</v>
      </c>
      <c r="B35" s="1464"/>
      <c r="C35" s="2760">
        <v>1.2210000000000001</v>
      </c>
      <c r="D35"/>
      <c r="E35" s="2231">
        <v>125</v>
      </c>
      <c r="F35" s="1456"/>
      <c r="G35" s="2231">
        <v>124.592</v>
      </c>
      <c r="H35" s="1456"/>
      <c r="I35" s="2231">
        <v>0</v>
      </c>
      <c r="J35" s="1468"/>
      <c r="K35" s="2996">
        <f t="shared" ref="K35:K58" si="2">ROUND(SUM(C35)+SUM(E35)-SUM(G35)+SUM(I35),3)</f>
        <v>1.629</v>
      </c>
      <c r="L35" s="1169"/>
      <c r="M35" s="1473"/>
      <c r="N35" s="1473"/>
    </row>
    <row r="36" spans="1:14">
      <c r="A36" s="1464" t="s">
        <v>267</v>
      </c>
      <c r="B36" s="1464"/>
      <c r="C36" s="2709">
        <v>1.125</v>
      </c>
      <c r="D36"/>
      <c r="E36" s="2231">
        <v>0</v>
      </c>
      <c r="F36" s="1456"/>
      <c r="G36" s="2231">
        <v>0</v>
      </c>
      <c r="H36" s="1456"/>
      <c r="I36" s="2231">
        <v>0</v>
      </c>
      <c r="J36" s="1464"/>
      <c r="K36" s="2996">
        <f t="shared" si="2"/>
        <v>1.125</v>
      </c>
      <c r="L36" s="1472"/>
      <c r="M36" s="1473"/>
      <c r="N36" s="1473"/>
    </row>
    <row r="37" spans="1:14">
      <c r="A37" s="1480" t="s">
        <v>268</v>
      </c>
      <c r="B37" s="1481"/>
      <c r="C37" s="2693">
        <v>0</v>
      </c>
      <c r="D37"/>
      <c r="E37" s="2231">
        <v>0</v>
      </c>
      <c r="F37" s="1456"/>
      <c r="G37" s="2231">
        <v>0</v>
      </c>
      <c r="H37" s="1456"/>
      <c r="I37" s="2231">
        <v>0</v>
      </c>
      <c r="J37" s="1472"/>
      <c r="K37" s="2996">
        <f t="shared" si="2"/>
        <v>0</v>
      </c>
      <c r="L37" s="1471"/>
      <c r="M37" s="1473"/>
      <c r="N37" s="1473"/>
    </row>
    <row r="38" spans="1:14">
      <c r="A38" s="1474" t="s">
        <v>269</v>
      </c>
      <c r="B38" s="1464"/>
      <c r="C38" s="2709">
        <v>102.81399999999999</v>
      </c>
      <c r="D38"/>
      <c r="E38" s="2231">
        <v>442.05</v>
      </c>
      <c r="F38" s="1456"/>
      <c r="G38" s="2231">
        <v>366.08499999999998</v>
      </c>
      <c r="H38" s="1456"/>
      <c r="I38" s="2231">
        <v>-0.88800000000000001</v>
      </c>
      <c r="J38" s="1464"/>
      <c r="K38" s="1169">
        <f t="shared" si="2"/>
        <v>177.89099999999999</v>
      </c>
      <c r="L38" s="1169"/>
      <c r="M38" s="1473"/>
      <c r="N38" s="1473"/>
    </row>
    <row r="39" spans="1:14">
      <c r="A39" s="1468" t="s">
        <v>270</v>
      </c>
      <c r="B39" s="1468"/>
      <c r="C39" s="2709">
        <v>53.796999999999997</v>
      </c>
      <c r="D39"/>
      <c r="E39" s="2231">
        <v>48.070999999999998</v>
      </c>
      <c r="F39" s="1456"/>
      <c r="G39" s="2231">
        <v>53.22</v>
      </c>
      <c r="H39" s="1456"/>
      <c r="I39" s="2231">
        <v>15.664999999999999</v>
      </c>
      <c r="J39" s="1468"/>
      <c r="K39" s="1169">
        <f t="shared" si="2"/>
        <v>64.313000000000002</v>
      </c>
      <c r="L39" s="1169"/>
      <c r="M39" s="1473"/>
      <c r="N39" s="1473"/>
    </row>
    <row r="40" spans="1:14">
      <c r="A40" s="1476" t="s">
        <v>271</v>
      </c>
      <c r="B40" s="1468"/>
      <c r="C40" s="2709">
        <v>-414.22399999999999</v>
      </c>
      <c r="D40"/>
      <c r="E40" s="2231">
        <v>315.976</v>
      </c>
      <c r="F40" s="1456"/>
      <c r="G40" s="2231">
        <v>156.92099999999999</v>
      </c>
      <c r="H40" s="1456"/>
      <c r="I40" s="2231">
        <v>0</v>
      </c>
      <c r="J40" s="1468"/>
      <c r="K40" s="1169">
        <f t="shared" si="2"/>
        <v>-255.16900000000001</v>
      </c>
      <c r="L40" s="1169"/>
      <c r="M40" s="1473"/>
      <c r="N40" s="1473"/>
    </row>
    <row r="41" spans="1:14">
      <c r="A41" s="1474" t="s">
        <v>272</v>
      </c>
      <c r="B41" s="1464"/>
      <c r="C41" s="2709">
        <v>13.897</v>
      </c>
      <c r="D41"/>
      <c r="E41" s="2231">
        <v>0.80800000000000005</v>
      </c>
      <c r="F41" s="1456"/>
      <c r="G41" s="2231">
        <v>0.68899999999999995</v>
      </c>
      <c r="H41" s="1456"/>
      <c r="I41" s="2231">
        <v>0</v>
      </c>
      <c r="J41" s="1464"/>
      <c r="K41" s="1169">
        <f t="shared" si="2"/>
        <v>14.016</v>
      </c>
      <c r="L41" s="1169"/>
      <c r="M41" s="1473"/>
      <c r="N41" s="1473"/>
    </row>
    <row r="42" spans="1:14">
      <c r="A42" s="1468" t="s">
        <v>273</v>
      </c>
      <c r="B42" s="1464"/>
      <c r="C42" s="2709">
        <v>-4.1120000000000001</v>
      </c>
      <c r="D42"/>
      <c r="E42" s="2231">
        <v>0</v>
      </c>
      <c r="F42" s="1456"/>
      <c r="G42" s="2231">
        <v>0.255</v>
      </c>
      <c r="H42" s="1456"/>
      <c r="I42" s="2231">
        <v>0</v>
      </c>
      <c r="J42" s="1464"/>
      <c r="K42" s="2996">
        <f t="shared" si="2"/>
        <v>-4.367</v>
      </c>
      <c r="L42" s="1169"/>
      <c r="M42" s="1473"/>
      <c r="N42" s="1473"/>
    </row>
    <row r="43" spans="1:14">
      <c r="A43" s="1468" t="s">
        <v>1508</v>
      </c>
      <c r="B43" s="1464"/>
      <c r="C43" s="2709">
        <v>-15.693</v>
      </c>
      <c r="D43"/>
      <c r="E43" s="2231">
        <v>8.4109999999999996</v>
      </c>
      <c r="F43" s="1456"/>
      <c r="G43" s="2231">
        <v>9.1059999999999999</v>
      </c>
      <c r="H43" s="1456"/>
      <c r="I43" s="2231">
        <v>0</v>
      </c>
      <c r="J43" s="1464"/>
      <c r="K43" s="1169">
        <f t="shared" si="2"/>
        <v>-16.388000000000002</v>
      </c>
      <c r="L43" s="1169"/>
      <c r="M43" s="1473"/>
      <c r="N43" s="1473"/>
    </row>
    <row r="44" spans="1:14">
      <c r="A44" s="1464" t="s">
        <v>274</v>
      </c>
      <c r="B44" s="1464"/>
      <c r="C44" s="2709">
        <v>87.04</v>
      </c>
      <c r="D44"/>
      <c r="E44" s="2231">
        <v>3.2669999999999999</v>
      </c>
      <c r="F44" s="1456"/>
      <c r="G44" s="2231">
        <v>4.3550000000000004</v>
      </c>
      <c r="H44" s="1456"/>
      <c r="I44" s="2231">
        <v>0</v>
      </c>
      <c r="J44" s="1464"/>
      <c r="K44" s="1169">
        <f t="shared" si="2"/>
        <v>85.951999999999998</v>
      </c>
      <c r="L44" s="1169"/>
      <c r="M44" s="1473"/>
      <c r="N44" s="1473"/>
    </row>
    <row r="45" spans="1:14">
      <c r="A45" s="1464" t="s">
        <v>275</v>
      </c>
      <c r="B45" s="1464"/>
      <c r="C45" s="2709">
        <v>21.277999999999999</v>
      </c>
      <c r="D45"/>
      <c r="E45" s="2231">
        <v>4.21</v>
      </c>
      <c r="F45" s="1456"/>
      <c r="G45" s="2231">
        <v>2.78</v>
      </c>
      <c r="H45" s="1456"/>
      <c r="I45" s="2231">
        <v>0</v>
      </c>
      <c r="J45" s="1464"/>
      <c r="K45" s="2996">
        <f t="shared" si="2"/>
        <v>22.707999999999998</v>
      </c>
      <c r="L45" s="1169"/>
      <c r="M45" s="1473"/>
      <c r="N45" s="1473"/>
    </row>
    <row r="46" spans="1:14">
      <c r="A46" s="1464" t="s">
        <v>276</v>
      </c>
      <c r="B46" s="1464"/>
      <c r="C46" s="2709">
        <v>9.641</v>
      </c>
      <c r="D46"/>
      <c r="E46" s="2231">
        <v>-4.0000000000000001E-3</v>
      </c>
      <c r="F46" s="1456"/>
      <c r="G46" s="2231">
        <v>5.6379999999999999</v>
      </c>
      <c r="H46" s="1456"/>
      <c r="I46" s="2231">
        <v>0</v>
      </c>
      <c r="J46" s="1464"/>
      <c r="K46" s="2996">
        <f t="shared" si="2"/>
        <v>3.9990000000000001</v>
      </c>
      <c r="L46" s="1169"/>
      <c r="M46" s="1473"/>
      <c r="N46" s="1473"/>
    </row>
    <row r="47" spans="1:14">
      <c r="A47" s="1464" t="s">
        <v>277</v>
      </c>
      <c r="B47" s="1464"/>
      <c r="C47" s="2709">
        <v>4.3650000000000002</v>
      </c>
      <c r="D47"/>
      <c r="E47" s="2231">
        <v>0.82599999999999996</v>
      </c>
      <c r="F47" s="1456"/>
      <c r="G47" s="2231">
        <v>0.16</v>
      </c>
      <c r="H47" s="1456"/>
      <c r="I47" s="2231">
        <v>0</v>
      </c>
      <c r="J47" s="1464"/>
      <c r="K47" s="2996">
        <f t="shared" si="2"/>
        <v>5.0309999999999997</v>
      </c>
      <c r="L47" s="1169"/>
      <c r="M47" s="1473"/>
      <c r="N47" s="1473"/>
    </row>
    <row r="48" spans="1:14">
      <c r="A48" s="1474" t="s">
        <v>278</v>
      </c>
      <c r="B48" s="1464"/>
      <c r="C48" s="2709">
        <v>0.51600000000000001</v>
      </c>
      <c r="D48"/>
      <c r="E48" s="2231">
        <v>4.0000000000000001E-3</v>
      </c>
      <c r="F48" s="1456"/>
      <c r="G48" s="2231">
        <v>0</v>
      </c>
      <c r="H48" s="1456"/>
      <c r="I48" s="2231">
        <v>0</v>
      </c>
      <c r="J48" s="1464"/>
      <c r="K48" s="1169">
        <f t="shared" si="2"/>
        <v>0.52</v>
      </c>
      <c r="L48" s="1169"/>
      <c r="M48" s="1473"/>
      <c r="N48" s="1473"/>
    </row>
    <row r="49" spans="1:14">
      <c r="A49" s="1464" t="s">
        <v>279</v>
      </c>
      <c r="B49" s="1464"/>
      <c r="C49" s="2709">
        <v>-123.08199999999999</v>
      </c>
      <c r="D49"/>
      <c r="E49" s="2231">
        <v>283.72399999999999</v>
      </c>
      <c r="F49" s="1456"/>
      <c r="G49" s="2231">
        <v>577.67999999999995</v>
      </c>
      <c r="H49" s="1456"/>
      <c r="I49" s="2231">
        <v>4.657</v>
      </c>
      <c r="J49" s="1464"/>
      <c r="K49" s="2996">
        <f t="shared" si="2"/>
        <v>-412.38099999999997</v>
      </c>
      <c r="L49" s="1169"/>
      <c r="M49" s="1473"/>
      <c r="N49" s="1473"/>
    </row>
    <row r="50" spans="1:14">
      <c r="A50" s="1464" t="s">
        <v>280</v>
      </c>
      <c r="B50" s="1464"/>
      <c r="C50" s="2709">
        <v>-10.311</v>
      </c>
      <c r="D50"/>
      <c r="E50" s="2231">
        <v>3.5529999999999999</v>
      </c>
      <c r="F50" s="1456"/>
      <c r="G50" s="2231">
        <v>2.5659999999999998</v>
      </c>
      <c r="H50" s="1456"/>
      <c r="I50" s="2231">
        <v>0</v>
      </c>
      <c r="J50" s="1464"/>
      <c r="K50" s="2996">
        <f t="shared" si="2"/>
        <v>-9.3239999999999998</v>
      </c>
      <c r="L50" s="1169"/>
      <c r="M50" s="1473"/>
      <c r="N50" s="1473"/>
    </row>
    <row r="51" spans="1:14">
      <c r="A51" s="1464" t="s">
        <v>281</v>
      </c>
      <c r="B51" s="1464"/>
      <c r="C51" s="2709">
        <v>6.7000000000000004E-2</v>
      </c>
      <c r="D51"/>
      <c r="E51" s="2231">
        <v>0</v>
      </c>
      <c r="F51" s="1456"/>
      <c r="G51" s="2231">
        <v>0</v>
      </c>
      <c r="H51" s="1456"/>
      <c r="I51" s="2231">
        <v>0</v>
      </c>
      <c r="J51" s="1464"/>
      <c r="K51" s="2996">
        <f>ROUND(SUM(C51)+SUM(E51)-SUM(G51)+SUM(I51),3)</f>
        <v>6.7000000000000004E-2</v>
      </c>
      <c r="L51" s="1169"/>
      <c r="M51" s="1473"/>
      <c r="N51" s="1473"/>
    </row>
    <row r="52" spans="1:14">
      <c r="A52" s="1464" t="s">
        <v>1254</v>
      </c>
      <c r="B52" s="1464"/>
      <c r="C52" s="2709">
        <v>10.420999999999999</v>
      </c>
      <c r="D52"/>
      <c r="E52" s="2231">
        <v>3.9E-2</v>
      </c>
      <c r="F52" s="1456"/>
      <c r="G52" s="2231">
        <v>5.8999999999999997E-2</v>
      </c>
      <c r="H52" s="1456"/>
      <c r="I52" s="2231">
        <v>0</v>
      </c>
      <c r="J52" s="1464"/>
      <c r="K52" s="1169">
        <f t="shared" si="2"/>
        <v>10.401</v>
      </c>
      <c r="L52" s="1169"/>
      <c r="M52" s="1473"/>
      <c r="N52" s="1473"/>
    </row>
    <row r="53" spans="1:14">
      <c r="A53" s="1464" t="s">
        <v>282</v>
      </c>
      <c r="B53" s="1464"/>
      <c r="C53" s="2693">
        <v>0</v>
      </c>
      <c r="D53"/>
      <c r="E53" s="2231">
        <v>0</v>
      </c>
      <c r="F53" s="1456"/>
      <c r="G53" s="2231">
        <v>0</v>
      </c>
      <c r="H53" s="1456"/>
      <c r="I53" s="2231">
        <v>0</v>
      </c>
      <c r="J53" s="1464"/>
      <c r="K53" s="1169">
        <f t="shared" si="2"/>
        <v>0</v>
      </c>
      <c r="L53" s="1471"/>
      <c r="M53" s="1473"/>
      <c r="N53" s="1473"/>
    </row>
    <row r="54" spans="1:14">
      <c r="A54" s="1474" t="s">
        <v>283</v>
      </c>
      <c r="B54" s="1464"/>
      <c r="C54" s="2710">
        <v>0.46500000000000002</v>
      </c>
      <c r="D54"/>
      <c r="E54" s="2231">
        <v>0</v>
      </c>
      <c r="F54" s="1456"/>
      <c r="G54" s="2231">
        <v>0</v>
      </c>
      <c r="H54" s="1456"/>
      <c r="I54" s="2231">
        <v>0</v>
      </c>
      <c r="J54" s="1464"/>
      <c r="K54" s="1169">
        <f t="shared" si="2"/>
        <v>0.46500000000000002</v>
      </c>
      <c r="L54" s="1169"/>
      <c r="M54" s="1473"/>
      <c r="N54" s="1473"/>
    </row>
    <row r="55" spans="1:14">
      <c r="A55" s="1474" t="s">
        <v>284</v>
      </c>
      <c r="B55" s="1464"/>
      <c r="C55" s="2693">
        <v>0</v>
      </c>
      <c r="D55"/>
      <c r="E55" s="2231">
        <v>0</v>
      </c>
      <c r="F55" s="1456"/>
      <c r="G55" s="2231">
        <v>0</v>
      </c>
      <c r="H55" s="1456"/>
      <c r="I55" s="2231">
        <v>0</v>
      </c>
      <c r="J55" s="1464"/>
      <c r="K55" s="1169">
        <f t="shared" si="2"/>
        <v>0</v>
      </c>
      <c r="L55" s="1169"/>
      <c r="M55" s="1473"/>
      <c r="N55" s="1473"/>
    </row>
    <row r="56" spans="1:14">
      <c r="A56" s="1474" t="s">
        <v>285</v>
      </c>
      <c r="B56" s="1464"/>
      <c r="C56" s="2760">
        <v>1E-3</v>
      </c>
      <c r="D56"/>
      <c r="E56" s="2231">
        <v>0</v>
      </c>
      <c r="F56" s="1456"/>
      <c r="G56" s="2231">
        <v>0</v>
      </c>
      <c r="H56" s="1456"/>
      <c r="I56" s="2231">
        <v>0</v>
      </c>
      <c r="J56" s="1464"/>
      <c r="K56" s="1169">
        <f t="shared" si="2"/>
        <v>1E-3</v>
      </c>
      <c r="L56" s="1169"/>
      <c r="M56" s="1473"/>
      <c r="N56" s="1473"/>
    </row>
    <row r="57" spans="1:14">
      <c r="A57" s="1474" t="s">
        <v>286</v>
      </c>
      <c r="B57" s="1464"/>
      <c r="C57" s="2710">
        <v>0.82599999999999996</v>
      </c>
      <c r="D57"/>
      <c r="E57" s="2231">
        <v>0</v>
      </c>
      <c r="F57" s="1456"/>
      <c r="G57" s="2231">
        <v>0</v>
      </c>
      <c r="H57" s="1456"/>
      <c r="I57" s="2231">
        <v>0</v>
      </c>
      <c r="J57" s="1464"/>
      <c r="K57" s="1169">
        <f t="shared" si="2"/>
        <v>0.82599999999999996</v>
      </c>
      <c r="L57" s="1169"/>
      <c r="M57" s="1473"/>
      <c r="N57" s="1473"/>
    </row>
    <row r="58" spans="1:14">
      <c r="A58" s="1474" t="s">
        <v>287</v>
      </c>
      <c r="B58" s="1464"/>
      <c r="C58" s="2709">
        <v>2053.4989999999998</v>
      </c>
      <c r="D58"/>
      <c r="E58" s="2231">
        <v>392.94400000000002</v>
      </c>
      <c r="F58" s="1456"/>
      <c r="G58" s="2231">
        <v>1142.867</v>
      </c>
      <c r="H58" s="1456"/>
      <c r="I58" s="2231">
        <v>260.62799999999999</v>
      </c>
      <c r="J58" s="1464"/>
      <c r="K58" s="1169">
        <f t="shared" si="2"/>
        <v>1564.204</v>
      </c>
      <c r="L58" s="1169"/>
      <c r="M58" s="1482"/>
      <c r="N58" s="1473"/>
    </row>
    <row r="59" spans="1:14">
      <c r="A59" s="797"/>
      <c r="B59" s="798"/>
      <c r="C59" s="2711"/>
      <c r="D59" s="798"/>
      <c r="E59" s="2235"/>
      <c r="F59" s="2235"/>
      <c r="G59" s="2235"/>
      <c r="H59" s="2235"/>
      <c r="I59" s="2235"/>
      <c r="J59" s="798"/>
      <c r="K59" s="1561"/>
      <c r="L59" s="815"/>
      <c r="M59" s="1473"/>
      <c r="N59" s="1473"/>
    </row>
    <row r="60" spans="1:14">
      <c r="A60" s="797"/>
      <c r="B60" s="798"/>
      <c r="C60" s="2711"/>
      <c r="D60" s="798"/>
      <c r="E60" s="2235"/>
      <c r="F60" s="2235"/>
      <c r="G60" s="2235"/>
      <c r="H60" s="2235"/>
      <c r="I60" s="2235"/>
      <c r="J60" s="798"/>
      <c r="K60" s="1561"/>
      <c r="L60" s="798"/>
    </row>
    <row r="61" spans="1:14">
      <c r="A61" s="809" t="s">
        <v>1166</v>
      </c>
      <c r="B61" s="1464"/>
      <c r="C61" s="2712"/>
      <c r="E61" s="1876"/>
      <c r="F61" s="1876"/>
      <c r="G61" s="1876"/>
      <c r="H61" s="1876"/>
      <c r="I61" s="1876"/>
      <c r="K61" s="1487"/>
      <c r="L61" s="1472"/>
      <c r="M61" s="1473"/>
      <c r="N61" s="1473"/>
    </row>
    <row r="62" spans="1:14">
      <c r="A62" s="1464" t="s">
        <v>288</v>
      </c>
      <c r="B62" s="1464"/>
      <c r="C62" s="2709">
        <v>26.541</v>
      </c>
      <c r="D62"/>
      <c r="E62" s="2231">
        <v>4.0000000000000001E-3</v>
      </c>
      <c r="F62" s="1456"/>
      <c r="G62" s="2231">
        <v>1.748</v>
      </c>
      <c r="H62" s="1456"/>
      <c r="I62" s="2231">
        <v>-0.14399999999999999</v>
      </c>
      <c r="J62" s="1464"/>
      <c r="K62" s="1169">
        <f>ROUND(SUM(C62)+SUM(E62)-SUM(G62)+SUM(I62),3)</f>
        <v>24.652999999999999</v>
      </c>
      <c r="L62" s="1472"/>
      <c r="M62" s="1473"/>
      <c r="N62" s="1473"/>
    </row>
    <row r="63" spans="1:14">
      <c r="A63" s="1464" t="s">
        <v>289</v>
      </c>
      <c r="B63" s="1466"/>
      <c r="C63" s="2760">
        <v>4.9000000000000002E-2</v>
      </c>
      <c r="D63"/>
      <c r="E63" s="2231">
        <v>0</v>
      </c>
      <c r="F63" s="1456"/>
      <c r="G63" s="2231">
        <v>0</v>
      </c>
      <c r="H63" s="1456"/>
      <c r="I63" s="2231">
        <v>0</v>
      </c>
      <c r="J63" s="1466"/>
      <c r="K63" s="1169">
        <f>ROUND(SUM(C63)+SUM(E63)-SUM(G63)+SUM(I63),3)</f>
        <v>4.9000000000000002E-2</v>
      </c>
      <c r="L63" s="1472"/>
      <c r="M63" s="1473"/>
      <c r="N63" s="1473"/>
    </row>
    <row r="64" spans="1:14">
      <c r="A64" s="1468" t="s">
        <v>290</v>
      </c>
      <c r="B64" s="1464"/>
      <c r="C64" s="2709">
        <v>1239.307</v>
      </c>
      <c r="D64"/>
      <c r="E64" s="2231">
        <v>266.30500000000001</v>
      </c>
      <c r="F64" s="1456"/>
      <c r="G64" s="2232">
        <v>758.08399999999995</v>
      </c>
      <c r="H64" s="1456"/>
      <c r="I64" s="2231">
        <v>206.066</v>
      </c>
      <c r="J64" s="1464"/>
      <c r="K64" s="1169">
        <f>ROUND(SUM(C64)+SUM(E64)-SUM(G64)+SUM(I64),3)</f>
        <v>953.59400000000005</v>
      </c>
      <c r="L64" s="1472"/>
      <c r="M64" s="1473"/>
      <c r="N64" s="1473"/>
    </row>
    <row r="65" spans="1:14">
      <c r="A65" s="1474" t="s">
        <v>291</v>
      </c>
      <c r="B65" s="1464"/>
      <c r="C65" s="2709">
        <v>39.770000000000003</v>
      </c>
      <c r="D65"/>
      <c r="E65" s="2231">
        <v>0.57999999999999996</v>
      </c>
      <c r="F65" s="1456"/>
      <c r="G65" s="2231">
        <v>9.6000000000000002E-2</v>
      </c>
      <c r="H65" s="1456"/>
      <c r="I65" s="2231">
        <v>0</v>
      </c>
      <c r="J65" s="1464"/>
      <c r="K65" s="1169">
        <f>ROUND(SUM(C65)+SUM(E65)-SUM(G65)+SUM(I65),3)</f>
        <v>40.253999999999998</v>
      </c>
      <c r="L65" s="1472"/>
      <c r="M65" s="1473"/>
      <c r="N65" s="1473"/>
    </row>
    <row r="66" spans="1:14">
      <c r="A66" s="1464" t="s">
        <v>292</v>
      </c>
      <c r="B66" s="1464"/>
      <c r="C66" s="2709">
        <v>0.63</v>
      </c>
      <c r="D66"/>
      <c r="E66" s="2231">
        <v>0.1</v>
      </c>
      <c r="F66" s="1456"/>
      <c r="G66" s="2231">
        <v>8.3000000000000004E-2</v>
      </c>
      <c r="H66" s="1456"/>
      <c r="I66" s="2231">
        <v>0</v>
      </c>
      <c r="J66" s="1464"/>
      <c r="K66" s="1169">
        <f>ROUND(SUM(C66)+SUM(E66)-SUM(G66)+SUM(I66),3)</f>
        <v>0.64700000000000002</v>
      </c>
      <c r="L66" s="1472"/>
      <c r="M66" s="1473"/>
      <c r="N66" s="1473"/>
    </row>
    <row r="67" spans="1:14">
      <c r="A67" s="1464" t="s">
        <v>293</v>
      </c>
      <c r="B67" s="1464"/>
      <c r="C67" s="2760" t="s">
        <v>16</v>
      </c>
      <c r="D67"/>
      <c r="E67" s="2232"/>
      <c r="F67" s="1456"/>
      <c r="G67" s="2232"/>
      <c r="H67" s="1456"/>
      <c r="I67" s="2231"/>
      <c r="J67" s="1464"/>
      <c r="K67" s="1169" t="s">
        <v>16</v>
      </c>
      <c r="L67" s="1472"/>
      <c r="M67" s="1473"/>
      <c r="N67" s="1473"/>
    </row>
    <row r="68" spans="1:14">
      <c r="A68" s="1464" t="s">
        <v>294</v>
      </c>
      <c r="B68" s="1464"/>
      <c r="C68" s="2709">
        <v>91.484999999999999</v>
      </c>
      <c r="D68"/>
      <c r="E68" s="2231">
        <v>10.388999999999999</v>
      </c>
      <c r="F68" s="1456"/>
      <c r="G68" s="2231">
        <v>0.45800000000000002</v>
      </c>
      <c r="H68" s="1456"/>
      <c r="I68" s="2231">
        <v>0</v>
      </c>
      <c r="J68" s="1464"/>
      <c r="K68" s="1169">
        <f>ROUND(SUM(C68)+SUM(E68)-SUM(G68)+SUM(I68),3)</f>
        <v>101.416</v>
      </c>
      <c r="L68" s="1472"/>
      <c r="M68" s="1473"/>
      <c r="N68" s="1473"/>
    </row>
    <row r="69" spans="1:14">
      <c r="A69" s="1464" t="s">
        <v>295</v>
      </c>
      <c r="B69" s="801"/>
      <c r="C69" s="2709">
        <v>0.25</v>
      </c>
      <c r="D69"/>
      <c r="E69" s="2231">
        <v>0</v>
      </c>
      <c r="F69" s="1456"/>
      <c r="G69" s="2231">
        <v>1.2E-2</v>
      </c>
      <c r="H69" s="1456"/>
      <c r="I69" s="2231">
        <v>0</v>
      </c>
      <c r="J69" s="815"/>
      <c r="K69" s="1169">
        <f t="shared" ref="K69:K84" si="3">ROUND(SUM(C69)+SUM(E69)-SUM(G69)+SUM(I69),3)</f>
        <v>0.23799999999999999</v>
      </c>
      <c r="L69" s="1472"/>
      <c r="M69" s="1473"/>
      <c r="N69" s="1473"/>
    </row>
    <row r="70" spans="1:14">
      <c r="A70" s="1464" t="s">
        <v>296</v>
      </c>
      <c r="B70" s="1464"/>
      <c r="C70" s="2760">
        <v>2.3E-2</v>
      </c>
      <c r="D70"/>
      <c r="E70" s="2231">
        <v>0</v>
      </c>
      <c r="F70" s="1456"/>
      <c r="G70" s="2231">
        <v>0</v>
      </c>
      <c r="H70" s="1456"/>
      <c r="I70" s="2231">
        <v>0</v>
      </c>
      <c r="J70" s="1464"/>
      <c r="K70" s="1169">
        <f t="shared" si="3"/>
        <v>2.3E-2</v>
      </c>
      <c r="L70" s="1472"/>
      <c r="M70" s="1473"/>
      <c r="N70" s="1473"/>
    </row>
    <row r="71" spans="1:14">
      <c r="A71" s="1474" t="s">
        <v>297</v>
      </c>
      <c r="B71" s="1464"/>
      <c r="C71" s="2710">
        <v>9.3079999999999998</v>
      </c>
      <c r="D71"/>
      <c r="E71" s="2231">
        <v>4.0000000000000001E-3</v>
      </c>
      <c r="F71" s="1456"/>
      <c r="G71" s="2231">
        <v>0</v>
      </c>
      <c r="H71" s="1456"/>
      <c r="I71" s="2231">
        <v>0</v>
      </c>
      <c r="J71" s="1464"/>
      <c r="K71" s="1169">
        <f t="shared" si="3"/>
        <v>9.3119999999999994</v>
      </c>
      <c r="L71" s="1472"/>
      <c r="M71" s="1473"/>
      <c r="N71" s="1473"/>
    </row>
    <row r="72" spans="1:14">
      <c r="A72" s="1464" t="s">
        <v>298</v>
      </c>
      <c r="B72" s="1464"/>
      <c r="C72" s="2709">
        <v>-7.81</v>
      </c>
      <c r="D72"/>
      <c r="E72" s="2231">
        <v>0.438</v>
      </c>
      <c r="F72" s="1456"/>
      <c r="G72" s="2231">
        <v>0.52500000000000002</v>
      </c>
      <c r="H72" s="1456"/>
      <c r="I72" s="2231">
        <v>0</v>
      </c>
      <c r="J72" s="1464"/>
      <c r="K72" s="1169">
        <f t="shared" si="3"/>
        <v>-7.8970000000000002</v>
      </c>
      <c r="L72" s="1472"/>
      <c r="M72" s="1473"/>
      <c r="N72" s="1473"/>
    </row>
    <row r="73" spans="1:14">
      <c r="A73" s="1464" t="s">
        <v>299</v>
      </c>
      <c r="B73" s="1464"/>
      <c r="C73" s="2709">
        <v>0.126</v>
      </c>
      <c r="D73"/>
      <c r="E73" s="2231">
        <v>8.0000000000000002E-3</v>
      </c>
      <c r="F73" s="1456"/>
      <c r="G73" s="2231">
        <v>1.2E-2</v>
      </c>
      <c r="H73" s="1456"/>
      <c r="I73" s="2231">
        <v>0</v>
      </c>
      <c r="J73" s="1464"/>
      <c r="K73" s="1169">
        <f t="shared" si="3"/>
        <v>0.122</v>
      </c>
      <c r="L73" s="1472"/>
      <c r="M73" s="1473"/>
      <c r="N73" s="1473"/>
    </row>
    <row r="74" spans="1:14">
      <c r="A74" s="1464" t="s">
        <v>300</v>
      </c>
      <c r="B74" s="1464"/>
      <c r="C74" s="2760"/>
      <c r="D74"/>
      <c r="E74" s="2232"/>
      <c r="F74" s="1456"/>
      <c r="G74" s="2232"/>
      <c r="H74" s="1456"/>
      <c r="I74" s="2232"/>
      <c r="J74" s="1464"/>
      <c r="K74" s="1169"/>
      <c r="L74" s="1472"/>
      <c r="M74" s="1473"/>
      <c r="N74" s="1473"/>
    </row>
    <row r="75" spans="1:14">
      <c r="A75" s="1464" t="s">
        <v>301</v>
      </c>
      <c r="B75" s="1464"/>
      <c r="C75" s="2709">
        <v>-5.5949999999999998</v>
      </c>
      <c r="D75"/>
      <c r="E75" s="2231">
        <v>0</v>
      </c>
      <c r="F75" s="1456"/>
      <c r="G75" s="2231">
        <v>0.95899999999999996</v>
      </c>
      <c r="H75" s="1456"/>
      <c r="I75" s="2231">
        <v>0</v>
      </c>
      <c r="J75" s="1464"/>
      <c r="K75" s="1169">
        <f t="shared" si="3"/>
        <v>-6.5540000000000003</v>
      </c>
      <c r="L75" s="1472"/>
      <c r="M75" s="1473"/>
      <c r="N75" s="1473"/>
    </row>
    <row r="76" spans="1:14">
      <c r="A76" s="1464" t="s">
        <v>302</v>
      </c>
      <c r="B76" s="1464"/>
      <c r="C76" s="2709">
        <v>-42.392000000000003</v>
      </c>
      <c r="D76"/>
      <c r="E76" s="2231">
        <v>0</v>
      </c>
      <c r="F76" s="1456"/>
      <c r="G76" s="2231">
        <v>3.153</v>
      </c>
      <c r="H76" s="1456"/>
      <c r="I76" s="2231">
        <v>0</v>
      </c>
      <c r="J76" s="1464"/>
      <c r="K76" s="1169">
        <f t="shared" si="3"/>
        <v>-45.545000000000002</v>
      </c>
      <c r="L76" s="1169"/>
      <c r="M76" s="1473"/>
      <c r="N76" s="1473"/>
    </row>
    <row r="77" spans="1:14">
      <c r="A77" s="1464" t="s">
        <v>303</v>
      </c>
      <c r="B77" s="1464"/>
      <c r="C77" s="2709">
        <v>8.5380000000000003</v>
      </c>
      <c r="D77"/>
      <c r="E77" s="2231">
        <v>3.847</v>
      </c>
      <c r="F77" s="1456"/>
      <c r="G77" s="2231">
        <v>2.431</v>
      </c>
      <c r="H77" s="1456"/>
      <c r="I77" s="2231">
        <v>0</v>
      </c>
      <c r="J77" s="1464"/>
      <c r="K77" s="1169">
        <f t="shared" si="3"/>
        <v>9.9540000000000006</v>
      </c>
      <c r="L77" s="1472"/>
      <c r="M77" s="1473"/>
      <c r="N77" s="1473"/>
    </row>
    <row r="78" spans="1:14">
      <c r="A78" s="1464" t="s">
        <v>1201</v>
      </c>
      <c r="B78" s="1464"/>
      <c r="C78" s="2709">
        <v>130.53800000000001</v>
      </c>
      <c r="D78"/>
      <c r="E78" s="2231">
        <v>20.234999999999999</v>
      </c>
      <c r="F78" s="1456"/>
      <c r="G78" s="2231">
        <v>5.6120000000000001</v>
      </c>
      <c r="H78" s="1456"/>
      <c r="I78" s="2231">
        <v>0</v>
      </c>
      <c r="J78" s="1464"/>
      <c r="K78" s="1169">
        <f t="shared" si="3"/>
        <v>145.161</v>
      </c>
      <c r="L78" s="1472"/>
      <c r="M78" s="1473"/>
      <c r="N78" s="1473"/>
    </row>
    <row r="79" spans="1:14">
      <c r="A79" s="1464" t="s">
        <v>304</v>
      </c>
      <c r="B79" s="1464"/>
      <c r="C79" s="2709">
        <v>2.4E-2</v>
      </c>
      <c r="D79"/>
      <c r="E79" s="2231">
        <v>2.4E-2</v>
      </c>
      <c r="F79" s="1456"/>
      <c r="G79" s="2231">
        <v>0</v>
      </c>
      <c r="H79" s="1456"/>
      <c r="I79" s="2231">
        <v>0</v>
      </c>
      <c r="J79" s="1464"/>
      <c r="K79" s="1169">
        <f t="shared" si="3"/>
        <v>4.8000000000000001E-2</v>
      </c>
      <c r="L79" s="1169"/>
      <c r="M79" s="1473"/>
      <c r="N79" s="1473"/>
    </row>
    <row r="80" spans="1:14">
      <c r="A80" s="1474" t="s">
        <v>305</v>
      </c>
      <c r="B80" s="1464"/>
      <c r="C80" s="2709">
        <v>156.27699999999999</v>
      </c>
      <c r="D80"/>
      <c r="E80" s="2231">
        <v>12.62</v>
      </c>
      <c r="F80" s="1456"/>
      <c r="G80" s="2231">
        <v>17.021000000000001</v>
      </c>
      <c r="H80" s="1456"/>
      <c r="I80" s="2231">
        <v>30.135000000000002</v>
      </c>
      <c r="J80" s="1464"/>
      <c r="K80" s="1169">
        <f t="shared" si="3"/>
        <v>182.011</v>
      </c>
      <c r="L80" s="1472"/>
      <c r="M80" s="1473"/>
      <c r="N80" s="1473"/>
    </row>
    <row r="81" spans="1:15">
      <c r="A81" s="1464" t="s">
        <v>306</v>
      </c>
      <c r="B81" s="1464"/>
      <c r="C81" s="2709">
        <v>16.399000000000001</v>
      </c>
      <c r="D81"/>
      <c r="E81" s="2231">
        <v>1.3939999999999999</v>
      </c>
      <c r="F81" s="1456"/>
      <c r="G81" s="2231">
        <v>0.245</v>
      </c>
      <c r="H81" s="1456"/>
      <c r="I81" s="2231">
        <v>0</v>
      </c>
      <c r="J81" s="1464"/>
      <c r="K81" s="1169">
        <f t="shared" si="3"/>
        <v>17.547999999999998</v>
      </c>
      <c r="L81" s="1472"/>
      <c r="M81" s="1473"/>
      <c r="N81" s="1473"/>
    </row>
    <row r="82" spans="1:15">
      <c r="A82" s="1474" t="s">
        <v>307</v>
      </c>
      <c r="B82" s="1464"/>
      <c r="C82" s="2709">
        <v>185.24299999999999</v>
      </c>
      <c r="D82" s="1195"/>
      <c r="E82" s="2231">
        <v>136.10300000000001</v>
      </c>
      <c r="F82" s="1456"/>
      <c r="G82" s="2231">
        <v>222.334</v>
      </c>
      <c r="H82" s="1456"/>
      <c r="I82" s="2231">
        <v>2.2170000000000001</v>
      </c>
      <c r="J82" s="1464"/>
      <c r="K82" s="1169">
        <f t="shared" si="3"/>
        <v>101.229</v>
      </c>
      <c r="L82" s="1169"/>
      <c r="M82" s="1473"/>
      <c r="N82" s="1473"/>
    </row>
    <row r="83" spans="1:15">
      <c r="A83" s="1474" t="s">
        <v>1506</v>
      </c>
      <c r="B83" s="1464"/>
      <c r="C83" s="2709">
        <v>-4.5750000000000002</v>
      </c>
      <c r="D83"/>
      <c r="E83" s="2231">
        <v>0</v>
      </c>
      <c r="F83" s="1456"/>
      <c r="G83" s="2231">
        <v>0.254</v>
      </c>
      <c r="H83" s="1456"/>
      <c r="I83" s="2231">
        <v>0</v>
      </c>
      <c r="J83" s="1464"/>
      <c r="K83" s="1169">
        <f t="shared" si="3"/>
        <v>-4.8289999999999997</v>
      </c>
      <c r="L83" s="1169"/>
      <c r="M83" s="1473"/>
      <c r="N83" s="1473"/>
    </row>
    <row r="84" spans="1:15">
      <c r="A84" s="1474" t="s">
        <v>1514</v>
      </c>
      <c r="B84" s="1464"/>
      <c r="C84" s="2709">
        <v>7.0170000000000003</v>
      </c>
      <c r="D84"/>
      <c r="E84" s="2231">
        <v>0</v>
      </c>
      <c r="F84" s="1456"/>
      <c r="G84" s="2231">
        <v>0.31</v>
      </c>
      <c r="H84" s="1456"/>
      <c r="I84" s="2231">
        <v>0</v>
      </c>
      <c r="J84" s="1464"/>
      <c r="K84" s="1169">
        <f t="shared" si="3"/>
        <v>6.7069999999999999</v>
      </c>
      <c r="L84" s="1169"/>
      <c r="M84" s="1473"/>
      <c r="N84" s="1473"/>
    </row>
    <row r="85" spans="1:15">
      <c r="A85" s="1456" t="s">
        <v>1133</v>
      </c>
      <c r="B85" s="1464"/>
      <c r="C85" s="2709">
        <v>53.543999999999997</v>
      </c>
      <c r="D85"/>
      <c r="E85" s="2231">
        <v>111.907</v>
      </c>
      <c r="F85" s="1456"/>
      <c r="G85" s="2231">
        <v>0</v>
      </c>
      <c r="H85" s="1456"/>
      <c r="I85" s="2231">
        <v>-37.558999999999997</v>
      </c>
      <c r="J85" s="1464"/>
      <c r="K85" s="1169">
        <f>ROUND(SUM(C85)+SUM(E85)-SUM(G85)+SUM(I85),3)</f>
        <v>127.892</v>
      </c>
      <c r="L85" s="1169"/>
      <c r="M85" s="1473"/>
      <c r="N85" s="1473"/>
    </row>
    <row r="86" spans="1:15">
      <c r="A86" s="802" t="s">
        <v>308</v>
      </c>
      <c r="B86" s="1464"/>
      <c r="C86" s="820">
        <f>ROUND(SUM(C27:C85),3)</f>
        <v>3794.2260000000001</v>
      </c>
      <c r="D86" s="797"/>
      <c r="E86" s="820">
        <f>ROUND(SUM(E27:E85),3)</f>
        <v>2196.2739999999999</v>
      </c>
      <c r="F86" s="818"/>
      <c r="G86" s="820">
        <f>ROUND(SUM(G27:G85),3)</f>
        <v>3462.123</v>
      </c>
      <c r="H86" s="797"/>
      <c r="I86" s="820">
        <f>ROUND(SUM(I27:I85),3)</f>
        <v>480.61700000000002</v>
      </c>
      <c r="J86" s="797"/>
      <c r="K86" s="826">
        <f>ROUND(SUM(K27:K85),3)</f>
        <v>3008.9940000000001</v>
      </c>
      <c r="L86" s="803"/>
      <c r="M86" s="823"/>
      <c r="N86" s="1473"/>
      <c r="O86" s="1483"/>
    </row>
    <row r="87" spans="1:15" ht="11.25" customHeight="1">
      <c r="A87" s="1464"/>
      <c r="B87" s="1464"/>
      <c r="C87" s="1465"/>
      <c r="D87" s="1464"/>
      <c r="E87" s="1477"/>
      <c r="F87" s="1464"/>
      <c r="G87" s="1465"/>
      <c r="H87" s="1464"/>
      <c r="I87" s="1465"/>
      <c r="J87" s="1464"/>
      <c r="K87" s="1477"/>
      <c r="L87" s="1465"/>
      <c r="M87" s="1473"/>
      <c r="N87" s="1473"/>
    </row>
    <row r="88" spans="1:15">
      <c r="A88" s="809" t="s">
        <v>309</v>
      </c>
      <c r="B88" s="1464"/>
      <c r="C88" s="1464"/>
      <c r="D88" s="1464"/>
      <c r="E88" s="1468"/>
      <c r="F88" s="1464"/>
      <c r="G88" s="1468"/>
      <c r="H88" s="1464"/>
      <c r="I88" s="1468"/>
      <c r="J88" s="1464"/>
      <c r="K88" s="1468"/>
      <c r="L88" s="1464"/>
      <c r="M88" s="1473"/>
      <c r="N88" s="1473"/>
    </row>
    <row r="89" spans="1:15">
      <c r="A89" s="1464" t="s">
        <v>1202</v>
      </c>
      <c r="B89" s="1464"/>
      <c r="C89" s="1472">
        <v>4.7789999999999999</v>
      </c>
      <c r="D89" s="1464"/>
      <c r="E89" s="2231">
        <v>203.82300000000001</v>
      </c>
      <c r="F89" s="1456"/>
      <c r="G89" s="2231">
        <v>242.30099999999999</v>
      </c>
      <c r="H89" s="1456"/>
      <c r="I89" s="2231">
        <v>-0.86899999999999999</v>
      </c>
      <c r="J89" s="1464"/>
      <c r="K89" s="1169">
        <f>ROUND(SUM(C89)+SUM(E89)-SUM(G89)+SUM(I89),3)</f>
        <v>-34.567999999999998</v>
      </c>
      <c r="L89" s="1472"/>
      <c r="M89" s="1473"/>
      <c r="N89" s="1473"/>
    </row>
    <row r="90" spans="1:15">
      <c r="A90" s="1464" t="s">
        <v>310</v>
      </c>
      <c r="B90" s="1464"/>
      <c r="C90" s="1472">
        <v>307.75299999999999</v>
      </c>
      <c r="D90" s="1464"/>
      <c r="E90" s="2231">
        <v>4327.07</v>
      </c>
      <c r="F90" s="1456"/>
      <c r="G90" s="2231">
        <v>3452.8710000000001</v>
      </c>
      <c r="H90" s="1456"/>
      <c r="I90" s="2231">
        <v>-320.25900000000001</v>
      </c>
      <c r="J90" s="1464"/>
      <c r="K90" s="1169">
        <f t="shared" ref="K90:K95" si="4">ROUND(SUM(C90)+SUM(E90)-SUM(G90)+SUM(I90),3)</f>
        <v>861.69299999999998</v>
      </c>
      <c r="L90" s="1472"/>
      <c r="M90" s="1473"/>
      <c r="N90" s="1473"/>
    </row>
    <row r="91" spans="1:15">
      <c r="A91" s="1464" t="s">
        <v>311</v>
      </c>
      <c r="B91" s="815"/>
      <c r="C91" s="1472">
        <v>-34.959000000000003</v>
      </c>
      <c r="D91" s="1464"/>
      <c r="E91" s="2231">
        <v>238.48699999999999</v>
      </c>
      <c r="F91" s="1456"/>
      <c r="G91" s="2231">
        <v>207.53800000000001</v>
      </c>
      <c r="H91" s="1456"/>
      <c r="I91" s="2231">
        <v>-8.9999999999999993E-3</v>
      </c>
      <c r="J91" s="1464"/>
      <c r="K91" s="1169">
        <f t="shared" si="4"/>
        <v>-4.0190000000000001</v>
      </c>
      <c r="L91" s="1169"/>
      <c r="M91" s="1473"/>
      <c r="N91" s="1473"/>
    </row>
    <row r="92" spans="1:15">
      <c r="A92" s="1464" t="s">
        <v>312</v>
      </c>
      <c r="B92" s="1464"/>
      <c r="C92" s="1472">
        <v>-171.25299999999999</v>
      </c>
      <c r="D92" s="1464"/>
      <c r="E92" s="2231">
        <v>407.57499999999999</v>
      </c>
      <c r="F92" s="1456"/>
      <c r="G92" s="2231">
        <v>388.04899999999998</v>
      </c>
      <c r="H92" s="1456"/>
      <c r="I92" s="2231">
        <v>0</v>
      </c>
      <c r="J92" s="1464"/>
      <c r="K92" s="1169">
        <f t="shared" si="4"/>
        <v>-151.727</v>
      </c>
      <c r="L92" s="1472"/>
      <c r="M92" s="1473"/>
      <c r="N92" s="1473"/>
    </row>
    <row r="93" spans="1:15">
      <c r="A93" s="1464" t="s">
        <v>313</v>
      </c>
      <c r="B93" s="1464"/>
      <c r="C93" s="1472">
        <v>84.022999999999996</v>
      </c>
      <c r="D93" s="1464"/>
      <c r="E93" s="2231">
        <v>14.041</v>
      </c>
      <c r="F93" s="1456"/>
      <c r="G93" s="2231">
        <v>44.734999999999999</v>
      </c>
      <c r="H93" s="1456"/>
      <c r="I93" s="2231">
        <v>0</v>
      </c>
      <c r="J93" s="1464"/>
      <c r="K93" s="1169">
        <f t="shared" si="4"/>
        <v>53.329000000000001</v>
      </c>
      <c r="L93" s="1169"/>
      <c r="M93" s="1473"/>
      <c r="N93" s="1473"/>
    </row>
    <row r="94" spans="1:15">
      <c r="A94" s="1468" t="s">
        <v>314</v>
      </c>
      <c r="B94" s="1464"/>
      <c r="C94" s="1471">
        <v>1.595</v>
      </c>
      <c r="D94" s="1464"/>
      <c r="E94" s="2231">
        <v>0.75</v>
      </c>
      <c r="F94" s="1456"/>
      <c r="G94" s="2231">
        <v>0.71299999999999997</v>
      </c>
      <c r="H94" s="1456"/>
      <c r="I94" s="2231">
        <v>0</v>
      </c>
      <c r="J94" s="1468"/>
      <c r="K94" s="1169">
        <f t="shared" si="4"/>
        <v>1.6319999999999999</v>
      </c>
      <c r="L94" s="1472"/>
      <c r="M94" s="1473"/>
      <c r="N94" s="1473"/>
    </row>
    <row r="95" spans="1:15">
      <c r="A95" s="1474" t="s">
        <v>315</v>
      </c>
      <c r="B95" s="1464"/>
      <c r="C95" s="1471">
        <v>-1.2450000000000001</v>
      </c>
      <c r="D95" s="1464"/>
      <c r="E95" s="2231">
        <v>13.863</v>
      </c>
      <c r="F95" s="1456"/>
      <c r="G95" s="2231">
        <v>13.163</v>
      </c>
      <c r="H95" s="1456"/>
      <c r="I95" s="2231">
        <v>0</v>
      </c>
      <c r="J95" s="1464"/>
      <c r="K95" s="1169">
        <f t="shared" si="4"/>
        <v>-0.54500000000000004</v>
      </c>
      <c r="L95" s="1169"/>
      <c r="M95" s="1473"/>
      <c r="N95" s="1473"/>
    </row>
    <row r="96" spans="1:15">
      <c r="A96" s="802" t="s">
        <v>316</v>
      </c>
      <c r="B96" s="1464"/>
      <c r="C96" s="820">
        <f>ROUND(SUM(C89:C95),3)</f>
        <v>190.69300000000001</v>
      </c>
      <c r="D96" s="797"/>
      <c r="E96" s="826">
        <f>ROUND(SUM(E89:E95),3)</f>
        <v>5205.6090000000004</v>
      </c>
      <c r="F96" s="797"/>
      <c r="G96" s="826">
        <f>ROUND(SUM(G89:G95),3)</f>
        <v>4349.37</v>
      </c>
      <c r="H96" s="818"/>
      <c r="I96" s="826">
        <f>ROUND(SUM(I89:I95),3)</f>
        <v>-321.137</v>
      </c>
      <c r="J96" s="797"/>
      <c r="K96" s="820">
        <f>ROUND(SUM(K89:K95),3)</f>
        <v>725.79499999999996</v>
      </c>
      <c r="L96" s="803"/>
      <c r="M96" s="1473"/>
      <c r="N96" s="1473"/>
    </row>
    <row r="97" spans="1:15" ht="12" customHeight="1">
      <c r="A97" s="797"/>
      <c r="B97" s="1464"/>
      <c r="C97" s="1465"/>
      <c r="D97" s="1464"/>
      <c r="E97" s="1465"/>
      <c r="F97" s="1464"/>
      <c r="G97" s="1465"/>
      <c r="H97" s="1464"/>
      <c r="I97" s="1465"/>
      <c r="J97" s="1464"/>
      <c r="K97" s="1465"/>
      <c r="L97" s="1465"/>
      <c r="M97" s="1473"/>
      <c r="N97" s="1473"/>
    </row>
    <row r="98" spans="1:15">
      <c r="A98" s="821" t="s">
        <v>317</v>
      </c>
      <c r="B98" s="1464"/>
      <c r="C98" s="822">
        <f>C86+C96</f>
        <v>3984.9190000000003</v>
      </c>
      <c r="D98" s="797"/>
      <c r="E98" s="822">
        <f>E86+E96</f>
        <v>7401.8829999999998</v>
      </c>
      <c r="F98" s="797"/>
      <c r="G98" s="822">
        <f>G86+G96</f>
        <v>7811.4930000000004</v>
      </c>
      <c r="H98" s="797"/>
      <c r="I98" s="822">
        <f>I86+I96</f>
        <v>159.48000000000002</v>
      </c>
      <c r="J98" s="797"/>
      <c r="K98" s="822">
        <f>K86+K96</f>
        <v>3734.7890000000002</v>
      </c>
      <c r="L98" s="803"/>
      <c r="M98" s="823"/>
      <c r="N98" s="823"/>
      <c r="O98" s="1473"/>
    </row>
    <row r="99" spans="1:15" ht="10.5" customHeight="1">
      <c r="A99" s="1484"/>
      <c r="B99" s="1464"/>
      <c r="C99" s="1465"/>
      <c r="D99" s="1464"/>
      <c r="E99" s="1477"/>
      <c r="F99" s="1468"/>
      <c r="G99" s="1477"/>
      <c r="H99" s="1468"/>
      <c r="I99" s="1477"/>
      <c r="J99" s="1468"/>
      <c r="K99" s="1477"/>
      <c r="L99" s="1477"/>
      <c r="M99" s="1473"/>
      <c r="N99" s="1473"/>
    </row>
    <row r="100" spans="1:15">
      <c r="A100" s="809" t="s">
        <v>191</v>
      </c>
      <c r="B100" s="1464"/>
      <c r="C100" s="1464"/>
      <c r="D100" s="1464"/>
      <c r="E100" s="1331"/>
      <c r="F100" s="1331"/>
      <c r="G100" s="1331"/>
      <c r="H100" s="1331"/>
      <c r="I100" s="1331"/>
      <c r="J100" s="815"/>
      <c r="K100" s="1331"/>
      <c r="L100" s="1464"/>
      <c r="M100" s="1473"/>
      <c r="N100" s="1473"/>
    </row>
    <row r="101" spans="1:15">
      <c r="A101" s="1464" t="s">
        <v>318</v>
      </c>
      <c r="B101" s="1464"/>
      <c r="C101" s="1485">
        <v>0</v>
      </c>
      <c r="D101" s="1464"/>
      <c r="E101" s="2236">
        <v>0</v>
      </c>
      <c r="F101" s="1456"/>
      <c r="G101" s="2236">
        <v>0</v>
      </c>
      <c r="H101" s="1456"/>
      <c r="I101" s="2236">
        <v>0</v>
      </c>
      <c r="J101" s="1464"/>
      <c r="K101" s="1471">
        <f>ROUND(SUM(C101)+SUM(E101)+SUM(I101)-SUM(G101),3)</f>
        <v>0</v>
      </c>
      <c r="L101" s="1471"/>
      <c r="M101" s="1473"/>
      <c r="N101" s="1473"/>
    </row>
    <row r="102" spans="1:15">
      <c r="A102" s="1468" t="s">
        <v>319</v>
      </c>
      <c r="B102" s="1468"/>
      <c r="C102" s="1471">
        <v>182.24799999999999</v>
      </c>
      <c r="D102" s="1462"/>
      <c r="E102" s="2231">
        <v>15.941000000000001</v>
      </c>
      <c r="F102" s="2229"/>
      <c r="G102" s="2231">
        <v>0</v>
      </c>
      <c r="H102" s="2229"/>
      <c r="I102" s="2239">
        <v>103.6</v>
      </c>
      <c r="J102" s="1468"/>
      <c r="K102" s="1471">
        <f t="shared" ref="K102:K107" si="5">ROUND(SUM(C102)+SUM(E102)+SUM(I102)-SUM(G102),3)</f>
        <v>301.78899999999999</v>
      </c>
      <c r="L102" s="1478"/>
      <c r="M102" s="1473"/>
      <c r="N102" s="1473"/>
    </row>
    <row r="103" spans="1:15">
      <c r="A103" s="1464" t="s">
        <v>320</v>
      </c>
      <c r="B103" s="1464"/>
      <c r="C103" s="1471">
        <v>470.65800000000002</v>
      </c>
      <c r="D103" s="1466"/>
      <c r="E103" s="2237">
        <v>1546.085</v>
      </c>
      <c r="F103" s="2229"/>
      <c r="G103" s="2237">
        <v>316.16800000000001</v>
      </c>
      <c r="H103" s="2229"/>
      <c r="I103" s="2237">
        <v>-1472.798</v>
      </c>
      <c r="J103" s="1468"/>
      <c r="K103" s="1479">
        <f>ROUND(SUM(C103)+SUM(E103)+SUM(I103)-SUM(G103),3)</f>
        <v>227.77699999999999</v>
      </c>
      <c r="L103" s="1478"/>
      <c r="M103" s="1473"/>
      <c r="N103" s="1473"/>
    </row>
    <row r="104" spans="1:15">
      <c r="A104" s="1464" t="s">
        <v>321</v>
      </c>
      <c r="B104" s="1464"/>
      <c r="C104" s="1471">
        <v>0</v>
      </c>
      <c r="D104" s="1466"/>
      <c r="E104" s="2237">
        <v>0.35699999999999998</v>
      </c>
      <c r="F104" s="2229"/>
      <c r="G104" s="2237">
        <v>0</v>
      </c>
      <c r="H104" s="2229"/>
      <c r="I104" s="2237">
        <v>-0.35699999999999998</v>
      </c>
      <c r="J104" s="1464"/>
      <c r="K104" s="1479">
        <f t="shared" si="5"/>
        <v>0</v>
      </c>
      <c r="L104" s="1471"/>
      <c r="M104" s="1473"/>
      <c r="N104" s="1473"/>
    </row>
    <row r="105" spans="1:15">
      <c r="A105" s="1464" t="s">
        <v>322</v>
      </c>
      <c r="B105" s="1464"/>
      <c r="C105" s="1169">
        <v>32.427</v>
      </c>
      <c r="D105" s="1466"/>
      <c r="E105" s="2239">
        <v>18.353999999999999</v>
      </c>
      <c r="F105" s="2228"/>
      <c r="G105" s="2231">
        <v>0</v>
      </c>
      <c r="H105" s="2228"/>
      <c r="I105" s="2237">
        <v>-15.398999999999999</v>
      </c>
      <c r="J105" s="1464"/>
      <c r="K105" s="1479">
        <f>ROUND(SUM(C105)+SUM(E105)+SUM(I105)-SUM(G105),3)</f>
        <v>35.381999999999998</v>
      </c>
      <c r="L105" s="1478"/>
      <c r="M105" s="1473"/>
      <c r="N105" s="1473"/>
    </row>
    <row r="106" spans="1:15">
      <c r="A106" s="1464" t="s">
        <v>323</v>
      </c>
      <c r="B106" s="1464"/>
      <c r="C106" s="1471">
        <v>22.664000000000001</v>
      </c>
      <c r="D106" s="1466"/>
      <c r="E106" s="2231">
        <v>84.272999999999996</v>
      </c>
      <c r="F106" s="2228"/>
      <c r="G106" s="2231">
        <v>0</v>
      </c>
      <c r="H106" s="2228"/>
      <c r="I106" s="2237">
        <v>-79.843999999999994</v>
      </c>
      <c r="J106" s="1464"/>
      <c r="K106" s="1479">
        <f>ROUND(SUM(C106)+SUM(E106)+SUM(I106)-SUM(G106),3)</f>
        <v>27.093</v>
      </c>
      <c r="L106" s="1478"/>
      <c r="M106" s="1473"/>
      <c r="N106" s="1473"/>
    </row>
    <row r="107" spans="1:15">
      <c r="A107" s="1474" t="s">
        <v>324</v>
      </c>
      <c r="B107" s="1468"/>
      <c r="C107" s="1471">
        <v>2.4780000000000002</v>
      </c>
      <c r="D107" s="1468"/>
      <c r="E107" s="2237">
        <v>297.178</v>
      </c>
      <c r="F107" s="2229"/>
      <c r="G107" s="2231">
        <v>0.86299999999999999</v>
      </c>
      <c r="H107" s="2229"/>
      <c r="I107" s="2237">
        <v>-297.56900000000002</v>
      </c>
      <c r="J107" s="1468"/>
      <c r="K107" s="1471">
        <f t="shared" si="5"/>
        <v>1.224</v>
      </c>
      <c r="L107" s="1478"/>
      <c r="M107" s="1473"/>
      <c r="N107" s="1473"/>
    </row>
    <row r="108" spans="1:15">
      <c r="A108" s="824" t="s">
        <v>325</v>
      </c>
      <c r="B108" s="1486"/>
      <c r="C108" s="820">
        <f>ROUND(SUM(C101:C107),3)</f>
        <v>710.47500000000002</v>
      </c>
      <c r="D108" s="1332"/>
      <c r="E108" s="820">
        <f>ROUND(SUM(E101:E107),3)</f>
        <v>1962.1880000000001</v>
      </c>
      <c r="F108" s="1332"/>
      <c r="G108" s="820">
        <f>ROUND(SUM(G101:G107),3)</f>
        <v>317.03100000000001</v>
      </c>
      <c r="H108" s="1332"/>
      <c r="I108" s="1333">
        <f>ROUND(SUM(I101:I107),3)</f>
        <v>-1762.367</v>
      </c>
      <c r="J108" s="1332"/>
      <c r="K108" s="1333">
        <f>ROUND(SUM(K101:K107),3)</f>
        <v>593.26499999999999</v>
      </c>
      <c r="L108" s="1334"/>
      <c r="M108" s="823"/>
      <c r="N108" s="1473"/>
    </row>
    <row r="109" spans="1:15">
      <c r="A109" s="1464"/>
      <c r="B109" s="1464"/>
      <c r="C109" s="1465"/>
      <c r="D109" s="1464"/>
      <c r="E109" s="1465"/>
      <c r="F109" s="1464"/>
      <c r="G109" s="1465"/>
      <c r="H109" s="1464"/>
      <c r="I109" s="1465"/>
      <c r="J109" s="1464"/>
      <c r="K109" s="1465" t="s">
        <v>16</v>
      </c>
      <c r="L109" s="1465"/>
      <c r="M109" s="1473"/>
      <c r="N109" s="1473"/>
    </row>
    <row r="110" spans="1:15">
      <c r="A110" s="797"/>
      <c r="B110" s="798"/>
      <c r="C110" s="798"/>
      <c r="D110" s="798"/>
      <c r="E110" s="798"/>
      <c r="F110" s="798"/>
      <c r="G110" s="798"/>
      <c r="H110" s="798"/>
      <c r="I110" s="798"/>
      <c r="J110" s="798"/>
      <c r="K110" s="798"/>
      <c r="L110" s="798"/>
    </row>
    <row r="111" spans="1:15">
      <c r="A111" s="825" t="s">
        <v>1167</v>
      </c>
      <c r="B111" s="1464"/>
      <c r="C111" s="1487"/>
      <c r="D111" s="1488"/>
      <c r="E111" s="1488"/>
      <c r="F111" s="1488"/>
      <c r="G111" s="1488"/>
      <c r="H111" s="1488"/>
      <c r="I111" s="1488"/>
      <c r="J111" s="1488"/>
      <c r="K111" s="1487"/>
      <c r="L111" s="1472"/>
      <c r="M111" s="1473"/>
      <c r="N111" s="1473"/>
    </row>
    <row r="112" spans="1:15" s="1488" customFormat="1">
      <c r="A112" s="1468" t="s">
        <v>326</v>
      </c>
      <c r="B112" s="1462"/>
      <c r="C112" s="3332">
        <v>0</v>
      </c>
      <c r="D112" s="3331"/>
      <c r="E112" s="2238">
        <v>522.82399999999996</v>
      </c>
      <c r="F112" s="2229">
        <v>0</v>
      </c>
      <c r="G112" s="2238">
        <v>433.90100000000001</v>
      </c>
      <c r="H112" s="2229">
        <v>0</v>
      </c>
      <c r="I112" s="2238">
        <v>-88.923000000000002</v>
      </c>
      <c r="J112" s="1462"/>
      <c r="K112" s="1479">
        <f>ROUND(SUM(C112)+SUM(E112)-SUM(G112)+SUM(I112),3)</f>
        <v>0</v>
      </c>
      <c r="L112" s="1479"/>
      <c r="M112" s="1487"/>
      <c r="N112" s="1487"/>
    </row>
    <row r="113" spans="1:14" s="1488" customFormat="1">
      <c r="A113" s="1468" t="s">
        <v>327</v>
      </c>
      <c r="B113" s="1476"/>
      <c r="C113" s="1462">
        <v>-217.91300000000001</v>
      </c>
      <c r="D113" s="3331"/>
      <c r="E113" s="2238">
        <v>184.92400000000001</v>
      </c>
      <c r="F113" s="2229">
        <v>0</v>
      </c>
      <c r="G113" s="2238">
        <v>257.27600000000001</v>
      </c>
      <c r="H113" s="2229">
        <v>0</v>
      </c>
      <c r="I113" s="2238">
        <v>-18.094000000000001</v>
      </c>
      <c r="J113" s="1468"/>
      <c r="K113" s="1479">
        <f t="shared" ref="K113:K127" si="6">ROUND(SUM(C113)+SUM(E113)-SUM(G113)+SUM(I113),3)</f>
        <v>-308.35899999999998</v>
      </c>
      <c r="L113" s="1169"/>
      <c r="M113" s="1487"/>
      <c r="N113" s="1487"/>
    </row>
    <row r="114" spans="1:14" s="1488" customFormat="1">
      <c r="A114" s="1468" t="s">
        <v>328</v>
      </c>
      <c r="B114" s="1468"/>
      <c r="C114" s="1462">
        <v>122.105</v>
      </c>
      <c r="D114" s="3331"/>
      <c r="E114" s="2238">
        <v>1.6E-2</v>
      </c>
      <c r="F114" s="2229">
        <v>0</v>
      </c>
      <c r="G114" s="2238">
        <v>1.9179999999999999</v>
      </c>
      <c r="H114" s="2229">
        <v>0</v>
      </c>
      <c r="I114" s="2238">
        <v>10.465999999999999</v>
      </c>
      <c r="J114" s="1468"/>
      <c r="K114" s="1479">
        <f>ROUND(SUM(C114)+SUM(E114)-SUM(G114)+SUM(I114),3)</f>
        <v>130.66900000000001</v>
      </c>
      <c r="L114" s="1169"/>
      <c r="M114" s="1487"/>
      <c r="N114" s="1487"/>
    </row>
    <row r="115" spans="1:14" s="1488" customFormat="1">
      <c r="A115" s="1468" t="s">
        <v>329</v>
      </c>
      <c r="B115" s="1468"/>
      <c r="C115" s="3332">
        <v>4.0170000000000003</v>
      </c>
      <c r="D115" s="3331"/>
      <c r="E115" s="2238">
        <v>1E-3</v>
      </c>
      <c r="F115" s="2229">
        <v>0</v>
      </c>
      <c r="G115" s="2238">
        <v>0</v>
      </c>
      <c r="H115" s="2229">
        <v>0</v>
      </c>
      <c r="I115" s="2239">
        <v>0</v>
      </c>
      <c r="J115" s="1468"/>
      <c r="K115" s="1479">
        <f t="shared" si="6"/>
        <v>4.0179999999999998</v>
      </c>
      <c r="L115" s="1169"/>
      <c r="M115" s="1487"/>
      <c r="N115" s="1487"/>
    </row>
    <row r="116" spans="1:14" s="1488" customFormat="1">
      <c r="A116" s="1468" t="s">
        <v>330</v>
      </c>
      <c r="B116" s="1468"/>
      <c r="C116" s="1462">
        <v>-46.054000000000002</v>
      </c>
      <c r="D116" s="3331"/>
      <c r="E116" s="2238">
        <v>9.86</v>
      </c>
      <c r="F116" s="2229">
        <v>0</v>
      </c>
      <c r="G116" s="2238">
        <v>13.917</v>
      </c>
      <c r="H116" s="2229">
        <v>0</v>
      </c>
      <c r="I116" s="2239">
        <v>0</v>
      </c>
      <c r="J116" s="1468"/>
      <c r="K116" s="1479">
        <f t="shared" si="6"/>
        <v>-50.110999999999997</v>
      </c>
      <c r="L116" s="1169"/>
      <c r="M116" s="1487"/>
      <c r="N116" s="1487"/>
    </row>
    <row r="117" spans="1:14" s="1488" customFormat="1">
      <c r="A117" s="1468" t="s">
        <v>331</v>
      </c>
      <c r="B117" s="1468"/>
      <c r="C117" s="3332">
        <v>1.4E-2</v>
      </c>
      <c r="D117" s="3331"/>
      <c r="E117" s="2239">
        <v>0</v>
      </c>
      <c r="F117" s="2229">
        <v>0</v>
      </c>
      <c r="G117" s="2239">
        <v>0</v>
      </c>
      <c r="H117" s="2229">
        <v>0</v>
      </c>
      <c r="I117" s="2239">
        <v>0</v>
      </c>
      <c r="J117" s="1468"/>
      <c r="K117" s="1479">
        <f t="shared" si="6"/>
        <v>1.4E-2</v>
      </c>
      <c r="L117" s="1169"/>
      <c r="M117" s="1487"/>
      <c r="N117" s="1487"/>
    </row>
    <row r="118" spans="1:14" s="1488" customFormat="1">
      <c r="A118" s="1468" t="s">
        <v>332</v>
      </c>
      <c r="B118" s="1468"/>
      <c r="C118" s="1462">
        <v>100.958</v>
      </c>
      <c r="D118" s="3331"/>
      <c r="E118" s="2238">
        <v>12.555</v>
      </c>
      <c r="F118" s="2229">
        <v>0</v>
      </c>
      <c r="G118" s="2238">
        <v>11.659000000000001</v>
      </c>
      <c r="H118" s="2229">
        <v>0</v>
      </c>
      <c r="I118" s="2239">
        <v>18</v>
      </c>
      <c r="J118" s="1468"/>
      <c r="K118" s="1479">
        <f t="shared" si="6"/>
        <v>119.854</v>
      </c>
      <c r="L118" s="1169"/>
      <c r="M118" s="1487"/>
      <c r="N118" s="1487"/>
    </row>
    <row r="119" spans="1:14" s="1488" customFormat="1">
      <c r="A119" s="1468" t="s">
        <v>333</v>
      </c>
      <c r="B119" s="1468"/>
      <c r="C119" s="3332">
        <v>0</v>
      </c>
      <c r="D119" s="3331"/>
      <c r="E119" s="2239">
        <v>0</v>
      </c>
      <c r="F119" s="2229">
        <v>0</v>
      </c>
      <c r="G119" s="2239">
        <v>0</v>
      </c>
      <c r="H119" s="2229">
        <v>0</v>
      </c>
      <c r="I119" s="2239">
        <v>0</v>
      </c>
      <c r="J119" s="1468"/>
      <c r="K119" s="1479">
        <f t="shared" si="6"/>
        <v>0</v>
      </c>
      <c r="L119" s="1169"/>
      <c r="M119" s="1487"/>
      <c r="N119" s="1487"/>
    </row>
    <row r="120" spans="1:14" s="1488" customFormat="1">
      <c r="A120" s="1468" t="s">
        <v>334</v>
      </c>
      <c r="B120" s="1468"/>
      <c r="C120" s="3332">
        <v>0.16400000000000001</v>
      </c>
      <c r="D120" s="3331"/>
      <c r="E120" s="2239">
        <v>0</v>
      </c>
      <c r="F120" s="2229">
        <v>0</v>
      </c>
      <c r="G120" s="2239">
        <v>0</v>
      </c>
      <c r="H120" s="2229">
        <v>0</v>
      </c>
      <c r="I120" s="2239">
        <v>0</v>
      </c>
      <c r="J120" s="1468"/>
      <c r="K120" s="1479">
        <f t="shared" si="6"/>
        <v>0.16400000000000001</v>
      </c>
      <c r="L120" s="1169"/>
      <c r="M120" s="1487"/>
      <c r="N120" s="1487"/>
    </row>
    <row r="121" spans="1:14" s="1488" customFormat="1">
      <c r="A121" s="1468" t="s">
        <v>1200</v>
      </c>
      <c r="B121" s="1468"/>
      <c r="C121" s="3332">
        <v>0</v>
      </c>
      <c r="D121" s="3331"/>
      <c r="E121" s="2239">
        <v>0</v>
      </c>
      <c r="F121" s="2229">
        <v>0</v>
      </c>
      <c r="G121" s="2239">
        <v>0</v>
      </c>
      <c r="H121" s="2229">
        <v>0</v>
      </c>
      <c r="I121" s="2239">
        <v>0</v>
      </c>
      <c r="J121" s="1468"/>
      <c r="K121" s="1479">
        <f t="shared" si="6"/>
        <v>0</v>
      </c>
      <c r="L121" s="1169"/>
      <c r="M121" s="1487"/>
      <c r="N121" s="1487"/>
    </row>
    <row r="122" spans="1:14" s="1488" customFormat="1">
      <c r="A122" s="1468" t="s">
        <v>335</v>
      </c>
      <c r="B122" s="1468"/>
      <c r="C122" s="1462">
        <v>0.66800000000000004</v>
      </c>
      <c r="D122" s="3331"/>
      <c r="E122" s="2239">
        <v>0</v>
      </c>
      <c r="F122" s="2229">
        <v>0</v>
      </c>
      <c r="G122" s="2239">
        <v>0</v>
      </c>
      <c r="H122" s="2229">
        <v>0</v>
      </c>
      <c r="I122" s="2239">
        <v>0</v>
      </c>
      <c r="J122" s="1468"/>
      <c r="K122" s="1479">
        <f t="shared" si="6"/>
        <v>0.66800000000000004</v>
      </c>
      <c r="L122" s="1169"/>
      <c r="M122" s="1487"/>
      <c r="N122" s="1487"/>
    </row>
    <row r="123" spans="1:14" s="1488" customFormat="1">
      <c r="A123" s="1468" t="s">
        <v>336</v>
      </c>
      <c r="B123" s="1468"/>
      <c r="C123" s="3332">
        <v>3.3279999999999998</v>
      </c>
      <c r="D123" s="3331"/>
      <c r="E123" s="2239">
        <v>0</v>
      </c>
      <c r="F123" s="2229">
        <v>0</v>
      </c>
      <c r="G123" s="2239">
        <v>0</v>
      </c>
      <c r="H123" s="2229">
        <v>0</v>
      </c>
      <c r="I123" s="2239">
        <v>0</v>
      </c>
      <c r="J123" s="1468"/>
      <c r="K123" s="1479">
        <f t="shared" si="6"/>
        <v>3.3279999999999998</v>
      </c>
      <c r="L123" s="1169"/>
      <c r="M123" s="1487"/>
      <c r="N123" s="1487"/>
    </row>
    <row r="124" spans="1:14" s="1488" customFormat="1">
      <c r="A124" s="1468" t="s">
        <v>337</v>
      </c>
      <c r="B124" s="1468"/>
      <c r="C124" s="3332">
        <v>1.4510000000000001</v>
      </c>
      <c r="D124" s="3331"/>
      <c r="E124" s="2239">
        <v>0</v>
      </c>
      <c r="F124" s="2229">
        <v>0</v>
      </c>
      <c r="G124" s="2239">
        <v>0</v>
      </c>
      <c r="H124" s="2229">
        <v>0</v>
      </c>
      <c r="I124" s="2238">
        <v>0</v>
      </c>
      <c r="J124" s="1468"/>
      <c r="K124" s="1479">
        <f t="shared" si="6"/>
        <v>1.4510000000000001</v>
      </c>
      <c r="L124" s="1169"/>
      <c r="M124" s="1487"/>
      <c r="N124" s="1487"/>
    </row>
    <row r="125" spans="1:14" s="1488" customFormat="1">
      <c r="A125" s="1468" t="s">
        <v>338</v>
      </c>
      <c r="B125" s="1468"/>
      <c r="C125" s="1462">
        <v>30.07</v>
      </c>
      <c r="D125" s="3331"/>
      <c r="E125" s="2239">
        <v>0</v>
      </c>
      <c r="F125" s="2229">
        <v>0</v>
      </c>
      <c r="G125" s="2239">
        <v>0</v>
      </c>
      <c r="H125" s="2229">
        <v>0</v>
      </c>
      <c r="I125" s="2238">
        <v>-1.411</v>
      </c>
      <c r="J125" s="1468"/>
      <c r="K125" s="1479">
        <f t="shared" si="6"/>
        <v>28.658999999999999</v>
      </c>
      <c r="L125" s="1169"/>
      <c r="M125" s="1487"/>
      <c r="N125" s="1487"/>
    </row>
    <row r="126" spans="1:14" s="1488" customFormat="1">
      <c r="A126" s="1468" t="s">
        <v>339</v>
      </c>
      <c r="B126" s="1468"/>
      <c r="C126" s="3332">
        <v>4.2549999999999999</v>
      </c>
      <c r="D126" s="3331"/>
      <c r="E126" s="2239">
        <v>0</v>
      </c>
      <c r="F126" s="2229">
        <v>0</v>
      </c>
      <c r="G126" s="2239">
        <v>0</v>
      </c>
      <c r="H126" s="2229">
        <v>0</v>
      </c>
      <c r="I126" s="2239">
        <v>0</v>
      </c>
      <c r="J126" s="1468"/>
      <c r="K126" s="1479">
        <f t="shared" si="6"/>
        <v>4.2549999999999999</v>
      </c>
      <c r="L126" s="1169"/>
      <c r="M126" s="1487"/>
      <c r="N126" s="1487"/>
    </row>
    <row r="127" spans="1:14" s="1488" customFormat="1">
      <c r="A127" s="1468" t="s">
        <v>340</v>
      </c>
      <c r="B127" s="1468"/>
      <c r="C127" s="3332">
        <v>5.5759999999999996</v>
      </c>
      <c r="D127" s="3331"/>
      <c r="E127" s="2239">
        <v>0</v>
      </c>
      <c r="F127" s="2229">
        <v>0</v>
      </c>
      <c r="G127" s="2239">
        <v>0</v>
      </c>
      <c r="H127" s="2229">
        <v>0</v>
      </c>
      <c r="I127" s="2238">
        <v>0</v>
      </c>
      <c r="J127" s="1468"/>
      <c r="K127" s="1479">
        <f t="shared" si="6"/>
        <v>5.5759999999999996</v>
      </c>
      <c r="L127" s="1169"/>
      <c r="M127" s="1487"/>
      <c r="N127" s="1487"/>
    </row>
    <row r="128" spans="1:14" s="1488" customFormat="1">
      <c r="A128" s="1468" t="s">
        <v>341</v>
      </c>
      <c r="B128" s="1468"/>
      <c r="C128" s="3332"/>
      <c r="D128" s="3331"/>
      <c r="E128" s="2237" t="s">
        <v>16</v>
      </c>
      <c r="F128" s="2229">
        <v>0</v>
      </c>
      <c r="G128" s="2237" t="s">
        <v>16</v>
      </c>
      <c r="H128" s="2229">
        <v>0</v>
      </c>
      <c r="I128" s="2237" t="s">
        <v>16</v>
      </c>
      <c r="J128" s="1468"/>
      <c r="K128" s="1479"/>
      <c r="L128" s="1169"/>
      <c r="M128" s="1487"/>
      <c r="N128" s="1487"/>
    </row>
    <row r="129" spans="1:14" s="1488" customFormat="1">
      <c r="A129" s="1468" t="s">
        <v>342</v>
      </c>
      <c r="B129" s="1468"/>
      <c r="C129" s="3332">
        <v>2.778</v>
      </c>
      <c r="D129" s="3331"/>
      <c r="E129" s="2239">
        <v>0</v>
      </c>
      <c r="F129" s="2229">
        <v>0</v>
      </c>
      <c r="G129" s="2239">
        <v>0</v>
      </c>
      <c r="H129" s="2229">
        <v>0</v>
      </c>
      <c r="I129" s="2239">
        <v>0</v>
      </c>
      <c r="J129" s="1468"/>
      <c r="K129" s="1479">
        <f>ROUND(SUM(C129)+SUM(E129)-SUM(G129)+SUM(I129),3)</f>
        <v>2.778</v>
      </c>
      <c r="L129" s="1169"/>
      <c r="M129" s="1487"/>
      <c r="N129" s="1487"/>
    </row>
    <row r="130" spans="1:14" s="1488" customFormat="1">
      <c r="A130" s="1468" t="s">
        <v>343</v>
      </c>
      <c r="B130" s="1468"/>
      <c r="C130" s="3332">
        <v>9.1549999999999994</v>
      </c>
      <c r="D130" s="3331"/>
      <c r="E130" s="2239">
        <v>0</v>
      </c>
      <c r="F130" s="2229">
        <v>0</v>
      </c>
      <c r="G130" s="2239">
        <v>0</v>
      </c>
      <c r="H130" s="2229">
        <v>0</v>
      </c>
      <c r="I130" s="2238">
        <v>-1.6E-2</v>
      </c>
      <c r="J130" s="1468"/>
      <c r="K130" s="1479">
        <f t="shared" ref="K130:K150" si="7">ROUND(SUM(C130)+SUM(E130)-SUM(G130)+SUM(I130),3)</f>
        <v>9.1389999999999993</v>
      </c>
      <c r="L130" s="1169"/>
      <c r="M130" s="1487"/>
      <c r="N130" s="1487"/>
    </row>
    <row r="131" spans="1:14" s="1488" customFormat="1">
      <c r="A131" s="1468" t="s">
        <v>1513</v>
      </c>
      <c r="B131" s="1468"/>
      <c r="C131" s="3332">
        <v>0</v>
      </c>
      <c r="D131" s="3331"/>
      <c r="E131" s="2239">
        <v>0</v>
      </c>
      <c r="F131" s="2229">
        <v>0</v>
      </c>
      <c r="G131" s="2239">
        <v>0</v>
      </c>
      <c r="H131" s="2229">
        <v>0</v>
      </c>
      <c r="I131" s="2239">
        <v>0</v>
      </c>
      <c r="J131" s="1468"/>
      <c r="K131" s="1479">
        <f t="shared" si="7"/>
        <v>0</v>
      </c>
      <c r="L131" s="1169"/>
      <c r="M131" s="1487"/>
      <c r="N131" s="1487"/>
    </row>
    <row r="132" spans="1:14" s="1488" customFormat="1">
      <c r="A132" s="1468" t="s">
        <v>1512</v>
      </c>
      <c r="B132" s="1468"/>
      <c r="C132" s="3332">
        <v>0</v>
      </c>
      <c r="D132" s="3331"/>
      <c r="E132" s="2239">
        <v>0</v>
      </c>
      <c r="F132" s="2229"/>
      <c r="G132" s="2239">
        <v>0</v>
      </c>
      <c r="H132" s="2229"/>
      <c r="I132" s="2239">
        <v>0</v>
      </c>
      <c r="J132" s="1468" t="s">
        <v>16</v>
      </c>
      <c r="K132" s="1169">
        <f t="shared" si="7"/>
        <v>0</v>
      </c>
      <c r="L132" s="1169"/>
      <c r="M132" s="1487"/>
      <c r="N132" s="1487"/>
    </row>
    <row r="133" spans="1:14" s="1488" customFormat="1">
      <c r="A133" s="1468" t="s">
        <v>344</v>
      </c>
      <c r="B133" s="1468"/>
      <c r="C133" s="3332">
        <v>0</v>
      </c>
      <c r="D133" s="3331"/>
      <c r="E133" s="2239">
        <v>0</v>
      </c>
      <c r="F133" s="2229">
        <v>0</v>
      </c>
      <c r="G133" s="2239">
        <v>0</v>
      </c>
      <c r="H133" s="2229">
        <v>0</v>
      </c>
      <c r="I133" s="2239">
        <v>0</v>
      </c>
      <c r="J133" s="1468"/>
      <c r="K133" s="1169">
        <f t="shared" si="7"/>
        <v>0</v>
      </c>
      <c r="L133" s="1169"/>
      <c r="M133" s="1487"/>
      <c r="N133" s="1487"/>
    </row>
    <row r="134" spans="1:14" s="1488" customFormat="1">
      <c r="A134" s="1468" t="s">
        <v>345</v>
      </c>
      <c r="B134" s="1468"/>
      <c r="C134" s="3332">
        <v>0</v>
      </c>
      <c r="D134" s="3331"/>
      <c r="E134" s="2239">
        <v>0</v>
      </c>
      <c r="F134" s="2229">
        <v>0</v>
      </c>
      <c r="G134" s="2239">
        <v>0</v>
      </c>
      <c r="H134" s="2229">
        <v>0</v>
      </c>
      <c r="I134" s="2239">
        <v>0</v>
      </c>
      <c r="J134" s="1468"/>
      <c r="K134" s="1169">
        <f t="shared" si="7"/>
        <v>0</v>
      </c>
      <c r="L134" s="1169"/>
      <c r="M134" s="1487"/>
      <c r="N134" s="1487"/>
    </row>
    <row r="135" spans="1:14" s="1488" customFormat="1">
      <c r="A135" s="1468" t="s">
        <v>346</v>
      </c>
      <c r="B135" s="1468"/>
      <c r="C135" s="1462">
        <v>-415.66199999999998</v>
      </c>
      <c r="D135" s="3331"/>
      <c r="E135" s="2238">
        <v>213.54900000000001</v>
      </c>
      <c r="F135" s="2229">
        <v>0</v>
      </c>
      <c r="G135" s="2238">
        <v>158.589</v>
      </c>
      <c r="H135" s="2229">
        <v>0</v>
      </c>
      <c r="I135" s="2238">
        <v>0</v>
      </c>
      <c r="J135" s="1468"/>
      <c r="K135" s="1479">
        <f t="shared" si="7"/>
        <v>-360.702</v>
      </c>
      <c r="L135" s="1169"/>
      <c r="M135" s="1487"/>
      <c r="N135" s="1487"/>
    </row>
    <row r="136" spans="1:14" s="1488" customFormat="1">
      <c r="A136" s="1468" t="s">
        <v>347</v>
      </c>
      <c r="B136" s="1468"/>
      <c r="C136" s="3332">
        <v>0.89900000000000002</v>
      </c>
      <c r="D136" s="3331"/>
      <c r="E136" s="2238">
        <v>0</v>
      </c>
      <c r="F136" s="2229">
        <v>0</v>
      </c>
      <c r="G136" s="2239">
        <v>0</v>
      </c>
      <c r="H136" s="2229">
        <v>0</v>
      </c>
      <c r="I136" s="2239">
        <v>0</v>
      </c>
      <c r="J136" s="1468"/>
      <c r="K136" s="1479">
        <f t="shared" si="7"/>
        <v>0.89900000000000002</v>
      </c>
      <c r="L136" s="1169"/>
      <c r="M136" s="1487"/>
      <c r="N136" s="1487"/>
    </row>
    <row r="137" spans="1:14" s="1488" customFormat="1">
      <c r="A137" s="1476" t="s">
        <v>348</v>
      </c>
      <c r="B137" s="1468"/>
      <c r="C137" s="1462">
        <v>-88.590999999999994</v>
      </c>
      <c r="D137" s="3331"/>
      <c r="E137" s="2238">
        <v>1.3759999999999999</v>
      </c>
      <c r="F137" s="2229">
        <v>0</v>
      </c>
      <c r="G137" s="2238">
        <v>9.4120000000000008</v>
      </c>
      <c r="H137" s="2229">
        <v>0</v>
      </c>
      <c r="I137" s="2238">
        <v>3.3079999999999998</v>
      </c>
      <c r="J137" s="1468"/>
      <c r="K137" s="1479">
        <f t="shared" si="7"/>
        <v>-93.319000000000003</v>
      </c>
      <c r="L137" s="1169"/>
      <c r="M137" s="1487"/>
      <c r="N137" s="1487"/>
    </row>
    <row r="138" spans="1:14" s="1488" customFormat="1">
      <c r="A138" s="1468" t="s">
        <v>349</v>
      </c>
      <c r="B138" s="1468"/>
      <c r="C138" s="3332">
        <v>0.50700000000000001</v>
      </c>
      <c r="D138" s="3331"/>
      <c r="E138" s="2239">
        <v>0</v>
      </c>
      <c r="F138" s="2229">
        <v>0</v>
      </c>
      <c r="G138" s="2239">
        <v>0</v>
      </c>
      <c r="H138" s="2229">
        <v>0</v>
      </c>
      <c r="I138" s="2239">
        <v>0</v>
      </c>
      <c r="J138" s="1468"/>
      <c r="K138" s="1479">
        <f t="shared" si="7"/>
        <v>0.50700000000000001</v>
      </c>
      <c r="L138" s="1169"/>
      <c r="M138" s="1487"/>
      <c r="N138" s="1487"/>
    </row>
    <row r="139" spans="1:14" s="1488" customFormat="1">
      <c r="A139" s="1468" t="s">
        <v>350</v>
      </c>
      <c r="B139" s="1468"/>
      <c r="C139" s="1462">
        <v>-15.24</v>
      </c>
      <c r="D139" s="3331"/>
      <c r="E139" s="2238">
        <v>0</v>
      </c>
      <c r="F139" s="2229">
        <v>0</v>
      </c>
      <c r="G139" s="2238">
        <v>2.2000000000000002</v>
      </c>
      <c r="H139" s="2229">
        <v>0</v>
      </c>
      <c r="I139" s="2239">
        <v>0</v>
      </c>
      <c r="J139" s="1468"/>
      <c r="K139" s="1479">
        <f t="shared" si="7"/>
        <v>-17.440000000000001</v>
      </c>
      <c r="L139" s="1169"/>
      <c r="M139" s="1487"/>
      <c r="N139" s="1487"/>
    </row>
    <row r="140" spans="1:14" s="1488" customFormat="1">
      <c r="A140" s="1468" t="s">
        <v>351</v>
      </c>
      <c r="B140" s="1468"/>
      <c r="C140" s="3332">
        <v>-15.058</v>
      </c>
      <c r="D140" s="3331"/>
      <c r="E140" s="2239">
        <v>4.242</v>
      </c>
      <c r="F140" s="2229">
        <v>0</v>
      </c>
      <c r="G140" s="2239">
        <v>0</v>
      </c>
      <c r="H140" s="2229">
        <v>0</v>
      </c>
      <c r="I140" s="2239">
        <v>0</v>
      </c>
      <c r="J140" s="1468"/>
      <c r="K140" s="1479">
        <f t="shared" si="7"/>
        <v>-10.816000000000001</v>
      </c>
      <c r="L140" s="1169"/>
      <c r="M140" s="1487"/>
      <c r="N140" s="1487"/>
    </row>
    <row r="141" spans="1:14" s="1488" customFormat="1">
      <c r="A141" s="1468" t="s">
        <v>352</v>
      </c>
      <c r="B141" s="1468"/>
      <c r="C141" s="1462">
        <v>-201.04900000000001</v>
      </c>
      <c r="D141" s="3331"/>
      <c r="E141" s="2239">
        <v>113.756</v>
      </c>
      <c r="F141" s="2229">
        <v>0</v>
      </c>
      <c r="G141" s="2238">
        <v>8.3000000000000004E-2</v>
      </c>
      <c r="H141" s="2229">
        <v>0</v>
      </c>
      <c r="I141" s="2238">
        <v>0</v>
      </c>
      <c r="J141" s="1468"/>
      <c r="K141" s="1479">
        <f t="shared" si="7"/>
        <v>-87.376000000000005</v>
      </c>
      <c r="L141" s="1169"/>
      <c r="M141" s="1487"/>
      <c r="N141" s="1487"/>
    </row>
    <row r="142" spans="1:14" s="1488" customFormat="1">
      <c r="A142" s="1468" t="s">
        <v>353</v>
      </c>
      <c r="B142" s="1468"/>
      <c r="C142" s="1479">
        <v>16.574000000000002</v>
      </c>
      <c r="D142" s="3331"/>
      <c r="E142" s="2238">
        <v>2.4E-2</v>
      </c>
      <c r="F142" s="2229"/>
      <c r="G142" s="2238">
        <v>0.22700000000000001</v>
      </c>
      <c r="H142" s="2229"/>
      <c r="I142" s="2239">
        <v>0</v>
      </c>
      <c r="J142" s="1468"/>
      <c r="K142" s="1479">
        <f t="shared" si="7"/>
        <v>16.370999999999999</v>
      </c>
      <c r="L142" s="1169"/>
      <c r="M142" s="1487"/>
      <c r="N142" s="1487"/>
    </row>
    <row r="143" spans="1:14" s="1488" customFormat="1">
      <c r="A143" s="1468" t="s">
        <v>1209</v>
      </c>
      <c r="B143" s="1468"/>
      <c r="C143" s="1462">
        <v>-12.747</v>
      </c>
      <c r="D143" s="3331"/>
      <c r="E143" s="2239">
        <v>0</v>
      </c>
      <c r="F143" s="2229">
        <v>0</v>
      </c>
      <c r="G143" s="2238">
        <v>8.0000000000000002E-3</v>
      </c>
      <c r="H143" s="2229">
        <v>0</v>
      </c>
      <c r="I143" s="2238">
        <v>0</v>
      </c>
      <c r="J143" s="1468"/>
      <c r="K143" s="1479">
        <f t="shared" si="7"/>
        <v>-12.755000000000001</v>
      </c>
      <c r="L143" s="1169"/>
      <c r="M143" s="1487"/>
      <c r="N143" s="1487"/>
    </row>
    <row r="144" spans="1:14" s="1488" customFormat="1">
      <c r="A144" s="1468" t="s">
        <v>354</v>
      </c>
      <c r="B144" s="1468"/>
      <c r="C144" s="1462">
        <v>43.790999999999997</v>
      </c>
      <c r="D144" s="3331"/>
      <c r="E144" s="2238">
        <v>1.615</v>
      </c>
      <c r="F144" s="2229">
        <v>0</v>
      </c>
      <c r="G144" s="2238">
        <v>1.627</v>
      </c>
      <c r="H144" s="2229">
        <v>0</v>
      </c>
      <c r="I144" s="2238">
        <v>0</v>
      </c>
      <c r="J144" s="1468"/>
      <c r="K144" s="1479">
        <f t="shared" si="7"/>
        <v>43.779000000000003</v>
      </c>
      <c r="L144" s="1169"/>
      <c r="M144" s="1487"/>
      <c r="N144" s="1487"/>
    </row>
    <row r="145" spans="1:15" s="1488" customFormat="1">
      <c r="A145" s="1468" t="s">
        <v>355</v>
      </c>
      <c r="B145" s="1468"/>
      <c r="C145" s="3332">
        <v>-2.3E-2</v>
      </c>
      <c r="D145" s="3331"/>
      <c r="E145" s="2239">
        <v>0</v>
      </c>
      <c r="F145" s="2229">
        <v>0</v>
      </c>
      <c r="G145" s="2239">
        <v>0</v>
      </c>
      <c r="H145" s="2229">
        <v>0</v>
      </c>
      <c r="I145" s="2239">
        <v>0</v>
      </c>
      <c r="J145" s="1468"/>
      <c r="K145" s="1479">
        <f t="shared" si="7"/>
        <v>-2.3E-2</v>
      </c>
      <c r="L145" s="1169"/>
      <c r="M145" s="1487"/>
      <c r="N145" s="1487"/>
    </row>
    <row r="146" spans="1:15" s="1488" customFormat="1">
      <c r="A146" s="1468" t="s">
        <v>356</v>
      </c>
      <c r="B146" s="1468"/>
      <c r="C146" s="1462">
        <v>-449.04300000000001</v>
      </c>
      <c r="D146" s="3331"/>
      <c r="E146" s="2238">
        <v>52.189</v>
      </c>
      <c r="F146" s="2229">
        <v>0</v>
      </c>
      <c r="G146" s="2238">
        <v>13.241</v>
      </c>
      <c r="H146" s="2229">
        <v>0</v>
      </c>
      <c r="I146" s="2239">
        <v>0</v>
      </c>
      <c r="J146" s="1468"/>
      <c r="K146" s="1479">
        <f t="shared" si="7"/>
        <v>-410.09500000000003</v>
      </c>
      <c r="L146" s="1169"/>
      <c r="M146" s="1487"/>
      <c r="N146" s="1487"/>
    </row>
    <row r="147" spans="1:15" s="1488" customFormat="1">
      <c r="A147" s="1468" t="s">
        <v>357</v>
      </c>
      <c r="B147" s="1468"/>
      <c r="C147" s="1461">
        <v>-89.11</v>
      </c>
      <c r="D147" s="3331"/>
      <c r="E147" s="2238">
        <v>0</v>
      </c>
      <c r="F147" s="2229">
        <v>0</v>
      </c>
      <c r="G147" s="2238">
        <v>20.827999999999999</v>
      </c>
      <c r="H147" s="2229">
        <v>0</v>
      </c>
      <c r="I147" s="2239">
        <v>0</v>
      </c>
      <c r="J147" s="1468"/>
      <c r="K147" s="1479">
        <f t="shared" si="7"/>
        <v>-109.938</v>
      </c>
      <c r="L147" s="1169"/>
      <c r="M147" s="1487"/>
      <c r="N147" s="1487"/>
    </row>
    <row r="148" spans="1:15" s="1488" customFormat="1">
      <c r="A148" s="1468" t="s">
        <v>358</v>
      </c>
      <c r="B148" s="1468"/>
      <c r="C148" s="1462">
        <v>148.35300000000001</v>
      </c>
      <c r="D148" s="3331"/>
      <c r="E148" s="2238">
        <v>1.7999999999999999E-2</v>
      </c>
      <c r="F148" s="2229">
        <v>0</v>
      </c>
      <c r="G148" s="2238">
        <v>11.39</v>
      </c>
      <c r="H148" s="2229">
        <v>0</v>
      </c>
      <c r="I148" s="2238">
        <v>5.819</v>
      </c>
      <c r="J148" s="1468"/>
      <c r="K148" s="1479">
        <f t="shared" si="7"/>
        <v>142.80000000000001</v>
      </c>
      <c r="L148" s="1169"/>
      <c r="M148" s="1487"/>
      <c r="N148" s="1487"/>
    </row>
    <row r="149" spans="1:15" s="1488" customFormat="1">
      <c r="A149" s="1468" t="s">
        <v>359</v>
      </c>
      <c r="B149" s="1468"/>
      <c r="C149" s="3332">
        <v>-48.600999999999999</v>
      </c>
      <c r="D149" s="3331"/>
      <c r="E149" s="2239">
        <v>0</v>
      </c>
      <c r="F149" s="2229"/>
      <c r="G149" s="2239">
        <v>0.27800000000000002</v>
      </c>
      <c r="H149" s="2229"/>
      <c r="I149" s="2239">
        <v>0</v>
      </c>
      <c r="J149" s="1468"/>
      <c r="K149" s="1479">
        <f t="shared" si="7"/>
        <v>-48.878999999999998</v>
      </c>
      <c r="L149" s="1169"/>
      <c r="M149" s="1487"/>
      <c r="N149" s="1487"/>
    </row>
    <row r="150" spans="1:15" s="1488" customFormat="1">
      <c r="A150" s="1468" t="s">
        <v>1569</v>
      </c>
      <c r="B150" s="1468"/>
      <c r="C150" s="3332">
        <v>187.352</v>
      </c>
      <c r="D150" s="3331"/>
      <c r="E150" s="2239">
        <v>0</v>
      </c>
      <c r="F150" s="2229"/>
      <c r="G150" s="2239">
        <v>101.617</v>
      </c>
      <c r="H150" s="2229"/>
      <c r="I150" s="2238">
        <v>60</v>
      </c>
      <c r="J150" s="1468"/>
      <c r="K150" s="1479">
        <f t="shared" si="7"/>
        <v>145.73500000000001</v>
      </c>
      <c r="L150" s="1169"/>
      <c r="M150" s="1487"/>
      <c r="N150" s="1487"/>
    </row>
    <row r="151" spans="1:15">
      <c r="A151" s="818" t="s">
        <v>360</v>
      </c>
      <c r="B151" s="1468"/>
      <c r="C151" s="826">
        <f>ROUND(SUM(C112:C150),3)</f>
        <v>-917.07600000000002</v>
      </c>
      <c r="D151" s="818"/>
      <c r="E151" s="826">
        <f>ROUND(SUM(E112:E150),3)</f>
        <v>1116.9490000000001</v>
      </c>
      <c r="F151" s="818"/>
      <c r="G151" s="826">
        <f>ROUND(SUM(G112:G150),3)</f>
        <v>1038.171</v>
      </c>
      <c r="H151" s="818"/>
      <c r="I151" s="826">
        <f>ROUND(SUM(I112:I150),3)</f>
        <v>-10.851000000000001</v>
      </c>
      <c r="J151" s="818"/>
      <c r="K151" s="826">
        <f>ROUND(SUM(K113:K150),3)</f>
        <v>-849.149</v>
      </c>
      <c r="L151" s="827"/>
      <c r="M151" s="823"/>
      <c r="N151" s="823"/>
      <c r="O151" s="819"/>
    </row>
    <row r="152" spans="1:15">
      <c r="A152" s="818"/>
      <c r="B152" s="1468"/>
      <c r="C152" s="1477"/>
      <c r="D152" s="1468"/>
      <c r="E152" s="1489"/>
      <c r="F152" s="1490"/>
      <c r="G152" s="1489"/>
      <c r="H152" s="1490"/>
      <c r="I152" s="1489"/>
      <c r="J152" s="1468"/>
      <c r="K152" s="1477"/>
      <c r="L152" s="1477"/>
    </row>
    <row r="153" spans="1:15" ht="16.2" thickBot="1">
      <c r="A153" s="818" t="s">
        <v>361</v>
      </c>
      <c r="B153" s="828"/>
      <c r="C153" s="829">
        <f>ROUND(SUM(C23+C98+C108+C151),3)</f>
        <v>14090.118</v>
      </c>
      <c r="D153" s="828"/>
      <c r="E153" s="829">
        <f>ROUND(SUM(E23+E98+E108+E151),3)</f>
        <v>16162.978999999999</v>
      </c>
      <c r="F153" s="830"/>
      <c r="G153" s="829">
        <f>ROUND(SUM(G23+G98+G108+G151),3)</f>
        <v>14028.403</v>
      </c>
      <c r="H153" s="830"/>
      <c r="I153" s="829">
        <f>ROUND(SUM(I23+I98+I108+I151),3)</f>
        <v>-4.6639999999999997</v>
      </c>
      <c r="J153" s="828"/>
      <c r="K153" s="829">
        <f>ROUND(SUM(K23+K98+K108+K151),3)</f>
        <v>16220.03</v>
      </c>
      <c r="L153" s="831"/>
    </row>
    <row r="154" spans="1:15" ht="16.2" thickTop="1">
      <c r="A154" s="1468"/>
      <c r="B154" s="1468"/>
      <c r="C154" s="1477" t="s">
        <v>16</v>
      </c>
      <c r="D154" s="1468"/>
      <c r="E154" s="1477"/>
      <c r="F154" s="1468"/>
      <c r="G154" s="1477"/>
      <c r="H154" s="1468"/>
      <c r="I154" s="1477"/>
      <c r="J154" s="1468"/>
      <c r="K154" s="1477" t="s">
        <v>16</v>
      </c>
      <c r="L154" s="1477"/>
    </row>
    <row r="155" spans="1:15">
      <c r="A155" s="1468"/>
      <c r="B155" s="1468"/>
      <c r="C155" s="1468"/>
      <c r="D155" s="1468"/>
      <c r="E155" s="1468"/>
      <c r="F155" s="1468"/>
      <c r="G155" s="1468"/>
      <c r="H155" s="1468"/>
      <c r="I155" s="1468"/>
      <c r="J155" s="1468"/>
      <c r="K155" s="1468"/>
      <c r="L155" s="1468"/>
    </row>
    <row r="156" spans="1:15">
      <c r="A156" s="817"/>
      <c r="B156" s="1468"/>
      <c r="C156" s="1468"/>
      <c r="D156" s="1468"/>
      <c r="E156" s="1468"/>
      <c r="F156" s="1468"/>
      <c r="G156" s="1468"/>
      <c r="H156" s="1468"/>
      <c r="I156" s="1490"/>
      <c r="J156" s="1468"/>
      <c r="K156" s="3348"/>
      <c r="L156" s="1468"/>
    </row>
    <row r="157" spans="1:15">
      <c r="A157" s="1468" t="s">
        <v>16</v>
      </c>
      <c r="B157" s="1468"/>
      <c r="C157" s="1468"/>
      <c r="D157" s="1468"/>
      <c r="E157" s="1468"/>
      <c r="F157" s="1468"/>
      <c r="G157" s="1468"/>
      <c r="H157" s="1468"/>
      <c r="I157" s="1468"/>
      <c r="J157" s="1468"/>
      <c r="K157" s="1468"/>
      <c r="L157" s="1468"/>
    </row>
    <row r="158" spans="1:15">
      <c r="A158" s="1468"/>
      <c r="B158" s="1468"/>
      <c r="C158" s="1468"/>
      <c r="D158" s="1468"/>
      <c r="E158" s="1468"/>
      <c r="F158" s="1468"/>
      <c r="G158" s="1468"/>
      <c r="H158" s="1468"/>
      <c r="I158" s="1468"/>
      <c r="J158" s="1468"/>
      <c r="K158" s="1468"/>
      <c r="L158" s="1468"/>
    </row>
    <row r="159" spans="1:15">
      <c r="A159" s="1491"/>
      <c r="B159" s="1468"/>
      <c r="C159" s="1468"/>
      <c r="D159" s="1468"/>
      <c r="E159" s="1468"/>
      <c r="F159" s="1468"/>
      <c r="G159" s="1468"/>
      <c r="H159" s="1468"/>
      <c r="I159" s="1492"/>
      <c r="J159" s="1468"/>
      <c r="K159" s="1468" t="s">
        <v>16</v>
      </c>
      <c r="L159" s="1468"/>
    </row>
    <row r="160" spans="1:15">
      <c r="I160" s="1290"/>
    </row>
    <row r="161" spans="9:9">
      <c r="I161" s="1290"/>
    </row>
    <row r="162" spans="9:9">
      <c r="I162" s="1290"/>
    </row>
    <row r="163" spans="9:9">
      <c r="I163" s="1290"/>
    </row>
    <row r="164" spans="9:9">
      <c r="I164" s="831"/>
    </row>
    <row r="165" spans="9:9">
      <c r="I165" s="1290"/>
    </row>
    <row r="166" spans="9:9">
      <c r="I166" s="1290"/>
    </row>
    <row r="167" spans="9:9">
      <c r="I167" s="1290"/>
    </row>
    <row r="168" spans="9:9">
      <c r="I168" s="1290"/>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3" firstPageNumber="39" fitToHeight="3" orientation="landscape" useFirstPageNumber="1" r:id="rId2"/>
  <headerFooter scaleWithDoc="0" alignWithMargins="0">
    <oddFooter>&amp;C&amp;8&amp;P</oddFooter>
    <firstFooter>&amp;C28</firstFooter>
  </headerFooter>
  <rowBreaks count="1" manualBreakCount="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showOutlineSymbols="0" zoomScale="65" zoomScaleNormal="70" zoomScaleSheetLayoutView="70" workbookViewId="0"/>
  </sheetViews>
  <sheetFormatPr defaultColWidth="8.90625" defaultRowHeight="17.399999999999999"/>
  <cols>
    <col min="1" max="1" width="55.81640625" style="869" customWidth="1"/>
    <col min="2" max="2" width="6.36328125" style="869" customWidth="1"/>
    <col min="3" max="3" width="20.1796875" style="869" customWidth="1"/>
    <col min="4" max="4" width="3.08984375" style="869" customWidth="1"/>
    <col min="5" max="5" width="17.36328125" style="869" customWidth="1"/>
    <col min="6" max="6" width="3.54296875" style="869" customWidth="1"/>
    <col min="7" max="7" width="18.1796875" style="869" customWidth="1"/>
    <col min="8" max="8" width="3.08984375" style="869" customWidth="1"/>
    <col min="9" max="9" width="18.54296875" style="869" customWidth="1"/>
    <col min="10" max="10" width="3.453125" style="869" customWidth="1"/>
    <col min="11" max="11" width="22.08984375" style="869" customWidth="1"/>
    <col min="12" max="12" width="15.54296875" style="869" customWidth="1"/>
    <col min="13" max="16384" width="8.90625" style="869"/>
  </cols>
  <sheetData>
    <row r="1" spans="1:15">
      <c r="A1" s="1184" t="s">
        <v>1217</v>
      </c>
    </row>
    <row r="2" spans="1:15">
      <c r="A2" s="1734"/>
    </row>
    <row r="3" spans="1:15" s="837" customFormat="1" ht="18" customHeight="1">
      <c r="A3" s="832" t="s">
        <v>0</v>
      </c>
      <c r="B3" s="833"/>
      <c r="C3" s="833"/>
      <c r="D3" s="833"/>
      <c r="E3" s="834"/>
      <c r="F3" s="834"/>
      <c r="G3" s="835"/>
      <c r="H3" s="835"/>
      <c r="I3" s="832"/>
      <c r="J3" s="832"/>
      <c r="K3" s="836" t="s">
        <v>362</v>
      </c>
      <c r="L3" s="835"/>
      <c r="M3" s="835"/>
      <c r="N3" s="835"/>
      <c r="O3" s="835"/>
    </row>
    <row r="4" spans="1:15" s="837" customFormat="1" ht="18" customHeight="1">
      <c r="A4" s="832" t="s">
        <v>363</v>
      </c>
      <c r="B4" s="833"/>
      <c r="C4" s="833"/>
      <c r="D4" s="833"/>
      <c r="E4" s="834"/>
      <c r="F4" s="834"/>
      <c r="G4" s="835"/>
      <c r="H4" s="835"/>
      <c r="I4" s="832"/>
      <c r="J4" s="832"/>
      <c r="K4" s="832"/>
      <c r="L4" s="835"/>
      <c r="M4" s="835"/>
      <c r="N4" s="835"/>
      <c r="O4" s="835"/>
    </row>
    <row r="5" spans="1:15" s="837" customFormat="1" ht="18" customHeight="1">
      <c r="A5" s="838" t="s">
        <v>364</v>
      </c>
      <c r="B5" s="833"/>
      <c r="C5" s="833"/>
      <c r="D5" s="833"/>
      <c r="E5" s="834"/>
      <c r="F5" s="834"/>
      <c r="G5" s="835"/>
      <c r="H5" s="835"/>
      <c r="I5" s="832"/>
      <c r="J5" s="832"/>
      <c r="K5" s="832"/>
      <c r="L5" s="835"/>
      <c r="M5" s="835"/>
      <c r="N5" s="835"/>
      <c r="O5" s="835"/>
    </row>
    <row r="6" spans="1:15" s="837" customFormat="1" ht="18" customHeight="1">
      <c r="A6" s="838" t="s">
        <v>365</v>
      </c>
      <c r="B6" s="833"/>
      <c r="C6" s="833"/>
      <c r="D6" s="833"/>
      <c r="E6" s="834"/>
      <c r="F6" s="834"/>
      <c r="G6" s="835"/>
      <c r="H6" s="835"/>
      <c r="I6" s="832"/>
      <c r="J6" s="832"/>
      <c r="K6" s="832"/>
      <c r="L6" s="835"/>
      <c r="M6" s="835"/>
      <c r="N6" s="835"/>
      <c r="O6" s="835"/>
    </row>
    <row r="7" spans="1:15" s="837" customFormat="1" ht="18" customHeight="1">
      <c r="A7" s="2095" t="s">
        <v>1667</v>
      </c>
      <c r="B7" s="833"/>
      <c r="C7" s="833"/>
      <c r="D7" s="833"/>
      <c r="E7" s="834"/>
      <c r="F7" s="834"/>
      <c r="G7" s="835"/>
      <c r="H7" s="835"/>
      <c r="I7" s="832"/>
      <c r="J7" s="832"/>
      <c r="K7" s="832"/>
      <c r="L7" s="835"/>
      <c r="M7" s="835"/>
      <c r="N7" s="835"/>
      <c r="O7" s="835"/>
    </row>
    <row r="8" spans="1:15" s="837" customFormat="1" ht="18" customHeight="1">
      <c r="A8" s="832" t="s">
        <v>1103</v>
      </c>
      <c r="B8" s="833"/>
      <c r="C8" s="833"/>
      <c r="D8" s="833"/>
      <c r="E8" s="834"/>
      <c r="F8" s="834"/>
      <c r="G8" s="835"/>
      <c r="H8" s="835"/>
      <c r="I8" s="832"/>
      <c r="J8" s="832"/>
      <c r="K8" s="832"/>
      <c r="L8" s="835"/>
      <c r="M8" s="835"/>
      <c r="N8" s="835"/>
      <c r="O8" s="835"/>
    </row>
    <row r="9" spans="1:15" s="837" customFormat="1">
      <c r="A9" s="832"/>
      <c r="B9" s="832"/>
      <c r="C9" s="835"/>
      <c r="D9" s="832"/>
      <c r="E9" s="835"/>
      <c r="F9" s="835"/>
      <c r="G9" s="835"/>
      <c r="H9" s="835"/>
      <c r="I9" s="835"/>
      <c r="J9" s="835"/>
      <c r="K9" s="835"/>
      <c r="L9" s="835"/>
      <c r="M9" s="835"/>
      <c r="N9" s="835"/>
      <c r="O9" s="835"/>
    </row>
    <row r="10" spans="1:15" s="837" customFormat="1">
      <c r="A10" s="832"/>
      <c r="B10" s="832"/>
      <c r="C10" s="832"/>
      <c r="D10" s="832"/>
      <c r="E10" s="832"/>
      <c r="F10" s="832"/>
      <c r="G10" s="832"/>
      <c r="H10" s="832"/>
      <c r="I10" s="832"/>
      <c r="J10" s="832"/>
      <c r="K10" s="832"/>
      <c r="L10" s="835"/>
      <c r="M10" s="835"/>
      <c r="N10" s="835"/>
      <c r="O10" s="835"/>
    </row>
    <row r="11" spans="1:15" s="837" customFormat="1">
      <c r="A11" s="832"/>
      <c r="B11" s="832"/>
      <c r="C11" s="839"/>
      <c r="D11" s="832"/>
      <c r="E11" s="832"/>
      <c r="F11" s="832"/>
      <c r="G11" s="832"/>
      <c r="H11" s="832"/>
      <c r="I11" s="839" t="s">
        <v>366</v>
      </c>
      <c r="J11" s="832"/>
      <c r="K11" s="839"/>
      <c r="L11" s="835"/>
      <c r="M11" s="835"/>
      <c r="N11" s="835"/>
      <c r="O11" s="835"/>
    </row>
    <row r="12" spans="1:15" s="837" customFormat="1">
      <c r="A12" s="832"/>
      <c r="B12" s="832"/>
      <c r="C12" s="839" t="s">
        <v>242</v>
      </c>
      <c r="D12" s="832"/>
      <c r="E12" s="832"/>
      <c r="F12" s="832"/>
      <c r="G12" s="832"/>
      <c r="H12" s="832"/>
      <c r="I12" s="839" t="s">
        <v>367</v>
      </c>
      <c r="J12" s="832"/>
      <c r="K12" s="839" t="s">
        <v>242</v>
      </c>
      <c r="L12" s="835"/>
      <c r="M12" s="835"/>
      <c r="N12" s="835"/>
      <c r="O12" s="835"/>
    </row>
    <row r="13" spans="1:15" s="837" customFormat="1">
      <c r="A13" s="840" t="s">
        <v>368</v>
      </c>
      <c r="B13" s="832"/>
      <c r="C13" s="1850" t="s">
        <v>1669</v>
      </c>
      <c r="D13" s="832"/>
      <c r="E13" s="839" t="s">
        <v>244</v>
      </c>
      <c r="F13" s="832"/>
      <c r="G13" s="839" t="s">
        <v>245</v>
      </c>
      <c r="H13" s="832"/>
      <c r="I13" s="839" t="s">
        <v>246</v>
      </c>
      <c r="J13" s="832"/>
      <c r="K13" s="1851" t="s">
        <v>1670</v>
      </c>
      <c r="L13" s="835"/>
      <c r="M13" s="835"/>
      <c r="N13" s="835"/>
      <c r="O13" s="835"/>
    </row>
    <row r="14" spans="1:15" s="837" customFormat="1" ht="12" customHeight="1">
      <c r="A14" s="835"/>
      <c r="B14" s="835"/>
      <c r="C14" s="841"/>
      <c r="D14" s="835"/>
      <c r="E14" s="842"/>
      <c r="F14" s="835"/>
      <c r="G14" s="842"/>
      <c r="H14" s="835"/>
      <c r="I14" s="842"/>
      <c r="J14" s="835"/>
      <c r="K14" s="842"/>
      <c r="L14" s="835"/>
      <c r="M14" s="835"/>
      <c r="N14" s="835"/>
      <c r="O14" s="835"/>
    </row>
    <row r="15" spans="1:15" s="837" customFormat="1">
      <c r="A15" s="843" t="s">
        <v>223</v>
      </c>
      <c r="B15" s="835"/>
      <c r="C15" s="835"/>
      <c r="D15" s="835"/>
      <c r="E15" s="844"/>
      <c r="F15" s="835"/>
      <c r="G15" s="835"/>
      <c r="H15" s="835"/>
      <c r="I15" s="835"/>
      <c r="J15" s="835"/>
      <c r="K15" s="845"/>
      <c r="L15" s="835"/>
      <c r="M15" s="835"/>
      <c r="N15" s="835"/>
      <c r="O15" s="835"/>
    </row>
    <row r="16" spans="1:15" s="837" customFormat="1" ht="12" customHeight="1">
      <c r="A16" s="835"/>
      <c r="B16" s="835"/>
      <c r="C16" s="835"/>
      <c r="D16" s="835"/>
      <c r="E16" s="881"/>
      <c r="F16" s="845"/>
      <c r="G16" s="845"/>
      <c r="H16" s="845"/>
      <c r="I16" s="845"/>
      <c r="J16" s="845"/>
      <c r="K16" s="845"/>
      <c r="L16" s="835"/>
      <c r="M16" s="835"/>
      <c r="N16" s="835"/>
      <c r="O16" s="835"/>
    </row>
    <row r="17" spans="1:15" s="848" customFormat="1" ht="15.9" customHeight="1">
      <c r="A17" s="845" t="s">
        <v>369</v>
      </c>
      <c r="B17" s="846"/>
      <c r="C17" s="847">
        <v>0.16800000000000001</v>
      </c>
      <c r="D17" s="847"/>
      <c r="E17" s="847">
        <v>2E-3</v>
      </c>
      <c r="F17" s="847"/>
      <c r="G17" s="847">
        <v>3.0000000000000001E-3</v>
      </c>
      <c r="H17" s="847"/>
      <c r="I17" s="847">
        <v>0</v>
      </c>
      <c r="J17" s="847"/>
      <c r="K17" s="847">
        <f t="shared" ref="K17:K24" si="0">ROUND(SUM(C17,E17,I17) - SUM(G17),3)</f>
        <v>0.16700000000000001</v>
      </c>
      <c r="L17" s="845"/>
      <c r="M17" s="845"/>
      <c r="N17" s="845"/>
      <c r="O17" s="845"/>
    </row>
    <row r="18" spans="1:15" s="848" customFormat="1" ht="15.75" customHeight="1">
      <c r="A18" s="845" t="s">
        <v>370</v>
      </c>
      <c r="B18" s="845"/>
      <c r="C18" s="849">
        <v>2.3650000000000002</v>
      </c>
      <c r="D18" s="850"/>
      <c r="E18" s="849">
        <v>0</v>
      </c>
      <c r="F18" s="849"/>
      <c r="G18" s="849">
        <v>1.141</v>
      </c>
      <c r="H18" s="850"/>
      <c r="I18" s="849">
        <v>0</v>
      </c>
      <c r="J18" s="850"/>
      <c r="K18" s="849">
        <f t="shared" si="0"/>
        <v>1.224</v>
      </c>
      <c r="L18" s="845"/>
      <c r="M18" s="845"/>
      <c r="N18" s="845"/>
      <c r="O18" s="845"/>
    </row>
    <row r="19" spans="1:15" s="848" customFormat="1" ht="15.9" customHeight="1">
      <c r="A19" s="845" t="s">
        <v>371</v>
      </c>
      <c r="B19" s="845"/>
      <c r="C19" s="849">
        <v>2.8919999999999999</v>
      </c>
      <c r="D19" s="850"/>
      <c r="E19" s="849">
        <v>2.992</v>
      </c>
      <c r="F19" s="849"/>
      <c r="G19" s="849">
        <v>3.2869999999999999</v>
      </c>
      <c r="H19" s="850"/>
      <c r="I19" s="849">
        <v>0</v>
      </c>
      <c r="J19" s="850"/>
      <c r="K19" s="849">
        <f t="shared" si="0"/>
        <v>2.597</v>
      </c>
      <c r="L19" s="845"/>
      <c r="M19" s="845"/>
      <c r="N19" s="845"/>
      <c r="O19" s="845"/>
    </row>
    <row r="20" spans="1:15" s="848" customFormat="1" ht="15.9" customHeight="1">
      <c r="A20" s="845" t="s">
        <v>1274</v>
      </c>
      <c r="B20" s="845"/>
      <c r="C20" s="849">
        <v>2.9569999999999999</v>
      </c>
      <c r="D20" s="850"/>
      <c r="E20" s="849">
        <v>0.46500000000000002</v>
      </c>
      <c r="F20" s="849"/>
      <c r="G20" s="849">
        <v>0.56000000000000005</v>
      </c>
      <c r="H20" s="850"/>
      <c r="I20" s="849">
        <v>0</v>
      </c>
      <c r="J20" s="850"/>
      <c r="K20" s="849">
        <f t="shared" si="0"/>
        <v>2.8620000000000001</v>
      </c>
      <c r="L20" s="845"/>
      <c r="M20" s="845"/>
      <c r="N20" s="845"/>
      <c r="O20" s="845"/>
    </row>
    <row r="21" spans="1:15" s="848" customFormat="1" ht="15.9" customHeight="1">
      <c r="A21" s="845" t="s">
        <v>1275</v>
      </c>
      <c r="B21" s="845"/>
      <c r="C21" s="849">
        <v>1.7290000000000001</v>
      </c>
      <c r="D21" s="850"/>
      <c r="E21" s="852">
        <v>0.47699999999999998</v>
      </c>
      <c r="F21" s="849"/>
      <c r="G21" s="849">
        <v>0.125</v>
      </c>
      <c r="H21" s="850"/>
      <c r="I21" s="849">
        <v>0</v>
      </c>
      <c r="J21" s="850"/>
      <c r="K21" s="849">
        <f t="shared" si="0"/>
        <v>2.081</v>
      </c>
      <c r="L21" s="845"/>
      <c r="M21" s="845"/>
      <c r="N21" s="845"/>
      <c r="O21" s="845"/>
    </row>
    <row r="22" spans="1:15" s="848" customFormat="1" ht="15.9" customHeight="1">
      <c r="A22" s="845" t="s">
        <v>1276</v>
      </c>
      <c r="B22" s="845"/>
      <c r="C22" s="849">
        <v>1.65</v>
      </c>
      <c r="D22" s="850"/>
      <c r="E22" s="852">
        <v>2.7E-2</v>
      </c>
      <c r="F22" s="849"/>
      <c r="G22" s="850">
        <v>1.7000000000000001E-2</v>
      </c>
      <c r="H22" s="850"/>
      <c r="I22" s="849">
        <v>0</v>
      </c>
      <c r="J22" s="850"/>
      <c r="K22" s="849">
        <f t="shared" si="0"/>
        <v>1.66</v>
      </c>
      <c r="L22" s="845"/>
      <c r="M22" s="845"/>
      <c r="N22" s="845"/>
      <c r="O22" s="845"/>
    </row>
    <row r="23" spans="1:15" s="848" customFormat="1" ht="15.9" customHeight="1">
      <c r="A23" s="845" t="s">
        <v>372</v>
      </c>
      <c r="B23" s="845"/>
      <c r="C23" s="849">
        <v>4.2069999999999999</v>
      </c>
      <c r="D23" s="850"/>
      <c r="E23" s="849">
        <v>9.4E-2</v>
      </c>
      <c r="F23" s="849"/>
      <c r="G23" s="849">
        <v>0.17299999999999999</v>
      </c>
      <c r="H23" s="850"/>
      <c r="I23" s="849">
        <v>0</v>
      </c>
      <c r="J23" s="850"/>
      <c r="K23" s="849">
        <f t="shared" si="0"/>
        <v>4.1280000000000001</v>
      </c>
      <c r="L23" s="845"/>
      <c r="M23" s="845"/>
      <c r="N23" s="845"/>
      <c r="O23" s="845"/>
    </row>
    <row r="24" spans="1:15" s="848" customFormat="1" ht="15.9" customHeight="1">
      <c r="A24" s="853" t="s">
        <v>373</v>
      </c>
      <c r="B24" s="845"/>
      <c r="C24" s="849">
        <v>28.687999999999999</v>
      </c>
      <c r="D24" s="854"/>
      <c r="E24" s="849">
        <v>218.91900000000001</v>
      </c>
      <c r="F24" s="855"/>
      <c r="G24" s="849">
        <v>198.89400000000001</v>
      </c>
      <c r="H24" s="850"/>
      <c r="I24" s="849">
        <v>0</v>
      </c>
      <c r="J24" s="850"/>
      <c r="K24" s="849">
        <f t="shared" si="0"/>
        <v>48.713000000000001</v>
      </c>
      <c r="L24" s="845"/>
      <c r="M24" s="845"/>
      <c r="N24" s="845"/>
      <c r="O24" s="845"/>
    </row>
    <row r="25" spans="1:15" s="837" customFormat="1" ht="20.100000000000001" customHeight="1">
      <c r="A25" s="832" t="s">
        <v>374</v>
      </c>
      <c r="B25" s="835"/>
      <c r="C25" s="3327">
        <f>ROUND(SUM(C17:C24),3)</f>
        <v>44.655999999999999</v>
      </c>
      <c r="D25" s="3396"/>
      <c r="E25" s="3327">
        <f>ROUND(SUM(E17:E24),3)</f>
        <v>222.976</v>
      </c>
      <c r="F25" s="3396"/>
      <c r="G25" s="3327">
        <f>ROUND(SUM(G17:G24),3)</f>
        <v>204.2</v>
      </c>
      <c r="H25" s="1376"/>
      <c r="I25" s="3327">
        <f>ROUND(SUM(I17:I24),3)</f>
        <v>0</v>
      </c>
      <c r="J25" s="1376"/>
      <c r="K25" s="3327">
        <f>ROUND(SUM(K17:K24),3)</f>
        <v>63.432000000000002</v>
      </c>
      <c r="L25" s="857"/>
      <c r="M25" s="835"/>
      <c r="N25" s="835"/>
      <c r="O25" s="835"/>
    </row>
    <row r="26" spans="1:15" s="837" customFormat="1" ht="15" customHeight="1">
      <c r="A26" s="835"/>
      <c r="B26" s="835"/>
      <c r="C26" s="1335"/>
      <c r="D26" s="918"/>
      <c r="E26" s="1335"/>
      <c r="F26" s="918"/>
      <c r="G26" s="1335"/>
      <c r="H26" s="918"/>
      <c r="I26" s="1336"/>
      <c r="J26" s="918"/>
      <c r="K26" s="1335"/>
      <c r="L26" s="835"/>
      <c r="M26" s="835"/>
      <c r="N26" s="835"/>
      <c r="O26" s="835"/>
    </row>
    <row r="27" spans="1:15" s="837" customFormat="1" ht="15" customHeight="1">
      <c r="A27" s="835"/>
      <c r="B27" s="835"/>
      <c r="C27" s="918"/>
      <c r="D27" s="1337" t="s">
        <v>241</v>
      </c>
      <c r="E27" s="918"/>
      <c r="F27" s="918"/>
      <c r="G27" s="918"/>
      <c r="H27" s="918"/>
      <c r="I27" s="918"/>
      <c r="J27" s="918"/>
      <c r="K27" s="918"/>
      <c r="L27" s="835"/>
      <c r="M27" s="835"/>
      <c r="N27" s="835"/>
      <c r="O27" s="835"/>
    </row>
    <row r="28" spans="1:15" s="837" customFormat="1" ht="15" customHeight="1">
      <c r="A28" s="835"/>
      <c r="B28" s="835"/>
      <c r="C28" s="918"/>
      <c r="D28" s="918"/>
      <c r="E28" s="918"/>
      <c r="F28" s="918"/>
      <c r="G28" s="918"/>
      <c r="H28" s="918"/>
      <c r="I28" s="918"/>
      <c r="J28" s="918"/>
      <c r="K28" s="918"/>
      <c r="L28" s="835"/>
      <c r="M28" s="835"/>
      <c r="N28" s="835"/>
      <c r="O28" s="835"/>
    </row>
    <row r="29" spans="1:15" s="837" customFormat="1" ht="15" customHeight="1">
      <c r="A29" s="843" t="s">
        <v>228</v>
      </c>
      <c r="B29" s="835"/>
      <c r="C29" s="918"/>
      <c r="D29" s="918"/>
      <c r="E29" s="918"/>
      <c r="F29" s="918"/>
      <c r="G29" s="918"/>
      <c r="H29" s="918"/>
      <c r="I29" s="918"/>
      <c r="J29" s="918"/>
      <c r="K29" s="918"/>
      <c r="L29" s="835"/>
      <c r="M29" s="835"/>
      <c r="N29" s="835"/>
      <c r="O29" s="835"/>
    </row>
    <row r="30" spans="1:15" s="837" customFormat="1" ht="15" customHeight="1">
      <c r="A30" s="843"/>
      <c r="B30" s="835"/>
      <c r="C30" s="918"/>
      <c r="D30" s="918"/>
      <c r="E30" s="850"/>
      <c r="F30" s="850"/>
      <c r="G30" s="850"/>
      <c r="H30" s="850"/>
      <c r="I30" s="850"/>
      <c r="J30" s="850"/>
      <c r="K30" s="850"/>
      <c r="L30" s="835"/>
      <c r="M30" s="835"/>
      <c r="N30" s="835"/>
      <c r="O30" s="835"/>
    </row>
    <row r="31" spans="1:15" s="837" customFormat="1" ht="15.9" customHeight="1">
      <c r="A31" s="835" t="s">
        <v>1277</v>
      </c>
      <c r="B31" s="835"/>
      <c r="C31" s="1338">
        <v>-57.512999999999998</v>
      </c>
      <c r="D31" s="918"/>
      <c r="E31" s="849">
        <v>25.408999999999999</v>
      </c>
      <c r="F31" s="3326"/>
      <c r="G31" s="849">
        <v>29.565000000000001</v>
      </c>
      <c r="H31" s="850"/>
      <c r="I31" s="849">
        <v>7.4999999999999997E-2</v>
      </c>
      <c r="J31" s="850"/>
      <c r="K31" s="849">
        <f t="shared" ref="K31:K38" si="1">ROUND(SUM(C31,E31,I31) - SUM(G31),3)</f>
        <v>-61.594000000000001</v>
      </c>
      <c r="L31" s="835"/>
      <c r="M31" s="835"/>
      <c r="N31" s="835"/>
      <c r="O31" s="835"/>
    </row>
    <row r="32" spans="1:15" s="837" customFormat="1" ht="15.9" customHeight="1">
      <c r="A32" s="835" t="s">
        <v>375</v>
      </c>
      <c r="B32" s="835"/>
      <c r="C32" s="1338">
        <v>-138.98699999999999</v>
      </c>
      <c r="D32" s="918"/>
      <c r="E32" s="849">
        <v>3.7989999999999999</v>
      </c>
      <c r="F32" s="850"/>
      <c r="G32" s="849">
        <v>18.634</v>
      </c>
      <c r="H32" s="850"/>
      <c r="I32" s="849">
        <v>4.7969999999999997</v>
      </c>
      <c r="J32" s="850"/>
      <c r="K32" s="849">
        <f t="shared" si="1"/>
        <v>-149.02500000000001</v>
      </c>
      <c r="L32" s="835"/>
      <c r="M32" s="835"/>
      <c r="N32" s="835"/>
      <c r="O32" s="835"/>
    </row>
    <row r="33" spans="1:15" s="837" customFormat="1" ht="15.9" customHeight="1">
      <c r="A33" s="835" t="s">
        <v>376</v>
      </c>
      <c r="B33" s="835"/>
      <c r="C33" s="1338">
        <v>0.251</v>
      </c>
      <c r="D33" s="918"/>
      <c r="E33" s="849">
        <v>2.9000000000000001E-2</v>
      </c>
      <c r="F33" s="850"/>
      <c r="G33" s="849">
        <v>0.14599999999999999</v>
      </c>
      <c r="H33" s="850"/>
      <c r="I33" s="849">
        <v>0</v>
      </c>
      <c r="J33" s="850"/>
      <c r="K33" s="849">
        <f t="shared" si="1"/>
        <v>0.13400000000000001</v>
      </c>
      <c r="L33" s="835"/>
      <c r="M33" s="835"/>
      <c r="N33" s="835"/>
      <c r="O33" s="835"/>
    </row>
    <row r="34" spans="1:15" s="837" customFormat="1" ht="15.9" customHeight="1">
      <c r="A34" s="835" t="s">
        <v>377</v>
      </c>
      <c r="B34" s="835"/>
      <c r="C34" s="1338">
        <v>5.5E-2</v>
      </c>
      <c r="D34" s="918"/>
      <c r="E34" s="849">
        <v>0</v>
      </c>
      <c r="F34" s="850"/>
      <c r="G34" s="849">
        <v>0</v>
      </c>
      <c r="H34" s="850"/>
      <c r="I34" s="849">
        <v>0</v>
      </c>
      <c r="J34" s="850"/>
      <c r="K34" s="849">
        <f t="shared" si="1"/>
        <v>5.5E-2</v>
      </c>
      <c r="L34" s="835"/>
      <c r="M34" s="835"/>
      <c r="N34" s="835"/>
      <c r="O34" s="835"/>
    </row>
    <row r="35" spans="1:15" s="837" customFormat="1" ht="15.9" customHeight="1">
      <c r="A35" s="835" t="s">
        <v>1278</v>
      </c>
      <c r="B35" s="835"/>
      <c r="C35" s="1338">
        <v>1.7569999999999999</v>
      </c>
      <c r="D35" s="918"/>
      <c r="E35" s="849">
        <v>0</v>
      </c>
      <c r="F35" s="850"/>
      <c r="G35" s="849">
        <v>0.112</v>
      </c>
      <c r="H35" s="850"/>
      <c r="I35" s="849">
        <v>-1E-3</v>
      </c>
      <c r="J35" s="850"/>
      <c r="K35" s="849">
        <f t="shared" si="1"/>
        <v>1.6439999999999999</v>
      </c>
      <c r="L35" s="835"/>
      <c r="M35" s="835"/>
      <c r="N35" s="835"/>
      <c r="O35" s="835"/>
    </row>
    <row r="36" spans="1:15" s="837" customFormat="1" ht="15.9" customHeight="1">
      <c r="A36" s="835" t="s">
        <v>378</v>
      </c>
      <c r="B36" s="835"/>
      <c r="C36" s="1338">
        <v>-4.7930000000000001</v>
      </c>
      <c r="D36" s="918"/>
      <c r="E36" s="849">
        <v>2</v>
      </c>
      <c r="F36" s="850"/>
      <c r="G36" s="849">
        <v>2.09</v>
      </c>
      <c r="H36" s="861"/>
      <c r="I36" s="861">
        <v>0</v>
      </c>
      <c r="J36" s="850"/>
      <c r="K36" s="849">
        <f t="shared" si="1"/>
        <v>-4.883</v>
      </c>
      <c r="L36" s="835"/>
      <c r="M36" s="835"/>
      <c r="N36" s="835"/>
      <c r="O36" s="835"/>
    </row>
    <row r="37" spans="1:15" s="837" customFormat="1" ht="15.9" customHeight="1">
      <c r="A37" s="835" t="s">
        <v>379</v>
      </c>
      <c r="B37" s="835"/>
      <c r="C37" s="1338">
        <v>-14.324</v>
      </c>
      <c r="D37" s="918"/>
      <c r="E37" s="849">
        <v>1.8580000000000001</v>
      </c>
      <c r="F37" s="850"/>
      <c r="G37" s="849">
        <v>2.4430000000000001</v>
      </c>
      <c r="H37" s="850"/>
      <c r="I37" s="849">
        <v>-0.19900000000000001</v>
      </c>
      <c r="J37" s="850"/>
      <c r="K37" s="849">
        <f t="shared" si="1"/>
        <v>-15.108000000000001</v>
      </c>
      <c r="L37" s="835"/>
      <c r="M37" s="835"/>
      <c r="N37" s="835"/>
      <c r="O37" s="835"/>
    </row>
    <row r="38" spans="1:15" s="837" customFormat="1" ht="15.9" customHeight="1">
      <c r="A38" s="835" t="s">
        <v>380</v>
      </c>
      <c r="B38" s="835"/>
      <c r="C38" s="1338">
        <v>-22.695</v>
      </c>
      <c r="D38" s="1336"/>
      <c r="E38" s="849">
        <v>3.3889999999999998</v>
      </c>
      <c r="F38" s="854"/>
      <c r="G38" s="849">
        <v>4.4829999999999997</v>
      </c>
      <c r="H38" s="850"/>
      <c r="I38" s="849">
        <v>-8.9999999999999993E-3</v>
      </c>
      <c r="J38" s="850"/>
      <c r="K38" s="849">
        <f t="shared" si="1"/>
        <v>-23.797999999999998</v>
      </c>
      <c r="L38" s="835"/>
      <c r="M38" s="835"/>
      <c r="N38" s="835"/>
      <c r="O38" s="835"/>
    </row>
    <row r="39" spans="1:15" s="837" customFormat="1" ht="20.100000000000001" customHeight="1">
      <c r="A39" s="832" t="s">
        <v>381</v>
      </c>
      <c r="B39" s="835"/>
      <c r="C39" s="856">
        <f>ROUND(SUM(C31:C38),3)</f>
        <v>-236.249</v>
      </c>
      <c r="D39" s="1340"/>
      <c r="E39" s="3327">
        <f>ROUND(SUM(E31:E38),3)</f>
        <v>36.484000000000002</v>
      </c>
      <c r="F39" s="1379"/>
      <c r="G39" s="3327">
        <f>ROUND(SUM(G31:G38),3)</f>
        <v>57.472999999999999</v>
      </c>
      <c r="H39" s="1377"/>
      <c r="I39" s="3327">
        <f>ROUND(SUM(I31:I38),3)</f>
        <v>4.6630000000000003</v>
      </c>
      <c r="J39" s="1377"/>
      <c r="K39" s="3327">
        <f>ROUND(SUM(K31:K38),3)</f>
        <v>-252.57499999999999</v>
      </c>
      <c r="L39" s="862"/>
      <c r="M39" s="835"/>
      <c r="N39" s="835"/>
      <c r="O39" s="835"/>
    </row>
    <row r="40" spans="1:15" s="837" customFormat="1" ht="15" customHeight="1">
      <c r="A40" s="832"/>
      <c r="B40" s="835"/>
      <c r="C40" s="863"/>
      <c r="D40" s="859"/>
      <c r="E40" s="858"/>
      <c r="F40" s="859"/>
      <c r="G40" s="858"/>
      <c r="H40" s="859"/>
      <c r="I40" s="860"/>
      <c r="J40" s="859"/>
      <c r="K40" s="858"/>
      <c r="L40" s="835"/>
      <c r="M40" s="835"/>
      <c r="N40" s="835"/>
      <c r="O40" s="835"/>
    </row>
    <row r="41" spans="1:15" s="837" customFormat="1" ht="15" customHeight="1">
      <c r="A41" s="832"/>
      <c r="B41" s="835"/>
      <c r="C41" s="860"/>
      <c r="D41" s="859"/>
      <c r="E41" s="859"/>
      <c r="F41" s="859"/>
      <c r="G41" s="859" t="s">
        <v>16</v>
      </c>
      <c r="H41" s="859"/>
      <c r="I41" s="864"/>
      <c r="J41" s="859"/>
      <c r="K41" s="859"/>
      <c r="L41" s="835"/>
      <c r="M41" s="835"/>
      <c r="N41" s="835"/>
      <c r="O41" s="835"/>
    </row>
    <row r="42" spans="1:15" s="837" customFormat="1" ht="20.100000000000001" customHeight="1" thickBot="1">
      <c r="A42" s="832" t="s">
        <v>67</v>
      </c>
      <c r="B42" s="865"/>
      <c r="C42" s="1341">
        <f>ROUND(SUM(C39)+SUM(C25),3)</f>
        <v>-191.59299999999999</v>
      </c>
      <c r="D42" s="921"/>
      <c r="E42" s="1341">
        <f>ROUND(SUM(E39)+SUM(E25),3)</f>
        <v>259.45999999999998</v>
      </c>
      <c r="F42" s="921"/>
      <c r="G42" s="1341">
        <f>ROUND(SUM(G39)+SUM(G25),3)</f>
        <v>261.673</v>
      </c>
      <c r="H42" s="921"/>
      <c r="I42" s="1341">
        <f>ROUND(SUM(I39)+SUM(I25),3)</f>
        <v>4.6630000000000003</v>
      </c>
      <c r="J42" s="921"/>
      <c r="K42" s="1341">
        <f>ROUND(SUM(K39)+SUM(K25),3)</f>
        <v>-189.143</v>
      </c>
      <c r="L42" s="857"/>
      <c r="M42" s="835"/>
      <c r="N42" s="835"/>
      <c r="O42" s="835"/>
    </row>
    <row r="43" spans="1:15" s="837" customFormat="1" ht="18" thickTop="1">
      <c r="A43" s="835"/>
      <c r="B43" s="835"/>
      <c r="C43" s="866"/>
      <c r="D43" s="859"/>
      <c r="E43" s="866"/>
      <c r="F43" s="859"/>
      <c r="G43" s="866"/>
      <c r="H43" s="859"/>
      <c r="I43" s="867"/>
      <c r="J43" s="859"/>
      <c r="K43" s="866"/>
      <c r="L43" s="835"/>
      <c r="M43" s="835"/>
      <c r="N43" s="835"/>
      <c r="O43" s="835"/>
    </row>
    <row r="44" spans="1:15" s="837" customFormat="1">
      <c r="A44" s="868"/>
      <c r="B44" s="869"/>
      <c r="C44" s="870"/>
      <c r="D44" s="870"/>
      <c r="E44" s="871"/>
      <c r="F44" s="871"/>
      <c r="G44" s="871"/>
      <c r="H44" s="871"/>
      <c r="I44" s="872"/>
      <c r="J44" s="870"/>
      <c r="K44" s="873"/>
      <c r="L44" s="869"/>
      <c r="M44" s="869"/>
      <c r="N44" s="869"/>
      <c r="O44" s="869"/>
    </row>
    <row r="45" spans="1:15" s="837" customFormat="1">
      <c r="A45" s="869"/>
      <c r="B45" s="869"/>
      <c r="C45" s="870"/>
      <c r="D45" s="870"/>
      <c r="E45" s="3517"/>
      <c r="F45" s="3517"/>
      <c r="G45" s="3517"/>
      <c r="H45" s="3517"/>
      <c r="I45" s="3517"/>
      <c r="J45" s="3517"/>
      <c r="K45" s="3517"/>
      <c r="L45" s="869"/>
      <c r="M45" s="869"/>
      <c r="N45" s="869"/>
      <c r="O45" s="869"/>
    </row>
    <row r="46" spans="1:15" s="837" customFormat="1">
      <c r="A46" s="869"/>
      <c r="B46" s="869"/>
      <c r="C46" s="870"/>
      <c r="D46" s="870"/>
      <c r="E46" s="870"/>
      <c r="F46" s="870"/>
      <c r="G46" s="875"/>
      <c r="H46" s="869"/>
      <c r="I46" s="874"/>
      <c r="J46" s="870"/>
      <c r="K46" s="870"/>
      <c r="L46" s="869"/>
      <c r="M46" s="869"/>
      <c r="N46" s="869"/>
      <c r="O46" s="869"/>
    </row>
    <row r="47" spans="1:15" s="837" customFormat="1">
      <c r="A47" s="869"/>
      <c r="B47" s="869"/>
      <c r="C47" s="870"/>
      <c r="D47" s="870"/>
      <c r="E47" s="870"/>
      <c r="F47" s="870"/>
      <c r="G47" s="870"/>
      <c r="H47" s="869"/>
      <c r="I47" s="874"/>
      <c r="J47" s="870"/>
      <c r="K47" s="870"/>
      <c r="L47" s="869"/>
      <c r="M47" s="869"/>
      <c r="N47" s="869"/>
      <c r="O47" s="869"/>
    </row>
    <row r="48" spans="1:15" s="837" customFormat="1">
      <c r="A48" s="869"/>
      <c r="B48" s="869"/>
      <c r="C48" s="870"/>
      <c r="D48" s="870"/>
      <c r="E48" s="870"/>
      <c r="F48" s="870"/>
      <c r="G48" s="870"/>
      <c r="H48" s="869"/>
      <c r="I48" s="874"/>
      <c r="J48" s="870"/>
      <c r="K48" s="870"/>
      <c r="L48" s="869"/>
      <c r="M48" s="869"/>
      <c r="N48" s="869"/>
      <c r="O48" s="869"/>
    </row>
    <row r="49" spans="1:15" s="837" customFormat="1">
      <c r="A49" s="869"/>
      <c r="B49" s="869"/>
      <c r="C49" s="870"/>
      <c r="D49" s="870"/>
      <c r="E49" s="870"/>
      <c r="F49" s="870"/>
      <c r="G49" s="870"/>
      <c r="H49" s="869"/>
      <c r="I49" s="874"/>
      <c r="J49" s="870"/>
      <c r="K49" s="870"/>
      <c r="L49" s="869"/>
      <c r="M49" s="869"/>
      <c r="N49" s="869"/>
      <c r="O49" s="869"/>
    </row>
    <row r="50" spans="1:15" s="837" customFormat="1">
      <c r="A50" s="835"/>
      <c r="B50" s="869"/>
      <c r="C50" s="870"/>
      <c r="D50" s="870"/>
      <c r="E50" s="870"/>
      <c r="F50" s="870"/>
      <c r="G50" s="870"/>
      <c r="H50" s="869"/>
      <c r="I50" s="869"/>
      <c r="J50" s="870"/>
      <c r="K50" s="870"/>
      <c r="L50" s="869"/>
      <c r="M50" s="869"/>
      <c r="N50" s="869"/>
      <c r="O50" s="869"/>
    </row>
    <row r="51" spans="1:15" s="837" customFormat="1">
      <c r="A51" s="869"/>
      <c r="B51" s="869"/>
      <c r="C51" s="870"/>
      <c r="D51" s="870"/>
      <c r="E51" s="870"/>
      <c r="F51" s="870"/>
      <c r="G51" s="870"/>
      <c r="H51" s="869"/>
      <c r="I51" s="869"/>
      <c r="J51" s="870"/>
      <c r="K51" s="870"/>
      <c r="L51" s="869"/>
      <c r="M51" s="869"/>
      <c r="N51" s="869"/>
      <c r="O51" s="869"/>
    </row>
    <row r="52" spans="1:15" s="837" customFormat="1">
      <c r="A52" s="869"/>
      <c r="B52" s="869"/>
      <c r="C52" s="870"/>
      <c r="D52" s="870"/>
      <c r="E52" s="870"/>
      <c r="F52" s="870"/>
      <c r="G52" s="870"/>
      <c r="H52" s="869"/>
      <c r="I52" s="869"/>
      <c r="J52" s="870"/>
      <c r="K52" s="870"/>
      <c r="L52" s="869"/>
      <c r="M52" s="869"/>
      <c r="N52" s="869"/>
      <c r="O52" s="869"/>
    </row>
    <row r="53" spans="1:15" s="837" customFormat="1">
      <c r="A53" s="869"/>
      <c r="B53" s="869"/>
      <c r="C53" s="870"/>
      <c r="D53" s="870"/>
      <c r="E53" s="870"/>
      <c r="F53" s="870"/>
      <c r="G53" s="870"/>
      <c r="H53" s="869"/>
      <c r="I53" s="869"/>
      <c r="J53" s="870"/>
      <c r="K53" s="870"/>
      <c r="L53" s="869"/>
      <c r="M53" s="869"/>
      <c r="N53" s="869"/>
      <c r="O53" s="869"/>
    </row>
    <row r="54" spans="1:15" s="837" customFormat="1">
      <c r="A54" s="869"/>
      <c r="B54" s="869"/>
      <c r="C54" s="870"/>
      <c r="D54" s="870"/>
      <c r="E54" s="870"/>
      <c r="F54" s="870"/>
      <c r="G54" s="870"/>
      <c r="H54" s="869"/>
      <c r="I54" s="869"/>
      <c r="J54" s="870"/>
      <c r="K54" s="870"/>
      <c r="L54" s="869"/>
      <c r="M54" s="869"/>
      <c r="N54" s="869"/>
      <c r="O54" s="869"/>
    </row>
    <row r="55" spans="1:15" s="837" customFormat="1">
      <c r="A55" s="869"/>
      <c r="B55" s="869"/>
      <c r="C55" s="870"/>
      <c r="D55" s="870"/>
      <c r="E55" s="870"/>
      <c r="F55" s="870"/>
      <c r="G55" s="870"/>
      <c r="H55" s="869"/>
      <c r="I55" s="869"/>
      <c r="J55" s="870"/>
      <c r="K55" s="870"/>
      <c r="L55" s="869"/>
      <c r="M55" s="869"/>
      <c r="N55" s="869"/>
      <c r="O55" s="869"/>
    </row>
    <row r="56" spans="1:15" s="837" customFormat="1">
      <c r="A56" s="869"/>
      <c r="B56" s="869"/>
      <c r="C56" s="870"/>
      <c r="D56" s="870"/>
      <c r="E56" s="870"/>
      <c r="F56" s="870"/>
      <c r="G56" s="870"/>
      <c r="H56" s="869"/>
      <c r="I56" s="869"/>
      <c r="J56" s="870"/>
      <c r="K56" s="870"/>
      <c r="L56" s="869"/>
      <c r="M56" s="869"/>
      <c r="N56" s="869"/>
      <c r="O56" s="869"/>
    </row>
    <row r="57" spans="1:15" s="837" customFormat="1">
      <c r="A57" s="869"/>
      <c r="B57" s="869"/>
      <c r="C57" s="870"/>
      <c r="D57" s="870"/>
      <c r="E57" s="870"/>
      <c r="F57" s="870"/>
      <c r="G57" s="870"/>
      <c r="H57" s="869"/>
      <c r="I57" s="869"/>
      <c r="J57" s="870"/>
      <c r="K57" s="870"/>
      <c r="L57" s="869"/>
      <c r="M57" s="869"/>
      <c r="N57" s="869"/>
      <c r="O57" s="869"/>
    </row>
    <row r="58" spans="1:15" s="837" customFormat="1">
      <c r="A58" s="869"/>
      <c r="B58" s="869"/>
      <c r="C58" s="870"/>
      <c r="D58" s="870"/>
      <c r="E58" s="870"/>
      <c r="F58" s="870"/>
      <c r="G58" s="870"/>
      <c r="H58" s="869"/>
      <c r="I58" s="869"/>
      <c r="J58" s="870"/>
      <c r="K58" s="870"/>
      <c r="L58" s="869"/>
      <c r="M58" s="869"/>
      <c r="N58" s="869"/>
      <c r="O58" s="869"/>
    </row>
    <row r="59" spans="1:15" s="837" customFormat="1">
      <c r="A59" s="869"/>
      <c r="B59" s="869"/>
      <c r="C59" s="870"/>
      <c r="D59" s="870"/>
      <c r="E59" s="870"/>
      <c r="F59" s="870"/>
      <c r="G59" s="870"/>
      <c r="H59" s="869"/>
      <c r="I59" s="869"/>
      <c r="J59" s="870"/>
      <c r="K59" s="870"/>
      <c r="L59" s="869"/>
      <c r="M59" s="869"/>
      <c r="N59" s="869"/>
      <c r="O59" s="869"/>
    </row>
    <row r="60" spans="1:15" s="837" customFormat="1">
      <c r="A60" s="869"/>
      <c r="B60" s="869"/>
      <c r="C60" s="870"/>
      <c r="D60" s="870"/>
      <c r="E60" s="870"/>
      <c r="F60" s="870"/>
      <c r="G60" s="870"/>
      <c r="H60" s="869"/>
      <c r="I60" s="869"/>
      <c r="J60" s="870"/>
      <c r="K60" s="870"/>
      <c r="L60" s="869"/>
      <c r="M60" s="869"/>
      <c r="N60" s="869"/>
      <c r="O60" s="869"/>
    </row>
    <row r="61" spans="1:15" s="837" customFormat="1">
      <c r="A61" s="869"/>
      <c r="B61" s="869"/>
      <c r="C61" s="870"/>
      <c r="D61" s="870"/>
      <c r="E61" s="870"/>
      <c r="F61" s="870"/>
      <c r="G61" s="870"/>
      <c r="H61" s="869"/>
      <c r="I61" s="869"/>
      <c r="J61" s="870"/>
      <c r="K61" s="870"/>
      <c r="L61" s="869"/>
      <c r="M61" s="869"/>
      <c r="N61" s="869"/>
      <c r="O61" s="869"/>
    </row>
    <row r="62" spans="1:15" s="837" customFormat="1">
      <c r="A62" s="869"/>
      <c r="B62" s="869"/>
      <c r="C62" s="870"/>
      <c r="D62" s="870"/>
      <c r="E62" s="870"/>
      <c r="F62" s="870"/>
      <c r="G62" s="870"/>
      <c r="H62" s="869"/>
      <c r="I62" s="869"/>
      <c r="J62" s="870"/>
      <c r="K62" s="870"/>
      <c r="L62" s="869"/>
      <c r="M62" s="869"/>
      <c r="N62" s="869"/>
      <c r="O62" s="869"/>
    </row>
    <row r="63" spans="1:15" s="837" customFormat="1">
      <c r="A63" s="869"/>
      <c r="B63" s="869"/>
      <c r="C63" s="870"/>
      <c r="D63" s="870"/>
      <c r="E63" s="870"/>
      <c r="F63" s="870"/>
      <c r="G63" s="870"/>
      <c r="H63" s="869"/>
      <c r="I63" s="869"/>
      <c r="J63" s="870"/>
      <c r="K63" s="870"/>
      <c r="L63" s="869"/>
      <c r="M63" s="869"/>
      <c r="N63" s="869"/>
      <c r="O63" s="869"/>
    </row>
    <row r="64" spans="1:15" s="837" customFormat="1">
      <c r="A64" s="869"/>
      <c r="B64" s="869"/>
      <c r="C64" s="870"/>
      <c r="D64" s="870"/>
      <c r="E64" s="870"/>
      <c r="F64" s="870"/>
      <c r="G64" s="870"/>
      <c r="H64" s="869"/>
      <c r="I64" s="869"/>
      <c r="J64" s="870"/>
      <c r="K64" s="870"/>
      <c r="L64" s="869"/>
      <c r="M64" s="869"/>
      <c r="N64" s="869"/>
      <c r="O64" s="869"/>
    </row>
    <row r="65" spans="1:15" s="837" customFormat="1">
      <c r="A65" s="869"/>
      <c r="B65" s="869"/>
      <c r="C65" s="870"/>
      <c r="D65" s="870"/>
      <c r="E65" s="870"/>
      <c r="F65" s="870"/>
      <c r="G65" s="870"/>
      <c r="H65" s="869"/>
      <c r="I65" s="869"/>
      <c r="J65" s="870"/>
      <c r="K65" s="870"/>
      <c r="L65" s="869"/>
      <c r="M65" s="869"/>
      <c r="N65" s="869"/>
      <c r="O65" s="869"/>
    </row>
    <row r="66" spans="1:15" s="837" customFormat="1">
      <c r="A66" s="869"/>
      <c r="B66" s="869"/>
      <c r="C66" s="870"/>
      <c r="D66" s="870"/>
      <c r="E66" s="870"/>
      <c r="F66" s="870"/>
      <c r="G66" s="870"/>
      <c r="H66" s="869"/>
      <c r="I66" s="869"/>
      <c r="J66" s="870"/>
      <c r="K66" s="870"/>
      <c r="L66" s="869"/>
      <c r="M66" s="869"/>
      <c r="N66" s="869"/>
      <c r="O66" s="869"/>
    </row>
    <row r="67" spans="1:15" s="837" customFormat="1">
      <c r="A67" s="869"/>
      <c r="B67" s="869"/>
      <c r="C67" s="870"/>
      <c r="D67" s="870"/>
      <c r="E67" s="870"/>
      <c r="F67" s="870"/>
      <c r="G67" s="870"/>
      <c r="H67" s="869"/>
      <c r="I67" s="869"/>
      <c r="J67" s="870"/>
      <c r="K67" s="870"/>
      <c r="L67" s="869"/>
      <c r="M67" s="869"/>
      <c r="N67" s="869"/>
      <c r="O67" s="869"/>
    </row>
    <row r="68" spans="1:15" s="837" customFormat="1">
      <c r="A68" s="869"/>
      <c r="B68" s="869"/>
      <c r="C68" s="870"/>
      <c r="D68" s="870"/>
      <c r="E68" s="870"/>
      <c r="F68" s="870"/>
      <c r="G68" s="870"/>
      <c r="H68" s="869"/>
      <c r="I68" s="869"/>
      <c r="J68" s="870"/>
      <c r="K68" s="870"/>
      <c r="L68" s="869"/>
      <c r="M68" s="869"/>
      <c r="N68" s="869"/>
      <c r="O68" s="869"/>
    </row>
    <row r="69" spans="1:15" s="837" customFormat="1">
      <c r="A69" s="869"/>
      <c r="B69" s="869"/>
      <c r="C69" s="870"/>
      <c r="D69" s="870"/>
      <c r="E69" s="870"/>
      <c r="F69" s="870"/>
      <c r="G69" s="870"/>
      <c r="H69" s="869"/>
      <c r="I69" s="869"/>
      <c r="J69" s="870"/>
      <c r="K69" s="870"/>
      <c r="L69" s="869"/>
      <c r="M69" s="869"/>
      <c r="N69" s="869"/>
      <c r="O69" s="869"/>
    </row>
    <row r="70" spans="1:15" s="837" customFormat="1">
      <c r="A70" s="869"/>
      <c r="B70" s="869"/>
      <c r="C70" s="870"/>
      <c r="D70" s="870"/>
      <c r="E70" s="870"/>
      <c r="F70" s="870"/>
      <c r="G70" s="870"/>
      <c r="H70" s="869"/>
      <c r="I70" s="869"/>
      <c r="J70" s="870"/>
      <c r="K70" s="870"/>
      <c r="L70" s="869"/>
      <c r="M70" s="869"/>
      <c r="N70" s="869"/>
      <c r="O70" s="869"/>
    </row>
    <row r="71" spans="1:15" s="837" customFormat="1">
      <c r="A71" s="869"/>
      <c r="B71" s="869"/>
      <c r="C71" s="870"/>
      <c r="D71" s="870"/>
      <c r="E71" s="870"/>
      <c r="F71" s="870"/>
      <c r="G71" s="870"/>
      <c r="H71" s="869"/>
      <c r="I71" s="869"/>
      <c r="J71" s="870"/>
      <c r="K71" s="870"/>
      <c r="L71" s="869"/>
      <c r="M71" s="869"/>
      <c r="N71" s="869"/>
      <c r="O71" s="869"/>
    </row>
    <row r="72" spans="1:15" s="837" customFormat="1">
      <c r="A72" s="869"/>
      <c r="B72" s="869"/>
      <c r="C72" s="870"/>
      <c r="D72" s="870"/>
      <c r="E72" s="870"/>
      <c r="F72" s="870"/>
      <c r="G72" s="870"/>
      <c r="H72" s="869"/>
      <c r="I72" s="869"/>
      <c r="J72" s="870"/>
      <c r="K72" s="870"/>
      <c r="L72" s="869"/>
      <c r="M72" s="869"/>
      <c r="N72" s="869"/>
      <c r="O72" s="869"/>
    </row>
    <row r="73" spans="1:15" s="837" customFormat="1">
      <c r="A73" s="869"/>
      <c r="B73" s="869"/>
      <c r="C73" s="870"/>
      <c r="D73" s="870"/>
      <c r="E73" s="870"/>
      <c r="F73" s="870"/>
      <c r="G73" s="870"/>
      <c r="H73" s="869"/>
      <c r="I73" s="869"/>
      <c r="J73" s="870"/>
      <c r="K73" s="870"/>
      <c r="L73" s="869"/>
      <c r="M73" s="869"/>
      <c r="N73" s="869"/>
      <c r="O73" s="869"/>
    </row>
    <row r="74" spans="1:15" s="837" customFormat="1">
      <c r="A74" s="869"/>
      <c r="B74" s="869"/>
      <c r="C74" s="870"/>
      <c r="D74" s="870"/>
      <c r="E74" s="870"/>
      <c r="F74" s="870"/>
      <c r="G74" s="870"/>
      <c r="H74" s="869"/>
      <c r="I74" s="869"/>
      <c r="J74" s="870"/>
      <c r="K74" s="870"/>
      <c r="L74" s="869"/>
      <c r="M74" s="869"/>
      <c r="N74" s="869"/>
      <c r="O74" s="869"/>
    </row>
    <row r="75" spans="1:15" s="837" customFormat="1">
      <c r="A75" s="869"/>
      <c r="B75" s="869"/>
      <c r="C75" s="870"/>
      <c r="D75" s="870"/>
      <c r="E75" s="870"/>
      <c r="F75" s="870"/>
      <c r="G75" s="870"/>
      <c r="H75" s="869"/>
      <c r="I75" s="869"/>
      <c r="J75" s="870"/>
      <c r="K75" s="870"/>
      <c r="L75" s="869"/>
      <c r="M75" s="869"/>
      <c r="N75" s="869"/>
      <c r="O75" s="869"/>
    </row>
    <row r="76" spans="1:15" s="837" customFormat="1">
      <c r="A76" s="869"/>
      <c r="B76" s="869"/>
      <c r="C76" s="870"/>
      <c r="D76" s="870"/>
      <c r="E76" s="870"/>
      <c r="F76" s="870"/>
      <c r="G76" s="870"/>
      <c r="H76" s="869"/>
      <c r="I76" s="869"/>
      <c r="J76" s="870"/>
      <c r="K76" s="870"/>
      <c r="L76" s="869"/>
      <c r="M76" s="869"/>
      <c r="N76" s="869"/>
      <c r="O76" s="869"/>
    </row>
    <row r="77" spans="1:15" s="837" customFormat="1">
      <c r="A77" s="869"/>
      <c r="B77" s="869"/>
      <c r="C77" s="870"/>
      <c r="D77" s="870"/>
      <c r="E77" s="870"/>
      <c r="F77" s="870"/>
      <c r="G77" s="870"/>
      <c r="H77" s="869"/>
      <c r="I77" s="869"/>
      <c r="J77" s="870"/>
      <c r="K77" s="870"/>
      <c r="L77" s="869"/>
      <c r="M77" s="869"/>
      <c r="N77" s="869"/>
      <c r="O77" s="869"/>
    </row>
    <row r="78" spans="1:15" s="837" customFormat="1">
      <c r="A78" s="869"/>
      <c r="B78" s="869"/>
      <c r="C78" s="870"/>
      <c r="D78" s="870"/>
      <c r="E78" s="870"/>
      <c r="F78" s="870"/>
      <c r="G78" s="870"/>
      <c r="H78" s="869"/>
      <c r="I78" s="869"/>
      <c r="J78" s="870"/>
      <c r="K78" s="870"/>
      <c r="L78" s="869"/>
      <c r="M78" s="869"/>
      <c r="N78" s="869"/>
      <c r="O78" s="869"/>
    </row>
    <row r="79" spans="1:15" s="837" customFormat="1">
      <c r="A79" s="869"/>
      <c r="B79" s="869"/>
      <c r="C79" s="870"/>
      <c r="D79" s="870"/>
      <c r="E79" s="870"/>
      <c r="F79" s="870"/>
      <c r="G79" s="870"/>
      <c r="H79" s="869"/>
      <c r="I79" s="869"/>
      <c r="J79" s="870"/>
      <c r="K79" s="870"/>
      <c r="L79" s="869"/>
      <c r="M79" s="869"/>
      <c r="N79" s="869"/>
      <c r="O79" s="869"/>
    </row>
    <row r="80" spans="1:15" s="837" customFormat="1">
      <c r="A80" s="869"/>
      <c r="B80" s="869"/>
      <c r="C80" s="870"/>
      <c r="D80" s="870"/>
      <c r="E80" s="870"/>
      <c r="F80" s="870"/>
      <c r="G80" s="870"/>
      <c r="H80" s="869"/>
      <c r="I80" s="869"/>
      <c r="J80" s="870"/>
      <c r="K80" s="870"/>
      <c r="L80" s="869"/>
      <c r="M80" s="869"/>
      <c r="N80" s="869"/>
      <c r="O80" s="869"/>
    </row>
    <row r="81" spans="1:15" s="837" customFormat="1">
      <c r="A81" s="869"/>
      <c r="B81" s="869"/>
      <c r="C81" s="870"/>
      <c r="D81" s="870"/>
      <c r="E81" s="870"/>
      <c r="F81" s="870"/>
      <c r="G81" s="870"/>
      <c r="H81" s="869"/>
      <c r="I81" s="869"/>
      <c r="J81" s="870"/>
      <c r="K81" s="870"/>
      <c r="L81" s="869"/>
      <c r="M81" s="869"/>
      <c r="N81" s="869"/>
      <c r="O81" s="869"/>
    </row>
    <row r="82" spans="1:15" s="837" customFormat="1">
      <c r="A82" s="869"/>
      <c r="B82" s="869"/>
      <c r="C82" s="870"/>
      <c r="D82" s="870"/>
      <c r="E82" s="870"/>
      <c r="F82" s="870"/>
      <c r="G82" s="870"/>
      <c r="H82" s="869"/>
      <c r="I82" s="869"/>
      <c r="J82" s="870"/>
      <c r="K82" s="870"/>
      <c r="L82" s="869"/>
      <c r="M82" s="869"/>
      <c r="N82" s="869"/>
      <c r="O82" s="869"/>
    </row>
    <row r="83" spans="1:15" s="837" customFormat="1">
      <c r="A83" s="869"/>
      <c r="B83" s="869"/>
      <c r="C83" s="870"/>
      <c r="D83" s="870"/>
      <c r="E83" s="870"/>
      <c r="F83" s="870"/>
      <c r="G83" s="870"/>
      <c r="H83" s="869"/>
      <c r="I83" s="869"/>
      <c r="J83" s="870"/>
      <c r="K83" s="870"/>
      <c r="L83" s="869"/>
      <c r="M83" s="869"/>
      <c r="N83" s="869"/>
      <c r="O83" s="869"/>
    </row>
    <row r="84" spans="1:15" s="837" customFormat="1">
      <c r="A84" s="869"/>
      <c r="B84" s="869"/>
      <c r="C84" s="870"/>
      <c r="D84" s="870"/>
      <c r="E84" s="870"/>
      <c r="F84" s="870"/>
      <c r="G84" s="870"/>
      <c r="H84" s="869"/>
      <c r="I84" s="869"/>
      <c r="J84" s="870"/>
      <c r="K84" s="870"/>
      <c r="L84" s="869"/>
      <c r="M84" s="869"/>
      <c r="N84" s="869"/>
      <c r="O84" s="869"/>
    </row>
    <row r="85" spans="1:15" s="837" customFormat="1">
      <c r="A85" s="869"/>
      <c r="B85" s="869"/>
      <c r="C85" s="870"/>
      <c r="D85" s="870"/>
      <c r="E85" s="870"/>
      <c r="F85" s="870"/>
      <c r="G85" s="870"/>
      <c r="H85" s="869"/>
      <c r="I85" s="869"/>
      <c r="J85" s="870"/>
      <c r="K85" s="870"/>
      <c r="L85" s="869"/>
      <c r="M85" s="869"/>
      <c r="N85" s="869"/>
      <c r="O85" s="869"/>
    </row>
    <row r="86" spans="1:15" s="837" customFormat="1">
      <c r="A86" s="869"/>
      <c r="B86" s="869"/>
      <c r="C86" s="870"/>
      <c r="D86" s="870"/>
      <c r="E86" s="870"/>
      <c r="F86" s="870"/>
      <c r="G86" s="870"/>
      <c r="H86" s="869"/>
      <c r="I86" s="869"/>
      <c r="J86" s="870"/>
      <c r="K86" s="870"/>
      <c r="L86" s="869"/>
      <c r="M86" s="869"/>
      <c r="N86" s="869"/>
      <c r="O86" s="869"/>
    </row>
    <row r="87" spans="1:15" s="837" customFormat="1">
      <c r="A87" s="869"/>
      <c r="B87" s="869"/>
      <c r="C87" s="870"/>
      <c r="D87" s="870"/>
      <c r="E87" s="870"/>
      <c r="F87" s="870"/>
      <c r="G87" s="870"/>
      <c r="H87" s="869"/>
      <c r="I87" s="869"/>
      <c r="J87" s="870"/>
      <c r="K87" s="870"/>
      <c r="L87" s="869"/>
      <c r="M87" s="869"/>
      <c r="N87" s="869"/>
      <c r="O87" s="869"/>
    </row>
    <row r="88" spans="1:15" s="837" customFormat="1">
      <c r="A88" s="869"/>
      <c r="B88" s="869"/>
      <c r="C88" s="870"/>
      <c r="D88" s="870"/>
      <c r="E88" s="870"/>
      <c r="F88" s="870"/>
      <c r="G88" s="870"/>
      <c r="H88" s="869"/>
      <c r="I88" s="869"/>
      <c r="J88" s="870"/>
      <c r="K88" s="870"/>
      <c r="L88" s="869"/>
      <c r="M88" s="869"/>
      <c r="N88" s="869"/>
      <c r="O88" s="869"/>
    </row>
    <row r="89" spans="1:15" s="837" customFormat="1">
      <c r="A89" s="869"/>
      <c r="B89" s="869"/>
      <c r="C89" s="870"/>
      <c r="D89" s="870"/>
      <c r="E89" s="870"/>
      <c r="F89" s="870"/>
      <c r="G89" s="870"/>
      <c r="H89" s="869"/>
      <c r="I89" s="869"/>
      <c r="J89" s="870"/>
      <c r="K89" s="870"/>
      <c r="L89" s="869"/>
      <c r="M89" s="869"/>
      <c r="N89" s="869"/>
      <c r="O89" s="869"/>
    </row>
    <row r="90" spans="1:15" s="837" customFormat="1">
      <c r="A90" s="869"/>
      <c r="B90" s="869"/>
      <c r="C90" s="870"/>
      <c r="D90" s="870"/>
      <c r="E90" s="870"/>
      <c r="F90" s="870"/>
      <c r="G90" s="870"/>
      <c r="H90" s="869"/>
      <c r="I90" s="869"/>
      <c r="J90" s="870"/>
      <c r="K90" s="870"/>
      <c r="L90" s="869"/>
      <c r="M90" s="869"/>
      <c r="N90" s="869"/>
      <c r="O90" s="869"/>
    </row>
    <row r="91" spans="1:15" s="837" customFormat="1">
      <c r="A91" s="869"/>
      <c r="B91" s="869"/>
      <c r="C91" s="870"/>
      <c r="D91" s="870"/>
      <c r="E91" s="870"/>
      <c r="F91" s="870"/>
      <c r="G91" s="870"/>
      <c r="H91" s="869"/>
      <c r="I91" s="869"/>
      <c r="J91" s="870"/>
      <c r="K91" s="870"/>
      <c r="L91" s="869"/>
      <c r="M91" s="869"/>
      <c r="N91" s="869"/>
      <c r="O91" s="869"/>
    </row>
    <row r="92" spans="1:15" s="837" customFormat="1">
      <c r="A92" s="869"/>
      <c r="B92" s="869"/>
      <c r="C92" s="870"/>
      <c r="D92" s="870"/>
      <c r="E92" s="870"/>
      <c r="F92" s="870"/>
      <c r="G92" s="870"/>
      <c r="H92" s="869"/>
      <c r="I92" s="869"/>
      <c r="J92" s="870"/>
      <c r="K92" s="870"/>
      <c r="L92" s="869"/>
      <c r="M92" s="869"/>
      <c r="N92" s="869"/>
      <c r="O92" s="869"/>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2"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6" customWidth="1"/>
    <col min="2" max="2" width="5.90625" style="876" customWidth="1"/>
    <col min="3" max="3" width="9.81640625" style="876" customWidth="1"/>
    <col min="4" max="4" width="21.36328125" style="876" customWidth="1"/>
    <col min="5" max="5" width="1.81640625" style="876" customWidth="1"/>
    <col min="6" max="6" width="16.90625" style="876" customWidth="1"/>
    <col min="7" max="7" width="2.36328125" style="876" customWidth="1"/>
    <col min="8" max="8" width="19.1796875" style="876" customWidth="1"/>
    <col min="9" max="9" width="1.6328125" style="876" customWidth="1"/>
    <col min="10" max="10" width="20.81640625" style="876" customWidth="1"/>
    <col min="11" max="11" width="2.08984375" style="876" customWidth="1"/>
    <col min="12" max="12" width="22.453125" style="876" customWidth="1"/>
    <col min="13" max="13" width="2.453125" style="876" customWidth="1"/>
    <col min="14" max="14" width="10.81640625" style="876" bestFit="1" customWidth="1"/>
    <col min="15" max="15" width="12.54296875" style="876" bestFit="1" customWidth="1"/>
    <col min="16" max="16384" width="8.90625" style="876"/>
  </cols>
  <sheetData>
    <row r="1" spans="1:256" ht="15">
      <c r="A1" s="1184" t="s">
        <v>1217</v>
      </c>
    </row>
    <row r="2" spans="1:256" ht="18" customHeight="1"/>
    <row r="3" spans="1:256" ht="17.399999999999999">
      <c r="A3" s="877" t="s">
        <v>0</v>
      </c>
      <c r="B3" s="878"/>
      <c r="C3" s="878"/>
      <c r="D3" s="879"/>
      <c r="E3" s="879"/>
      <c r="F3" s="878"/>
      <c r="G3" s="878" t="s">
        <v>16</v>
      </c>
      <c r="H3" s="878"/>
      <c r="I3" s="878"/>
      <c r="J3" s="878"/>
      <c r="K3" s="878"/>
      <c r="L3" s="880" t="s">
        <v>382</v>
      </c>
      <c r="M3" s="879"/>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7.399999999999999">
      <c r="A4" s="877" t="s">
        <v>383</v>
      </c>
      <c r="B4" s="878"/>
      <c r="C4" s="878"/>
      <c r="D4" s="879"/>
      <c r="E4" s="879"/>
      <c r="F4" s="878"/>
      <c r="G4" s="878"/>
      <c r="H4" s="878"/>
      <c r="I4" s="878"/>
      <c r="J4" s="878"/>
      <c r="K4" s="878"/>
      <c r="L4" s="882"/>
      <c r="M4" s="879"/>
      <c r="N4" s="881"/>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 r="A5" s="883" t="s">
        <v>384</v>
      </c>
      <c r="B5" s="878"/>
      <c r="C5" s="878"/>
      <c r="D5" s="879"/>
      <c r="E5" s="879"/>
      <c r="F5" s="878"/>
      <c r="G5" s="878"/>
      <c r="H5" s="878"/>
      <c r="I5" s="878"/>
      <c r="J5" s="878"/>
      <c r="K5" s="878"/>
      <c r="L5" s="878"/>
      <c r="M5" s="879"/>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7.399999999999999">
      <c r="A6" s="883" t="s">
        <v>1667</v>
      </c>
      <c r="B6" s="878"/>
      <c r="C6" s="878"/>
      <c r="D6" s="879"/>
      <c r="E6" s="879"/>
      <c r="F6" s="878"/>
      <c r="G6" s="878"/>
      <c r="H6" s="878"/>
      <c r="I6" s="878"/>
      <c r="J6" s="878"/>
      <c r="K6" s="878"/>
      <c r="L6" s="878"/>
      <c r="M6" s="879"/>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17.399999999999999">
      <c r="A7" s="1636" t="s">
        <v>1103</v>
      </c>
      <c r="B7" s="878"/>
      <c r="C7" s="878"/>
      <c r="D7" s="879"/>
      <c r="E7" s="879"/>
      <c r="F7" s="878"/>
      <c r="G7" s="878"/>
      <c r="H7" s="878"/>
      <c r="I7" s="878"/>
      <c r="J7" s="878"/>
      <c r="K7" s="878"/>
      <c r="L7" s="878"/>
      <c r="M7" s="879"/>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ht="17.399999999999999">
      <c r="A8" s="877"/>
      <c r="B8" s="877"/>
      <c r="C8" s="877"/>
      <c r="D8" s="1364"/>
      <c r="E8" s="877"/>
      <c r="F8" s="877"/>
      <c r="G8" s="877"/>
      <c r="H8" s="877"/>
      <c r="I8" s="877"/>
      <c r="J8" s="1364" t="s">
        <v>366</v>
      </c>
      <c r="K8" s="877"/>
      <c r="L8" s="1364"/>
      <c r="M8" s="879"/>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ht="17.399999999999999">
      <c r="A9" s="877"/>
      <c r="B9" s="877"/>
      <c r="C9" s="877"/>
      <c r="D9" s="1364" t="s">
        <v>242</v>
      </c>
      <c r="E9" s="877"/>
      <c r="F9" s="877"/>
      <c r="G9" s="877"/>
      <c r="H9" s="877"/>
      <c r="I9" s="877"/>
      <c r="J9" s="1364" t="s">
        <v>367</v>
      </c>
      <c r="K9" s="877"/>
      <c r="L9" s="1364" t="s">
        <v>242</v>
      </c>
      <c r="M9" s="879"/>
      <c r="N9" s="881"/>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 r="A10" s="897" t="s">
        <v>368</v>
      </c>
      <c r="B10" s="877"/>
      <c r="C10" s="877"/>
      <c r="D10" s="1852" t="s">
        <v>1669</v>
      </c>
      <c r="E10" s="877"/>
      <c r="F10" s="1364" t="s">
        <v>244</v>
      </c>
      <c r="G10" s="877"/>
      <c r="H10" s="1364" t="s">
        <v>245</v>
      </c>
      <c r="I10" s="877"/>
      <c r="J10" s="1364" t="s">
        <v>246</v>
      </c>
      <c r="K10" s="877"/>
      <c r="L10" s="1852" t="s">
        <v>1670</v>
      </c>
      <c r="M10" s="879"/>
      <c r="N10" s="881"/>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9.75" customHeight="1">
      <c r="A11" s="877" t="s">
        <v>16</v>
      </c>
      <c r="B11" s="877"/>
      <c r="C11" s="877"/>
      <c r="D11" s="1365" t="s">
        <v>16</v>
      </c>
      <c r="E11" s="877"/>
      <c r="F11" s="1365" t="s">
        <v>16</v>
      </c>
      <c r="G11" s="877"/>
      <c r="H11" s="1365" t="s">
        <v>16</v>
      </c>
      <c r="I11" s="877"/>
      <c r="J11" s="1365" t="s">
        <v>16</v>
      </c>
      <c r="K11" s="877" t="s">
        <v>16</v>
      </c>
      <c r="L11" s="1365" t="s">
        <v>16</v>
      </c>
      <c r="M11" s="879"/>
      <c r="N11" s="881"/>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8" customHeight="1">
      <c r="A12" s="884" t="s">
        <v>231</v>
      </c>
      <c r="B12" s="881"/>
      <c r="C12" s="881"/>
      <c r="D12" s="1366"/>
      <c r="E12" s="1366"/>
      <c r="F12" s="900"/>
      <c r="G12" s="845"/>
      <c r="H12" s="900"/>
      <c r="I12" s="1366"/>
      <c r="J12" s="1366"/>
      <c r="K12" s="1366"/>
      <c r="L12" s="1366"/>
      <c r="M12" s="885"/>
      <c r="N12" s="886"/>
      <c r="O12" s="887"/>
      <c r="P12" s="887"/>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7.5" customHeight="1">
      <c r="A13" s="877"/>
      <c r="B13" s="881"/>
      <c r="C13" s="881"/>
      <c r="D13" s="1366"/>
      <c r="E13" s="1366"/>
      <c r="F13" s="1366"/>
      <c r="G13" s="1366"/>
      <c r="H13" s="1366"/>
      <c r="I13" s="1366"/>
      <c r="J13" s="1366"/>
      <c r="K13" s="1366"/>
      <c r="L13" s="1366"/>
      <c r="M13" s="885"/>
      <c r="N13" s="886"/>
      <c r="O13" s="887"/>
      <c r="P13" s="887"/>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5.75" customHeight="1">
      <c r="A14" s="881" t="s">
        <v>1279</v>
      </c>
      <c r="B14" s="881"/>
      <c r="C14" s="881"/>
      <c r="D14" s="1367">
        <v>3.4340000000000002</v>
      </c>
      <c r="E14" s="1368"/>
      <c r="F14" s="1369">
        <v>7.2270000000000003</v>
      </c>
      <c r="G14" s="1368"/>
      <c r="H14" s="1369">
        <v>17.890999999999998</v>
      </c>
      <c r="I14" s="1368"/>
      <c r="J14" s="1370">
        <v>0</v>
      </c>
      <c r="K14" s="1368"/>
      <c r="L14" s="1369">
        <f>ROUND(D14+F14-H14+J14,3)</f>
        <v>-7.23</v>
      </c>
      <c r="M14" s="885"/>
      <c r="N14" s="886"/>
      <c r="O14" s="887"/>
      <c r="P14" s="887"/>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6.75" customHeight="1">
      <c r="A15" s="877"/>
      <c r="B15" s="881"/>
      <c r="C15" s="881"/>
      <c r="D15" s="1371" t="s">
        <v>16</v>
      </c>
      <c r="E15" s="1372"/>
      <c r="F15" s="1373" t="s">
        <v>16</v>
      </c>
      <c r="G15" s="1372"/>
      <c r="H15" s="1373" t="s">
        <v>16</v>
      </c>
      <c r="I15" s="1372"/>
      <c r="J15" s="1374" t="s">
        <v>16</v>
      </c>
      <c r="K15" s="1372"/>
      <c r="L15" s="1375" t="s">
        <v>16</v>
      </c>
      <c r="M15" s="888"/>
      <c r="N15" s="881"/>
      <c r="O15" s="887"/>
      <c r="P15" s="887"/>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7.25" customHeight="1">
      <c r="A16" s="877" t="s">
        <v>385</v>
      </c>
      <c r="B16" s="881"/>
      <c r="C16" s="881"/>
      <c r="D16" s="1376">
        <f>ROUND(SUM(D14),3)</f>
        <v>3.4340000000000002</v>
      </c>
      <c r="E16" s="1377"/>
      <c r="F16" s="1376">
        <f>ROUND(SUM(F14),3)</f>
        <v>7.2270000000000003</v>
      </c>
      <c r="G16" s="1377"/>
      <c r="H16" s="1376">
        <f>ROUND(SUM(H14),3)</f>
        <v>17.890999999999998</v>
      </c>
      <c r="I16" s="1377"/>
      <c r="J16" s="1837">
        <f>ROUND(SUM(J14),3)</f>
        <v>0</v>
      </c>
      <c r="K16" s="1377"/>
      <c r="L16" s="1376">
        <f>ROUND(SUM(L14),3)</f>
        <v>-7.23</v>
      </c>
      <c r="M16" s="889"/>
      <c r="N16" s="881"/>
      <c r="O16" s="887"/>
      <c r="P16" s="887"/>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2" customHeight="1">
      <c r="A17" s="877"/>
      <c r="B17" s="881"/>
      <c r="C17" s="881"/>
      <c r="D17" s="1378"/>
      <c r="E17" s="850"/>
      <c r="F17" s="1378"/>
      <c r="G17" s="850"/>
      <c r="H17" s="1378"/>
      <c r="I17" s="850"/>
      <c r="J17" s="854"/>
      <c r="K17" s="850"/>
      <c r="L17" s="1378"/>
      <c r="M17" s="888"/>
      <c r="N17" s="881"/>
      <c r="O17" s="887"/>
      <c r="P17" s="887"/>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8" customHeight="1">
      <c r="A18" s="890" t="s">
        <v>235</v>
      </c>
      <c r="B18" s="877"/>
      <c r="C18" s="877"/>
      <c r="D18" s="1379"/>
      <c r="E18" s="1379"/>
      <c r="F18" s="1379"/>
      <c r="G18" s="1379"/>
      <c r="H18" s="1379"/>
      <c r="I18" s="1379"/>
      <c r="J18" s="1379"/>
      <c r="K18" s="1379"/>
      <c r="L18" s="1379"/>
      <c r="M18" s="879"/>
      <c r="N18" s="881"/>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7.5" customHeight="1">
      <c r="A19" s="877"/>
      <c r="B19" s="877"/>
      <c r="C19" s="877"/>
      <c r="D19" s="1379"/>
      <c r="E19" s="1379"/>
      <c r="F19" s="1379"/>
      <c r="G19" s="1379"/>
      <c r="H19" s="1379"/>
      <c r="I19" s="1379"/>
      <c r="J19" s="1379"/>
      <c r="K19" s="1379"/>
      <c r="L19" s="850"/>
      <c r="M19" s="879"/>
      <c r="N19" s="881"/>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5" customHeight="1">
      <c r="A20" s="1380" t="s">
        <v>386</v>
      </c>
      <c r="B20" s="877"/>
      <c r="C20" s="899"/>
      <c r="D20" s="850">
        <v>2.35</v>
      </c>
      <c r="E20" s="849"/>
      <c r="F20" s="1339">
        <v>1E-3</v>
      </c>
      <c r="G20" s="849"/>
      <c r="H20" s="852">
        <v>2.9000000000000001E-2</v>
      </c>
      <c r="I20" s="849"/>
      <c r="J20" s="1381">
        <v>0</v>
      </c>
      <c r="K20" s="849"/>
      <c r="L20" s="850">
        <f>ROUND(D20+F20-H20+J20,3)</f>
        <v>2.3220000000000001</v>
      </c>
      <c r="M20" s="879"/>
      <c r="N20" s="881"/>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15.75" customHeight="1">
      <c r="A21" s="1380" t="s">
        <v>387</v>
      </c>
      <c r="B21" s="877"/>
      <c r="C21" s="877"/>
      <c r="D21" s="1382">
        <v>9.1080000000000005</v>
      </c>
      <c r="E21" s="850"/>
      <c r="F21" s="1383">
        <v>7.6999999999999999E-2</v>
      </c>
      <c r="G21" s="850"/>
      <c r="H21" s="1384">
        <v>5.8000000000000003E-2</v>
      </c>
      <c r="I21" s="850"/>
      <c r="J21" s="1385">
        <v>0</v>
      </c>
      <c r="K21" s="850"/>
      <c r="L21" s="1838">
        <f>ROUND(D21+F21-H21+J21,3)</f>
        <v>9.1270000000000007</v>
      </c>
      <c r="M21" s="879"/>
      <c r="N21" s="881"/>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ht="6.75" customHeight="1">
      <c r="A22" s="1380"/>
      <c r="B22" s="877"/>
      <c r="C22" s="877"/>
      <c r="D22" s="854"/>
      <c r="E22" s="850"/>
      <c r="F22" s="854" t="s">
        <v>16</v>
      </c>
      <c r="G22" s="850"/>
      <c r="H22" s="1386"/>
      <c r="I22" s="850"/>
      <c r="J22" s="1387"/>
      <c r="K22" s="850"/>
      <c r="L22" s="854"/>
      <c r="M22" s="879"/>
      <c r="N22" s="881"/>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ht="17.25" customHeight="1">
      <c r="A23" s="883" t="s">
        <v>1566</v>
      </c>
      <c r="B23" s="877"/>
      <c r="C23" s="899"/>
      <c r="D23" s="1388">
        <f>ROUND(SUM(D20:D21),3)</f>
        <v>11.458</v>
      </c>
      <c r="E23" s="1379"/>
      <c r="F23" s="1388">
        <f>ROUND(SUM(F20:F21),3)</f>
        <v>7.8E-2</v>
      </c>
      <c r="G23" s="1379"/>
      <c r="H23" s="1388">
        <f>ROUND(SUM(H20:H21),3)</f>
        <v>8.6999999999999994E-2</v>
      </c>
      <c r="I23" s="1379"/>
      <c r="J23" s="1388">
        <f>ROUND(SUM(J20:J21),3)</f>
        <v>0</v>
      </c>
      <c r="K23" s="1379"/>
      <c r="L23" s="1388">
        <f>ROUND(SUM(L20:L21),3)</f>
        <v>11.449</v>
      </c>
      <c r="M23" s="891"/>
      <c r="N23" s="892"/>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ht="12" customHeight="1">
      <c r="A24" s="877"/>
      <c r="B24" s="877"/>
      <c r="C24" s="877"/>
      <c r="D24" s="1379"/>
      <c r="E24" s="1377"/>
      <c r="F24" s="1379"/>
      <c r="G24" s="1377"/>
      <c r="H24" s="1379"/>
      <c r="I24" s="1377"/>
      <c r="J24" s="1379"/>
      <c r="K24" s="1377"/>
      <c r="L24" s="1379"/>
      <c r="M24" s="879"/>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ht="17.399999999999999">
      <c r="A25" s="884" t="s">
        <v>388</v>
      </c>
      <c r="B25" s="877"/>
      <c r="C25" s="877"/>
      <c r="D25" s="1377"/>
      <c r="E25" s="1377"/>
      <c r="F25" s="1377"/>
      <c r="G25" s="1377"/>
      <c r="H25" s="1377"/>
      <c r="I25" s="1377"/>
      <c r="J25" s="1377"/>
      <c r="K25" s="1377"/>
      <c r="L25" s="1377"/>
      <c r="M25" s="879"/>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ht="7.5" customHeight="1">
      <c r="A26" s="881" t="s">
        <v>16</v>
      </c>
      <c r="B26" s="881"/>
      <c r="C26" s="881"/>
      <c r="D26" s="850"/>
      <c r="E26" s="850"/>
      <c r="F26" s="850"/>
      <c r="G26" s="850"/>
      <c r="H26" s="850"/>
      <c r="I26" s="850"/>
      <c r="J26" s="850"/>
      <c r="K26" s="850"/>
      <c r="L26" s="850"/>
      <c r="M26" s="879"/>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ht="16.5" customHeight="1">
      <c r="A27" s="881" t="s">
        <v>1268</v>
      </c>
      <c r="B27" s="881"/>
      <c r="C27" s="881" t="s">
        <v>16</v>
      </c>
      <c r="D27" s="855">
        <v>15.805999999999999</v>
      </c>
      <c r="E27" s="849"/>
      <c r="F27" s="1389">
        <v>0.99299999999999999</v>
      </c>
      <c r="G27" s="849"/>
      <c r="H27" s="1389">
        <v>0</v>
      </c>
      <c r="I27" s="849"/>
      <c r="J27" s="1389">
        <v>0</v>
      </c>
      <c r="K27" s="849"/>
      <c r="L27" s="850">
        <f t="shared" ref="L27:L43" si="0">ROUND(D27+F27-H27+J27,3)</f>
        <v>16.798999999999999</v>
      </c>
      <c r="M27" s="888"/>
      <c r="N27" s="881"/>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ht="15.75" customHeight="1">
      <c r="A28" s="1380" t="s">
        <v>389</v>
      </c>
      <c r="B28" s="881"/>
      <c r="C28" s="881"/>
      <c r="D28" s="855">
        <v>0.30299999999999999</v>
      </c>
      <c r="E28" s="849"/>
      <c r="F28" s="1389">
        <v>3.0000000000000001E-3</v>
      </c>
      <c r="G28" s="1390"/>
      <c r="H28" s="1389">
        <v>5.0000000000000001E-3</v>
      </c>
      <c r="I28" s="1390"/>
      <c r="J28" s="1389">
        <v>0</v>
      </c>
      <c r="K28" s="1390"/>
      <c r="L28" s="850">
        <f t="shared" si="0"/>
        <v>0.30099999999999999</v>
      </c>
      <c r="M28" s="888"/>
      <c r="N28" s="881"/>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6.5" customHeight="1">
      <c r="A29" s="881" t="s">
        <v>390</v>
      </c>
      <c r="B29" s="881"/>
      <c r="C29" s="881"/>
      <c r="D29" s="855">
        <v>785.84199999999998</v>
      </c>
      <c r="E29" s="849"/>
      <c r="F29" s="1389">
        <v>827.83900000000006</v>
      </c>
      <c r="G29" s="1390"/>
      <c r="H29" s="1389">
        <v>723.86</v>
      </c>
      <c r="I29" s="1390"/>
      <c r="J29" s="1389">
        <v>0</v>
      </c>
      <c r="K29" s="1390"/>
      <c r="L29" s="850">
        <f t="shared" si="0"/>
        <v>889.82100000000003</v>
      </c>
      <c r="M29" s="888"/>
      <c r="N29" s="881"/>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ht="16.5" customHeight="1">
      <c r="A30" s="881" t="s">
        <v>391</v>
      </c>
      <c r="B30" s="881"/>
      <c r="C30" s="881" t="s">
        <v>16</v>
      </c>
      <c r="D30" s="855">
        <v>15.085000000000001</v>
      </c>
      <c r="E30" s="849"/>
      <c r="F30" s="1389">
        <v>106.524</v>
      </c>
      <c r="G30" s="1390"/>
      <c r="H30" s="1389">
        <v>106.626</v>
      </c>
      <c r="I30" s="1390"/>
      <c r="J30" s="1389">
        <v>0</v>
      </c>
      <c r="K30" s="1390"/>
      <c r="L30" s="850">
        <f t="shared" si="0"/>
        <v>14.983000000000001</v>
      </c>
      <c r="M30" s="888"/>
      <c r="N30" s="881"/>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ht="16.5" customHeight="1">
      <c r="A31" s="881" t="s">
        <v>1282</v>
      </c>
      <c r="B31" s="881"/>
      <c r="C31" s="881"/>
      <c r="D31" s="855">
        <v>-5.2729999999999997</v>
      </c>
      <c r="E31" s="849"/>
      <c r="F31" s="1389">
        <v>446.52499999999998</v>
      </c>
      <c r="G31" s="1390"/>
      <c r="H31" s="1389">
        <v>408.08100000000002</v>
      </c>
      <c r="I31" s="1390"/>
      <c r="J31" s="1389">
        <v>0</v>
      </c>
      <c r="K31" s="1390"/>
      <c r="L31" s="850">
        <f t="shared" si="0"/>
        <v>33.170999999999999</v>
      </c>
      <c r="M31" s="888"/>
      <c r="N31" s="751"/>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ht="16.5" customHeight="1">
      <c r="A32" s="881" t="s">
        <v>392</v>
      </c>
      <c r="B32" s="881"/>
      <c r="C32" s="881" t="s">
        <v>16</v>
      </c>
      <c r="D32" s="855">
        <v>9.2449999999999992</v>
      </c>
      <c r="E32" s="849"/>
      <c r="F32" s="1389">
        <v>6.6239999999999997</v>
      </c>
      <c r="G32" s="1390"/>
      <c r="H32" s="1389">
        <v>5.7560000000000002</v>
      </c>
      <c r="I32" s="1390"/>
      <c r="J32" s="1389">
        <v>0</v>
      </c>
      <c r="K32" s="1390"/>
      <c r="L32" s="850">
        <f t="shared" si="0"/>
        <v>10.113</v>
      </c>
      <c r="M32" s="888"/>
      <c r="N32" s="881"/>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ht="15.75" customHeight="1">
      <c r="A33" s="881" t="s">
        <v>393</v>
      </c>
      <c r="B33" s="881"/>
      <c r="C33" s="881"/>
      <c r="D33" s="855">
        <v>0.48099999999999998</v>
      </c>
      <c r="E33" s="849"/>
      <c r="F33" s="1389">
        <v>1.0169999999999999</v>
      </c>
      <c r="G33" s="1390"/>
      <c r="H33" s="1389">
        <v>0.83</v>
      </c>
      <c r="I33" s="1390"/>
      <c r="J33" s="1389">
        <v>0</v>
      </c>
      <c r="K33" s="1390"/>
      <c r="L33" s="850">
        <f t="shared" si="0"/>
        <v>0.66800000000000004</v>
      </c>
      <c r="M33" s="888"/>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ht="15.75" customHeight="1">
      <c r="A34" s="881" t="s">
        <v>394</v>
      </c>
      <c r="B34" s="881"/>
      <c r="C34" s="881"/>
      <c r="D34" s="855">
        <v>407.05799999999999</v>
      </c>
      <c r="E34" s="849"/>
      <c r="F34" s="1389">
        <v>83.787000000000006</v>
      </c>
      <c r="G34" s="1390"/>
      <c r="H34" s="1389">
        <v>65.787000000000006</v>
      </c>
      <c r="I34" s="1390"/>
      <c r="J34" s="1389">
        <v>0</v>
      </c>
      <c r="K34" s="1390"/>
      <c r="L34" s="850">
        <f t="shared" si="0"/>
        <v>425.05799999999999</v>
      </c>
      <c r="M34" s="893"/>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16.5" customHeight="1">
      <c r="A35" s="881" t="s">
        <v>395</v>
      </c>
      <c r="B35" s="881"/>
      <c r="C35" s="881"/>
      <c r="D35" s="855">
        <v>0.12</v>
      </c>
      <c r="E35" s="849"/>
      <c r="F35" s="1389">
        <v>0</v>
      </c>
      <c r="G35" s="849"/>
      <c r="H35" s="1389">
        <v>0</v>
      </c>
      <c r="I35" s="1390"/>
      <c r="J35" s="1389">
        <v>0</v>
      </c>
      <c r="K35" s="1390"/>
      <c r="L35" s="850">
        <f t="shared" si="0"/>
        <v>0.12</v>
      </c>
      <c r="M35" s="888"/>
      <c r="N35" s="881"/>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6.5" customHeight="1">
      <c r="A36" s="881" t="s">
        <v>396</v>
      </c>
      <c r="B36" s="881"/>
      <c r="C36" s="881"/>
      <c r="D36" s="855">
        <v>1755.239</v>
      </c>
      <c r="E36" s="849"/>
      <c r="F36" s="1389">
        <v>96.188999999999993</v>
      </c>
      <c r="G36" s="1390"/>
      <c r="H36" s="1389">
        <v>146.73099999999999</v>
      </c>
      <c r="I36" s="1390"/>
      <c r="J36" s="1389">
        <v>0</v>
      </c>
      <c r="K36" s="1390"/>
      <c r="L36" s="850">
        <f t="shared" si="0"/>
        <v>1704.6969999999999</v>
      </c>
      <c r="M36" s="888"/>
      <c r="N36" s="881"/>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ht="16.5" customHeight="1">
      <c r="A37" s="881" t="s">
        <v>1290</v>
      </c>
      <c r="B37" s="881"/>
      <c r="C37" s="881"/>
      <c r="D37" s="855">
        <v>22.239000000000001</v>
      </c>
      <c r="E37" s="849"/>
      <c r="F37" s="1389">
        <v>8.5440000000000005</v>
      </c>
      <c r="G37" s="849"/>
      <c r="H37" s="1389">
        <v>3.8380000000000001</v>
      </c>
      <c r="I37" s="1390"/>
      <c r="J37" s="1389">
        <v>0</v>
      </c>
      <c r="K37" s="1390"/>
      <c r="L37" s="850">
        <f t="shared" si="0"/>
        <v>26.945</v>
      </c>
      <c r="M37" s="888"/>
      <c r="N37" s="881"/>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5" customHeight="1">
      <c r="A38" s="881" t="s">
        <v>397</v>
      </c>
      <c r="B38" s="881"/>
      <c r="C38" s="881"/>
      <c r="D38" s="855">
        <v>58.655000000000001</v>
      </c>
      <c r="E38" s="849"/>
      <c r="F38" s="1389">
        <v>200.005</v>
      </c>
      <c r="G38" s="1390"/>
      <c r="H38" s="1389">
        <v>154.072</v>
      </c>
      <c r="I38" s="1390"/>
      <c r="J38" s="1389">
        <v>0</v>
      </c>
      <c r="K38" s="1390"/>
      <c r="L38" s="850">
        <f t="shared" si="0"/>
        <v>104.58799999999999</v>
      </c>
      <c r="M38" s="888"/>
      <c r="N38" s="881"/>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ht="16.5" customHeight="1">
      <c r="A39" s="881" t="s">
        <v>1291</v>
      </c>
      <c r="B39" s="881"/>
      <c r="C39" s="881"/>
      <c r="D39" s="855">
        <v>219.32499999999999</v>
      </c>
      <c r="E39" s="849"/>
      <c r="F39" s="1389">
        <v>5686.6059999999998</v>
      </c>
      <c r="G39" s="1390"/>
      <c r="H39" s="1389">
        <v>5676.2520000000004</v>
      </c>
      <c r="I39" s="1390"/>
      <c r="J39" s="1389">
        <v>0</v>
      </c>
      <c r="K39" s="1390"/>
      <c r="L39" s="850">
        <f t="shared" si="0"/>
        <v>229.679</v>
      </c>
      <c r="M39" s="888"/>
      <c r="N39" s="881"/>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15.75" customHeight="1">
      <c r="A40" s="881" t="s">
        <v>398</v>
      </c>
      <c r="B40" s="881"/>
      <c r="C40" s="881"/>
      <c r="D40" s="1389">
        <v>0</v>
      </c>
      <c r="E40" s="849"/>
      <c r="F40" s="1389">
        <v>0</v>
      </c>
      <c r="G40" s="1390"/>
      <c r="H40" s="1389">
        <v>0</v>
      </c>
      <c r="I40" s="1390"/>
      <c r="J40" s="1389">
        <v>0</v>
      </c>
      <c r="K40" s="1390"/>
      <c r="L40" s="850">
        <f t="shared" si="0"/>
        <v>0</v>
      </c>
      <c r="M40" s="888"/>
      <c r="N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5.75" customHeight="1">
      <c r="A41" s="881" t="s">
        <v>1280</v>
      </c>
      <c r="B41" s="881"/>
      <c r="C41" s="881"/>
      <c r="D41" s="855">
        <v>194.40899999999999</v>
      </c>
      <c r="E41" s="849"/>
      <c r="F41" s="1389">
        <v>-56.171999999999997</v>
      </c>
      <c r="G41" s="1390"/>
      <c r="H41" s="1389">
        <v>0</v>
      </c>
      <c r="I41" s="1390"/>
      <c r="J41" s="1389">
        <v>0</v>
      </c>
      <c r="K41" s="1390"/>
      <c r="L41" s="850">
        <f t="shared" si="0"/>
        <v>138.23699999999999</v>
      </c>
      <c r="M41" s="888"/>
      <c r="N41" s="881"/>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ht="15.75" customHeight="1">
      <c r="A42" s="881" t="s">
        <v>1281</v>
      </c>
      <c r="B42" s="881"/>
      <c r="C42" s="881"/>
      <c r="D42" s="1389">
        <v>-8.1000000000000003E-2</v>
      </c>
      <c r="E42" s="849"/>
      <c r="F42" s="1389">
        <v>14.661</v>
      </c>
      <c r="G42" s="1390"/>
      <c r="H42" s="1389">
        <v>28.853999999999999</v>
      </c>
      <c r="I42" s="1390"/>
      <c r="J42" s="1389">
        <v>0</v>
      </c>
      <c r="K42" s="1390"/>
      <c r="L42" s="850">
        <f t="shared" si="0"/>
        <v>-14.273999999999999</v>
      </c>
      <c r="M42" s="888"/>
      <c r="N42" s="881"/>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ht="18" customHeight="1">
      <c r="A43" s="881" t="s">
        <v>1568</v>
      </c>
      <c r="B43" s="881"/>
      <c r="C43" s="881"/>
      <c r="D43" s="1391">
        <v>0</v>
      </c>
      <c r="E43" s="855"/>
      <c r="F43" s="1389">
        <v>0</v>
      </c>
      <c r="G43" s="855"/>
      <c r="H43" s="1389">
        <v>0</v>
      </c>
      <c r="I43" s="855"/>
      <c r="J43" s="1389">
        <v>0</v>
      </c>
      <c r="K43" s="855"/>
      <c r="L43" s="850">
        <f t="shared" si="0"/>
        <v>0</v>
      </c>
      <c r="M43" s="888"/>
      <c r="N43" s="881"/>
      <c r="O43" s="894"/>
      <c r="P43" s="894"/>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ht="17.25" customHeight="1">
      <c r="A44" s="877" t="s">
        <v>1515</v>
      </c>
      <c r="B44" s="881"/>
      <c r="C44" s="881"/>
      <c r="D44" s="1392">
        <f>ROUND(SUM(D27:D43),3)</f>
        <v>3478.453</v>
      </c>
      <c r="E44" s="1376"/>
      <c r="F44" s="1392">
        <f>ROUND(SUM(F27:F43),3)</f>
        <v>7423.1450000000004</v>
      </c>
      <c r="G44" s="1376"/>
      <c r="H44" s="1392">
        <f>ROUND(SUM(H27:H43),3)</f>
        <v>7320.692</v>
      </c>
      <c r="I44" s="1376"/>
      <c r="J44" s="1392">
        <f>ROUND(SUM(J27:J43),3)</f>
        <v>0</v>
      </c>
      <c r="K44" s="1376"/>
      <c r="L44" s="1392">
        <f>ROUND(SUM(L27:L43),3)</f>
        <v>3580.9059999999999</v>
      </c>
      <c r="M44" s="889"/>
      <c r="N44" s="752"/>
      <c r="O44" s="892"/>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ht="12" customHeight="1">
      <c r="A45" s="877"/>
      <c r="B45" s="881"/>
      <c r="C45" s="881"/>
      <c r="D45" s="1378" t="s">
        <v>16</v>
      </c>
      <c r="E45" s="850"/>
      <c r="F45" s="1378" t="s">
        <v>16</v>
      </c>
      <c r="G45" s="850"/>
      <c r="H45" s="1378" t="s">
        <v>16</v>
      </c>
      <c r="I45" s="850"/>
      <c r="J45" s="854" t="s">
        <v>16</v>
      </c>
      <c r="K45" s="850"/>
      <c r="L45" s="1378" t="s">
        <v>16</v>
      </c>
      <c r="M45" s="888"/>
      <c r="N45" s="881"/>
      <c r="O45" s="894"/>
      <c r="P45" s="894"/>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ht="3" customHeight="1">
      <c r="A46" s="877"/>
      <c r="B46" s="881"/>
      <c r="C46" s="881"/>
      <c r="D46" s="1393"/>
      <c r="E46" s="1393"/>
      <c r="F46" s="1393"/>
      <c r="G46" s="1393"/>
      <c r="H46" s="1393"/>
      <c r="I46" s="1393"/>
      <c r="J46" s="1393"/>
      <c r="K46" s="1393"/>
      <c r="L46" s="1393"/>
      <c r="M46" s="888"/>
      <c r="N46" s="881"/>
      <c r="O46" s="894"/>
      <c r="P46" s="894"/>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ht="17.25" customHeight="1" thickBot="1">
      <c r="A47" s="877" t="s">
        <v>1516</v>
      </c>
      <c r="B47" s="881"/>
      <c r="C47" s="899"/>
      <c r="D47" s="1394">
        <f>ROUND(D16+D23+D44,3)</f>
        <v>3493.3449999999998</v>
      </c>
      <c r="E47" s="1395"/>
      <c r="F47" s="1394">
        <f>ROUND(F16+F23+F44,3)</f>
        <v>7430.45</v>
      </c>
      <c r="G47" s="1395"/>
      <c r="H47" s="1394">
        <f>ROUND(H16+H23+H44,3)</f>
        <v>7338.67</v>
      </c>
      <c r="I47" s="1396"/>
      <c r="J47" s="1394">
        <f>ROUND(J16+J23+J44,3)</f>
        <v>0</v>
      </c>
      <c r="K47" s="1395"/>
      <c r="L47" s="1394">
        <f>ROUND(L16+L23+L44,3)</f>
        <v>3585.125</v>
      </c>
      <c r="M47" s="889"/>
      <c r="N47" s="892"/>
      <c r="O47" s="894"/>
      <c r="P47" s="894"/>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ht="12" customHeight="1" thickTop="1">
      <c r="A48" s="881"/>
      <c r="B48" s="881"/>
      <c r="C48" s="881"/>
      <c r="D48" s="1397" t="s">
        <v>16</v>
      </c>
      <c r="E48" s="1372"/>
      <c r="F48" s="1397" t="s">
        <v>16</v>
      </c>
      <c r="G48" s="1372"/>
      <c r="H48" s="1397" t="s">
        <v>16</v>
      </c>
      <c r="I48" s="1372"/>
      <c r="J48" s="1366" t="s">
        <v>16</v>
      </c>
      <c r="K48" s="1372"/>
      <c r="L48" s="1397" t="s">
        <v>16</v>
      </c>
      <c r="M48" s="888"/>
      <c r="N48" s="881"/>
      <c r="O48" s="894"/>
      <c r="P48" s="894"/>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ht="15.75" customHeight="1">
      <c r="A49" s="1398"/>
      <c r="B49" s="881"/>
      <c r="C49" s="881"/>
      <c r="D49" s="881"/>
      <c r="E49" s="881"/>
      <c r="F49" s="881"/>
      <c r="G49" s="881"/>
      <c r="H49" s="881"/>
      <c r="I49" s="881"/>
      <c r="J49" s="881"/>
      <c r="K49" s="881"/>
      <c r="L49" s="881"/>
      <c r="M49" s="881"/>
      <c r="N49" s="881"/>
      <c r="O49" s="894"/>
      <c r="P49" s="894"/>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17.399999999999999">
      <c r="A50" s="881"/>
      <c r="B50" s="881"/>
      <c r="C50" s="881" t="s">
        <v>16</v>
      </c>
      <c r="D50" s="892"/>
      <c r="E50" s="881"/>
      <c r="F50" s="881"/>
      <c r="G50" s="881"/>
      <c r="H50" s="881"/>
      <c r="I50" s="881"/>
      <c r="J50" s="881"/>
      <c r="K50" s="881"/>
      <c r="L50" s="895"/>
      <c r="M50" s="881"/>
      <c r="N50" s="881"/>
      <c r="O50" s="894"/>
      <c r="P50" s="894"/>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7.399999999999999">
      <c r="A51" s="892"/>
      <c r="B51" s="881"/>
      <c r="C51" s="881"/>
      <c r="D51" s="881"/>
      <c r="E51" s="881"/>
      <c r="F51" s="881"/>
      <c r="G51" s="881"/>
      <c r="H51" s="881"/>
      <c r="I51" s="881"/>
      <c r="J51" s="881"/>
      <c r="K51" s="881"/>
      <c r="L51" s="881"/>
      <c r="M51" s="881"/>
      <c r="N51" s="881"/>
      <c r="O51" s="894"/>
      <c r="P51" s="894"/>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ht="17.399999999999999">
      <c r="A52" s="892"/>
      <c r="B52" s="881"/>
      <c r="C52" s="881"/>
      <c r="D52" s="881"/>
      <c r="E52" s="881"/>
      <c r="F52" s="881"/>
      <c r="G52" s="881"/>
      <c r="H52" s="881"/>
      <c r="I52" s="881"/>
      <c r="J52" s="881"/>
      <c r="K52" s="881"/>
      <c r="L52" s="881"/>
      <c r="M52" s="881"/>
      <c r="N52" s="881"/>
      <c r="O52" s="894"/>
      <c r="P52" s="894"/>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ht="17.399999999999999">
      <c r="A53" s="892"/>
      <c r="B53" s="881"/>
      <c r="C53" s="881"/>
      <c r="D53" s="881"/>
      <c r="E53" s="881"/>
      <c r="F53" s="881"/>
      <c r="G53" s="881"/>
      <c r="H53" s="881"/>
      <c r="I53" s="881"/>
      <c r="J53" s="881"/>
      <c r="K53" s="881"/>
      <c r="L53" s="881"/>
      <c r="M53" s="881"/>
      <c r="N53" s="881"/>
      <c r="O53" s="894"/>
      <c r="P53" s="894"/>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 r="A54" s="892"/>
      <c r="B54" s="881"/>
      <c r="C54" s="881"/>
      <c r="D54" s="881"/>
      <c r="E54" s="881"/>
      <c r="F54" s="881"/>
      <c r="G54" s="881"/>
      <c r="H54" s="881"/>
      <c r="I54" s="881"/>
      <c r="J54" s="881"/>
      <c r="K54" s="881"/>
      <c r="L54" s="881"/>
      <c r="M54" s="881"/>
      <c r="N54" s="881"/>
      <c r="O54" s="894"/>
      <c r="P54" s="894"/>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17.399999999999999">
      <c r="A55" s="892"/>
      <c r="B55" s="881"/>
      <c r="C55" s="881"/>
      <c r="D55" s="881"/>
      <c r="E55" s="881"/>
      <c r="F55" s="881"/>
      <c r="G55" s="881"/>
      <c r="H55" s="881"/>
      <c r="I55" s="881"/>
      <c r="J55" s="881"/>
      <c r="K55" s="881"/>
      <c r="L55" s="881"/>
      <c r="M55" s="881"/>
      <c r="N55" s="881"/>
      <c r="O55" s="894"/>
      <c r="P55" s="894"/>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7.399999999999999">
      <c r="A56" s="881"/>
      <c r="B56" s="881"/>
      <c r="C56" s="881"/>
      <c r="D56" s="881"/>
      <c r="E56" s="881"/>
      <c r="F56" s="881"/>
      <c r="G56" s="881"/>
      <c r="H56" s="881"/>
      <c r="I56" s="881"/>
      <c r="J56" s="881"/>
      <c r="K56" s="881"/>
      <c r="L56" s="881"/>
      <c r="M56" s="881"/>
      <c r="N56" s="881"/>
      <c r="O56" s="894"/>
      <c r="P56" s="894"/>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ht="17.399999999999999">
      <c r="A57" s="881"/>
      <c r="B57" s="881"/>
      <c r="C57" s="881"/>
      <c r="D57" s="881"/>
      <c r="E57" s="881"/>
      <c r="F57" s="881"/>
      <c r="G57" s="881"/>
      <c r="H57" s="881"/>
      <c r="I57" s="881"/>
      <c r="J57" s="881"/>
      <c r="K57" s="881"/>
      <c r="L57" s="881"/>
      <c r="M57" s="881"/>
      <c r="N57" s="881"/>
      <c r="O57" s="894"/>
      <c r="P57" s="894"/>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17.399999999999999">
      <c r="A58" s="881"/>
      <c r="B58" s="881"/>
      <c r="C58" s="881"/>
      <c r="D58" s="881"/>
      <c r="E58" s="881"/>
      <c r="F58" s="881"/>
      <c r="G58" s="881"/>
      <c r="H58" s="881"/>
      <c r="I58" s="881"/>
      <c r="J58" s="881"/>
      <c r="K58" s="881"/>
      <c r="L58" s="881"/>
      <c r="M58" s="881"/>
      <c r="N58" s="881"/>
      <c r="O58" s="894"/>
      <c r="P58" s="894"/>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ht="17.399999999999999">
      <c r="A59" s="881"/>
      <c r="B59" s="881"/>
      <c r="C59" s="881"/>
      <c r="D59" s="881"/>
      <c r="E59" s="881"/>
      <c r="F59" s="881"/>
      <c r="G59" s="881"/>
      <c r="H59" s="881"/>
      <c r="I59" s="881"/>
      <c r="J59" s="881"/>
      <c r="K59" s="881"/>
      <c r="L59" s="881"/>
      <c r="M59" s="881"/>
      <c r="N59" s="881"/>
      <c r="O59" s="894"/>
      <c r="P59" s="894"/>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17.399999999999999">
      <c r="A60" s="881"/>
      <c r="B60" s="881"/>
      <c r="C60" s="881"/>
      <c r="D60" s="896"/>
      <c r="E60" s="881"/>
      <c r="F60" s="881"/>
      <c r="G60" s="881"/>
      <c r="H60" s="881"/>
      <c r="I60" s="881"/>
      <c r="J60" s="896"/>
      <c r="K60" s="881"/>
      <c r="L60" s="896"/>
      <c r="M60" s="881"/>
      <c r="N60" s="881"/>
      <c r="O60" s="894"/>
      <c r="P60" s="894"/>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17.399999999999999">
      <c r="A61" s="881"/>
      <c r="B61" s="881"/>
      <c r="C61" s="881"/>
      <c r="D61" s="896"/>
      <c r="E61" s="881"/>
      <c r="F61" s="881"/>
      <c r="G61" s="881"/>
      <c r="H61" s="881"/>
      <c r="I61" s="881"/>
      <c r="J61" s="896"/>
      <c r="K61" s="881"/>
      <c r="L61" s="896"/>
      <c r="M61" s="881"/>
      <c r="N61" s="881"/>
      <c r="O61" s="894"/>
      <c r="P61" s="894"/>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17.399999999999999">
      <c r="A62" s="897"/>
      <c r="B62" s="881"/>
      <c r="C62" s="881"/>
      <c r="D62" s="898"/>
      <c r="E62" s="886"/>
      <c r="F62" s="898"/>
      <c r="G62" s="886"/>
      <c r="H62" s="898"/>
      <c r="I62" s="886"/>
      <c r="J62" s="898"/>
      <c r="K62" s="886"/>
      <c r="L62" s="898"/>
      <c r="M62" s="881"/>
      <c r="N62" s="881"/>
      <c r="O62" s="894"/>
      <c r="P62" s="894"/>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7.399999999999999">
      <c r="A63" s="881"/>
      <c r="B63" s="881"/>
      <c r="C63" s="881"/>
      <c r="D63" s="886"/>
      <c r="E63" s="881"/>
      <c r="F63" s="886"/>
      <c r="G63" s="881"/>
      <c r="H63" s="886"/>
      <c r="I63" s="881"/>
      <c r="J63" s="886"/>
      <c r="K63" s="881"/>
      <c r="L63" s="886"/>
      <c r="M63" s="881"/>
      <c r="N63" s="881"/>
      <c r="O63" s="894"/>
      <c r="P63" s="894"/>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17.399999999999999">
      <c r="A64" s="884"/>
      <c r="B64" s="881"/>
      <c r="C64" s="881"/>
      <c r="D64" s="881"/>
      <c r="E64" s="881"/>
      <c r="F64" s="881"/>
      <c r="G64" s="881"/>
      <c r="H64" s="881"/>
      <c r="I64" s="881"/>
      <c r="J64" s="881"/>
      <c r="K64" s="881"/>
      <c r="L64" s="881"/>
      <c r="M64" s="881"/>
      <c r="N64" s="881"/>
      <c r="O64" s="894"/>
      <c r="P64" s="894"/>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7.399999999999999">
      <c r="A65" s="881"/>
      <c r="B65" s="881"/>
      <c r="C65" s="881"/>
      <c r="D65" s="881"/>
      <c r="E65" s="881"/>
      <c r="F65" s="881"/>
      <c r="G65" s="881"/>
      <c r="H65" s="881"/>
      <c r="I65" s="881"/>
      <c r="J65" s="881"/>
      <c r="K65" s="881"/>
      <c r="L65" s="881"/>
      <c r="M65" s="881"/>
      <c r="N65" s="881"/>
      <c r="O65" s="894"/>
      <c r="P65" s="894"/>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20.100000000000001" customHeight="1">
      <c r="A66" s="881"/>
      <c r="B66" s="881"/>
      <c r="C66" s="899"/>
      <c r="D66" s="900"/>
      <c r="E66" s="899"/>
      <c r="F66" s="901"/>
      <c r="G66" s="899"/>
      <c r="H66" s="902"/>
      <c r="I66" s="899"/>
      <c r="J66" s="903"/>
      <c r="K66" s="899"/>
      <c r="L66" s="900"/>
      <c r="M66" s="881"/>
      <c r="N66" s="881"/>
      <c r="O66" s="894"/>
      <c r="P66" s="894"/>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20.100000000000001" customHeight="1">
      <c r="A67" s="881"/>
      <c r="B67" s="881"/>
      <c r="C67" s="881"/>
      <c r="D67" s="900"/>
      <c r="E67" s="881"/>
      <c r="F67" s="881"/>
      <c r="G67" s="881"/>
      <c r="H67" s="902"/>
      <c r="I67" s="881"/>
      <c r="J67" s="903"/>
      <c r="K67" s="881"/>
      <c r="L67" s="900"/>
      <c r="M67" s="881"/>
      <c r="N67" s="881"/>
      <c r="O67" s="894"/>
      <c r="P67" s="894"/>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20.100000000000001" customHeight="1">
      <c r="A68" s="881"/>
      <c r="B68" s="881"/>
      <c r="C68" s="881"/>
      <c r="D68" s="900"/>
      <c r="E68" s="881"/>
      <c r="F68" s="881"/>
      <c r="G68" s="881"/>
      <c r="H68" s="904"/>
      <c r="I68" s="881"/>
      <c r="J68" s="903"/>
      <c r="K68" s="881"/>
      <c r="L68" s="900"/>
      <c r="M68" s="881"/>
      <c r="N68" s="881"/>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20.100000000000001" customHeight="1">
      <c r="A69" s="881"/>
      <c r="B69" s="881"/>
      <c r="C69" s="881"/>
      <c r="D69" s="900"/>
      <c r="E69" s="881"/>
      <c r="F69" s="881"/>
      <c r="G69" s="881"/>
      <c r="H69" s="902"/>
      <c r="I69" s="881"/>
      <c r="J69" s="903"/>
      <c r="K69" s="881"/>
      <c r="L69" s="900"/>
      <c r="M69" s="881"/>
      <c r="N69" s="881"/>
      <c r="O69" s="894"/>
      <c r="P69" s="894"/>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20.100000000000001" customHeight="1">
      <c r="A70" s="881"/>
      <c r="B70" s="881"/>
      <c r="C70" s="881"/>
      <c r="D70" s="900"/>
      <c r="E70" s="881"/>
      <c r="F70" s="881"/>
      <c r="G70" s="881"/>
      <c r="H70" s="902"/>
      <c r="I70" s="881"/>
      <c r="J70" s="903"/>
      <c r="K70" s="881"/>
      <c r="L70" s="900"/>
      <c r="M70" s="881"/>
      <c r="N70" s="881"/>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20.100000000000001" customHeight="1">
      <c r="A71" s="881"/>
      <c r="B71" s="881"/>
      <c r="C71" s="881"/>
      <c r="D71" s="900"/>
      <c r="E71" s="881"/>
      <c r="F71" s="881"/>
      <c r="G71" s="881"/>
      <c r="H71" s="905"/>
      <c r="I71" s="881"/>
      <c r="J71" s="903"/>
      <c r="K71" s="881"/>
      <c r="L71" s="900"/>
      <c r="M71" s="881"/>
      <c r="N71" s="881"/>
      <c r="O71" s="894"/>
      <c r="P71" s="894"/>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17.399999999999999">
      <c r="A72" s="1399"/>
      <c r="B72" s="881"/>
      <c r="C72" s="881"/>
      <c r="D72" s="881"/>
      <c r="E72" s="881"/>
      <c r="F72" s="881"/>
      <c r="G72" s="881"/>
      <c r="H72" s="881"/>
      <c r="I72" s="881"/>
      <c r="J72" s="881"/>
      <c r="K72" s="881"/>
      <c r="L72" s="881"/>
      <c r="M72" s="881"/>
      <c r="N72" s="881"/>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 r="A73" s="906"/>
      <c r="B73" s="881"/>
      <c r="C73" s="881"/>
      <c r="D73" s="881"/>
      <c r="E73" s="881"/>
      <c r="F73" s="881"/>
      <c r="G73" s="881"/>
      <c r="H73" s="881"/>
      <c r="I73" s="881"/>
      <c r="J73" s="881"/>
      <c r="K73" s="881"/>
      <c r="L73" s="881"/>
      <c r="M73" s="881"/>
      <c r="N73" s="881"/>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17.399999999999999">
      <c r="A74" s="881"/>
      <c r="B74" s="881"/>
      <c r="C74" s="88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ht="17.399999999999999">
      <c r="A75" s="881"/>
      <c r="B75" s="881"/>
      <c r="C75" s="88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ht="17.399999999999999">
      <c r="A76" s="881"/>
      <c r="B76" s="881"/>
      <c r="C76" s="88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7.399999999999999">
      <c r="A77" s="881"/>
      <c r="B77" s="881"/>
      <c r="C77" s="881"/>
      <c r="D77" s="881"/>
      <c r="E77" s="881"/>
      <c r="F77" s="881"/>
      <c r="G77" s="881"/>
      <c r="H77" s="881"/>
      <c r="I77" s="881"/>
      <c r="J77" s="881"/>
      <c r="K77" s="881"/>
      <c r="L77" s="881"/>
      <c r="M77" s="881"/>
      <c r="N77" s="881"/>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17.399999999999999">
      <c r="A78" s="881"/>
      <c r="B78" s="881"/>
      <c r="C78" s="881"/>
      <c r="D78" s="881"/>
      <c r="E78" s="881"/>
      <c r="F78" s="881"/>
      <c r="G78" s="881"/>
      <c r="H78" s="881"/>
      <c r="I78" s="881"/>
      <c r="J78" s="881"/>
      <c r="K78" s="881"/>
      <c r="L78" s="881"/>
      <c r="M78" s="881"/>
      <c r="N78" s="881"/>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ht="17.399999999999999">
      <c r="A79" s="1399"/>
      <c r="B79" s="881"/>
      <c r="C79" s="881"/>
      <c r="D79" s="881"/>
      <c r="E79" s="881"/>
      <c r="F79" s="881"/>
      <c r="G79" s="881"/>
      <c r="H79" s="881"/>
      <c r="I79" s="881"/>
      <c r="J79" s="881"/>
      <c r="K79" s="881"/>
      <c r="L79" s="881"/>
      <c r="M79" s="881"/>
      <c r="N79" s="881"/>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s="881" customFormat="1" ht="17.399999999999999"/>
    <row r="81" spans="1:256" ht="17.399999999999999">
      <c r="A81" s="881"/>
      <c r="B81" s="881"/>
      <c r="C81" s="881"/>
      <c r="D81" s="881"/>
      <c r="E81" s="881"/>
      <c r="F81" s="881"/>
      <c r="G81" s="881"/>
      <c r="H81" s="881"/>
      <c r="I81" s="881"/>
      <c r="J81" s="881"/>
      <c r="K81" s="881"/>
      <c r="L81" s="881"/>
      <c r="M81" s="881"/>
      <c r="N81" s="881"/>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s="881" customFormat="1" ht="17.399999999999999"/>
    <row r="83" spans="1:256" s="881" customFormat="1" ht="17.399999999999999"/>
    <row r="84" spans="1:256" s="881" customFormat="1" ht="17.399999999999999"/>
    <row r="85" spans="1:256" ht="17.399999999999999">
      <c r="A85" s="881"/>
      <c r="B85" s="881"/>
      <c r="C85" s="881"/>
      <c r="D85" s="881"/>
      <c r="E85" s="881"/>
      <c r="F85" s="881"/>
      <c r="G85" s="881"/>
      <c r="H85" s="881"/>
      <c r="I85" s="881"/>
      <c r="J85" s="881"/>
      <c r="K85" s="881"/>
      <c r="L85" s="881"/>
      <c r="M85" s="881"/>
      <c r="N85" s="881"/>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s="881" customFormat="1" ht="17.399999999999999"/>
    <row r="87" spans="1:256" s="881" customFormat="1" ht="17.399999999999999"/>
    <row r="88" spans="1:256" s="881" customFormat="1" ht="17.399999999999999"/>
    <row r="89" spans="1:256" s="881" customFormat="1" ht="17.399999999999999"/>
    <row r="90" spans="1:256" s="881" customFormat="1" ht="17.399999999999999"/>
    <row r="91" spans="1:256" s="881" customFormat="1" ht="17.399999999999999"/>
    <row r="92" spans="1:256" s="881" customFormat="1" ht="17.399999999999999"/>
    <row r="93" spans="1:256" s="881" customFormat="1" ht="17.399999999999999"/>
    <row r="94" spans="1:256" s="881" customFormat="1" ht="17.399999999999999"/>
    <row r="95" spans="1:256" s="881" customFormat="1" ht="17.399999999999999"/>
    <row r="96" spans="1:256" s="881" customFormat="1" ht="17.399999999999999"/>
    <row r="97" s="881" customFormat="1" ht="17.399999999999999"/>
    <row r="98" s="881" customFormat="1" ht="17.399999999999999"/>
    <row r="99" s="881" customFormat="1" ht="17.399999999999999"/>
    <row r="100" s="881" customFormat="1" ht="17.399999999999999"/>
    <row r="101" s="881" customFormat="1" ht="17.399999999999999"/>
    <row r="102" s="881" customFormat="1" ht="17.399999999999999"/>
    <row r="103" s="881" customFormat="1" ht="17.399999999999999"/>
    <row r="104" s="881" customFormat="1" ht="17.399999999999999"/>
    <row r="105" s="881" customFormat="1" ht="17.399999999999999"/>
    <row r="106" s="881" customFormat="1" ht="17.399999999999999"/>
    <row r="107" s="881" customFormat="1" ht="17.399999999999999"/>
    <row r="108" s="881" customFormat="1" ht="17.399999999999999"/>
    <row r="109" s="881" customFormat="1" ht="17.399999999999999"/>
    <row r="110" s="881" customFormat="1" ht="17.399999999999999"/>
    <row r="111" s="881" customFormat="1" ht="17.399999999999999"/>
    <row r="112" s="881" customFormat="1" ht="17.399999999999999"/>
    <row r="113" s="881" customFormat="1" ht="17.399999999999999"/>
    <row r="114" s="881" customFormat="1" ht="17.399999999999999"/>
    <row r="115" s="881" customFormat="1" ht="17.399999999999999"/>
    <row r="116" s="881" customFormat="1" ht="17.399999999999999"/>
    <row r="117" s="881" customFormat="1" ht="17.399999999999999"/>
    <row r="118" s="881" customFormat="1" ht="17.399999999999999"/>
    <row r="119" s="881" customFormat="1" ht="17.399999999999999"/>
    <row r="120" s="881" customFormat="1" ht="17.399999999999999"/>
    <row r="121" s="881" customFormat="1" ht="17.399999999999999"/>
    <row r="122" s="881" customFormat="1" ht="17.399999999999999"/>
    <row r="123" s="881" customFormat="1" ht="17.399999999999999"/>
    <row r="124" s="881" customFormat="1" ht="17.399999999999999"/>
    <row r="125" s="881" customFormat="1" ht="17.399999999999999"/>
    <row r="126" s="881" customFormat="1" ht="17.399999999999999"/>
    <row r="127" s="881" customFormat="1" ht="17.399999999999999"/>
    <row r="128" s="881" customFormat="1" ht="17.399999999999999"/>
    <row r="129" s="881" customFormat="1" ht="17.399999999999999"/>
    <row r="130" s="881" customFormat="1" ht="17.399999999999999"/>
    <row r="131" s="881" customFormat="1" ht="17.399999999999999"/>
    <row r="132" s="881" customFormat="1" ht="17.399999999999999"/>
    <row r="133" s="881" customFormat="1" ht="17.399999999999999"/>
    <row r="134" s="881" customFormat="1" ht="17.399999999999999"/>
    <row r="135" s="881"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3"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showOutlineSymbols="0" zoomScale="67" zoomScaleNormal="70" workbookViewId="0"/>
  </sheetViews>
  <sheetFormatPr defaultColWidth="8.90625" defaultRowHeight="13.2"/>
  <cols>
    <col min="1" max="1" width="53.54296875" style="908" customWidth="1"/>
    <col min="2" max="2" width="1.90625" style="908" customWidth="1"/>
    <col min="3" max="3" width="2.6328125" style="908" customWidth="1"/>
    <col min="4" max="4" width="20.1796875" style="908" customWidth="1"/>
    <col min="5" max="5" width="7.90625" style="908" customWidth="1"/>
    <col min="6" max="6" width="18.6328125" style="908" customWidth="1"/>
    <col min="7" max="7" width="7.81640625" style="908" customWidth="1"/>
    <col min="8" max="8" width="18.6328125" style="908" customWidth="1"/>
    <col min="9" max="9" width="7.6328125" style="908" customWidth="1"/>
    <col min="10" max="10" width="21.90625" style="908" customWidth="1"/>
    <col min="11" max="11" width="10.6328125" style="908" customWidth="1"/>
    <col min="12" max="16384" width="8.90625" style="908"/>
  </cols>
  <sheetData>
    <row r="1" spans="1:10" ht="15">
      <c r="A1" s="1184" t="s">
        <v>1217</v>
      </c>
    </row>
    <row r="2" spans="1:10" ht="15">
      <c r="A2" s="1734"/>
    </row>
    <row r="3" spans="1:10" ht="17.399999999999999">
      <c r="A3" s="862" t="s">
        <v>0</v>
      </c>
      <c r="B3" s="867"/>
      <c r="C3" s="867"/>
      <c r="D3" s="867"/>
      <c r="E3" s="867"/>
      <c r="F3" s="867"/>
      <c r="G3" s="862"/>
      <c r="H3" s="862"/>
      <c r="I3" s="862"/>
      <c r="J3" s="907" t="s">
        <v>399</v>
      </c>
    </row>
    <row r="4" spans="1:10" ht="17.399999999999999">
      <c r="A4" s="862" t="s">
        <v>400</v>
      </c>
      <c r="B4" s="867"/>
      <c r="C4" s="862"/>
      <c r="D4" s="867"/>
      <c r="E4" s="867"/>
      <c r="F4" s="867"/>
      <c r="G4" s="862"/>
      <c r="H4" s="862"/>
      <c r="I4" s="862"/>
      <c r="J4" s="862"/>
    </row>
    <row r="5" spans="1:10" ht="17.399999999999999">
      <c r="A5" s="862" t="s">
        <v>401</v>
      </c>
      <c r="B5" s="867"/>
      <c r="C5" s="862"/>
      <c r="D5" s="867"/>
      <c r="E5" s="867"/>
      <c r="F5" s="867"/>
      <c r="G5" s="862"/>
      <c r="H5" s="862"/>
      <c r="I5" s="862"/>
      <c r="J5" s="862"/>
    </row>
    <row r="6" spans="1:10" ht="17.399999999999999">
      <c r="A6" s="909" t="s">
        <v>1667</v>
      </c>
      <c r="B6" s="867"/>
      <c r="C6" s="862"/>
      <c r="D6" s="867"/>
      <c r="E6" s="867"/>
      <c r="F6" s="867"/>
      <c r="G6" s="862"/>
      <c r="H6" s="862"/>
      <c r="I6" s="862"/>
      <c r="J6" s="862"/>
    </row>
    <row r="7" spans="1:10" ht="17.399999999999999">
      <c r="A7" s="862" t="s">
        <v>1103</v>
      </c>
      <c r="B7" s="867"/>
      <c r="C7" s="862"/>
      <c r="D7" s="867"/>
      <c r="E7" s="867"/>
      <c r="F7" s="867"/>
      <c r="G7" s="862"/>
      <c r="H7" s="862"/>
      <c r="I7" s="862"/>
      <c r="J7" s="862"/>
    </row>
    <row r="8" spans="1:10" ht="17.399999999999999">
      <c r="A8" s="862"/>
      <c r="B8" s="867"/>
      <c r="C8" s="862"/>
      <c r="D8" s="867"/>
      <c r="E8" s="867"/>
      <c r="F8" s="867"/>
      <c r="G8" s="862"/>
      <c r="H8" s="862"/>
      <c r="I8" s="862"/>
      <c r="J8" s="862"/>
    </row>
    <row r="9" spans="1:10" ht="17.399999999999999">
      <c r="A9" s="862"/>
      <c r="B9" s="862"/>
      <c r="C9" s="862"/>
      <c r="D9" s="862"/>
      <c r="E9" s="862"/>
      <c r="F9" s="862"/>
      <c r="G9" s="862"/>
      <c r="H9" s="862"/>
      <c r="I9" s="862"/>
      <c r="J9" s="862"/>
    </row>
    <row r="10" spans="1:10" ht="17.399999999999999">
      <c r="A10" s="862"/>
      <c r="B10" s="862"/>
      <c r="C10" s="862"/>
      <c r="D10" s="910"/>
      <c r="E10" s="862"/>
      <c r="F10" s="862"/>
      <c r="G10" s="862"/>
      <c r="H10" s="862"/>
      <c r="I10" s="862"/>
      <c r="J10" s="910"/>
    </row>
    <row r="11" spans="1:10" ht="17.399999999999999">
      <c r="A11" s="862"/>
      <c r="B11" s="862"/>
      <c r="C11" s="862"/>
      <c r="D11" s="910" t="s">
        <v>242</v>
      </c>
      <c r="E11" s="862"/>
      <c r="F11" s="862"/>
      <c r="G11" s="862"/>
      <c r="H11" s="862"/>
      <c r="I11" s="862"/>
      <c r="J11" s="910" t="s">
        <v>242</v>
      </c>
    </row>
    <row r="12" spans="1:10" ht="17.399999999999999">
      <c r="A12" s="911" t="s">
        <v>368</v>
      </c>
      <c r="B12" s="862"/>
      <c r="C12" s="862"/>
      <c r="D12" s="1853" t="s">
        <v>1669</v>
      </c>
      <c r="E12" s="862"/>
      <c r="F12" s="910" t="s">
        <v>244</v>
      </c>
      <c r="G12" s="862"/>
      <c r="H12" s="910" t="s">
        <v>245</v>
      </c>
      <c r="I12" s="862"/>
      <c r="J12" s="1851" t="s">
        <v>1670</v>
      </c>
    </row>
    <row r="13" spans="1:10" ht="17.399999999999999">
      <c r="A13" s="911"/>
      <c r="B13" s="862"/>
      <c r="C13" s="862"/>
      <c r="D13" s="912"/>
      <c r="E13" s="862"/>
      <c r="F13" s="912"/>
      <c r="G13" s="862"/>
      <c r="H13" s="913" t="s">
        <v>241</v>
      </c>
      <c r="I13" s="862"/>
      <c r="J13" s="912"/>
    </row>
    <row r="14" spans="1:10" ht="17.399999999999999">
      <c r="A14" s="914" t="s">
        <v>402</v>
      </c>
      <c r="B14" s="862"/>
      <c r="C14" s="862"/>
      <c r="D14" s="862"/>
      <c r="E14" s="862"/>
      <c r="F14" s="915"/>
      <c r="G14" s="862"/>
      <c r="H14" s="862"/>
      <c r="I14" s="862"/>
      <c r="J14" s="862"/>
    </row>
    <row r="15" spans="1:10" ht="24.9" customHeight="1">
      <c r="A15" s="867" t="s">
        <v>403</v>
      </c>
      <c r="B15" s="862"/>
      <c r="C15" s="867"/>
      <c r="D15" s="916">
        <v>2.7130000000000001</v>
      </c>
      <c r="E15" s="916"/>
      <c r="F15" s="847">
        <v>0</v>
      </c>
      <c r="G15" s="916"/>
      <c r="H15" s="916">
        <v>0</v>
      </c>
      <c r="I15" s="916"/>
      <c r="J15" s="916">
        <f>ROUND(D15+F15-H15,3)</f>
        <v>2.7130000000000001</v>
      </c>
    </row>
    <row r="16" spans="1:10" ht="24.9" customHeight="1">
      <c r="A16" s="917" t="s">
        <v>404</v>
      </c>
      <c r="B16" s="867"/>
      <c r="C16" s="867"/>
      <c r="D16" s="1338">
        <v>2084.4189999999999</v>
      </c>
      <c r="E16" s="918"/>
      <c r="F16" s="855">
        <v>10013.163</v>
      </c>
      <c r="G16" s="918"/>
      <c r="H16" s="855">
        <v>10152.975</v>
      </c>
      <c r="I16" s="918"/>
      <c r="J16" s="1338">
        <f>ROUND(D16+F16-H16,3)</f>
        <v>1944.607</v>
      </c>
    </row>
    <row r="17" spans="1:14" ht="24.9" customHeight="1">
      <c r="A17" s="867" t="s">
        <v>405</v>
      </c>
      <c r="B17" s="867"/>
      <c r="C17" s="867"/>
      <c r="D17" s="851">
        <v>0</v>
      </c>
      <c r="E17" s="918"/>
      <c r="F17" s="852">
        <v>224.27600000000001</v>
      </c>
      <c r="G17" s="918"/>
      <c r="H17" s="852">
        <v>224.27600000000001</v>
      </c>
      <c r="I17" s="918"/>
      <c r="J17" s="1338">
        <f>ROUND(D17+F17-H17,3)</f>
        <v>0</v>
      </c>
    </row>
    <row r="18" spans="1:14" ht="24.9" customHeight="1" thickBot="1">
      <c r="A18" s="919" t="s">
        <v>406</v>
      </c>
      <c r="B18" s="867"/>
      <c r="C18" s="867"/>
      <c r="D18" s="920">
        <f>ROUND(SUM(D15:D17),3)</f>
        <v>2087.1320000000001</v>
      </c>
      <c r="E18" s="921"/>
      <c r="F18" s="3328">
        <f>ROUND(SUM(F15:F17),3)</f>
        <v>10237.439</v>
      </c>
      <c r="G18" s="921"/>
      <c r="H18" s="3328">
        <f>ROUND(SUM(H15:H17),3)</f>
        <v>10377.251</v>
      </c>
      <c r="I18" s="921"/>
      <c r="J18" s="920">
        <f>ROUND(SUM(J15:J17),3)</f>
        <v>1947.32</v>
      </c>
      <c r="K18" s="922"/>
      <c r="L18" s="922"/>
      <c r="M18" s="922"/>
      <c r="N18" s="922"/>
    </row>
    <row r="19" spans="1:14" ht="18" thickTop="1">
      <c r="A19" s="867"/>
      <c r="B19" s="867"/>
      <c r="C19" s="867"/>
      <c r="D19" s="923"/>
      <c r="E19" s="867"/>
      <c r="F19" s="923"/>
      <c r="G19" s="867"/>
      <c r="H19" s="923"/>
      <c r="I19" s="867"/>
      <c r="J19" s="923"/>
    </row>
    <row r="20" spans="1:14" ht="17.399999999999999">
      <c r="A20" s="867"/>
      <c r="B20" s="867"/>
      <c r="C20" s="867"/>
      <c r="D20" s="923"/>
      <c r="E20" s="867"/>
      <c r="F20" s="923"/>
      <c r="G20" s="867"/>
      <c r="H20" s="923"/>
      <c r="I20" s="867"/>
      <c r="J20" s="923"/>
    </row>
    <row r="21" spans="1:14" ht="17.399999999999999">
      <c r="A21" s="867"/>
      <c r="B21" s="867"/>
      <c r="C21" s="867"/>
      <c r="D21" s="923"/>
      <c r="E21" s="867"/>
      <c r="F21" s="923"/>
      <c r="G21" s="867"/>
      <c r="H21" s="923"/>
      <c r="I21" s="867"/>
      <c r="J21" s="923"/>
    </row>
    <row r="22" spans="1:14" ht="18.75" customHeight="1">
      <c r="A22" s="924" t="s">
        <v>407</v>
      </c>
      <c r="B22" s="867"/>
      <c r="C22" s="867"/>
      <c r="D22" s="867"/>
      <c r="E22" s="867"/>
      <c r="F22" s="867" t="s">
        <v>16</v>
      </c>
      <c r="G22" s="867"/>
      <c r="H22" s="867"/>
      <c r="I22" s="867"/>
      <c r="J22" s="867"/>
    </row>
    <row r="23" spans="1:14" ht="12.75" customHeight="1"/>
    <row r="24" spans="1:14" ht="56.25" customHeight="1">
      <c r="A24" s="3589" t="s">
        <v>1234</v>
      </c>
      <c r="B24" s="3590"/>
      <c r="C24" s="3590"/>
      <c r="D24" s="3590"/>
      <c r="E24" s="3590"/>
      <c r="F24" s="3590"/>
      <c r="G24" s="3590"/>
      <c r="H24" s="3590"/>
      <c r="I24" s="3590"/>
      <c r="J24" s="3590"/>
    </row>
    <row r="25" spans="1:14" ht="32.25" customHeight="1">
      <c r="A25" s="3591" t="s">
        <v>1687</v>
      </c>
      <c r="B25" s="3592"/>
      <c r="C25" s="3592"/>
      <c r="D25" s="3592"/>
      <c r="E25" s="3592"/>
      <c r="F25" s="3592"/>
      <c r="G25" s="3592"/>
      <c r="H25" s="3592"/>
      <c r="I25" s="3592"/>
      <c r="J25" s="3592"/>
    </row>
    <row r="26" spans="1:14" ht="18.75" customHeight="1">
      <c r="A26" s="3593"/>
      <c r="B26" s="3594"/>
      <c r="C26" s="3594"/>
      <c r="D26" s="3594"/>
      <c r="E26" s="3594"/>
      <c r="F26" s="3594"/>
      <c r="G26" s="3594"/>
      <c r="H26" s="3594"/>
      <c r="I26" s="3594"/>
      <c r="J26" s="3594"/>
    </row>
    <row r="27" spans="1:14" ht="18" customHeight="1">
      <c r="A27" s="925"/>
      <c r="B27" s="926"/>
      <c r="C27" s="926"/>
      <c r="D27" s="926"/>
      <c r="E27" s="926"/>
      <c r="F27" s="926"/>
      <c r="G27" s="926"/>
      <c r="H27" s="926"/>
      <c r="I27" s="926"/>
      <c r="J27" s="926"/>
    </row>
    <row r="28" spans="1:14" ht="20.25" customHeight="1">
      <c r="A28" s="3595"/>
      <c r="B28" s="3594"/>
      <c r="C28" s="3594"/>
      <c r="D28" s="3594"/>
      <c r="E28" s="3594"/>
      <c r="F28" s="3594"/>
      <c r="G28" s="3594"/>
      <c r="H28" s="3594"/>
      <c r="I28" s="3594"/>
      <c r="J28" s="3594"/>
    </row>
    <row r="29" spans="1:14" ht="20.25" customHeight="1">
      <c r="A29" s="927"/>
      <c r="B29" s="926"/>
      <c r="C29" s="926"/>
      <c r="D29" s="926"/>
      <c r="E29" s="926"/>
      <c r="F29" s="926"/>
      <c r="G29" s="926"/>
      <c r="H29" s="926"/>
      <c r="I29" s="926"/>
      <c r="J29" s="926"/>
    </row>
    <row r="30" spans="1:14" ht="20.25" customHeight="1">
      <c r="A30" s="927"/>
      <c r="B30" s="926"/>
      <c r="C30" s="926"/>
      <c r="D30" s="926"/>
      <c r="E30" s="926"/>
      <c r="F30" s="926"/>
      <c r="G30" s="926"/>
      <c r="H30" s="926"/>
      <c r="I30" s="926"/>
      <c r="J30" s="926"/>
    </row>
    <row r="31" spans="1:14" ht="20.25" customHeight="1">
      <c r="A31" s="927"/>
      <c r="B31" s="926"/>
      <c r="C31" s="926"/>
      <c r="D31" s="926"/>
      <c r="E31" s="926"/>
      <c r="F31" s="926"/>
      <c r="G31" s="926"/>
      <c r="H31" s="926"/>
      <c r="I31" s="926"/>
      <c r="J31" s="926"/>
    </row>
    <row r="32" spans="1:14" ht="20.25" customHeight="1">
      <c r="A32" s="927"/>
      <c r="B32" s="926"/>
      <c r="C32" s="926"/>
      <c r="D32" s="926"/>
      <c r="E32" s="926"/>
      <c r="F32" s="926"/>
      <c r="G32" s="926"/>
      <c r="H32" s="926"/>
      <c r="I32" s="926"/>
      <c r="J32" s="926"/>
    </row>
    <row r="33" spans="1:10" ht="20.25" customHeight="1">
      <c r="A33" s="927"/>
      <c r="B33" s="926"/>
      <c r="C33" s="926"/>
      <c r="D33" s="926"/>
      <c r="E33" s="926"/>
      <c r="F33" s="926"/>
      <c r="G33" s="926"/>
      <c r="H33" s="926"/>
      <c r="I33" s="926"/>
      <c r="J33" s="926"/>
    </row>
    <row r="34" spans="1:10" ht="20.25" customHeight="1">
      <c r="A34" s="927"/>
      <c r="B34" s="926"/>
      <c r="C34" s="926"/>
      <c r="D34" s="926"/>
      <c r="E34" s="926"/>
      <c r="F34" s="926"/>
      <c r="G34" s="926"/>
      <c r="H34" s="926"/>
      <c r="I34" s="926"/>
      <c r="J34" s="926"/>
    </row>
    <row r="35" spans="1:10" ht="20.25" customHeight="1">
      <c r="A35" s="927"/>
      <c r="B35" s="926"/>
      <c r="C35" s="926"/>
      <c r="D35" s="926"/>
      <c r="E35" s="926"/>
      <c r="F35" s="926"/>
      <c r="G35" s="926"/>
      <c r="H35" s="926"/>
      <c r="I35" s="926"/>
      <c r="J35" s="926"/>
    </row>
    <row r="36" spans="1:10" ht="20.25" customHeight="1">
      <c r="A36" s="927"/>
      <c r="B36" s="926"/>
      <c r="C36" s="926"/>
      <c r="D36" s="926"/>
      <c r="E36" s="926"/>
      <c r="F36" s="926"/>
      <c r="G36" s="926"/>
      <c r="H36" s="926"/>
      <c r="I36" s="926"/>
      <c r="J36" s="926"/>
    </row>
    <row r="37" spans="1:10" ht="20.25" customHeight="1">
      <c r="A37" s="927"/>
      <c r="B37" s="926"/>
      <c r="C37" s="926"/>
      <c r="D37" s="926"/>
      <c r="E37" s="926"/>
      <c r="F37" s="926"/>
      <c r="G37" s="926"/>
      <c r="H37" s="926"/>
      <c r="I37" s="926"/>
      <c r="J37" s="926"/>
    </row>
    <row r="38" spans="1:10" ht="20.25" customHeight="1">
      <c r="A38" s="927"/>
      <c r="B38" s="926"/>
      <c r="C38" s="926"/>
      <c r="D38" s="926"/>
      <c r="E38" s="926"/>
      <c r="F38" s="926"/>
      <c r="G38" s="926"/>
      <c r="H38" s="926"/>
      <c r="I38" s="926"/>
      <c r="J38" s="926"/>
    </row>
    <row r="39" spans="1:10" ht="20.25" customHeight="1">
      <c r="A39" s="927"/>
      <c r="B39" s="926"/>
      <c r="C39" s="926"/>
      <c r="D39" s="926"/>
      <c r="E39" s="926"/>
      <c r="F39" s="926"/>
      <c r="G39" s="926"/>
      <c r="H39" s="926"/>
      <c r="I39" s="926"/>
      <c r="J39" s="926"/>
    </row>
    <row r="40" spans="1:10" ht="20.25" customHeight="1">
      <c r="A40" s="927"/>
      <c r="B40" s="926"/>
      <c r="C40" s="926"/>
      <c r="D40" s="926"/>
      <c r="E40" s="926"/>
      <c r="F40" s="926"/>
      <c r="G40" s="926"/>
      <c r="H40" s="926"/>
      <c r="I40" s="926"/>
      <c r="J40" s="926"/>
    </row>
    <row r="41" spans="1:10" ht="21" customHeight="1"/>
    <row r="42" spans="1:10" ht="21" customHeight="1">
      <c r="A42" s="927"/>
      <c r="B42" s="926"/>
      <c r="C42" s="926"/>
      <c r="D42" s="926"/>
      <c r="E42" s="926"/>
      <c r="F42" s="926"/>
      <c r="G42" s="926"/>
      <c r="H42" s="926"/>
      <c r="I42" s="926"/>
      <c r="J42" s="926"/>
    </row>
    <row r="43" spans="1:10" ht="18" customHeight="1">
      <c r="A43" s="928"/>
      <c r="B43" s="929"/>
      <c r="C43" s="930"/>
      <c r="D43" s="931"/>
      <c r="E43" s="930"/>
      <c r="F43" s="931"/>
      <c r="G43" s="930"/>
      <c r="H43" s="931"/>
      <c r="I43" s="932"/>
    </row>
    <row r="44" spans="1:10" ht="18" customHeight="1">
      <c r="A44" s="933"/>
      <c r="B44" s="929"/>
      <c r="C44" s="929"/>
      <c r="D44" s="931"/>
      <c r="E44" s="929"/>
      <c r="F44" s="934"/>
      <c r="G44" s="931"/>
      <c r="H44" s="931"/>
      <c r="I44" s="932"/>
    </row>
    <row r="45" spans="1:10" ht="18" customHeight="1">
      <c r="A45" s="933"/>
      <c r="B45" s="929"/>
      <c r="C45" s="929"/>
      <c r="D45" s="931"/>
      <c r="E45" s="929"/>
      <c r="F45" s="934"/>
      <c r="G45" s="931"/>
      <c r="H45" s="931"/>
      <c r="I45" s="932"/>
    </row>
    <row r="46" spans="1:10" ht="18" customHeight="1">
      <c r="A46" s="933"/>
      <c r="B46" s="929"/>
      <c r="C46" s="929"/>
      <c r="D46" s="931"/>
      <c r="E46" s="929"/>
      <c r="F46" s="934"/>
      <c r="G46" s="931"/>
      <c r="H46" s="931"/>
      <c r="I46" s="932"/>
    </row>
    <row r="47" spans="1:10" ht="18" customHeight="1">
      <c r="A47" s="933"/>
      <c r="B47" s="929"/>
      <c r="C47" s="929"/>
      <c r="D47" s="931"/>
      <c r="E47" s="929"/>
      <c r="F47" s="931"/>
      <c r="G47" s="931"/>
      <c r="H47" s="935"/>
      <c r="I47" s="932"/>
    </row>
    <row r="48" spans="1:10" ht="18" customHeight="1">
      <c r="A48" s="936"/>
      <c r="B48" s="929"/>
      <c r="C48" s="929"/>
      <c r="D48" s="931"/>
      <c r="E48" s="929"/>
      <c r="F48" s="931"/>
      <c r="G48" s="931"/>
      <c r="H48" s="931"/>
      <c r="I48" s="932"/>
    </row>
    <row r="49" spans="1:9" ht="18" customHeight="1">
      <c r="A49" s="937"/>
      <c r="B49" s="929"/>
      <c r="C49" s="929"/>
      <c r="D49" s="931"/>
      <c r="E49" s="929"/>
      <c r="F49" s="935"/>
      <c r="G49" s="931"/>
      <c r="H49" s="931"/>
      <c r="I49" s="932"/>
    </row>
    <row r="50" spans="1:9" ht="18" customHeight="1">
      <c r="A50" s="933"/>
      <c r="B50" s="929"/>
      <c r="C50" s="929"/>
      <c r="D50" s="931"/>
      <c r="E50" s="929"/>
      <c r="F50" s="934"/>
      <c r="G50" s="931"/>
      <c r="H50" s="931"/>
      <c r="I50" s="932"/>
    </row>
    <row r="51" spans="1:9" ht="18" customHeight="1">
      <c r="A51" s="933"/>
      <c r="B51" s="929"/>
      <c r="C51" s="929"/>
      <c r="D51" s="931"/>
      <c r="E51" s="929"/>
      <c r="F51" s="938"/>
      <c r="G51" s="931"/>
      <c r="H51" s="935"/>
      <c r="I51" s="932"/>
    </row>
    <row r="52" spans="1:9" ht="18" customHeight="1">
      <c r="A52" s="936"/>
      <c r="B52" s="929"/>
      <c r="C52" s="930"/>
      <c r="D52" s="939"/>
      <c r="E52" s="930"/>
      <c r="G52" s="930"/>
      <c r="H52" s="939"/>
      <c r="I52" s="93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4:J24"/>
    <mergeCell ref="A25:J25"/>
    <mergeCell ref="A26:J26"/>
    <mergeCell ref="A28:J28"/>
  </mergeCells>
  <pageMargins left="0.5" right="0.5" top="1" bottom="0.5" header="0" footer="0.25"/>
  <pageSetup scale="66" firstPageNumber="44"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V83"/>
  <sheetViews>
    <sheetView showGridLines="0" zoomScale="80" zoomScaleNormal="80" zoomScaleSheetLayoutView="75" workbookViewId="0"/>
  </sheetViews>
  <sheetFormatPr defaultColWidth="8.90625" defaultRowHeight="13.2"/>
  <cols>
    <col min="1" max="1" width="39.1796875" style="1152" customWidth="1"/>
    <col min="2" max="2" width="2.08984375" style="1152" customWidth="1"/>
    <col min="3" max="3" width="18" style="1152" bestFit="1" customWidth="1"/>
    <col min="4" max="4" width="2.08984375" style="1152" customWidth="1"/>
    <col min="5" max="5" width="14.54296875" style="1152" bestFit="1" customWidth="1"/>
    <col min="6" max="6" width="2.08984375" style="1152" customWidth="1"/>
    <col min="7" max="7" width="15.54296875" style="1153" customWidth="1"/>
    <col min="8" max="8" width="2.08984375" style="1152" customWidth="1"/>
    <col min="9" max="9" width="16.453125" style="1153" bestFit="1" customWidth="1"/>
    <col min="10" max="10" width="2.08984375" style="1152" customWidth="1"/>
    <col min="11" max="11" width="13.81640625" style="1637" bestFit="1" customWidth="1"/>
    <col min="12" max="12" width="1.90625" style="1152" customWidth="1"/>
    <col min="13" max="13" width="14.6328125" style="1152" bestFit="1" customWidth="1"/>
    <col min="14" max="14" width="2" style="1152" customWidth="1"/>
    <col min="15" max="15" width="1.6328125" style="1152" customWidth="1"/>
    <col min="16" max="16" width="2.08984375" style="1152" customWidth="1"/>
    <col min="17" max="17" width="16.453125" style="1152" bestFit="1" customWidth="1"/>
    <col min="18" max="18" width="1.6328125" style="1152" customWidth="1"/>
    <col min="19" max="19" width="14.6328125" style="1152" bestFit="1" customWidth="1"/>
    <col min="20" max="20" width="8" style="1152" bestFit="1" customWidth="1"/>
    <col min="21" max="16384" width="8.90625" style="1152"/>
  </cols>
  <sheetData>
    <row r="1" spans="1:21" ht="15">
      <c r="A1" s="2918" t="s">
        <v>1217</v>
      </c>
      <c r="B1" s="2917"/>
      <c r="C1" s="2917"/>
      <c r="D1" s="2917"/>
      <c r="E1" s="2917"/>
      <c r="F1" s="2917"/>
      <c r="G1" s="2917"/>
      <c r="H1" s="2917"/>
      <c r="I1" s="2917"/>
      <c r="J1" s="2917"/>
      <c r="K1" s="2917"/>
      <c r="L1" s="2917"/>
      <c r="M1" s="2917"/>
      <c r="N1" s="2917"/>
      <c r="O1" s="2917"/>
      <c r="P1" s="2917"/>
      <c r="Q1" s="2917"/>
      <c r="R1" s="2917"/>
      <c r="S1" s="2917"/>
    </row>
    <row r="2" spans="1:21" ht="15">
      <c r="A2" s="2921"/>
      <c r="B2" s="2917"/>
      <c r="C2" s="2917"/>
      <c r="D2" s="2917"/>
      <c r="E2" s="2917"/>
      <c r="F2" s="2917"/>
      <c r="G2" s="2917"/>
      <c r="H2" s="2917"/>
      <c r="I2" s="2917"/>
      <c r="J2" s="2917"/>
      <c r="K2" s="2917"/>
      <c r="L2" s="2917"/>
      <c r="M2" s="2917"/>
      <c r="N2" s="2917"/>
      <c r="O2" s="2917"/>
      <c r="P2" s="2917"/>
      <c r="Q2" s="2917"/>
      <c r="R2" s="2917"/>
      <c r="S2" s="2917"/>
    </row>
    <row r="3" spans="1:21" ht="17.399999999999999">
      <c r="A3" s="2922" t="s">
        <v>0</v>
      </c>
      <c r="B3" s="2917"/>
      <c r="C3" s="2917"/>
      <c r="D3" s="2917"/>
      <c r="E3" s="2917"/>
      <c r="F3" s="2917"/>
      <c r="G3" s="2917"/>
      <c r="H3" s="2917"/>
      <c r="I3" s="2917"/>
      <c r="J3" s="2917"/>
      <c r="K3" s="2917"/>
      <c r="L3" s="2917"/>
      <c r="M3" s="2917"/>
      <c r="N3" s="2917"/>
      <c r="O3" s="2917"/>
      <c r="P3" s="2917"/>
      <c r="Q3" s="2917"/>
      <c r="R3" s="2917"/>
      <c r="S3" s="2922" t="s">
        <v>408</v>
      </c>
    </row>
    <row r="4" spans="1:21" ht="17.399999999999999">
      <c r="A4" s="2922" t="s">
        <v>191</v>
      </c>
      <c r="B4" s="2917"/>
      <c r="C4" s="2917"/>
      <c r="D4" s="2917"/>
      <c r="E4" s="2917"/>
      <c r="F4" s="2917"/>
      <c r="G4" s="2917"/>
      <c r="H4" s="2917"/>
      <c r="I4" s="2917"/>
      <c r="J4" s="2919" t="s">
        <v>16</v>
      </c>
      <c r="K4" s="2917"/>
      <c r="L4" s="2917"/>
      <c r="M4" s="2917"/>
      <c r="N4" s="2917"/>
      <c r="O4" s="2917"/>
      <c r="P4" s="2917"/>
      <c r="Q4" s="2917"/>
      <c r="R4" s="2917"/>
      <c r="S4" s="2917"/>
    </row>
    <row r="5" spans="1:21" ht="17.399999999999999">
      <c r="A5" s="2922" t="s">
        <v>409</v>
      </c>
      <c r="B5" s="2917"/>
      <c r="C5" s="2917"/>
      <c r="D5" s="2917"/>
      <c r="E5" s="2917"/>
      <c r="F5" s="2917"/>
      <c r="G5" s="2917"/>
      <c r="H5" s="2917"/>
      <c r="I5" s="2917"/>
      <c r="J5" s="2917"/>
      <c r="K5" s="2917"/>
      <c r="L5" s="2917"/>
      <c r="M5" s="2917"/>
      <c r="N5" s="2917"/>
      <c r="O5" s="2917"/>
      <c r="P5" s="2917"/>
      <c r="Q5" s="2917"/>
      <c r="R5" s="2917"/>
      <c r="S5" s="2917"/>
    </row>
    <row r="6" spans="1:21" ht="17.399999999999999">
      <c r="A6" s="2923" t="s">
        <v>1526</v>
      </c>
      <c r="B6" s="2917"/>
      <c r="C6" s="2917"/>
      <c r="D6" s="2917"/>
      <c r="E6" s="2917"/>
      <c r="F6" s="2917"/>
      <c r="G6" s="2917"/>
      <c r="H6" s="2917"/>
      <c r="I6" s="2917"/>
      <c r="J6" s="2917"/>
      <c r="K6" s="2917"/>
      <c r="L6" s="2917"/>
      <c r="M6" s="2917"/>
      <c r="N6" s="2917"/>
      <c r="O6" s="2917"/>
      <c r="P6" s="2917"/>
      <c r="Q6" s="2917"/>
      <c r="R6" s="2917"/>
      <c r="S6" s="2917"/>
    </row>
    <row r="9" spans="1:21">
      <c r="A9" s="2917"/>
      <c r="B9" s="2917"/>
      <c r="C9" s="3119"/>
      <c r="D9" s="3126"/>
      <c r="E9" s="3596" t="s">
        <v>1527</v>
      </c>
      <c r="F9" s="3596"/>
      <c r="G9" s="3596"/>
      <c r="H9" s="3127"/>
      <c r="I9" s="3128" t="s">
        <v>1243</v>
      </c>
      <c r="J9" s="3129"/>
      <c r="K9" s="3129"/>
      <c r="L9" s="3119"/>
      <c r="M9" s="3119"/>
      <c r="N9" s="3119"/>
      <c r="O9" s="3130"/>
      <c r="P9" s="3119"/>
      <c r="Q9" s="3131" t="s">
        <v>1171</v>
      </c>
      <c r="R9" s="3131"/>
      <c r="S9" s="3131"/>
    </row>
    <row r="10" spans="1:21">
      <c r="A10" s="2917"/>
      <c r="B10" s="2917"/>
      <c r="C10" s="3132" t="s">
        <v>126</v>
      </c>
      <c r="D10" s="3119"/>
      <c r="E10" s="3119"/>
      <c r="F10" s="3124" t="s">
        <v>16</v>
      </c>
      <c r="G10" s="3124" t="s">
        <v>16</v>
      </c>
      <c r="H10" s="3119"/>
      <c r="I10" s="3125" t="s">
        <v>16</v>
      </c>
      <c r="J10" s="3124" t="s">
        <v>16</v>
      </c>
      <c r="K10" s="3125" t="s">
        <v>16</v>
      </c>
      <c r="L10" s="3119"/>
      <c r="M10" s="3133" t="s">
        <v>126</v>
      </c>
      <c r="N10" s="3119"/>
      <c r="O10" s="3134"/>
      <c r="P10" s="3119"/>
      <c r="Q10" s="3124" t="s">
        <v>16</v>
      </c>
      <c r="R10" s="3124" t="s">
        <v>16</v>
      </c>
      <c r="S10" s="3124" t="s">
        <v>16</v>
      </c>
    </row>
    <row r="11" spans="1:21">
      <c r="A11" s="2917"/>
      <c r="B11" s="2917"/>
      <c r="C11" s="3132" t="s">
        <v>410</v>
      </c>
      <c r="D11" s="3119"/>
      <c r="E11" s="3132" t="s">
        <v>7</v>
      </c>
      <c r="F11" s="3119"/>
      <c r="G11" s="3135" t="s">
        <v>1668</v>
      </c>
      <c r="H11" s="3119"/>
      <c r="I11" s="3132" t="s">
        <v>411</v>
      </c>
      <c r="J11" s="3124" t="s">
        <v>16</v>
      </c>
      <c r="K11" s="3132" t="str">
        <f>G11</f>
        <v>9 MONTHS ENDED</v>
      </c>
      <c r="L11" s="3119"/>
      <c r="M11" s="3133" t="s">
        <v>410</v>
      </c>
      <c r="N11" s="3119"/>
      <c r="O11" s="3134"/>
      <c r="P11" s="3119"/>
      <c r="Q11" s="3132" t="s">
        <v>411</v>
      </c>
      <c r="R11" s="3124" t="s">
        <v>16</v>
      </c>
      <c r="S11" s="3132" t="str">
        <f>K11</f>
        <v>9 MONTHS ENDED</v>
      </c>
    </row>
    <row r="12" spans="1:21">
      <c r="A12" s="2924" t="s">
        <v>412</v>
      </c>
      <c r="B12" s="2917"/>
      <c r="C12" s="3136" t="s">
        <v>1525</v>
      </c>
      <c r="D12" s="3119"/>
      <c r="E12" s="3128" t="s">
        <v>137</v>
      </c>
      <c r="F12" s="3119"/>
      <c r="G12" s="3147" t="s">
        <v>1661</v>
      </c>
      <c r="H12" s="3119"/>
      <c r="I12" s="3128" t="str">
        <f>E12</f>
        <v>DECEMBER</v>
      </c>
      <c r="J12" s="3119"/>
      <c r="K12" s="3120" t="str">
        <f>G12</f>
        <v>DEC. 31, 2015</v>
      </c>
      <c r="L12" s="3119"/>
      <c r="M12" s="3120" t="str">
        <f>K12</f>
        <v>DEC. 31, 2015</v>
      </c>
      <c r="N12" s="3119"/>
      <c r="O12" s="3134"/>
      <c r="P12" s="3119"/>
      <c r="Q12" s="3128" t="str">
        <f>E12</f>
        <v>DECEMBER</v>
      </c>
      <c r="R12" s="3119"/>
      <c r="S12" s="3120" t="str">
        <f>M12</f>
        <v>DEC. 31, 2015</v>
      </c>
    </row>
    <row r="13" spans="1:21">
      <c r="A13" s="2917"/>
      <c r="B13" s="2917"/>
      <c r="C13" s="3119"/>
      <c r="D13" s="3119"/>
      <c r="E13" s="3119"/>
      <c r="F13" s="3119"/>
      <c r="G13" s="3119"/>
      <c r="H13" s="3119"/>
      <c r="I13" s="3119"/>
      <c r="J13" s="3119"/>
      <c r="K13" s="3121"/>
      <c r="L13" s="3119"/>
      <c r="M13" s="3119"/>
      <c r="N13" s="3119"/>
      <c r="O13" s="3134"/>
      <c r="P13" s="3119"/>
      <c r="Q13" s="3119"/>
      <c r="R13" s="3119"/>
      <c r="S13" s="3119"/>
    </row>
    <row r="14" spans="1:21">
      <c r="A14" s="2925" t="s">
        <v>413</v>
      </c>
      <c r="B14" s="2917"/>
      <c r="C14" s="3119"/>
      <c r="D14" s="3119"/>
      <c r="E14" s="3119"/>
      <c r="F14" s="3119"/>
      <c r="G14" s="3119"/>
      <c r="H14" s="3119"/>
      <c r="I14" s="3119"/>
      <c r="J14" s="3119"/>
      <c r="K14" s="3121"/>
      <c r="L14" s="3119"/>
      <c r="M14" s="3119"/>
      <c r="N14" s="3119"/>
      <c r="O14" s="3134"/>
      <c r="P14" s="3119"/>
      <c r="Q14" s="3125"/>
      <c r="R14" s="3119"/>
      <c r="S14" s="3119"/>
    </row>
    <row r="15" spans="1:21">
      <c r="A15" s="2925"/>
      <c r="B15" s="2917"/>
      <c r="C15" s="3119"/>
      <c r="D15" s="3119"/>
      <c r="E15" s="3119"/>
      <c r="F15" s="3119"/>
      <c r="G15" s="3119"/>
      <c r="H15" s="3119"/>
      <c r="I15" s="3119"/>
      <c r="J15" s="3119"/>
      <c r="K15" s="3121"/>
      <c r="L15" s="3119"/>
      <c r="M15" s="3123" t="s">
        <v>16</v>
      </c>
      <c r="N15" s="3119"/>
      <c r="O15" s="3134"/>
      <c r="P15" s="3119"/>
      <c r="Q15" s="3125"/>
      <c r="R15" s="3119"/>
      <c r="S15" s="3119"/>
    </row>
    <row r="16" spans="1:21">
      <c r="A16" s="2919" t="s">
        <v>1244</v>
      </c>
      <c r="B16" s="2920"/>
      <c r="C16" s="3308">
        <v>151044395.19</v>
      </c>
      <c r="D16" s="1153"/>
      <c r="E16" s="3308">
        <v>0</v>
      </c>
      <c r="F16" s="3309"/>
      <c r="G16" s="3308">
        <v>0</v>
      </c>
      <c r="H16" s="1153"/>
      <c r="I16" s="3308">
        <v>25848.18</v>
      </c>
      <c r="J16" s="1153"/>
      <c r="K16" s="3308">
        <v>39082865.670000002</v>
      </c>
      <c r="L16" s="1153"/>
      <c r="M16" s="3310">
        <f>ROUND(SUM(C16)-SUM(K16)+SUM(G16),2)</f>
        <v>111961529.52</v>
      </c>
      <c r="N16" s="3137"/>
      <c r="O16" s="3138"/>
      <c r="P16" s="3125"/>
      <c r="Q16" s="3310">
        <v>5261.4000000000005</v>
      </c>
      <c r="R16" s="3320"/>
      <c r="S16" s="3310">
        <v>4289935.1399999997</v>
      </c>
      <c r="T16" s="1563"/>
      <c r="U16" s="1423"/>
    </row>
    <row r="17" spans="1:21" ht="12" customHeight="1">
      <c r="A17" s="2917"/>
      <c r="B17" s="2917"/>
      <c r="C17" s="1421"/>
      <c r="D17" s="1167"/>
      <c r="E17" s="1157"/>
      <c r="F17" s="3309"/>
      <c r="G17" s="3309"/>
      <c r="H17" s="1167"/>
      <c r="I17" s="3309"/>
      <c r="J17" s="1167"/>
      <c r="K17" s="3311"/>
      <c r="L17" s="1167"/>
      <c r="M17" s="1638"/>
      <c r="N17" s="3137"/>
      <c r="O17" s="3138"/>
      <c r="P17" s="3137"/>
      <c r="Q17" s="1158"/>
      <c r="R17" s="3321"/>
      <c r="S17" s="1158"/>
      <c r="T17" s="1422"/>
      <c r="U17" s="1423"/>
    </row>
    <row r="18" spans="1:21">
      <c r="A18" s="2919" t="s">
        <v>414</v>
      </c>
      <c r="B18" s="2917"/>
      <c r="C18" s="1421"/>
      <c r="D18" s="1167"/>
      <c r="E18" s="3312"/>
      <c r="F18" s="3309"/>
      <c r="G18" s="3309"/>
      <c r="H18" s="1167"/>
      <c r="I18" s="3309"/>
      <c r="J18" s="1153"/>
      <c r="K18" s="3311"/>
      <c r="L18" s="1167"/>
      <c r="M18" s="1638"/>
      <c r="N18" s="3137"/>
      <c r="O18" s="3138"/>
      <c r="P18" s="3137"/>
      <c r="Q18" s="1158"/>
      <c r="R18" s="3321"/>
      <c r="S18" s="1158"/>
      <c r="T18" s="1422"/>
      <c r="U18" s="1156"/>
    </row>
    <row r="19" spans="1:21">
      <c r="A19" s="2919" t="s">
        <v>1245</v>
      </c>
      <c r="B19" s="2917"/>
      <c r="C19" s="3313">
        <v>9754327.5999999996</v>
      </c>
      <c r="D19" s="1167"/>
      <c r="E19" s="3148">
        <v>0</v>
      </c>
      <c r="F19" s="3309"/>
      <c r="G19" s="3148">
        <v>0</v>
      </c>
      <c r="H19" s="1167"/>
      <c r="I19" s="3148">
        <v>30151.040000000001</v>
      </c>
      <c r="J19" s="1153"/>
      <c r="K19" s="1159">
        <v>2409450.89</v>
      </c>
      <c r="L19" s="1153" t="s">
        <v>16</v>
      </c>
      <c r="M19" s="3313">
        <f>ROUND(SUM(C19)-SUM(K19)+SUM(G19),2)</f>
        <v>7344876.71</v>
      </c>
      <c r="N19" s="3137"/>
      <c r="O19" s="3138"/>
      <c r="P19" s="3137" t="s">
        <v>16</v>
      </c>
      <c r="Q19" s="1638">
        <v>2844.18</v>
      </c>
      <c r="R19" s="3320"/>
      <c r="S19" s="1638">
        <v>192493.45</v>
      </c>
      <c r="T19" s="1422"/>
      <c r="U19" s="1423"/>
    </row>
    <row r="20" spans="1:21">
      <c r="A20" s="2919" t="s">
        <v>415</v>
      </c>
      <c r="B20" s="2917"/>
      <c r="C20" s="3313">
        <v>0</v>
      </c>
      <c r="D20" s="1167"/>
      <c r="E20" s="3148">
        <v>0</v>
      </c>
      <c r="F20" s="3309"/>
      <c r="G20" s="3148">
        <v>0</v>
      </c>
      <c r="H20" s="1167"/>
      <c r="I20" s="3148">
        <v>0</v>
      </c>
      <c r="J20" s="1163"/>
      <c r="K20" s="1159">
        <v>0</v>
      </c>
      <c r="L20" s="1167"/>
      <c r="M20" s="3313">
        <f>ROUND(SUM(C20)-SUM(K20)+SUM(G20),2)</f>
        <v>0</v>
      </c>
      <c r="N20" s="3137"/>
      <c r="O20" s="3138"/>
      <c r="P20" s="3137"/>
      <c r="Q20" s="1638">
        <v>0</v>
      </c>
      <c r="R20" s="1153"/>
      <c r="S20" s="1638">
        <v>0</v>
      </c>
      <c r="T20" s="1422"/>
      <c r="U20" s="1423"/>
    </row>
    <row r="21" spans="1:21" ht="12" customHeight="1">
      <c r="A21" s="2919" t="s">
        <v>416</v>
      </c>
      <c r="B21" s="2917"/>
      <c r="C21" s="3313">
        <v>429426360.5</v>
      </c>
      <c r="D21" s="1167"/>
      <c r="E21" s="3148">
        <v>0</v>
      </c>
      <c r="F21" s="3309"/>
      <c r="G21" s="3148">
        <v>0</v>
      </c>
      <c r="H21" s="1167"/>
      <c r="I21" s="3148">
        <v>169934.37</v>
      </c>
      <c r="J21" s="1153"/>
      <c r="K21" s="1159">
        <v>9186014</v>
      </c>
      <c r="L21" s="1167"/>
      <c r="M21" s="3313">
        <f>ROUND(SUM(C21)-SUM(K21)+SUM(G21),2)</f>
        <v>420240346.5</v>
      </c>
      <c r="N21" s="3137"/>
      <c r="O21" s="3138"/>
      <c r="P21" s="3137"/>
      <c r="Q21" s="1638">
        <v>177950.19</v>
      </c>
      <c r="R21" s="1153"/>
      <c r="S21" s="1638">
        <v>9840823.6999999993</v>
      </c>
      <c r="T21" s="1422"/>
      <c r="U21" s="1423"/>
    </row>
    <row r="22" spans="1:21">
      <c r="A22" s="2919" t="s">
        <v>417</v>
      </c>
      <c r="B22" s="2917"/>
      <c r="C22" s="3313">
        <v>42810106.090000004</v>
      </c>
      <c r="D22" s="1167"/>
      <c r="E22" s="3148">
        <v>0</v>
      </c>
      <c r="F22" s="3309"/>
      <c r="G22" s="3148">
        <v>0</v>
      </c>
      <c r="H22" s="1167"/>
      <c r="I22" s="3148">
        <v>757.44</v>
      </c>
      <c r="J22" s="1167"/>
      <c r="K22" s="1159">
        <v>1703943.29</v>
      </c>
      <c r="L22" s="1167"/>
      <c r="M22" s="3313">
        <f>ROUND(SUM(C22)-SUM(K22)+SUM(G22),2)</f>
        <v>41106162.799999997</v>
      </c>
      <c r="N22" s="3137"/>
      <c r="O22" s="3138"/>
      <c r="P22" s="3137"/>
      <c r="Q22" s="1638">
        <v>4929.79</v>
      </c>
      <c r="R22" s="1153"/>
      <c r="S22" s="1638">
        <v>555501.99</v>
      </c>
      <c r="T22" s="1422"/>
      <c r="U22" s="1423"/>
    </row>
    <row r="23" spans="1:21">
      <c r="A23" s="2919" t="s">
        <v>1246</v>
      </c>
      <c r="B23" s="2917"/>
      <c r="C23" s="3313">
        <v>91604900.75</v>
      </c>
      <c r="D23" s="1167"/>
      <c r="E23" s="3148">
        <v>0</v>
      </c>
      <c r="F23" s="3309"/>
      <c r="G23" s="3148">
        <v>0</v>
      </c>
      <c r="H23" s="1167"/>
      <c r="I23" s="3148">
        <v>947161.08000000007</v>
      </c>
      <c r="J23" s="1163"/>
      <c r="K23" s="1159">
        <v>1112161.08</v>
      </c>
      <c r="L23" s="1167"/>
      <c r="M23" s="3313">
        <f>ROUND(SUM(C23)-SUM(K23)+SUM(G23),2)</f>
        <v>90492739.670000002</v>
      </c>
      <c r="N23" s="3137"/>
      <c r="O23" s="3138"/>
      <c r="P23" s="3137"/>
      <c r="Q23" s="1638">
        <v>266987.19</v>
      </c>
      <c r="R23" s="1153"/>
      <c r="S23" s="1638">
        <v>2176373.94</v>
      </c>
      <c r="T23" s="1422"/>
      <c r="U23" s="1423"/>
    </row>
    <row r="24" spans="1:21">
      <c r="A24" s="2917"/>
      <c r="B24" s="2917"/>
      <c r="C24" s="1638"/>
      <c r="D24" s="1167"/>
      <c r="E24" s="3149"/>
      <c r="F24" s="3309"/>
      <c r="G24" s="3309"/>
      <c r="H24" s="1167"/>
      <c r="I24" s="3309"/>
      <c r="J24" s="1167"/>
      <c r="K24" s="3311"/>
      <c r="L24" s="1167"/>
      <c r="M24" s="1638"/>
      <c r="N24" s="3137"/>
      <c r="O24" s="3138"/>
      <c r="P24" s="3137"/>
      <c r="Q24" s="1638"/>
      <c r="R24" s="1167"/>
      <c r="S24" s="1638"/>
      <c r="T24" s="1422"/>
      <c r="U24" s="1423"/>
    </row>
    <row r="25" spans="1:21">
      <c r="A25" s="2919" t="s">
        <v>1120</v>
      </c>
      <c r="B25" s="2917"/>
      <c r="C25" s="1638"/>
      <c r="D25" s="1167"/>
      <c r="E25" s="3149"/>
      <c r="F25" s="3309"/>
      <c r="G25" s="3309"/>
      <c r="H25" s="1167"/>
      <c r="I25" s="3309"/>
      <c r="J25" s="1167"/>
      <c r="K25" s="3311"/>
      <c r="L25" s="1167"/>
      <c r="M25" s="1638"/>
      <c r="N25" s="3137"/>
      <c r="O25" s="3138"/>
      <c r="P25" s="3137"/>
      <c r="Q25" s="1638"/>
      <c r="R25" s="1167"/>
      <c r="S25" s="1638"/>
      <c r="T25" s="1422"/>
      <c r="U25" s="1156"/>
    </row>
    <row r="26" spans="1:21">
      <c r="A26" s="2919" t="s">
        <v>1269</v>
      </c>
      <c r="B26" s="2917"/>
      <c r="C26" s="3313">
        <v>5286209.05</v>
      </c>
      <c r="D26" s="1167"/>
      <c r="E26" s="3148">
        <v>0</v>
      </c>
      <c r="F26" s="3309"/>
      <c r="G26" s="3148">
        <v>0</v>
      </c>
      <c r="H26" s="1167"/>
      <c r="I26" s="3148">
        <v>0</v>
      </c>
      <c r="J26" s="1153"/>
      <c r="K26" s="1159">
        <v>2607750.21</v>
      </c>
      <c r="L26" s="1167"/>
      <c r="M26" s="3313">
        <f>ROUND(SUM(C26)-SUM(K26)+SUM(G26),2)</f>
        <v>2678458.84</v>
      </c>
      <c r="N26" s="3137"/>
      <c r="O26" s="3138"/>
      <c r="P26" s="3137"/>
      <c r="Q26" s="3313">
        <v>0</v>
      </c>
      <c r="R26" s="1153"/>
      <c r="S26" s="3313">
        <v>159117.03</v>
      </c>
      <c r="T26" s="1422"/>
      <c r="U26" s="1423"/>
    </row>
    <row r="27" spans="1:21">
      <c r="A27" s="2917"/>
      <c r="B27" s="2917"/>
      <c r="C27" s="1638"/>
      <c r="D27" s="1167"/>
      <c r="E27" s="3149"/>
      <c r="F27" s="3309"/>
      <c r="G27" s="3309"/>
      <c r="H27" s="1167"/>
      <c r="I27" s="3309"/>
      <c r="J27" s="1167"/>
      <c r="K27" s="3311"/>
      <c r="L27" s="1167"/>
      <c r="M27" s="1638"/>
      <c r="N27" s="3137"/>
      <c r="O27" s="3138"/>
      <c r="P27" s="3137"/>
      <c r="Q27" s="1638"/>
      <c r="R27" s="1167"/>
      <c r="S27" s="1638"/>
      <c r="T27" s="1422"/>
      <c r="U27" s="1423"/>
    </row>
    <row r="28" spans="1:21">
      <c r="A28" s="2919" t="s">
        <v>418</v>
      </c>
      <c r="B28" s="2917"/>
      <c r="C28" s="1638"/>
      <c r="D28" s="1167"/>
      <c r="E28" s="3149"/>
      <c r="F28" s="3309"/>
      <c r="G28" s="3309"/>
      <c r="H28" s="1167"/>
      <c r="I28" s="3309"/>
      <c r="J28" s="1167"/>
      <c r="K28" s="3311"/>
      <c r="L28" s="1167"/>
      <c r="M28" s="1638"/>
      <c r="N28" s="3137"/>
      <c r="O28" s="3138"/>
      <c r="P28" s="3137"/>
      <c r="Q28" s="1638"/>
      <c r="R28" s="1167"/>
      <c r="S28" s="1638"/>
      <c r="T28" s="1422"/>
    </row>
    <row r="29" spans="1:21">
      <c r="A29" s="2919" t="s">
        <v>419</v>
      </c>
      <c r="B29" s="2917"/>
      <c r="C29" s="3313">
        <v>2986458.23</v>
      </c>
      <c r="D29" s="1167"/>
      <c r="E29" s="3148">
        <v>0</v>
      </c>
      <c r="F29" s="3309"/>
      <c r="G29" s="3148">
        <v>0</v>
      </c>
      <c r="H29" s="1167"/>
      <c r="I29" s="3148">
        <v>0</v>
      </c>
      <c r="J29" s="1153"/>
      <c r="K29" s="3313">
        <v>2488893.87</v>
      </c>
      <c r="L29" s="1167"/>
      <c r="M29" s="3313">
        <f>ROUND(SUM(C29)-SUM(K29)+SUM(G29),2)</f>
        <v>497564.36</v>
      </c>
      <c r="N29" s="3137"/>
      <c r="O29" s="3138"/>
      <c r="P29" s="3137"/>
      <c r="Q29" s="3313">
        <v>0</v>
      </c>
      <c r="R29" s="1153"/>
      <c r="S29" s="3313">
        <v>86524.76</v>
      </c>
      <c r="T29" s="1422"/>
      <c r="U29" s="1423"/>
    </row>
    <row r="30" spans="1:21">
      <c r="A30" s="2919" t="s">
        <v>1247</v>
      </c>
      <c r="B30" s="2917"/>
      <c r="C30" s="3313">
        <v>10029155.140000001</v>
      </c>
      <c r="D30" s="1167"/>
      <c r="E30" s="3148">
        <v>0</v>
      </c>
      <c r="F30" s="3309"/>
      <c r="G30" s="3148">
        <v>0</v>
      </c>
      <c r="H30" s="1167"/>
      <c r="I30" s="3148">
        <v>26055.65</v>
      </c>
      <c r="J30" s="1153"/>
      <c r="K30" s="3313">
        <v>2578016.2400000002</v>
      </c>
      <c r="L30" s="1167"/>
      <c r="M30" s="3313">
        <f>ROUND(SUM(C30)-SUM(K30)+SUM(G30),2)</f>
        <v>7451138.9000000004</v>
      </c>
      <c r="N30" s="3137"/>
      <c r="O30" s="3138"/>
      <c r="P30" s="3137"/>
      <c r="Q30" s="3313">
        <v>5303.63</v>
      </c>
      <c r="R30" s="1153"/>
      <c r="S30" s="3313">
        <v>309099.64</v>
      </c>
      <c r="T30" s="1422"/>
      <c r="U30" s="1423"/>
    </row>
    <row r="31" spans="1:21">
      <c r="A31" s="2919" t="s">
        <v>420</v>
      </c>
      <c r="B31" s="2917"/>
      <c r="C31" s="3313">
        <v>40929864.299999997</v>
      </c>
      <c r="D31" s="1167"/>
      <c r="E31" s="3148">
        <v>0</v>
      </c>
      <c r="F31" s="3309"/>
      <c r="G31" s="3309">
        <v>0</v>
      </c>
      <c r="H31" s="1167"/>
      <c r="I31" s="3309">
        <v>0</v>
      </c>
      <c r="J31" s="1153"/>
      <c r="K31" s="3313">
        <v>10859066.869999999</v>
      </c>
      <c r="L31" s="1167"/>
      <c r="M31" s="3313">
        <f>ROUND(SUM(C31)-SUM(K31)+SUM(G31),2)</f>
        <v>30070797.43</v>
      </c>
      <c r="N31" s="3137"/>
      <c r="O31" s="3138"/>
      <c r="P31" s="3137"/>
      <c r="Q31" s="3313">
        <v>0</v>
      </c>
      <c r="R31" s="1153"/>
      <c r="S31" s="3313">
        <v>1206051.1400000001</v>
      </c>
      <c r="T31" s="1422"/>
      <c r="U31" s="1423"/>
    </row>
    <row r="32" spans="1:21">
      <c r="A32" s="2917"/>
      <c r="B32" s="2917"/>
      <c r="C32" s="1638"/>
      <c r="D32" s="1167"/>
      <c r="E32" s="3149"/>
      <c r="F32" s="3309"/>
      <c r="G32" s="3309"/>
      <c r="H32" s="1167"/>
      <c r="I32" s="3309"/>
      <c r="J32" s="1167"/>
      <c r="K32" s="3311"/>
      <c r="L32" s="1167"/>
      <c r="M32" s="1638"/>
      <c r="N32" s="3137"/>
      <c r="O32" s="3138"/>
      <c r="P32" s="3137"/>
      <c r="Q32" s="1638"/>
      <c r="R32" s="1167"/>
      <c r="S32" s="1638"/>
      <c r="T32" s="1422"/>
      <c r="U32" s="1423"/>
    </row>
    <row r="33" spans="1:22">
      <c r="A33" s="2919" t="s">
        <v>421</v>
      </c>
      <c r="B33" s="2917"/>
      <c r="C33" s="1638"/>
      <c r="D33" s="1167"/>
      <c r="E33" s="3149"/>
      <c r="F33" s="3309"/>
      <c r="G33" s="3309"/>
      <c r="H33" s="1167"/>
      <c r="I33" s="3309"/>
      <c r="J33" s="1167"/>
      <c r="K33" s="3311"/>
      <c r="L33" s="1167"/>
      <c r="M33" s="1638"/>
      <c r="N33" s="3137"/>
      <c r="O33" s="3138"/>
      <c r="P33" s="3137"/>
      <c r="Q33" s="1638"/>
      <c r="R33" s="1167"/>
      <c r="S33" s="1638"/>
      <c r="T33" s="1422"/>
      <c r="U33" s="1156"/>
    </row>
    <row r="34" spans="1:22">
      <c r="A34" s="2919" t="s">
        <v>1270</v>
      </c>
      <c r="B34" s="2917"/>
      <c r="C34" s="3313">
        <v>20036912.739999998</v>
      </c>
      <c r="D34" s="1167"/>
      <c r="E34" s="3148">
        <v>0</v>
      </c>
      <c r="F34" s="3309"/>
      <c r="G34" s="3148">
        <v>0</v>
      </c>
      <c r="H34" s="1167"/>
      <c r="I34" s="3148">
        <v>3063.4700000000003</v>
      </c>
      <c r="J34" s="1153"/>
      <c r="K34" s="3313">
        <v>3218050.37</v>
      </c>
      <c r="L34" s="1167"/>
      <c r="M34" s="3313">
        <f>ROUND(SUM(C34)-SUM(K34)+SUM(G34),2)</f>
        <v>16818862.370000001</v>
      </c>
      <c r="N34" s="3137"/>
      <c r="O34" s="3138"/>
      <c r="P34" s="3137"/>
      <c r="Q34" s="3313">
        <v>2584.6799999999998</v>
      </c>
      <c r="R34" s="1153"/>
      <c r="S34" s="3313">
        <v>415768.49</v>
      </c>
      <c r="T34" s="1422"/>
      <c r="U34" s="1423"/>
    </row>
    <row r="35" spans="1:22" ht="13.8">
      <c r="A35" s="2919" t="s">
        <v>422</v>
      </c>
      <c r="B35" s="2917"/>
      <c r="C35" s="3313">
        <v>226116165.97</v>
      </c>
      <c r="D35" s="1167"/>
      <c r="E35" s="3148">
        <v>0</v>
      </c>
      <c r="F35" s="3309"/>
      <c r="G35" s="3148">
        <v>0</v>
      </c>
      <c r="H35" s="1167"/>
      <c r="I35" s="3148">
        <v>303326.55</v>
      </c>
      <c r="J35" s="1153"/>
      <c r="K35" s="3313">
        <v>17272075.48</v>
      </c>
      <c r="L35" s="1167"/>
      <c r="M35" s="3313">
        <f>ROUND(SUM(C35)-SUM(K35)+SUM(G35),2)</f>
        <v>208844090.49000001</v>
      </c>
      <c r="N35" s="3137"/>
      <c r="O35" s="3138"/>
      <c r="P35" s="3137"/>
      <c r="Q35" s="3313">
        <v>166137.99</v>
      </c>
      <c r="R35" s="3323" t="s">
        <v>16</v>
      </c>
      <c r="S35" s="3313">
        <v>5525322.5099999998</v>
      </c>
      <c r="T35" s="1422"/>
      <c r="U35" s="1423"/>
      <c r="V35" s="1156"/>
    </row>
    <row r="36" spans="1:22">
      <c r="A36" s="2917"/>
      <c r="B36" s="2917"/>
      <c r="C36" s="1638"/>
      <c r="D36" s="1167"/>
      <c r="E36" s="3149"/>
      <c r="F36" s="3309"/>
      <c r="G36" s="3309"/>
      <c r="H36" s="1167"/>
      <c r="I36" s="3309"/>
      <c r="J36" s="1167"/>
      <c r="K36" s="3311"/>
      <c r="L36" s="1167"/>
      <c r="M36" s="1638"/>
      <c r="N36" s="3137"/>
      <c r="O36" s="3138"/>
      <c r="P36" s="3137"/>
      <c r="Q36" s="1638"/>
      <c r="R36" s="1167"/>
      <c r="S36" s="1638"/>
      <c r="T36" s="1422"/>
      <c r="U36" s="1423"/>
    </row>
    <row r="37" spans="1:22">
      <c r="A37" s="2919" t="s">
        <v>423</v>
      </c>
      <c r="B37" s="2917"/>
      <c r="C37" s="1638"/>
      <c r="D37" s="1167"/>
      <c r="E37" s="3149"/>
      <c r="F37" s="3314"/>
      <c r="G37" s="3314"/>
      <c r="H37" s="1167"/>
      <c r="I37" s="3314"/>
      <c r="J37" s="1167"/>
      <c r="K37" s="3311"/>
      <c r="L37" s="1167"/>
      <c r="M37" s="1638"/>
      <c r="N37" s="3137"/>
      <c r="O37" s="3138"/>
      <c r="P37" s="3137"/>
      <c r="Q37" s="3313"/>
      <c r="R37" s="1167"/>
      <c r="S37" s="3313"/>
      <c r="T37" s="1422"/>
      <c r="U37" s="1156"/>
    </row>
    <row r="38" spans="1:22">
      <c r="A38" s="2919" t="s">
        <v>424</v>
      </c>
      <c r="B38" s="2917"/>
      <c r="C38" s="3313">
        <v>19890000</v>
      </c>
      <c r="D38" s="1167"/>
      <c r="E38" s="3148">
        <v>0</v>
      </c>
      <c r="F38" s="3309"/>
      <c r="G38" s="3148">
        <v>0</v>
      </c>
      <c r="H38" s="1167"/>
      <c r="I38" s="3148">
        <v>0</v>
      </c>
      <c r="J38" s="3315"/>
      <c r="K38" s="3313">
        <v>3770000</v>
      </c>
      <c r="L38" s="1167"/>
      <c r="M38" s="3313">
        <f>ROUND(SUM(C38)-SUM(K38)+SUM(G38),2)</f>
        <v>16120000</v>
      </c>
      <c r="N38" s="3137"/>
      <c r="O38" s="3138"/>
      <c r="P38" s="3137"/>
      <c r="Q38" s="3148">
        <v>0</v>
      </c>
      <c r="R38" s="1167"/>
      <c r="S38" s="3148">
        <v>563700</v>
      </c>
      <c r="T38" s="1422"/>
      <c r="U38" s="1423"/>
    </row>
    <row r="39" spans="1:22">
      <c r="A39" s="2919" t="s">
        <v>1248</v>
      </c>
      <c r="B39" s="2917"/>
      <c r="C39" s="3313">
        <v>17285000</v>
      </c>
      <c r="D39" s="1167"/>
      <c r="E39" s="3148">
        <v>0</v>
      </c>
      <c r="F39" s="3309"/>
      <c r="G39" s="3148">
        <v>0</v>
      </c>
      <c r="H39" s="1167"/>
      <c r="I39" s="3148">
        <v>0</v>
      </c>
      <c r="J39" s="1157"/>
      <c r="K39" s="3313">
        <v>3310000</v>
      </c>
      <c r="L39" s="1167"/>
      <c r="M39" s="3313">
        <f>ROUND(SUM(C39)-SUM(K39)+SUM(G39),2)</f>
        <v>13975000</v>
      </c>
      <c r="N39" s="3137"/>
      <c r="O39" s="3138"/>
      <c r="P39" s="3137"/>
      <c r="Q39" s="3148">
        <v>0</v>
      </c>
      <c r="R39" s="1153"/>
      <c r="S39" s="3148">
        <v>270155</v>
      </c>
      <c r="T39" s="1422"/>
      <c r="U39" s="1423"/>
    </row>
    <row r="40" spans="1:22">
      <c r="A40" s="2917"/>
      <c r="B40" s="2917"/>
      <c r="C40" s="1638"/>
      <c r="D40" s="1167"/>
      <c r="E40" s="3148"/>
      <c r="F40" s="3309"/>
      <c r="G40" s="3309"/>
      <c r="H40" s="1167"/>
      <c r="I40" s="3309"/>
      <c r="J40" s="1424"/>
      <c r="K40" s="3316"/>
      <c r="L40" s="1167"/>
      <c r="M40" s="1638"/>
      <c r="N40" s="3137"/>
      <c r="O40" s="3138"/>
      <c r="P40" s="3137"/>
      <c r="Q40" s="3149"/>
      <c r="R40" s="1167"/>
      <c r="S40" s="3149"/>
      <c r="T40" s="1422"/>
      <c r="U40" s="1423"/>
    </row>
    <row r="41" spans="1:22">
      <c r="A41" s="2919" t="s">
        <v>1249</v>
      </c>
      <c r="B41" s="2917"/>
      <c r="C41" s="3313">
        <v>9270.0499999999993</v>
      </c>
      <c r="D41" s="1167"/>
      <c r="E41" s="3148">
        <v>0</v>
      </c>
      <c r="F41" s="3317"/>
      <c r="G41" s="3148">
        <v>0</v>
      </c>
      <c r="H41" s="1167"/>
      <c r="I41" s="3148">
        <v>0</v>
      </c>
      <c r="J41" s="1157"/>
      <c r="K41" s="3313">
        <v>0</v>
      </c>
      <c r="L41" s="1167"/>
      <c r="M41" s="3313">
        <f>ROUND(SUM(C41)-SUM(K41)+SUM(G41),2)</f>
        <v>9270.0499999999993</v>
      </c>
      <c r="N41" s="3137"/>
      <c r="O41" s="3138"/>
      <c r="P41" s="3137"/>
      <c r="Q41" s="3148">
        <v>0</v>
      </c>
      <c r="R41" s="1153"/>
      <c r="S41" s="3148">
        <v>185.4</v>
      </c>
      <c r="T41" s="1422"/>
      <c r="U41" s="1423"/>
    </row>
    <row r="42" spans="1:22">
      <c r="A42" s="2917"/>
      <c r="B42" s="2917"/>
      <c r="C42" s="3313"/>
      <c r="D42" s="1167"/>
      <c r="E42" s="3149"/>
      <c r="F42" s="3314"/>
      <c r="G42" s="3314"/>
      <c r="H42" s="1167"/>
      <c r="I42" s="3314"/>
      <c r="J42" s="1167"/>
      <c r="K42" s="3311"/>
      <c r="L42" s="1167"/>
      <c r="M42" s="1638"/>
      <c r="N42" s="3137"/>
      <c r="O42" s="3138"/>
      <c r="P42" s="3137"/>
      <c r="Q42" s="3149"/>
      <c r="R42" s="1167"/>
      <c r="S42" s="3149"/>
      <c r="T42" s="1422"/>
      <c r="U42" s="1423"/>
    </row>
    <row r="43" spans="1:22" ht="15">
      <c r="A43" s="2919" t="s">
        <v>425</v>
      </c>
      <c r="B43" s="2917"/>
      <c r="C43" s="3313">
        <v>38693774.380000003</v>
      </c>
      <c r="D43" s="1167"/>
      <c r="E43" s="3148">
        <v>0</v>
      </c>
      <c r="F43" s="3317"/>
      <c r="G43" s="3148">
        <v>0</v>
      </c>
      <c r="H43" s="1167"/>
      <c r="I43" s="3148">
        <v>35921.54</v>
      </c>
      <c r="J43" s="1153"/>
      <c r="K43" s="3313">
        <v>6642984.5999999996</v>
      </c>
      <c r="L43" s="1167"/>
      <c r="M43" s="3313">
        <f>ROUND(SUM(C43)-SUM(K43)+SUM(G43),2)</f>
        <v>32050789.780000001</v>
      </c>
      <c r="N43" s="3137"/>
      <c r="O43" s="3138"/>
      <c r="P43" s="3137"/>
      <c r="Q43" s="3148">
        <v>37778.6</v>
      </c>
      <c r="R43" s="3324"/>
      <c r="S43" s="3148">
        <v>1135022.1400000001</v>
      </c>
      <c r="T43" s="1422"/>
      <c r="U43" s="1423"/>
    </row>
    <row r="44" spans="1:22" ht="15">
      <c r="A44" s="2917"/>
      <c r="B44" s="2917"/>
      <c r="C44" s="3313"/>
      <c r="D44" s="1167"/>
      <c r="E44" s="3149"/>
      <c r="F44" s="3314"/>
      <c r="G44" s="3314"/>
      <c r="H44" s="1167"/>
      <c r="I44" s="3314"/>
      <c r="J44" s="1167"/>
      <c r="K44" s="3311"/>
      <c r="L44" s="1167"/>
      <c r="M44" s="1638"/>
      <c r="N44" s="3137"/>
      <c r="O44" s="3138"/>
      <c r="P44" s="3137"/>
      <c r="Q44" s="3149"/>
      <c r="R44" s="3322"/>
      <c r="S44" s="3149"/>
      <c r="T44" s="1422"/>
      <c r="U44" s="1423"/>
    </row>
    <row r="45" spans="1:22" ht="15">
      <c r="A45" s="2919" t="s">
        <v>426</v>
      </c>
      <c r="B45" s="2917"/>
      <c r="C45" s="3313">
        <v>747162.13</v>
      </c>
      <c r="D45" s="1167"/>
      <c r="E45" s="3148">
        <v>0</v>
      </c>
      <c r="F45" s="1159"/>
      <c r="G45" s="3148">
        <v>0</v>
      </c>
      <c r="H45" s="1167"/>
      <c r="I45" s="3148">
        <v>0</v>
      </c>
      <c r="J45" s="1153"/>
      <c r="K45" s="3313">
        <v>449723.49</v>
      </c>
      <c r="L45" s="1167"/>
      <c r="M45" s="3313">
        <f>ROUND(SUM(C45)-SUM(K45)+SUM(G45),2)</f>
        <v>297438.64</v>
      </c>
      <c r="N45" s="3137"/>
      <c r="O45" s="3138"/>
      <c r="P45" s="3137"/>
      <c r="Q45" s="3148">
        <v>0</v>
      </c>
      <c r="R45" s="3324"/>
      <c r="S45" s="3148">
        <v>26288.73</v>
      </c>
      <c r="T45" s="1422"/>
      <c r="U45" s="1423"/>
    </row>
    <row r="46" spans="1:22" ht="15">
      <c r="A46" s="2917"/>
      <c r="B46" s="2917"/>
      <c r="C46" s="3313"/>
      <c r="D46" s="1167"/>
      <c r="E46" s="3149"/>
      <c r="F46" s="3309"/>
      <c r="G46" s="3309"/>
      <c r="H46" s="1167"/>
      <c r="I46" s="3309"/>
      <c r="J46" s="1167"/>
      <c r="K46" s="3311"/>
      <c r="L46" s="1167"/>
      <c r="M46" s="1638"/>
      <c r="N46" s="3137"/>
      <c r="O46" s="3138"/>
      <c r="P46" s="3137"/>
      <c r="Q46" s="3148"/>
      <c r="R46" s="3322"/>
      <c r="S46" s="3148"/>
      <c r="T46" s="1422"/>
      <c r="U46" s="1423"/>
    </row>
    <row r="47" spans="1:22" ht="15">
      <c r="A47" s="2919" t="s">
        <v>427</v>
      </c>
      <c r="B47" s="2917"/>
      <c r="C47" s="3318"/>
      <c r="D47" s="1167"/>
      <c r="E47" s="3149"/>
      <c r="F47" s="3314"/>
      <c r="G47" s="3314"/>
      <c r="H47" s="1167"/>
      <c r="I47" s="3314"/>
      <c r="J47" s="1424"/>
      <c r="K47" s="3311"/>
      <c r="L47" s="1167"/>
      <c r="M47" s="1638"/>
      <c r="N47" s="3137"/>
      <c r="O47" s="3138"/>
      <c r="P47" s="3137"/>
      <c r="Q47" s="3148"/>
      <c r="R47" s="3322"/>
      <c r="S47" s="3148"/>
      <c r="T47" s="1422"/>
      <c r="U47" s="1423"/>
    </row>
    <row r="48" spans="1:22" ht="15">
      <c r="A48" s="2919" t="s">
        <v>428</v>
      </c>
      <c r="B48" s="2917"/>
      <c r="C48" s="3318">
        <v>855692480.44000006</v>
      </c>
      <c r="D48" s="1167"/>
      <c r="E48" s="3148">
        <v>0</v>
      </c>
      <c r="F48" s="3309"/>
      <c r="G48" s="3148">
        <v>0</v>
      </c>
      <c r="H48" s="1167"/>
      <c r="I48" s="3148">
        <v>4826531</v>
      </c>
      <c r="J48" s="1163"/>
      <c r="K48" s="3313">
        <v>4826531</v>
      </c>
      <c r="L48" s="1167"/>
      <c r="M48" s="3313">
        <f t="shared" ref="M48:M53" si="0">ROUND(SUM(C48)-SUM(K48)+SUM(G48),2)</f>
        <v>850865949.44000006</v>
      </c>
      <c r="N48" s="3137"/>
      <c r="O48" s="3138"/>
      <c r="P48" s="3137"/>
      <c r="Q48" s="3148">
        <v>1943320.53</v>
      </c>
      <c r="R48" s="3322"/>
      <c r="S48" s="3148">
        <v>20952839.32</v>
      </c>
      <c r="T48" s="1422"/>
      <c r="U48" s="1423"/>
    </row>
    <row r="49" spans="1:21" ht="15">
      <c r="A49" s="2919" t="s">
        <v>429</v>
      </c>
      <c r="B49" s="2917"/>
      <c r="C49" s="3318">
        <v>17492917.890000001</v>
      </c>
      <c r="D49" s="3319"/>
      <c r="E49" s="3148">
        <v>0</v>
      </c>
      <c r="F49" s="3309"/>
      <c r="G49" s="3148">
        <v>0</v>
      </c>
      <c r="H49" s="1167"/>
      <c r="I49" s="3148">
        <v>397371.76</v>
      </c>
      <c r="J49" s="1163"/>
      <c r="K49" s="3313">
        <v>397371.76</v>
      </c>
      <c r="L49" s="1167"/>
      <c r="M49" s="3313">
        <f t="shared" si="0"/>
        <v>17095546.129999999</v>
      </c>
      <c r="N49" s="3137"/>
      <c r="O49" s="3138"/>
      <c r="P49" s="3137"/>
      <c r="Q49" s="3148">
        <v>80885.11</v>
      </c>
      <c r="R49" s="3322"/>
      <c r="S49" s="3148">
        <v>482594.03</v>
      </c>
      <c r="T49" s="1422"/>
      <c r="U49" s="1423"/>
    </row>
    <row r="50" spans="1:21" ht="15">
      <c r="A50" s="2919" t="s">
        <v>430</v>
      </c>
      <c r="B50" s="2917"/>
      <c r="C50" s="3318">
        <v>51322171.859999999</v>
      </c>
      <c r="D50" s="3319"/>
      <c r="E50" s="3148">
        <v>0</v>
      </c>
      <c r="F50" s="1638"/>
      <c r="G50" s="3148">
        <v>0</v>
      </c>
      <c r="H50" s="1167"/>
      <c r="I50" s="3148">
        <v>0</v>
      </c>
      <c r="J50" s="1163"/>
      <c r="K50" s="1638">
        <v>0</v>
      </c>
      <c r="L50" s="1167"/>
      <c r="M50" s="3313">
        <f t="shared" si="0"/>
        <v>51322171.859999999</v>
      </c>
      <c r="N50" s="3137"/>
      <c r="O50" s="3138"/>
      <c r="P50" s="3137"/>
      <c r="Q50" s="3148">
        <v>0</v>
      </c>
      <c r="R50" s="3322"/>
      <c r="S50" s="3148">
        <v>1106987.82</v>
      </c>
      <c r="T50" s="1422"/>
      <c r="U50" s="1423"/>
    </row>
    <row r="51" spans="1:21" ht="15">
      <c r="A51" s="2919" t="s">
        <v>431</v>
      </c>
      <c r="B51" s="2917"/>
      <c r="C51" s="3318">
        <v>82762796.200000003</v>
      </c>
      <c r="D51" s="1167"/>
      <c r="E51" s="3148">
        <v>0</v>
      </c>
      <c r="F51" s="3309"/>
      <c r="G51" s="3148">
        <v>0</v>
      </c>
      <c r="H51" s="1167"/>
      <c r="I51" s="3148">
        <v>0</v>
      </c>
      <c r="J51" s="1163"/>
      <c r="K51" s="1638">
        <v>0</v>
      </c>
      <c r="L51" s="1167"/>
      <c r="M51" s="3313">
        <f t="shared" si="0"/>
        <v>82762796.200000003</v>
      </c>
      <c r="N51" s="3137"/>
      <c r="O51" s="3138"/>
      <c r="P51" s="3137"/>
      <c r="Q51" s="3148">
        <v>0</v>
      </c>
      <c r="R51" s="3322"/>
      <c r="S51" s="3148">
        <v>1890888.1600000001</v>
      </c>
      <c r="T51" s="1422"/>
      <c r="U51" s="1423"/>
    </row>
    <row r="52" spans="1:21" ht="15">
      <c r="A52" s="2919" t="s">
        <v>432</v>
      </c>
      <c r="B52" s="2917"/>
      <c r="C52" s="3318">
        <v>7992060.7699999996</v>
      </c>
      <c r="D52" s="1167"/>
      <c r="E52" s="3148">
        <v>0</v>
      </c>
      <c r="F52" s="3309"/>
      <c r="G52" s="3148">
        <v>0</v>
      </c>
      <c r="H52" s="1167"/>
      <c r="I52" s="3148">
        <v>0</v>
      </c>
      <c r="J52" s="1163"/>
      <c r="K52" s="1159">
        <v>0</v>
      </c>
      <c r="L52" s="1167"/>
      <c r="M52" s="3313">
        <f t="shared" si="0"/>
        <v>7992060.7699999996</v>
      </c>
      <c r="N52" s="3137"/>
      <c r="O52" s="3138"/>
      <c r="P52" s="3137"/>
      <c r="Q52" s="3148">
        <v>0</v>
      </c>
      <c r="R52" s="3322"/>
      <c r="S52" s="3148">
        <v>181348.59</v>
      </c>
      <c r="T52" s="1422"/>
      <c r="U52" s="1423"/>
    </row>
    <row r="53" spans="1:21" ht="15">
      <c r="A53" s="2919" t="s">
        <v>1121</v>
      </c>
      <c r="B53" s="2917"/>
      <c r="C53" s="3313">
        <v>877031335.38999999</v>
      </c>
      <c r="D53" s="1167"/>
      <c r="E53" s="3148">
        <v>0</v>
      </c>
      <c r="F53" s="3317"/>
      <c r="G53" s="3148">
        <v>0</v>
      </c>
      <c r="H53" s="1167"/>
      <c r="I53" s="3148">
        <v>5510859.7599999998</v>
      </c>
      <c r="J53" s="1157"/>
      <c r="K53" s="3313">
        <v>5510859.7599999998</v>
      </c>
      <c r="L53" s="1167"/>
      <c r="M53" s="3313">
        <f t="shared" si="0"/>
        <v>871520475.63</v>
      </c>
      <c r="N53" s="3137"/>
      <c r="O53" s="3138"/>
      <c r="P53" s="3137"/>
      <c r="Q53" s="3148">
        <v>3428828.2800000003</v>
      </c>
      <c r="R53" s="3324"/>
      <c r="S53" s="3148">
        <v>22529565.010000002</v>
      </c>
      <c r="T53" s="1422"/>
      <c r="U53" s="1423"/>
    </row>
    <row r="54" spans="1:21">
      <c r="A54" s="2917"/>
      <c r="B54" s="2917"/>
      <c r="C54" s="3313"/>
      <c r="D54" s="1167"/>
      <c r="E54" s="3149"/>
      <c r="F54" s="3309"/>
      <c r="G54" s="3309"/>
      <c r="H54" s="1167"/>
      <c r="I54" s="3309"/>
      <c r="J54" s="1167"/>
      <c r="K54" s="3311"/>
      <c r="L54" s="1167"/>
      <c r="M54" s="3313"/>
      <c r="N54" s="3137"/>
      <c r="O54" s="3138"/>
      <c r="P54" s="3137"/>
      <c r="Q54" s="1638"/>
      <c r="R54" s="1638"/>
      <c r="S54" s="1638"/>
      <c r="T54" s="1422"/>
      <c r="U54" s="1423"/>
    </row>
    <row r="55" spans="1:21">
      <c r="A55" s="2919" t="s">
        <v>1122</v>
      </c>
      <c r="B55" s="2917"/>
      <c r="C55" s="3313"/>
      <c r="D55" s="1167"/>
      <c r="E55" s="3149"/>
      <c r="F55" s="3314"/>
      <c r="G55" s="3314"/>
      <c r="H55" s="1167"/>
      <c r="I55" s="3314"/>
      <c r="J55" s="1424"/>
      <c r="K55" s="3311"/>
      <c r="L55" s="1167"/>
      <c r="M55" s="3313"/>
      <c r="N55" s="3137"/>
      <c r="O55" s="3138"/>
      <c r="P55" s="3137"/>
      <c r="Q55" s="3313"/>
      <c r="R55" s="1638"/>
      <c r="S55" s="3313"/>
      <c r="T55" s="1422"/>
      <c r="U55" s="1156"/>
    </row>
    <row r="56" spans="1:21">
      <c r="A56" s="2919" t="s">
        <v>1250</v>
      </c>
      <c r="B56" s="2917"/>
      <c r="C56" s="3313">
        <v>1808681.4</v>
      </c>
      <c r="D56" s="1167"/>
      <c r="E56" s="3148">
        <v>0</v>
      </c>
      <c r="F56" s="3309"/>
      <c r="G56" s="3148">
        <v>0</v>
      </c>
      <c r="H56" s="1167"/>
      <c r="I56" s="3148">
        <v>13018.16</v>
      </c>
      <c r="J56" s="1157"/>
      <c r="K56" s="3313">
        <v>13018.16</v>
      </c>
      <c r="L56" s="1167"/>
      <c r="M56" s="3313">
        <f>ROUND(SUM(C56)-SUM(K56)+SUM(G56),2)</f>
        <v>1795663.24</v>
      </c>
      <c r="N56" s="3137"/>
      <c r="O56" s="3138"/>
      <c r="P56" s="3137"/>
      <c r="Q56" s="3148">
        <v>2649.85</v>
      </c>
      <c r="R56" s="1638"/>
      <c r="S56" s="3148">
        <v>44652.15</v>
      </c>
      <c r="T56" s="1422"/>
      <c r="U56" s="1423"/>
    </row>
    <row r="57" spans="1:21" ht="15">
      <c r="A57" s="2919" t="s">
        <v>1203</v>
      </c>
      <c r="B57" s="2917"/>
      <c r="C57" s="3313">
        <v>7849619.1600000001</v>
      </c>
      <c r="D57" s="1167"/>
      <c r="E57" s="3148">
        <v>0</v>
      </c>
      <c r="F57" s="3309"/>
      <c r="G57" s="3148">
        <v>0</v>
      </c>
      <c r="H57" s="1167"/>
      <c r="I57" s="3148">
        <v>0</v>
      </c>
      <c r="J57" s="1153"/>
      <c r="K57" s="3313">
        <v>2073633.78</v>
      </c>
      <c r="L57" s="1167"/>
      <c r="M57" s="3313">
        <f>ROUND(SUM(C57)-SUM(K57)+SUM(G57),2)</f>
        <v>5775985.3799999999</v>
      </c>
      <c r="N57" s="3137"/>
      <c r="O57" s="3138"/>
      <c r="P57" s="3137"/>
      <c r="Q57" s="3148">
        <v>0</v>
      </c>
      <c r="R57" s="3324"/>
      <c r="S57" s="3148">
        <v>267559.87</v>
      </c>
      <c r="T57" s="1422"/>
      <c r="U57" s="1423"/>
    </row>
    <row r="58" spans="1:21" ht="15">
      <c r="A58" s="2917"/>
      <c r="B58" s="2917"/>
      <c r="C58" s="3313"/>
      <c r="D58" s="1167"/>
      <c r="E58" s="3148"/>
      <c r="F58" s="3309"/>
      <c r="G58" s="3309"/>
      <c r="H58" s="1167"/>
      <c r="I58" s="3309"/>
      <c r="J58" s="1167"/>
      <c r="K58" s="3311"/>
      <c r="L58" s="1167"/>
      <c r="M58" s="1638"/>
      <c r="N58" s="3137"/>
      <c r="O58" s="3138"/>
      <c r="P58" s="3137"/>
      <c r="Q58" s="3149"/>
      <c r="R58" s="3322"/>
      <c r="S58" s="3149"/>
      <c r="T58" s="1422"/>
      <c r="U58" s="1423"/>
    </row>
    <row r="59" spans="1:21" ht="13.5" customHeight="1">
      <c r="A59" s="2919" t="s">
        <v>433</v>
      </c>
      <c r="B59" s="2917"/>
      <c r="C59" s="3313"/>
      <c r="D59" s="1167"/>
      <c r="E59" s="3149"/>
      <c r="F59" s="3309"/>
      <c r="G59" s="3309"/>
      <c r="H59" s="1167"/>
      <c r="I59" s="3309"/>
      <c r="J59" s="1167"/>
      <c r="K59" s="3311"/>
      <c r="L59" s="1167"/>
      <c r="M59" s="1638"/>
      <c r="N59" s="3137"/>
      <c r="O59" s="3138"/>
      <c r="P59" s="3137"/>
      <c r="Q59" s="3149"/>
      <c r="R59" s="3322"/>
      <c r="S59" s="3149"/>
      <c r="T59" s="1422"/>
      <c r="U59" s="1156"/>
    </row>
    <row r="60" spans="1:21" ht="15">
      <c r="A60" s="2919" t="s">
        <v>430</v>
      </c>
      <c r="B60" s="2917"/>
      <c r="C60" s="3313">
        <v>9069490.5800000001</v>
      </c>
      <c r="D60" s="1167"/>
      <c r="E60" s="3149">
        <v>0</v>
      </c>
      <c r="F60" s="3309"/>
      <c r="G60" s="3148">
        <v>0</v>
      </c>
      <c r="H60" s="1167"/>
      <c r="I60" s="3148">
        <v>0</v>
      </c>
      <c r="J60" s="1153"/>
      <c r="K60" s="3313">
        <v>3222875.6</v>
      </c>
      <c r="L60" s="1167"/>
      <c r="M60" s="3313">
        <f>ROUND(SUM(C60)-SUM(K60)+SUM(G60),2)</f>
        <v>5846614.9800000004</v>
      </c>
      <c r="N60" s="3137"/>
      <c r="O60" s="3138"/>
      <c r="P60" s="3137"/>
      <c r="Q60" s="3148">
        <v>0</v>
      </c>
      <c r="R60" s="3322"/>
      <c r="S60" s="3148">
        <v>266554.63</v>
      </c>
      <c r="T60" s="1422"/>
      <c r="U60" s="1423"/>
    </row>
    <row r="61" spans="1:21" ht="15">
      <c r="A61" s="2919" t="s">
        <v>434</v>
      </c>
      <c r="B61" s="2917"/>
      <c r="C61" s="3313">
        <v>78383.649999999994</v>
      </c>
      <c r="D61" s="1167"/>
      <c r="E61" s="3148">
        <v>0</v>
      </c>
      <c r="F61" s="3309"/>
      <c r="G61" s="3148">
        <v>0</v>
      </c>
      <c r="H61" s="1167"/>
      <c r="I61" s="3148">
        <v>0</v>
      </c>
      <c r="J61" s="1153"/>
      <c r="K61" s="3313">
        <v>39713.879999999997</v>
      </c>
      <c r="L61" s="1167"/>
      <c r="M61" s="3313">
        <f>ROUND(SUM(C61)-SUM(K61)+SUM(G61),2)</f>
        <v>38669.769999999997</v>
      </c>
      <c r="N61" s="3137"/>
      <c r="O61" s="3138"/>
      <c r="P61" s="3137"/>
      <c r="Q61" s="3148">
        <v>0</v>
      </c>
      <c r="R61" s="3324"/>
      <c r="S61" s="3148">
        <v>3010.63</v>
      </c>
      <c r="T61" s="1422"/>
      <c r="U61" s="1423"/>
    </row>
    <row r="62" spans="1:21">
      <c r="A62" s="2917"/>
      <c r="B62" s="2926"/>
      <c r="C62" s="3139"/>
      <c r="D62" s="3137"/>
      <c r="E62" s="3148"/>
      <c r="F62" s="3127"/>
      <c r="G62" s="3140"/>
      <c r="H62" s="3137"/>
      <c r="I62" s="3141"/>
      <c r="J62" s="3137"/>
      <c r="K62" s="3142"/>
      <c r="L62" s="3137"/>
      <c r="M62" s="3143"/>
      <c r="N62" s="3137"/>
      <c r="O62" s="3138"/>
      <c r="P62" s="3137"/>
      <c r="Q62" s="3141"/>
      <c r="R62" s="3137"/>
      <c r="S62" s="3139"/>
    </row>
    <row r="63" spans="1:21" ht="15.6" thickBot="1">
      <c r="A63" s="2925" t="s">
        <v>435</v>
      </c>
      <c r="B63" s="2929"/>
      <c r="C63" s="3122">
        <f>SUM(C16:C62)</f>
        <v>3017749999.46</v>
      </c>
      <c r="D63" s="3144"/>
      <c r="E63" s="3122">
        <f>SUM(E16:E62)</f>
        <v>0</v>
      </c>
      <c r="F63" s="3125"/>
      <c r="G63" s="3122">
        <f>SUM(G16:G62)</f>
        <v>0</v>
      </c>
      <c r="H63" s="3144"/>
      <c r="I63" s="3122">
        <f>SUM(I16:I62)</f>
        <v>12290000</v>
      </c>
      <c r="J63" s="3144"/>
      <c r="K63" s="3122">
        <f>SUM(K16:K62)</f>
        <v>122775000</v>
      </c>
      <c r="L63" s="3144"/>
      <c r="M63" s="3122">
        <f>SUM(M16:M62)</f>
        <v>2894974999.46</v>
      </c>
      <c r="N63" s="3145"/>
      <c r="O63" s="3146"/>
      <c r="P63" s="3144"/>
      <c r="Q63" s="3122">
        <f>SUM(Q16:Q62)</f>
        <v>6125461.4199999999</v>
      </c>
      <c r="R63" s="3144"/>
      <c r="S63" s="3122">
        <f>SUM(S16:S62)</f>
        <v>74478363.270000011</v>
      </c>
      <c r="T63" s="1565"/>
      <c r="U63" s="1565"/>
    </row>
    <row r="64" spans="1:21" ht="15" customHeight="1" thickTop="1">
      <c r="A64" s="2931"/>
      <c r="B64" s="2932"/>
      <c r="C64" s="2930"/>
      <c r="D64" s="2932"/>
      <c r="E64" s="2933"/>
      <c r="F64" s="2934"/>
      <c r="G64" s="2933"/>
      <c r="H64" s="2932"/>
      <c r="I64" s="2930"/>
      <c r="J64" s="2932"/>
      <c r="K64" s="2935"/>
      <c r="L64" s="2932"/>
      <c r="M64" s="2936"/>
      <c r="N64" s="2925"/>
      <c r="O64" s="2925"/>
      <c r="P64" s="2932"/>
      <c r="Q64" s="2935"/>
      <c r="R64" s="2932"/>
      <c r="S64" s="2930"/>
      <c r="T64" s="1566"/>
      <c r="U64" s="1566"/>
    </row>
    <row r="65" spans="1:19" ht="15" customHeight="1">
      <c r="A65" s="2937"/>
      <c r="B65" s="2928"/>
      <c r="C65" s="2928"/>
      <c r="D65" s="2938"/>
      <c r="E65" s="2928"/>
      <c r="F65" s="2938"/>
      <c r="G65" s="2917"/>
      <c r="H65" s="2926"/>
      <c r="I65" s="2919"/>
      <c r="J65" s="2926"/>
      <c r="K65" s="2919"/>
      <c r="L65" s="2926"/>
      <c r="M65" s="2917"/>
      <c r="N65" s="2928"/>
      <c r="O65" s="2917"/>
      <c r="P65" s="2927"/>
      <c r="Q65" s="2917"/>
      <c r="R65" s="2917"/>
      <c r="S65" s="2917"/>
    </row>
    <row r="66" spans="1:19">
      <c r="A66" s="1424"/>
      <c r="C66" s="1162"/>
      <c r="D66" s="1568"/>
      <c r="E66" s="1162"/>
      <c r="F66" s="1422"/>
      <c r="G66" s="1167"/>
      <c r="H66" s="1422"/>
      <c r="I66" s="1167"/>
      <c r="J66" s="1423"/>
      <c r="M66" s="1162"/>
      <c r="N66" s="1423"/>
      <c r="P66" s="1156"/>
    </row>
    <row r="67" spans="1:19">
      <c r="A67" s="1168"/>
      <c r="E67" s="1166"/>
      <c r="G67" s="1158"/>
      <c r="I67" s="1158"/>
      <c r="O67" s="1156"/>
      <c r="Q67" s="1156"/>
      <c r="R67" s="1155"/>
    </row>
    <row r="68" spans="1:19">
      <c r="E68" s="1167"/>
      <c r="K68" s="1638"/>
      <c r="M68" s="1162"/>
      <c r="O68" s="1424"/>
    </row>
    <row r="69" spans="1:19">
      <c r="C69" s="1156"/>
      <c r="E69" s="1157"/>
      <c r="G69" s="1158"/>
      <c r="I69" s="1158"/>
      <c r="K69" s="1159"/>
      <c r="M69" s="1162"/>
      <c r="O69" s="1163"/>
      <c r="Q69" s="1156"/>
    </row>
    <row r="70" spans="1:19">
      <c r="C70" s="1156"/>
      <c r="E70" s="1423"/>
      <c r="G70" s="1158"/>
      <c r="I70" s="1158"/>
      <c r="K70" s="1807"/>
      <c r="M70" s="1162"/>
      <c r="O70" s="1423"/>
      <c r="Q70" s="1156"/>
    </row>
    <row r="71" spans="1:19">
      <c r="C71" s="1156"/>
      <c r="E71" s="1421"/>
      <c r="G71" s="1158"/>
      <c r="I71" s="1158"/>
      <c r="K71" s="1638"/>
      <c r="M71" s="1162"/>
      <c r="O71" s="1564"/>
      <c r="Q71" s="1156"/>
    </row>
    <row r="72" spans="1:19">
      <c r="C72" s="1156"/>
      <c r="E72" s="1157"/>
      <c r="G72" s="1158"/>
      <c r="I72" s="1158"/>
      <c r="K72" s="1159"/>
      <c r="M72" s="1162"/>
      <c r="O72" s="1163"/>
      <c r="Q72" s="1156"/>
      <c r="R72" s="1155"/>
    </row>
    <row r="73" spans="1:19">
      <c r="C73" s="1156"/>
      <c r="E73" s="1157"/>
      <c r="G73" s="1158"/>
      <c r="I73" s="1158"/>
      <c r="K73" s="1159"/>
      <c r="M73" s="1162"/>
      <c r="O73" s="1163"/>
      <c r="Q73" s="1156"/>
    </row>
    <row r="74" spans="1:19">
      <c r="C74" s="1156"/>
      <c r="E74" s="1423"/>
      <c r="G74" s="1158"/>
      <c r="I74" s="1158"/>
      <c r="K74" s="1807"/>
      <c r="M74" s="1162"/>
      <c r="O74" s="1423"/>
      <c r="Q74" s="1156"/>
    </row>
    <row r="75" spans="1:19">
      <c r="C75" s="1156"/>
      <c r="E75" s="1421"/>
      <c r="G75" s="1158"/>
      <c r="I75" s="1158"/>
      <c r="K75" s="1638"/>
      <c r="M75" s="1162"/>
      <c r="O75" s="1564"/>
      <c r="Q75" s="1156"/>
    </row>
    <row r="76" spans="1:19">
      <c r="B76" s="1162"/>
      <c r="C76" s="1569"/>
      <c r="D76" s="1162"/>
      <c r="E76" s="1570"/>
      <c r="F76" s="1162"/>
      <c r="G76" s="1571"/>
      <c r="H76" s="1162"/>
      <c r="I76" s="1571"/>
      <c r="J76" s="1162"/>
      <c r="K76" s="1808"/>
      <c r="L76" s="1162"/>
      <c r="M76" s="1162"/>
      <c r="N76" s="1162"/>
      <c r="O76" s="1572"/>
      <c r="P76" s="1162"/>
      <c r="Q76" s="1569"/>
    </row>
    <row r="77" spans="1:19">
      <c r="A77" s="1162"/>
      <c r="B77" s="1162"/>
      <c r="C77" s="1161"/>
      <c r="D77" s="1160"/>
      <c r="E77" s="1573"/>
      <c r="F77" s="1160"/>
      <c r="G77" s="1164"/>
      <c r="H77" s="1160"/>
      <c r="I77" s="1164"/>
      <c r="J77" s="1160"/>
      <c r="K77" s="1809"/>
      <c r="L77" s="1160"/>
      <c r="M77" s="1160"/>
      <c r="N77" s="1160"/>
      <c r="O77" s="1573"/>
      <c r="P77" s="1160"/>
      <c r="Q77" s="1161"/>
    </row>
    <row r="78" spans="1:19">
      <c r="A78" s="1160"/>
      <c r="C78" s="1566"/>
      <c r="D78" s="1154"/>
      <c r="E78" s="1566"/>
      <c r="F78" s="1154"/>
      <c r="G78" s="1562"/>
      <c r="H78" s="1154"/>
      <c r="I78" s="1562"/>
      <c r="J78" s="1154"/>
      <c r="K78" s="1806"/>
      <c r="L78" s="1154"/>
      <c r="M78" s="1154"/>
      <c r="N78" s="1154"/>
      <c r="O78" s="1566"/>
      <c r="P78" s="1154"/>
      <c r="Q78" s="1566"/>
    </row>
    <row r="79" spans="1:19">
      <c r="A79" s="1154"/>
    </row>
    <row r="80" spans="1:19">
      <c r="C80" s="1424"/>
    </row>
    <row r="81" spans="3:11">
      <c r="C81" s="1168"/>
      <c r="E81" s="1567"/>
      <c r="F81" s="1162"/>
      <c r="G81" s="1165"/>
      <c r="H81" s="1162"/>
      <c r="I81" s="1165"/>
      <c r="J81" s="1162"/>
      <c r="K81" s="1810"/>
    </row>
    <row r="82" spans="3:11">
      <c r="E82" s="1425"/>
    </row>
    <row r="83" spans="3:11">
      <c r="E83" s="1166"/>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mergeCells count="1">
    <mergeCell ref="E9:G9"/>
  </mergeCells>
  <printOptions horizontalCentered="1" verticalCentered="1"/>
  <pageMargins left="0.5" right="0.4" top="0" bottom="0" header="0.31" footer="0.25"/>
  <pageSetup scale="58" firstPageNumber="45"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65" zoomScaleNormal="65" workbookViewId="0"/>
  </sheetViews>
  <sheetFormatPr defaultColWidth="8.90625" defaultRowHeight="13.2"/>
  <cols>
    <col min="1" max="1" width="3.81640625" style="2600" customWidth="1"/>
    <col min="2" max="2" width="43.90625" style="2600" customWidth="1"/>
    <col min="3" max="3" width="2.08984375" style="2600" customWidth="1"/>
    <col min="4" max="4" width="13.81640625" style="2600" customWidth="1"/>
    <col min="5" max="5" width="2.08984375" style="2600" customWidth="1"/>
    <col min="6" max="6" width="18.08984375" style="2600" customWidth="1"/>
    <col min="7" max="7" width="2.08984375" style="2600" customWidth="1"/>
    <col min="8" max="8" width="20.36328125" style="2600" customWidth="1"/>
    <col min="9" max="9" width="2.08984375" style="2600" customWidth="1"/>
    <col min="10" max="10" width="17.36328125" style="2600" bestFit="1" customWidth="1"/>
    <col min="11" max="11" width="2.08984375" style="2600" customWidth="1"/>
    <col min="12" max="12" width="16.54296875" style="2600" customWidth="1"/>
    <col min="13" max="13" width="2.08984375" style="2600" customWidth="1"/>
    <col min="14" max="14" width="17.08984375" style="2600" customWidth="1"/>
    <col min="15" max="15" width="2.08984375" style="2600" customWidth="1"/>
    <col min="16" max="16" width="18.1796875" style="2600" bestFit="1" customWidth="1"/>
    <col min="17" max="17" width="2.08984375" style="2600" customWidth="1"/>
    <col min="18" max="18" width="19.6328125" style="2600" customWidth="1"/>
    <col min="19" max="19" width="2.08984375" style="2600" customWidth="1"/>
    <col min="20" max="20" width="20.08984375" style="2600" customWidth="1"/>
    <col min="21" max="21" width="2.08984375" style="2600" customWidth="1"/>
    <col min="22" max="22" width="20" style="2600" customWidth="1"/>
    <col min="23" max="23" width="17.08984375" style="2600" customWidth="1"/>
    <col min="24" max="24" width="18.54296875" style="2600" customWidth="1"/>
    <col min="25" max="25" width="35.36328125" style="2600" bestFit="1" customWidth="1"/>
    <col min="26" max="16384" width="8.90625" style="2600"/>
  </cols>
  <sheetData>
    <row r="1" spans="1:23" ht="15">
      <c r="B1" s="1184" t="s">
        <v>1217</v>
      </c>
    </row>
    <row r="2" spans="1:23" ht="16.2">
      <c r="B2" s="1426"/>
      <c r="C2" s="1426"/>
      <c r="D2" s="1426"/>
      <c r="E2" s="1426"/>
      <c r="F2" s="1426"/>
      <c r="G2" s="1426"/>
      <c r="H2" s="1426"/>
      <c r="I2" s="1426"/>
      <c r="J2" s="1426"/>
      <c r="K2" s="1426"/>
      <c r="L2" s="1426"/>
      <c r="M2" s="1426"/>
      <c r="N2" s="1426"/>
      <c r="O2" s="1426"/>
      <c r="P2" s="1426"/>
      <c r="Q2" s="1426"/>
      <c r="R2" s="1426"/>
      <c r="S2" s="1426"/>
      <c r="T2" s="1426"/>
      <c r="U2" s="1426"/>
      <c r="V2" s="1426"/>
      <c r="W2" s="1451"/>
    </row>
    <row r="3" spans="1:23" ht="17.399999999999999">
      <c r="A3" s="2601"/>
      <c r="B3" s="1151" t="s">
        <v>0</v>
      </c>
      <c r="C3" s="1427"/>
      <c r="D3" s="1427"/>
      <c r="E3" s="1427"/>
      <c r="F3" s="1426"/>
      <c r="G3" s="1426"/>
      <c r="H3" s="1426"/>
      <c r="I3" s="1426"/>
      <c r="J3" s="1426"/>
      <c r="K3" s="1426"/>
      <c r="L3" s="1426"/>
      <c r="M3" s="1426"/>
      <c r="N3" s="1426"/>
      <c r="O3" s="1426"/>
      <c r="P3" s="1426"/>
      <c r="Q3" s="1426"/>
      <c r="R3" s="1426"/>
      <c r="S3" s="1426"/>
      <c r="T3" s="1426"/>
      <c r="U3" s="1426"/>
      <c r="V3" s="1648" t="s">
        <v>436</v>
      </c>
      <c r="W3" s="1452"/>
    </row>
    <row r="4" spans="1:23" ht="17.399999999999999">
      <c r="A4" s="2601"/>
      <c r="B4" s="1151" t="s">
        <v>437</v>
      </c>
      <c r="C4" s="1427"/>
      <c r="D4" s="1427"/>
      <c r="E4" s="1427"/>
      <c r="F4" s="1426"/>
      <c r="G4" s="1426"/>
      <c r="H4" s="1426"/>
      <c r="I4" s="1426"/>
      <c r="J4" s="1426"/>
      <c r="K4" s="1426"/>
      <c r="L4" s="1426"/>
      <c r="M4" s="1426"/>
      <c r="N4" s="1426"/>
      <c r="O4" s="1426"/>
      <c r="P4" s="1426"/>
      <c r="Q4" s="1426"/>
      <c r="R4" s="1426"/>
      <c r="S4" s="1426"/>
      <c r="T4" s="1426"/>
      <c r="U4" s="1426"/>
      <c r="V4" s="1574"/>
      <c r="W4" s="1451"/>
    </row>
    <row r="5" spans="1:23" ht="17.399999999999999">
      <c r="A5" s="2601"/>
      <c r="B5" s="1151" t="s">
        <v>438</v>
      </c>
      <c r="C5" s="1427"/>
      <c r="D5" s="1427"/>
      <c r="E5" s="1427"/>
      <c r="F5" s="1426"/>
      <c r="G5" s="1426"/>
      <c r="H5" s="1426"/>
      <c r="I5" s="1426"/>
      <c r="J5" s="1426"/>
      <c r="K5" s="1426"/>
      <c r="L5" s="1426"/>
      <c r="M5" s="1426"/>
      <c r="N5" s="1426"/>
      <c r="O5" s="1426"/>
      <c r="P5" s="1426"/>
      <c r="Q5" s="1426"/>
      <c r="R5" s="1426"/>
      <c r="S5" s="1426"/>
      <c r="T5" s="1426"/>
      <c r="U5" s="1426"/>
      <c r="V5" s="1426"/>
      <c r="W5" s="1451"/>
    </row>
    <row r="6" spans="1:23" ht="17.399999999999999">
      <c r="A6" s="2601"/>
      <c r="B6" s="1644" t="s">
        <v>1671</v>
      </c>
      <c r="C6" s="1575"/>
      <c r="D6" s="1427"/>
      <c r="E6" s="1427"/>
      <c r="F6" s="1426"/>
      <c r="G6" s="1426"/>
      <c r="H6" s="1426"/>
      <c r="I6" s="1426"/>
      <c r="J6" s="1426"/>
      <c r="K6" s="1426"/>
      <c r="L6" s="1426"/>
      <c r="M6" s="1426"/>
      <c r="N6" s="1426"/>
      <c r="O6" s="1426"/>
      <c r="P6" s="1426"/>
      <c r="Q6" s="1426"/>
      <c r="R6" s="1426"/>
      <c r="S6" s="1426"/>
      <c r="T6" s="1426"/>
      <c r="U6" s="1426"/>
      <c r="V6" s="1426"/>
      <c r="W6" s="1451"/>
    </row>
    <row r="7" spans="1:23" ht="16.2">
      <c r="A7" s="2601"/>
      <c r="B7" s="1428"/>
      <c r="C7" s="1428"/>
      <c r="D7" s="1427"/>
      <c r="E7" s="1427"/>
      <c r="F7" s="1426"/>
      <c r="G7" s="1426"/>
      <c r="H7" s="1426"/>
      <c r="I7" s="1426"/>
      <c r="J7" s="1426"/>
      <c r="K7" s="1426"/>
      <c r="L7" s="1426"/>
      <c r="M7" s="1426"/>
      <c r="N7" s="1426"/>
      <c r="O7" s="1426"/>
      <c r="P7" s="1426"/>
      <c r="Q7" s="1426"/>
      <c r="R7" s="1426"/>
      <c r="S7" s="1426"/>
      <c r="T7" s="1426"/>
      <c r="U7" s="1426"/>
      <c r="V7" s="1426"/>
      <c r="W7" s="1451"/>
    </row>
    <row r="8" spans="1:23" ht="5.25" customHeight="1">
      <c r="B8" s="1576"/>
      <c r="C8" s="1576"/>
      <c r="D8" s="1426"/>
      <c r="E8" s="1426"/>
      <c r="F8" s="1426"/>
      <c r="G8" s="1426"/>
      <c r="H8" s="1426"/>
      <c r="I8" s="1426"/>
      <c r="J8" s="1426"/>
      <c r="K8" s="1426"/>
      <c r="L8" s="1426"/>
      <c r="M8" s="1426"/>
      <c r="N8" s="1426"/>
      <c r="O8" s="1426"/>
      <c r="P8" s="1426"/>
      <c r="Q8" s="1426"/>
      <c r="R8" s="1426"/>
      <c r="S8" s="1426"/>
      <c r="T8" s="1426"/>
      <c r="U8" s="1426"/>
      <c r="V8" s="1426"/>
      <c r="W8" s="1451"/>
    </row>
    <row r="9" spans="1:23" ht="16.2">
      <c r="B9" s="1426"/>
      <c r="C9" s="1426"/>
      <c r="D9" s="1577" t="s">
        <v>126</v>
      </c>
      <c r="E9" s="1577"/>
      <c r="F9" s="1577"/>
      <c r="G9" s="1577"/>
      <c r="H9" s="1577"/>
      <c r="I9" s="1577"/>
      <c r="J9" s="1577" t="s">
        <v>439</v>
      </c>
      <c r="K9" s="1577"/>
      <c r="L9" s="1577"/>
      <c r="M9" s="1577"/>
      <c r="N9" s="1577"/>
      <c r="O9" s="1577"/>
      <c r="P9" s="1577"/>
      <c r="Q9" s="1577"/>
      <c r="R9" s="1426"/>
      <c r="S9" s="1426"/>
      <c r="T9" s="1426"/>
      <c r="U9" s="1426"/>
      <c r="V9" s="1426"/>
      <c r="W9" s="1451"/>
    </row>
    <row r="10" spans="1:23" ht="16.2">
      <c r="B10" s="1426"/>
      <c r="C10" s="1426"/>
      <c r="D10" s="1429" t="s">
        <v>440</v>
      </c>
      <c r="E10" s="1429"/>
      <c r="F10" s="1429" t="s">
        <v>108</v>
      </c>
      <c r="G10" s="1429"/>
      <c r="H10" s="1429" t="s">
        <v>441</v>
      </c>
      <c r="I10" s="1429"/>
      <c r="J10" s="1429" t="s">
        <v>442</v>
      </c>
      <c r="K10" s="1429"/>
      <c r="L10" s="1429" t="s">
        <v>443</v>
      </c>
      <c r="M10" s="1429"/>
      <c r="N10" s="1429" t="s">
        <v>11</v>
      </c>
      <c r="O10" s="1429"/>
      <c r="P10" s="1429" t="s">
        <v>1123</v>
      </c>
      <c r="Q10" s="1429"/>
      <c r="R10" s="1426"/>
      <c r="S10" s="1426"/>
      <c r="T10" s="1426"/>
      <c r="U10" s="1426"/>
      <c r="V10" s="1426"/>
      <c r="W10" s="1451"/>
    </row>
    <row r="11" spans="1:23" ht="16.2">
      <c r="B11" s="1426"/>
      <c r="C11" s="1426"/>
      <c r="D11" s="1429" t="s">
        <v>444</v>
      </c>
      <c r="E11" s="1429"/>
      <c r="F11" s="1429" t="s">
        <v>126</v>
      </c>
      <c r="G11" s="1429"/>
      <c r="H11" s="1429" t="s">
        <v>445</v>
      </c>
      <c r="I11" s="1429"/>
      <c r="J11" s="1429" t="s">
        <v>446</v>
      </c>
      <c r="K11" s="1429"/>
      <c r="L11" s="1429" t="s">
        <v>447</v>
      </c>
      <c r="M11" s="1429"/>
      <c r="N11" s="1430" t="s">
        <v>448</v>
      </c>
      <c r="O11" s="1429"/>
      <c r="P11" s="1429" t="s">
        <v>1124</v>
      </c>
      <c r="Q11" s="1429"/>
      <c r="R11" s="1578" t="s">
        <v>449</v>
      </c>
      <c r="S11" s="1578"/>
      <c r="T11" s="1578"/>
      <c r="U11" s="1578"/>
      <c r="V11" s="1426"/>
      <c r="W11" s="1451"/>
    </row>
    <row r="12" spans="1:23" ht="16.2">
      <c r="B12" s="1426"/>
      <c r="C12" s="1426"/>
      <c r="D12" s="1429" t="s">
        <v>10</v>
      </c>
      <c r="E12" s="1429"/>
      <c r="F12" s="1429" t="s">
        <v>12</v>
      </c>
      <c r="G12" s="1429"/>
      <c r="H12" s="1429" t="s">
        <v>450</v>
      </c>
      <c r="I12" s="1429"/>
      <c r="J12" s="1429" t="s">
        <v>451</v>
      </c>
      <c r="K12" s="1429"/>
      <c r="L12" s="1429" t="s">
        <v>452</v>
      </c>
      <c r="M12" s="1429"/>
      <c r="N12" s="1430" t="s">
        <v>451</v>
      </c>
      <c r="O12" s="1430"/>
      <c r="P12" s="1429" t="s">
        <v>451</v>
      </c>
      <c r="Q12" s="1429"/>
      <c r="R12" s="1432" t="s">
        <v>1672</v>
      </c>
      <c r="S12" s="1432"/>
      <c r="T12" s="1432"/>
      <c r="U12" s="1431"/>
      <c r="V12" s="1577" t="s">
        <v>1125</v>
      </c>
      <c r="W12" s="1453"/>
    </row>
    <row r="13" spans="1:23" ht="16.2">
      <c r="A13" s="2602"/>
      <c r="B13" s="1433" t="s">
        <v>460</v>
      </c>
      <c r="C13" s="1438"/>
      <c r="D13" s="1434" t="s">
        <v>453</v>
      </c>
      <c r="E13" s="1453"/>
      <c r="F13" s="1434" t="s">
        <v>454</v>
      </c>
      <c r="G13" s="1453"/>
      <c r="H13" s="1435" t="s">
        <v>455</v>
      </c>
      <c r="I13" s="1453"/>
      <c r="J13" s="1435" t="s">
        <v>456</v>
      </c>
      <c r="K13" s="1453"/>
      <c r="L13" s="1435" t="s">
        <v>457</v>
      </c>
      <c r="M13" s="1453"/>
      <c r="N13" s="1436" t="s">
        <v>458</v>
      </c>
      <c r="O13" s="1453"/>
      <c r="P13" s="1436" t="s">
        <v>1126</v>
      </c>
      <c r="Q13" s="1453"/>
      <c r="R13" s="2603">
        <v>2015</v>
      </c>
      <c r="S13" s="2603"/>
      <c r="T13" s="2603">
        <v>2014</v>
      </c>
      <c r="U13" s="1453"/>
      <c r="V13" s="1437" t="s">
        <v>459</v>
      </c>
      <c r="W13" s="1453"/>
    </row>
    <row r="14" spans="1:23" ht="16.2">
      <c r="B14" s="1438" t="s">
        <v>461</v>
      </c>
      <c r="C14" s="1438"/>
      <c r="D14" s="1579"/>
      <c r="E14" s="1579"/>
      <c r="F14" s="1580"/>
      <c r="G14" s="1580"/>
      <c r="H14" s="1581"/>
      <c r="I14" s="1581"/>
      <c r="J14" s="1581"/>
      <c r="K14" s="1581"/>
      <c r="L14" s="1581"/>
      <c r="M14" s="1581"/>
      <c r="N14" s="1579"/>
      <c r="O14" s="1579"/>
      <c r="P14" s="1579"/>
      <c r="Q14" s="1579"/>
      <c r="R14" s="1581"/>
      <c r="S14" s="1581"/>
      <c r="T14" s="1582"/>
      <c r="U14" s="1582"/>
      <c r="V14" s="1583"/>
      <c r="W14" s="1451"/>
    </row>
    <row r="15" spans="1:23" ht="15" customHeight="1">
      <c r="A15" s="2604"/>
      <c r="B15" s="1584" t="s">
        <v>461</v>
      </c>
      <c r="C15" s="1584"/>
      <c r="D15" s="1585"/>
      <c r="E15" s="1585"/>
      <c r="F15" s="1586"/>
      <c r="G15" s="1586"/>
      <c r="H15" s="1585"/>
      <c r="I15" s="1585"/>
      <c r="J15" s="1585"/>
      <c r="K15" s="1585"/>
      <c r="L15" s="1585"/>
      <c r="M15" s="1585"/>
      <c r="N15" s="1585"/>
      <c r="O15" s="1585"/>
      <c r="P15" s="1585"/>
      <c r="Q15" s="1585"/>
      <c r="R15" s="1587"/>
      <c r="S15" s="1587"/>
      <c r="T15" s="1588"/>
      <c r="U15" s="1588"/>
      <c r="V15" s="1426"/>
      <c r="W15" s="1451"/>
    </row>
    <row r="16" spans="1:23" ht="15" customHeight="1">
      <c r="A16" s="2604"/>
      <c r="B16" s="1576" t="s">
        <v>462</v>
      </c>
      <c r="C16" s="1576"/>
      <c r="D16" s="1454">
        <v>0</v>
      </c>
      <c r="E16" s="1454"/>
      <c r="F16" s="1454">
        <v>219849400</v>
      </c>
      <c r="G16" s="1439"/>
      <c r="H16" s="1454">
        <v>0</v>
      </c>
      <c r="I16" s="1439"/>
      <c r="J16" s="1454">
        <v>0</v>
      </c>
      <c r="K16" s="1439"/>
      <c r="L16" s="1454">
        <v>0</v>
      </c>
      <c r="M16" s="1439"/>
      <c r="N16" s="1454">
        <v>0</v>
      </c>
      <c r="O16" s="1439"/>
      <c r="P16" s="1454">
        <v>0</v>
      </c>
      <c r="Q16" s="1439"/>
      <c r="R16" s="1454">
        <f>ROUND(SUM(D16:Q16),0)</f>
        <v>219849400</v>
      </c>
      <c r="S16" s="1454"/>
      <c r="T16" s="2913">
        <v>182667014</v>
      </c>
      <c r="U16" s="1439"/>
      <c r="V16" s="1588">
        <f>ROUND(R16-T16,0)</f>
        <v>37182386</v>
      </c>
      <c r="W16" s="1454"/>
    </row>
    <row r="17" spans="1:23" ht="15" customHeight="1">
      <c r="A17" s="2604"/>
      <c r="B17" s="1426" t="s">
        <v>463</v>
      </c>
      <c r="C17" s="1426"/>
      <c r="D17" s="1440"/>
      <c r="E17" s="1440"/>
      <c r="F17" s="1440"/>
      <c r="G17" s="1440"/>
      <c r="H17" s="1440"/>
      <c r="I17" s="1440"/>
      <c r="J17" s="1440"/>
      <c r="K17" s="1439"/>
      <c r="L17" s="1440"/>
      <c r="M17" s="1441"/>
      <c r="N17" s="1440"/>
      <c r="O17" s="1441"/>
      <c r="P17" s="1440"/>
      <c r="Q17" s="1441"/>
      <c r="R17" s="1441"/>
      <c r="S17" s="1441"/>
      <c r="T17" s="2914"/>
      <c r="U17" s="1441"/>
      <c r="V17" s="1589"/>
      <c r="W17" s="1455"/>
    </row>
    <row r="18" spans="1:23" ht="15" customHeight="1">
      <c r="A18" s="2604"/>
      <c r="B18" s="1426" t="s">
        <v>464</v>
      </c>
      <c r="C18" s="1426"/>
      <c r="D18" s="1440">
        <v>0</v>
      </c>
      <c r="E18" s="1440"/>
      <c r="F18" s="1440">
        <v>0</v>
      </c>
      <c r="G18" s="1441"/>
      <c r="H18" s="1440">
        <v>0</v>
      </c>
      <c r="I18" s="1440"/>
      <c r="J18" s="1440">
        <v>0</v>
      </c>
      <c r="K18" s="1441"/>
      <c r="L18" s="1440">
        <v>0</v>
      </c>
      <c r="M18" s="1441"/>
      <c r="N18" s="1440">
        <v>0</v>
      </c>
      <c r="O18" s="1441"/>
      <c r="P18" s="1440">
        <v>0</v>
      </c>
      <c r="Q18" s="1441"/>
      <c r="R18" s="1441">
        <f>ROUND(SUM(D18:Q18),0)</f>
        <v>0</v>
      </c>
      <c r="S18" s="1441"/>
      <c r="T18" s="2914">
        <v>0</v>
      </c>
      <c r="U18" s="1442"/>
      <c r="V18" s="1442">
        <f t="shared" ref="V18:V59" si="0">ROUND(R18-T18,0)</f>
        <v>0</v>
      </c>
      <c r="W18" s="1443"/>
    </row>
    <row r="19" spans="1:23" ht="15" customHeight="1">
      <c r="A19" s="2604"/>
      <c r="B19" s="1426" t="s">
        <v>1517</v>
      </c>
      <c r="C19" s="1426"/>
      <c r="D19" s="1440">
        <v>0</v>
      </c>
      <c r="E19" s="1440"/>
      <c r="F19" s="1440">
        <v>11508925</v>
      </c>
      <c r="G19" s="1441"/>
      <c r="H19" s="1440">
        <v>0</v>
      </c>
      <c r="I19" s="1440"/>
      <c r="J19" s="1440">
        <v>0</v>
      </c>
      <c r="K19" s="1441"/>
      <c r="L19" s="1440">
        <v>0</v>
      </c>
      <c r="M19" s="1441"/>
      <c r="N19" s="1440">
        <v>0</v>
      </c>
      <c r="O19" s="1441"/>
      <c r="P19" s="1440">
        <v>0</v>
      </c>
      <c r="Q19" s="1441"/>
      <c r="R19" s="1441">
        <f t="shared" ref="R19:R37" si="1">ROUND(SUM(D19:Q19),0)</f>
        <v>11508925</v>
      </c>
      <c r="S19" s="1441"/>
      <c r="T19" s="2914">
        <v>12644251</v>
      </c>
      <c r="U19" s="1442"/>
      <c r="V19" s="1442">
        <f t="shared" si="0"/>
        <v>-1135326</v>
      </c>
      <c r="W19" s="1443"/>
    </row>
    <row r="20" spans="1:23" ht="15" customHeight="1">
      <c r="A20" s="2604"/>
      <c r="B20" s="1426" t="s">
        <v>1492</v>
      </c>
      <c r="C20" s="1426"/>
      <c r="D20" s="1440">
        <v>0</v>
      </c>
      <c r="E20" s="1440"/>
      <c r="F20" s="1440">
        <v>0</v>
      </c>
      <c r="G20" s="1441"/>
      <c r="H20" s="1440">
        <v>0</v>
      </c>
      <c r="I20" s="1440"/>
      <c r="J20" s="1440">
        <v>0</v>
      </c>
      <c r="K20" s="1441"/>
      <c r="L20" s="1440">
        <v>0</v>
      </c>
      <c r="M20" s="1441"/>
      <c r="N20" s="1440">
        <v>384308920</v>
      </c>
      <c r="O20" s="1441"/>
      <c r="P20" s="1440">
        <v>56715309</v>
      </c>
      <c r="Q20" s="1441"/>
      <c r="R20" s="1441">
        <f t="shared" si="1"/>
        <v>441024229</v>
      </c>
      <c r="S20" s="1441"/>
      <c r="T20" s="2914">
        <v>654991949</v>
      </c>
      <c r="U20" s="1442"/>
      <c r="V20" s="1442">
        <f t="shared" si="0"/>
        <v>-213967720</v>
      </c>
      <c r="W20" s="1443"/>
    </row>
    <row r="21" spans="1:23" ht="16.2">
      <c r="A21" s="2604"/>
      <c r="B21" s="1426" t="s">
        <v>1207</v>
      </c>
      <c r="C21" s="1426"/>
      <c r="D21" s="1440">
        <v>0</v>
      </c>
      <c r="E21" s="1440"/>
      <c r="F21" s="1440">
        <v>0</v>
      </c>
      <c r="G21" s="1441"/>
      <c r="H21" s="1440">
        <v>0</v>
      </c>
      <c r="I21" s="1440"/>
      <c r="J21" s="1440">
        <v>0</v>
      </c>
      <c r="K21" s="1441"/>
      <c r="L21" s="1440">
        <v>0</v>
      </c>
      <c r="M21" s="1441"/>
      <c r="N21" s="1440">
        <v>0</v>
      </c>
      <c r="O21" s="1441"/>
      <c r="P21" s="1440">
        <v>0</v>
      </c>
      <c r="Q21" s="1441"/>
      <c r="R21" s="1441">
        <f t="shared" si="1"/>
        <v>0</v>
      </c>
      <c r="S21" s="1441"/>
      <c r="T21" s="2914">
        <v>717887</v>
      </c>
      <c r="U21" s="1442"/>
      <c r="V21" s="1442">
        <f t="shared" si="0"/>
        <v>-717887</v>
      </c>
      <c r="W21" s="1443"/>
    </row>
    <row r="22" spans="1:23" ht="15" customHeight="1">
      <c r="A22" s="2604"/>
      <c r="B22" s="1426" t="s">
        <v>465</v>
      </c>
      <c r="C22" s="1426"/>
      <c r="D22" s="1440">
        <v>0</v>
      </c>
      <c r="E22" s="1440"/>
      <c r="F22" s="1440">
        <v>0</v>
      </c>
      <c r="G22" s="1441"/>
      <c r="H22" s="1440">
        <v>28307274</v>
      </c>
      <c r="I22" s="1441"/>
      <c r="J22" s="1440">
        <v>0</v>
      </c>
      <c r="K22" s="1441"/>
      <c r="L22" s="1440">
        <v>0</v>
      </c>
      <c r="M22" s="1441"/>
      <c r="N22" s="1440">
        <v>0</v>
      </c>
      <c r="O22" s="1441"/>
      <c r="P22" s="1440">
        <v>0</v>
      </c>
      <c r="Q22" s="1441"/>
      <c r="R22" s="1441">
        <f t="shared" si="1"/>
        <v>28307274</v>
      </c>
      <c r="S22" s="1441"/>
      <c r="T22" s="2914">
        <v>28202126</v>
      </c>
      <c r="U22" s="1442"/>
      <c r="V22" s="1442">
        <f t="shared" si="0"/>
        <v>105148</v>
      </c>
      <c r="W22" s="1443"/>
    </row>
    <row r="23" spans="1:23" ht="15" customHeight="1">
      <c r="A23" s="2604"/>
      <c r="B23" s="1426" t="s">
        <v>466</v>
      </c>
      <c r="C23" s="1426"/>
      <c r="D23" s="1440">
        <v>0</v>
      </c>
      <c r="E23" s="1440"/>
      <c r="F23" s="1440">
        <v>0</v>
      </c>
      <c r="G23" s="1441"/>
      <c r="H23" s="1440">
        <v>0</v>
      </c>
      <c r="I23" s="1440"/>
      <c r="J23" s="1440">
        <v>0</v>
      </c>
      <c r="K23" s="1441"/>
      <c r="L23" s="1440">
        <v>0</v>
      </c>
      <c r="M23" s="1441"/>
      <c r="N23" s="1440">
        <v>0</v>
      </c>
      <c r="O23" s="1441"/>
      <c r="P23" s="1440">
        <v>0</v>
      </c>
      <c r="Q23" s="1441"/>
      <c r="R23" s="1441">
        <f t="shared" si="1"/>
        <v>0</v>
      </c>
      <c r="S23" s="1441"/>
      <c r="T23" s="2914">
        <v>0</v>
      </c>
      <c r="U23" s="1442"/>
      <c r="V23" s="1442">
        <f t="shared" si="0"/>
        <v>0</v>
      </c>
      <c r="W23" s="1443"/>
    </row>
    <row r="24" spans="1:23" ht="15" customHeight="1">
      <c r="A24" s="2604"/>
      <c r="B24" s="1426" t="s">
        <v>467</v>
      </c>
      <c r="C24" s="1426"/>
      <c r="D24" s="1440">
        <v>0</v>
      </c>
      <c r="E24" s="1440"/>
      <c r="F24" s="1440">
        <v>0</v>
      </c>
      <c r="G24" s="1441"/>
      <c r="H24" s="1440">
        <v>0</v>
      </c>
      <c r="I24" s="1440"/>
      <c r="J24" s="1440">
        <v>0</v>
      </c>
      <c r="K24" s="1441"/>
      <c r="L24" s="1440">
        <v>0</v>
      </c>
      <c r="M24" s="1441"/>
      <c r="N24" s="1440">
        <v>0</v>
      </c>
      <c r="O24" s="1441"/>
      <c r="P24" s="1440">
        <v>0</v>
      </c>
      <c r="Q24" s="1441"/>
      <c r="R24" s="1441">
        <f t="shared" si="1"/>
        <v>0</v>
      </c>
      <c r="S24" s="1441"/>
      <c r="T24" s="2914">
        <v>0</v>
      </c>
      <c r="U24" s="1442"/>
      <c r="V24" s="1442">
        <f t="shared" si="0"/>
        <v>0</v>
      </c>
      <c r="W24" s="1443"/>
    </row>
    <row r="25" spans="1:23" ht="15" customHeight="1">
      <c r="A25" s="2604"/>
      <c r="B25" s="1426" t="s">
        <v>468</v>
      </c>
      <c r="C25" s="1426"/>
      <c r="D25" s="1440">
        <v>0</v>
      </c>
      <c r="E25" s="1440"/>
      <c r="F25" s="1440">
        <v>0</v>
      </c>
      <c r="G25" s="1441"/>
      <c r="H25" s="1440">
        <v>0</v>
      </c>
      <c r="I25" s="1440"/>
      <c r="J25" s="1440">
        <v>0</v>
      </c>
      <c r="K25" s="1441"/>
      <c r="L25" s="1440">
        <v>0</v>
      </c>
      <c r="M25" s="1441"/>
      <c r="N25" s="1440">
        <v>0</v>
      </c>
      <c r="O25" s="1441"/>
      <c r="P25" s="1440">
        <v>0</v>
      </c>
      <c r="Q25" s="1441"/>
      <c r="R25" s="1441">
        <f t="shared" si="1"/>
        <v>0</v>
      </c>
      <c r="S25" s="1441"/>
      <c r="T25" s="2914">
        <v>0</v>
      </c>
      <c r="U25" s="1442"/>
      <c r="V25" s="1442">
        <f t="shared" si="0"/>
        <v>0</v>
      </c>
      <c r="W25" s="1443"/>
    </row>
    <row r="26" spans="1:23" ht="15" customHeight="1">
      <c r="A26" s="2604"/>
      <c r="B26" s="1426" t="s">
        <v>469</v>
      </c>
      <c r="C26" s="1426"/>
      <c r="D26" s="1440">
        <v>0</v>
      </c>
      <c r="E26" s="1440"/>
      <c r="F26" s="1440">
        <v>0</v>
      </c>
      <c r="G26" s="1441"/>
      <c r="H26" s="1440">
        <v>0</v>
      </c>
      <c r="I26" s="1440"/>
      <c r="J26" s="1440">
        <v>0</v>
      </c>
      <c r="K26" s="1441"/>
      <c r="L26" s="1440">
        <v>0</v>
      </c>
      <c r="M26" s="1441"/>
      <c r="N26" s="1440">
        <v>0</v>
      </c>
      <c r="O26" s="1441"/>
      <c r="P26" s="1440">
        <v>0</v>
      </c>
      <c r="Q26" s="1441"/>
      <c r="R26" s="1441">
        <f t="shared" si="1"/>
        <v>0</v>
      </c>
      <c r="S26" s="1441"/>
      <c r="T26" s="2914">
        <v>0</v>
      </c>
      <c r="U26" s="1443"/>
      <c r="V26" s="1442">
        <f t="shared" si="0"/>
        <v>0</v>
      </c>
      <c r="W26" s="1443"/>
    </row>
    <row r="27" spans="1:23" ht="15" customHeight="1">
      <c r="A27" s="2604"/>
      <c r="B27" s="1426" t="s">
        <v>1251</v>
      </c>
      <c r="C27" s="1426"/>
      <c r="D27" s="1440">
        <v>0</v>
      </c>
      <c r="E27" s="1440"/>
      <c r="F27" s="1440">
        <v>0</v>
      </c>
      <c r="G27" s="1441"/>
      <c r="H27" s="1440">
        <v>0</v>
      </c>
      <c r="I27" s="1440"/>
      <c r="J27" s="1440">
        <v>0</v>
      </c>
      <c r="K27" s="1441"/>
      <c r="L27" s="1440">
        <v>71839316.890000001</v>
      </c>
      <c r="M27" s="1441"/>
      <c r="N27" s="1440">
        <v>0</v>
      </c>
      <c r="O27" s="1441"/>
      <c r="P27" s="1440">
        <v>0</v>
      </c>
      <c r="Q27" s="1441"/>
      <c r="R27" s="1441">
        <f t="shared" si="1"/>
        <v>71839317</v>
      </c>
      <c r="S27" s="1441"/>
      <c r="T27" s="2914">
        <v>93624428</v>
      </c>
      <c r="U27" s="1443"/>
      <c r="V27" s="1442">
        <f t="shared" si="0"/>
        <v>-21785111</v>
      </c>
      <c r="W27" s="1443"/>
    </row>
    <row r="28" spans="1:23" ht="15" customHeight="1">
      <c r="A28" s="2604"/>
      <c r="B28" s="1426" t="s">
        <v>470</v>
      </c>
      <c r="C28" s="1426"/>
      <c r="D28" s="1440">
        <v>0</v>
      </c>
      <c r="E28" s="1440"/>
      <c r="F28" s="1440">
        <v>0</v>
      </c>
      <c r="G28" s="1441"/>
      <c r="H28" s="1440">
        <v>0</v>
      </c>
      <c r="I28" s="1440"/>
      <c r="J28" s="1440">
        <v>0</v>
      </c>
      <c r="K28" s="1441"/>
      <c r="L28" s="1440">
        <v>0</v>
      </c>
      <c r="M28" s="1441"/>
      <c r="N28" s="1440">
        <v>0</v>
      </c>
      <c r="O28" s="1441"/>
      <c r="P28" s="1440">
        <v>0</v>
      </c>
      <c r="Q28" s="1441"/>
      <c r="R28" s="1441">
        <f t="shared" si="1"/>
        <v>0</v>
      </c>
      <c r="S28" s="1441"/>
      <c r="T28" s="2914">
        <v>0</v>
      </c>
      <c r="U28" s="1443"/>
      <c r="V28" s="1442">
        <f t="shared" si="0"/>
        <v>0</v>
      </c>
      <c r="W28" s="1443"/>
    </row>
    <row r="29" spans="1:23" ht="15" customHeight="1">
      <c r="A29" s="2604"/>
      <c r="B29" s="1426" t="s">
        <v>1127</v>
      </c>
      <c r="C29" s="1426"/>
      <c r="D29" s="1440">
        <v>0</v>
      </c>
      <c r="E29" s="1440"/>
      <c r="F29" s="1440">
        <v>0</v>
      </c>
      <c r="G29" s="1441"/>
      <c r="H29" s="1440">
        <v>0</v>
      </c>
      <c r="I29" s="1440"/>
      <c r="J29" s="1440">
        <v>0</v>
      </c>
      <c r="K29" s="1441"/>
      <c r="L29" s="1440">
        <v>0</v>
      </c>
      <c r="M29" s="1441"/>
      <c r="N29" s="1440">
        <v>0</v>
      </c>
      <c r="O29" s="1441"/>
      <c r="P29" s="1440">
        <v>0</v>
      </c>
      <c r="Q29" s="1441"/>
      <c r="R29" s="1441">
        <f t="shared" si="1"/>
        <v>0</v>
      </c>
      <c r="S29" s="1441"/>
      <c r="T29" s="2914">
        <v>0</v>
      </c>
      <c r="U29" s="1443"/>
      <c r="V29" s="1442">
        <f t="shared" si="0"/>
        <v>0</v>
      </c>
      <c r="W29" s="1443"/>
    </row>
    <row r="30" spans="1:23" ht="15" customHeight="1">
      <c r="A30" s="2604"/>
      <c r="B30" s="1426" t="s">
        <v>1056</v>
      </c>
      <c r="C30" s="1426"/>
      <c r="D30" s="1440">
        <v>0</v>
      </c>
      <c r="E30" s="1440"/>
      <c r="F30" s="1440">
        <v>2711049.07</v>
      </c>
      <c r="G30" s="1441"/>
      <c r="H30" s="1440">
        <v>0</v>
      </c>
      <c r="I30" s="1440"/>
      <c r="J30" s="1440">
        <v>0</v>
      </c>
      <c r="K30" s="1441"/>
      <c r="L30" s="1440">
        <v>0</v>
      </c>
      <c r="M30" s="1441"/>
      <c r="N30" s="1440">
        <v>0</v>
      </c>
      <c r="O30" s="1441"/>
      <c r="P30" s="1440">
        <v>0</v>
      </c>
      <c r="Q30" s="1441"/>
      <c r="R30" s="1441">
        <f t="shared" si="1"/>
        <v>2711049</v>
      </c>
      <c r="S30" s="1441"/>
      <c r="T30" s="2914">
        <v>1635367</v>
      </c>
      <c r="U30" s="1443"/>
      <c r="V30" s="1442">
        <f t="shared" si="0"/>
        <v>1075682</v>
      </c>
      <c r="W30" s="1443"/>
    </row>
    <row r="31" spans="1:23" ht="15" customHeight="1">
      <c r="A31" s="2604"/>
      <c r="B31" s="1426" t="s">
        <v>1493</v>
      </c>
      <c r="C31" s="1426"/>
      <c r="D31" s="1440">
        <v>0</v>
      </c>
      <c r="E31" s="1440"/>
      <c r="F31" s="1440">
        <v>0</v>
      </c>
      <c r="G31" s="1441"/>
      <c r="H31" s="1440">
        <v>0</v>
      </c>
      <c r="I31" s="1440"/>
      <c r="J31" s="1440">
        <v>0</v>
      </c>
      <c r="K31" s="1441"/>
      <c r="L31" s="1440">
        <v>0</v>
      </c>
      <c r="M31" s="1441"/>
      <c r="N31" s="1440">
        <v>0</v>
      </c>
      <c r="O31" s="1441"/>
      <c r="P31" s="1440">
        <v>0</v>
      </c>
      <c r="Q31" s="1441"/>
      <c r="R31" s="1441">
        <f t="shared" si="1"/>
        <v>0</v>
      </c>
      <c r="S31" s="1441"/>
      <c r="T31" s="2914">
        <v>0</v>
      </c>
      <c r="U31" s="1443"/>
      <c r="V31" s="1442">
        <f t="shared" si="0"/>
        <v>0</v>
      </c>
      <c r="W31" s="1443"/>
    </row>
    <row r="32" spans="1:23" ht="15" customHeight="1">
      <c r="A32" s="2604"/>
      <c r="B32" s="1426" t="s">
        <v>1252</v>
      </c>
      <c r="C32" s="1426"/>
      <c r="D32" s="1440">
        <v>0</v>
      </c>
      <c r="E32" s="1440"/>
      <c r="F32" s="1440">
        <v>0</v>
      </c>
      <c r="G32" s="1441"/>
      <c r="H32" s="1440">
        <v>0</v>
      </c>
      <c r="I32" s="1440"/>
      <c r="J32" s="1440">
        <v>0</v>
      </c>
      <c r="K32" s="1441"/>
      <c r="L32" s="1440">
        <v>0</v>
      </c>
      <c r="M32" s="1441"/>
      <c r="N32" s="1440">
        <v>0</v>
      </c>
      <c r="O32" s="1441"/>
      <c r="P32" s="1440">
        <v>0</v>
      </c>
      <c r="Q32" s="1441"/>
      <c r="R32" s="1441">
        <f t="shared" si="1"/>
        <v>0</v>
      </c>
      <c r="S32" s="1441"/>
      <c r="T32" s="2914">
        <v>0</v>
      </c>
      <c r="U32" s="1442"/>
      <c r="V32" s="1442">
        <f t="shared" si="0"/>
        <v>0</v>
      </c>
      <c r="W32" s="1443"/>
    </row>
    <row r="33" spans="1:23" ht="15" customHeight="1">
      <c r="A33" s="2604"/>
      <c r="B33" s="1426" t="s">
        <v>1518</v>
      </c>
      <c r="C33" s="1426"/>
      <c r="D33" s="1440">
        <v>0</v>
      </c>
      <c r="E33" s="1440"/>
      <c r="F33" s="1440">
        <v>0</v>
      </c>
      <c r="G33" s="1441"/>
      <c r="H33" s="1440">
        <v>0</v>
      </c>
      <c r="I33" s="1440"/>
      <c r="J33" s="1440">
        <v>0</v>
      </c>
      <c r="K33" s="1441"/>
      <c r="L33" s="1440">
        <v>0</v>
      </c>
      <c r="M33" s="1441"/>
      <c r="N33" s="1440">
        <v>0</v>
      </c>
      <c r="O33" s="1441"/>
      <c r="P33" s="1440">
        <v>0</v>
      </c>
      <c r="Q33" s="1441"/>
      <c r="R33" s="1441">
        <f t="shared" si="1"/>
        <v>0</v>
      </c>
      <c r="S33" s="1441"/>
      <c r="T33" s="2914">
        <v>158675</v>
      </c>
      <c r="U33" s="1442"/>
      <c r="V33" s="1442">
        <f t="shared" si="0"/>
        <v>-158675</v>
      </c>
      <c r="W33" s="1443"/>
    </row>
    <row r="34" spans="1:23" ht="15" customHeight="1">
      <c r="A34" s="2604"/>
      <c r="B34" s="1426" t="s">
        <v>1519</v>
      </c>
      <c r="C34" s="1426"/>
      <c r="D34" s="1440">
        <v>0</v>
      </c>
      <c r="E34" s="1440"/>
      <c r="F34" s="1440">
        <v>0</v>
      </c>
      <c r="G34" s="1441"/>
      <c r="H34" s="1440">
        <v>0</v>
      </c>
      <c r="I34" s="1440"/>
      <c r="J34" s="1440">
        <v>0</v>
      </c>
      <c r="K34" s="1441"/>
      <c r="L34" s="1440">
        <v>0</v>
      </c>
      <c r="M34" s="1441"/>
      <c r="N34" s="1440">
        <v>0</v>
      </c>
      <c r="O34" s="1441"/>
      <c r="P34" s="1440">
        <v>0</v>
      </c>
      <c r="Q34" s="1441"/>
      <c r="R34" s="1441">
        <f t="shared" si="1"/>
        <v>0</v>
      </c>
      <c r="S34" s="1441"/>
      <c r="T34" s="2914">
        <v>0</v>
      </c>
      <c r="U34" s="1442"/>
      <c r="V34" s="1442">
        <f t="shared" si="0"/>
        <v>0</v>
      </c>
      <c r="W34" s="1443"/>
    </row>
    <row r="35" spans="1:23" ht="15" customHeight="1">
      <c r="A35" s="2604"/>
      <c r="B35" s="1426" t="s">
        <v>471</v>
      </c>
      <c r="C35" s="1426"/>
      <c r="D35" s="1440">
        <v>0</v>
      </c>
      <c r="E35" s="1440"/>
      <c r="F35" s="1440">
        <v>1160688</v>
      </c>
      <c r="G35" s="1441"/>
      <c r="H35" s="1440">
        <v>0</v>
      </c>
      <c r="I35" s="1441"/>
      <c r="J35" s="1440">
        <v>0</v>
      </c>
      <c r="K35" s="1441"/>
      <c r="L35" s="1440">
        <v>0</v>
      </c>
      <c r="M35" s="1441"/>
      <c r="N35" s="1440">
        <v>75237323.829999998</v>
      </c>
      <c r="O35" s="1441"/>
      <c r="P35" s="1440">
        <v>0</v>
      </c>
      <c r="Q35" s="1441"/>
      <c r="R35" s="1441">
        <f t="shared" si="1"/>
        <v>76398012</v>
      </c>
      <c r="S35" s="1441"/>
      <c r="T35" s="2914">
        <v>83763835</v>
      </c>
      <c r="U35" s="1442"/>
      <c r="V35" s="1442">
        <f t="shared" si="0"/>
        <v>-7365823</v>
      </c>
      <c r="W35" s="1443"/>
    </row>
    <row r="36" spans="1:23" ht="15" customHeight="1">
      <c r="A36" s="2604"/>
      <c r="B36" s="1426" t="s">
        <v>472</v>
      </c>
      <c r="C36" s="1426"/>
      <c r="D36" s="1440">
        <v>0</v>
      </c>
      <c r="E36" s="1440"/>
      <c r="F36" s="1440">
        <v>21613562</v>
      </c>
      <c r="G36" s="1441"/>
      <c r="H36" s="1440">
        <v>0</v>
      </c>
      <c r="I36" s="1590"/>
      <c r="J36" s="1440">
        <v>0</v>
      </c>
      <c r="K36" s="1441"/>
      <c r="L36" s="1440">
        <v>0</v>
      </c>
      <c r="M36" s="1441"/>
      <c r="N36" s="1440">
        <v>33111259</v>
      </c>
      <c r="O36" s="1441"/>
      <c r="P36" s="1440">
        <v>0</v>
      </c>
      <c r="Q36" s="1441"/>
      <c r="R36" s="1441">
        <f t="shared" si="1"/>
        <v>54724821</v>
      </c>
      <c r="S36" s="1441"/>
      <c r="T36" s="2914">
        <v>65157169</v>
      </c>
      <c r="U36" s="1442"/>
      <c r="V36" s="1442">
        <f t="shared" si="0"/>
        <v>-10432348</v>
      </c>
      <c r="W36" s="1443"/>
    </row>
    <row r="37" spans="1:23" ht="15" customHeight="1">
      <c r="A37" s="2604"/>
      <c r="B37" s="1426" t="s">
        <v>1520</v>
      </c>
      <c r="C37" s="1426"/>
      <c r="D37" s="1440">
        <v>0</v>
      </c>
      <c r="E37" s="1440"/>
      <c r="F37" s="1440">
        <v>0</v>
      </c>
      <c r="G37" s="1441"/>
      <c r="H37" s="1440">
        <v>0</v>
      </c>
      <c r="I37" s="1591"/>
      <c r="J37" s="1440">
        <v>45915369</v>
      </c>
      <c r="K37" s="1441"/>
      <c r="L37" s="1440">
        <v>0</v>
      </c>
      <c r="M37" s="1441"/>
      <c r="N37" s="1440">
        <v>0</v>
      </c>
      <c r="O37" s="1441"/>
      <c r="P37" s="1440">
        <v>0</v>
      </c>
      <c r="Q37" s="1441"/>
      <c r="R37" s="1441">
        <f t="shared" si="1"/>
        <v>45915369</v>
      </c>
      <c r="S37" s="1441"/>
      <c r="T37" s="2914">
        <v>52772964</v>
      </c>
      <c r="U37" s="1442"/>
      <c r="V37" s="1442">
        <f t="shared" si="0"/>
        <v>-6857595</v>
      </c>
      <c r="W37" s="1443"/>
    </row>
    <row r="38" spans="1:23" ht="15" customHeight="1">
      <c r="A38" s="2604"/>
      <c r="B38" s="1426" t="s">
        <v>473</v>
      </c>
      <c r="C38" s="1426"/>
      <c r="D38" s="1590" t="s">
        <v>16</v>
      </c>
      <c r="E38" s="1590"/>
      <c r="F38" s="1590" t="s">
        <v>16</v>
      </c>
      <c r="G38" s="1441"/>
      <c r="H38" s="1590" t="s">
        <v>16</v>
      </c>
      <c r="I38" s="1590"/>
      <c r="J38" s="1590" t="s">
        <v>16</v>
      </c>
      <c r="K38" s="1441"/>
      <c r="L38" s="1590"/>
      <c r="M38" s="1441"/>
      <c r="N38" s="1590"/>
      <c r="O38" s="1441"/>
      <c r="P38" s="1590" t="s">
        <v>16</v>
      </c>
      <c r="Q38" s="1441"/>
      <c r="R38" s="1441"/>
      <c r="S38" s="1441"/>
      <c r="T38" s="2914"/>
      <c r="U38" s="1442"/>
      <c r="V38" s="1441"/>
      <c r="W38" s="1445"/>
    </row>
    <row r="39" spans="1:23" ht="15" customHeight="1">
      <c r="A39" s="2604"/>
      <c r="B39" s="1426" t="s">
        <v>474</v>
      </c>
      <c r="C39" s="1426"/>
      <c r="D39" s="1591">
        <v>0</v>
      </c>
      <c r="E39" s="1591"/>
      <c r="F39" s="1591">
        <v>84084181</v>
      </c>
      <c r="G39" s="1441"/>
      <c r="H39" s="1591">
        <v>0</v>
      </c>
      <c r="I39" s="1591"/>
      <c r="J39" s="1591">
        <v>0</v>
      </c>
      <c r="K39" s="1441"/>
      <c r="L39" s="1591">
        <v>0</v>
      </c>
      <c r="M39" s="1441"/>
      <c r="N39" s="1591">
        <v>0</v>
      </c>
      <c r="O39" s="1441"/>
      <c r="P39" s="1591">
        <v>0</v>
      </c>
      <c r="Q39" s="1441"/>
      <c r="R39" s="1441">
        <f>ROUND(SUM(D39:Q39),0)</f>
        <v>84084181</v>
      </c>
      <c r="S39" s="1441"/>
      <c r="T39" s="2914">
        <v>79857004</v>
      </c>
      <c r="U39" s="1442"/>
      <c r="V39" s="1442">
        <f t="shared" si="0"/>
        <v>4227177</v>
      </c>
      <c r="W39" s="1443"/>
    </row>
    <row r="40" spans="1:23" ht="15" customHeight="1">
      <c r="A40" s="2604"/>
      <c r="B40" s="1426" t="s">
        <v>1185</v>
      </c>
      <c r="C40" s="1426"/>
      <c r="D40" s="1440"/>
      <c r="E40" s="1440"/>
      <c r="F40" s="1440"/>
      <c r="G40" s="1441"/>
      <c r="H40" s="1440"/>
      <c r="I40" s="1440"/>
      <c r="J40" s="1440"/>
      <c r="K40" s="1441"/>
      <c r="L40" s="1440"/>
      <c r="M40" s="1441"/>
      <c r="N40" s="1440"/>
      <c r="O40" s="1441"/>
      <c r="P40" s="1440"/>
      <c r="Q40" s="1441"/>
      <c r="R40" s="1441"/>
      <c r="S40" s="1441"/>
      <c r="T40" s="2914"/>
      <c r="U40" s="1442"/>
      <c r="V40" s="1441"/>
      <c r="W40" s="1445"/>
    </row>
    <row r="41" spans="1:23" ht="15" customHeight="1">
      <c r="A41" s="2604"/>
      <c r="B41" s="1426" t="s">
        <v>1184</v>
      </c>
      <c r="C41" s="1426"/>
      <c r="D41" s="1440">
        <v>0</v>
      </c>
      <c r="E41" s="1440"/>
      <c r="F41" s="1440">
        <v>452718495</v>
      </c>
      <c r="G41" s="1441"/>
      <c r="H41" s="1440">
        <v>0</v>
      </c>
      <c r="I41" s="1440"/>
      <c r="J41" s="1440">
        <v>0</v>
      </c>
      <c r="K41" s="1441"/>
      <c r="L41" s="1440">
        <v>0</v>
      </c>
      <c r="M41" s="1441"/>
      <c r="N41" s="1440">
        <v>0</v>
      </c>
      <c r="O41" s="1441"/>
      <c r="P41" s="1440">
        <v>0</v>
      </c>
      <c r="Q41" s="1441"/>
      <c r="R41" s="1441">
        <f>ROUND(SUM(D41:Q41),0)</f>
        <v>452718495</v>
      </c>
      <c r="S41" s="1441"/>
      <c r="T41" s="2914">
        <v>672558856</v>
      </c>
      <c r="U41" s="1442"/>
      <c r="V41" s="1442">
        <f t="shared" si="0"/>
        <v>-219840361</v>
      </c>
      <c r="W41" s="1443"/>
    </row>
    <row r="42" spans="1:23" ht="16.2">
      <c r="A42" s="2604"/>
      <c r="B42" s="1426" t="s">
        <v>1183</v>
      </c>
      <c r="C42" s="1426"/>
      <c r="D42" s="1440">
        <v>0</v>
      </c>
      <c r="E42" s="1440"/>
      <c r="F42" s="1440">
        <v>63661450</v>
      </c>
      <c r="G42" s="1441"/>
      <c r="H42" s="1440">
        <v>0</v>
      </c>
      <c r="I42" s="1590"/>
      <c r="J42" s="1440">
        <v>0</v>
      </c>
      <c r="K42" s="1441"/>
      <c r="L42" s="1440">
        <v>0</v>
      </c>
      <c r="M42" s="1441"/>
      <c r="N42" s="1440">
        <v>0</v>
      </c>
      <c r="O42" s="1441"/>
      <c r="P42" s="1440">
        <v>0</v>
      </c>
      <c r="Q42" s="1441"/>
      <c r="R42" s="1441">
        <f>ROUND(SUM(D42:Q42),0)</f>
        <v>63661450</v>
      </c>
      <c r="S42" s="1441"/>
      <c r="T42" s="2914">
        <v>92023450</v>
      </c>
      <c r="U42" s="1442"/>
      <c r="V42" s="1442">
        <f t="shared" si="0"/>
        <v>-28362000</v>
      </c>
      <c r="W42" s="1443"/>
    </row>
    <row r="43" spans="1:23" ht="15" customHeight="1">
      <c r="A43" s="2604"/>
      <c r="B43" s="1426" t="s">
        <v>1128</v>
      </c>
      <c r="C43" s="1426"/>
      <c r="D43" s="1440">
        <v>0</v>
      </c>
      <c r="E43" s="1440"/>
      <c r="F43" s="1440">
        <v>0</v>
      </c>
      <c r="G43" s="1441"/>
      <c r="H43" s="1440">
        <v>0</v>
      </c>
      <c r="I43" s="1591"/>
      <c r="J43" s="1440">
        <v>0</v>
      </c>
      <c r="K43" s="1441"/>
      <c r="L43" s="1440">
        <v>0</v>
      </c>
      <c r="M43" s="1441"/>
      <c r="N43" s="1440">
        <v>60259075</v>
      </c>
      <c r="O43" s="1441"/>
      <c r="P43" s="1440">
        <v>0</v>
      </c>
      <c r="Q43" s="1441"/>
      <c r="R43" s="1441">
        <f>ROUND(SUM(D43:Q43),0)</f>
        <v>60259075</v>
      </c>
      <c r="S43" s="1441"/>
      <c r="T43" s="2914">
        <v>71068075</v>
      </c>
      <c r="U43" s="1442"/>
      <c r="V43" s="1442">
        <f t="shared" si="0"/>
        <v>-10809000</v>
      </c>
      <c r="W43" s="1443"/>
    </row>
    <row r="44" spans="1:23" ht="15" customHeight="1">
      <c r="A44" s="2604"/>
      <c r="B44" s="1426" t="s">
        <v>475</v>
      </c>
      <c r="C44" s="1426"/>
      <c r="D44" s="1440"/>
      <c r="E44" s="1440"/>
      <c r="F44" s="1440" t="s">
        <v>16</v>
      </c>
      <c r="G44" s="1444"/>
      <c r="H44" s="1440"/>
      <c r="I44" s="1440"/>
      <c r="J44" s="1440"/>
      <c r="K44" s="1441"/>
      <c r="L44" s="1440"/>
      <c r="M44" s="1441"/>
      <c r="N44" s="1440"/>
      <c r="O44" s="1441"/>
      <c r="P44" s="1440"/>
      <c r="Q44" s="1441"/>
      <c r="R44" s="1441"/>
      <c r="S44" s="1441"/>
      <c r="T44" s="2914"/>
      <c r="U44" s="1442"/>
      <c r="V44" s="1441"/>
      <c r="W44" s="1445"/>
    </row>
    <row r="45" spans="1:23" ht="15" customHeight="1">
      <c r="A45" s="2604"/>
      <c r="B45" s="1426" t="s">
        <v>1494</v>
      </c>
      <c r="C45" s="1426"/>
      <c r="D45" s="1440">
        <v>0</v>
      </c>
      <c r="E45" s="1440"/>
      <c r="F45" s="1440">
        <v>0</v>
      </c>
      <c r="G45" s="1441"/>
      <c r="H45" s="1440">
        <v>0</v>
      </c>
      <c r="I45" s="1440"/>
      <c r="J45" s="1440">
        <v>0</v>
      </c>
      <c r="K45" s="1441"/>
      <c r="L45" s="1440">
        <v>0</v>
      </c>
      <c r="M45" s="1441"/>
      <c r="N45" s="1440">
        <v>0</v>
      </c>
      <c r="O45" s="1441"/>
      <c r="P45" s="1440">
        <v>0</v>
      </c>
      <c r="Q45" s="1441"/>
      <c r="R45" s="1441">
        <f t="shared" ref="R45:R55" si="2">ROUND(SUM(D45:Q45),0)</f>
        <v>0</v>
      </c>
      <c r="S45" s="1441"/>
      <c r="T45" s="2914">
        <v>0</v>
      </c>
      <c r="U45" s="1442"/>
      <c r="V45" s="1442">
        <f t="shared" si="0"/>
        <v>0</v>
      </c>
      <c r="W45" s="1443"/>
    </row>
    <row r="46" spans="1:23" ht="15" customHeight="1">
      <c r="A46" s="2604"/>
      <c r="B46" s="1426" t="s">
        <v>476</v>
      </c>
      <c r="C46" s="1426"/>
      <c r="D46" s="1440">
        <v>0</v>
      </c>
      <c r="E46" s="1440"/>
      <c r="F46" s="1440">
        <v>905175</v>
      </c>
      <c r="G46" s="1441"/>
      <c r="H46" s="1440">
        <v>0</v>
      </c>
      <c r="I46" s="1440"/>
      <c r="J46" s="1440">
        <v>0</v>
      </c>
      <c r="K46" s="1441"/>
      <c r="L46" s="1440">
        <v>0</v>
      </c>
      <c r="M46" s="1441"/>
      <c r="N46" s="1440">
        <v>0</v>
      </c>
      <c r="O46" s="1441"/>
      <c r="P46" s="1440">
        <v>0</v>
      </c>
      <c r="Q46" s="1441"/>
      <c r="R46" s="1441">
        <f t="shared" si="2"/>
        <v>905175</v>
      </c>
      <c r="S46" s="1441"/>
      <c r="T46" s="2914">
        <v>880525</v>
      </c>
      <c r="U46" s="1443"/>
      <c r="V46" s="1442">
        <f t="shared" si="0"/>
        <v>24650</v>
      </c>
      <c r="W46" s="1443"/>
    </row>
    <row r="47" spans="1:23" ht="15" customHeight="1">
      <c r="A47" s="2604"/>
      <c r="B47" s="1593" t="s">
        <v>477</v>
      </c>
      <c r="C47" s="1592"/>
      <c r="D47" s="1440">
        <v>0</v>
      </c>
      <c r="E47" s="1440"/>
      <c r="F47" s="1440">
        <v>0</v>
      </c>
      <c r="G47" s="1441"/>
      <c r="H47" s="1440">
        <v>0</v>
      </c>
      <c r="I47" s="1440"/>
      <c r="J47" s="1440">
        <v>0</v>
      </c>
      <c r="K47" s="1441"/>
      <c r="L47" s="1440">
        <v>0</v>
      </c>
      <c r="M47" s="1441"/>
      <c r="N47" s="1440">
        <v>0</v>
      </c>
      <c r="O47" s="1441"/>
      <c r="P47" s="1440">
        <v>0</v>
      </c>
      <c r="Q47" s="1441"/>
      <c r="R47" s="1441">
        <f t="shared" si="2"/>
        <v>0</v>
      </c>
      <c r="S47" s="1441"/>
      <c r="T47" s="2914">
        <v>0</v>
      </c>
      <c r="U47" s="1443"/>
      <c r="V47" s="1442">
        <f t="shared" si="0"/>
        <v>0</v>
      </c>
      <c r="W47" s="1443"/>
    </row>
    <row r="48" spans="1:23" ht="15" customHeight="1">
      <c r="A48" s="2604"/>
      <c r="B48" s="1594" t="s">
        <v>478</v>
      </c>
      <c r="C48" s="1594"/>
      <c r="D48" s="1446">
        <v>0</v>
      </c>
      <c r="E48" s="1446"/>
      <c r="F48" s="1446">
        <v>0</v>
      </c>
      <c r="G48" s="1445"/>
      <c r="H48" s="1446">
        <v>0</v>
      </c>
      <c r="I48" s="1446"/>
      <c r="J48" s="1446">
        <v>0</v>
      </c>
      <c r="K48" s="1445"/>
      <c r="L48" s="1446">
        <v>0</v>
      </c>
      <c r="M48" s="1445"/>
      <c r="N48" s="1446">
        <v>0</v>
      </c>
      <c r="O48" s="1445"/>
      <c r="P48" s="1446">
        <v>0</v>
      </c>
      <c r="Q48" s="1445"/>
      <c r="R48" s="1441">
        <f t="shared" si="2"/>
        <v>0</v>
      </c>
      <c r="S48" s="1441"/>
      <c r="T48" s="2914">
        <v>0</v>
      </c>
      <c r="U48" s="1442"/>
      <c r="V48" s="1442">
        <f t="shared" si="0"/>
        <v>0</v>
      </c>
      <c r="W48" s="1443"/>
    </row>
    <row r="49" spans="1:25" ht="15" customHeight="1">
      <c r="A49" s="2604"/>
      <c r="B49" s="1426" t="s">
        <v>1589</v>
      </c>
      <c r="C49" s="1426"/>
      <c r="D49" s="1440">
        <v>0</v>
      </c>
      <c r="E49" s="1440"/>
      <c r="F49" s="1440">
        <v>0</v>
      </c>
      <c r="G49" s="1441"/>
      <c r="H49" s="1440">
        <v>0</v>
      </c>
      <c r="I49" s="1440"/>
      <c r="J49" s="1440">
        <v>0</v>
      </c>
      <c r="K49" s="1441"/>
      <c r="L49" s="1440">
        <v>0</v>
      </c>
      <c r="M49" s="1441"/>
      <c r="N49" s="1440">
        <v>0</v>
      </c>
      <c r="O49" s="1441"/>
      <c r="P49" s="1440">
        <v>0</v>
      </c>
      <c r="Q49" s="1441"/>
      <c r="R49" s="1441">
        <f t="shared" si="2"/>
        <v>0</v>
      </c>
      <c r="S49" s="1441"/>
      <c r="T49" s="2914">
        <v>0</v>
      </c>
      <c r="U49" s="1443"/>
      <c r="V49" s="1442">
        <f t="shared" si="0"/>
        <v>0</v>
      </c>
      <c r="W49" s="1443"/>
    </row>
    <row r="50" spans="1:25" ht="16.2">
      <c r="A50" s="2604"/>
      <c r="B50" s="1593" t="s">
        <v>479</v>
      </c>
      <c r="C50" s="1592"/>
      <c r="D50" s="1440">
        <v>0</v>
      </c>
      <c r="E50" s="1440"/>
      <c r="F50" s="1440">
        <v>0</v>
      </c>
      <c r="G50" s="1441"/>
      <c r="H50" s="1440">
        <v>0</v>
      </c>
      <c r="I50" s="1440"/>
      <c r="J50" s="1440">
        <v>0</v>
      </c>
      <c r="K50" s="1441"/>
      <c r="L50" s="1440">
        <v>0</v>
      </c>
      <c r="M50" s="1441"/>
      <c r="N50" s="1440">
        <v>0</v>
      </c>
      <c r="O50" s="1441"/>
      <c r="P50" s="1440">
        <v>0</v>
      </c>
      <c r="Q50" s="1441"/>
      <c r="R50" s="1441">
        <f t="shared" si="2"/>
        <v>0</v>
      </c>
      <c r="S50" s="1441"/>
      <c r="T50" s="2914">
        <v>0</v>
      </c>
      <c r="U50" s="1442"/>
      <c r="V50" s="1442">
        <f t="shared" si="0"/>
        <v>0</v>
      </c>
      <c r="W50" s="1443"/>
    </row>
    <row r="51" spans="1:25" ht="15" customHeight="1">
      <c r="A51" s="2604"/>
      <c r="B51" s="1576" t="s">
        <v>480</v>
      </c>
      <c r="C51" s="1576"/>
      <c r="D51" s="1447">
        <v>0</v>
      </c>
      <c r="E51" s="1447"/>
      <c r="F51" s="1447">
        <v>0</v>
      </c>
      <c r="G51" s="1441"/>
      <c r="H51" s="1447">
        <v>0</v>
      </c>
      <c r="I51" s="1440"/>
      <c r="J51" s="1447">
        <v>0</v>
      </c>
      <c r="K51" s="1441"/>
      <c r="L51" s="1447">
        <v>0</v>
      </c>
      <c r="M51" s="1441"/>
      <c r="N51" s="1447">
        <v>0</v>
      </c>
      <c r="O51" s="1441"/>
      <c r="P51" s="1447">
        <v>0</v>
      </c>
      <c r="Q51" s="1441"/>
      <c r="R51" s="1441">
        <f t="shared" si="2"/>
        <v>0</v>
      </c>
      <c r="S51" s="1441"/>
      <c r="T51" s="2914">
        <v>0</v>
      </c>
      <c r="U51" s="1442"/>
      <c r="V51" s="1442">
        <f t="shared" si="0"/>
        <v>0</v>
      </c>
      <c r="W51" s="1443"/>
    </row>
    <row r="52" spans="1:25" customFormat="1" ht="15" customHeight="1">
      <c r="B52" s="1576" t="s">
        <v>1440</v>
      </c>
      <c r="D52" s="3379">
        <v>0</v>
      </c>
      <c r="E52" s="3379"/>
      <c r="F52" s="3379">
        <v>0</v>
      </c>
      <c r="G52" s="1445"/>
      <c r="H52" s="3379">
        <v>0</v>
      </c>
      <c r="I52" s="1446"/>
      <c r="J52" s="3379">
        <v>0</v>
      </c>
      <c r="K52" s="1445"/>
      <c r="L52" s="3379">
        <v>0</v>
      </c>
      <c r="M52" s="1441"/>
      <c r="N52" s="3379">
        <v>0</v>
      </c>
      <c r="O52" s="1441"/>
      <c r="P52" s="3379">
        <v>0</v>
      </c>
      <c r="R52" s="2783">
        <f>ROUND(SUM(D52:Q52),0)</f>
        <v>0</v>
      </c>
      <c r="T52" s="2914">
        <v>0</v>
      </c>
      <c r="V52" s="2784">
        <f t="shared" si="0"/>
        <v>0</v>
      </c>
    </row>
    <row r="53" spans="1:25" ht="15" customHeight="1">
      <c r="A53" s="2604"/>
      <c r="B53" s="1576" t="s">
        <v>466</v>
      </c>
      <c r="C53" s="1576"/>
      <c r="D53" s="1446">
        <v>0</v>
      </c>
      <c r="E53" s="1446"/>
      <c r="F53" s="1446">
        <v>0</v>
      </c>
      <c r="G53" s="1445"/>
      <c r="H53" s="1446">
        <v>0</v>
      </c>
      <c r="I53" s="3380"/>
      <c r="J53" s="1446">
        <v>0</v>
      </c>
      <c r="K53" s="1445"/>
      <c r="L53" s="1446">
        <v>0</v>
      </c>
      <c r="M53" s="1441"/>
      <c r="N53" s="1446">
        <v>0</v>
      </c>
      <c r="O53" s="1441"/>
      <c r="P53" s="1446">
        <v>0</v>
      </c>
      <c r="Q53" s="1445"/>
      <c r="R53" s="1441">
        <f t="shared" si="2"/>
        <v>0</v>
      </c>
      <c r="S53" s="1441"/>
      <c r="T53" s="2914">
        <v>0</v>
      </c>
      <c r="U53" s="1441"/>
      <c r="V53" s="2784">
        <f t="shared" si="0"/>
        <v>0</v>
      </c>
      <c r="W53" s="1443"/>
    </row>
    <row r="54" spans="1:25" ht="15" customHeight="1">
      <c r="A54" s="2604"/>
      <c r="B54" s="1426" t="s">
        <v>468</v>
      </c>
      <c r="C54" s="1426"/>
      <c r="D54" s="1440">
        <v>0</v>
      </c>
      <c r="E54" s="1440"/>
      <c r="F54" s="1440">
        <v>0</v>
      </c>
      <c r="G54" s="1441"/>
      <c r="H54" s="1440">
        <v>0</v>
      </c>
      <c r="I54" s="1591"/>
      <c r="J54" s="1440">
        <v>0</v>
      </c>
      <c r="K54" s="1441"/>
      <c r="L54" s="1440">
        <v>0</v>
      </c>
      <c r="M54" s="1441"/>
      <c r="N54" s="1440">
        <v>0</v>
      </c>
      <c r="O54" s="1441"/>
      <c r="P54" s="1440">
        <v>0</v>
      </c>
      <c r="Q54" s="1441"/>
      <c r="R54" s="1441">
        <f t="shared" si="2"/>
        <v>0</v>
      </c>
      <c r="S54" s="1441"/>
      <c r="T54" s="2914">
        <v>0</v>
      </c>
      <c r="U54" s="1441"/>
      <c r="V54" s="2784">
        <f t="shared" si="0"/>
        <v>0</v>
      </c>
      <c r="W54" s="1443"/>
    </row>
    <row r="55" spans="1:25" ht="15" customHeight="1">
      <c r="A55" s="2604"/>
      <c r="B55" s="1426" t="s">
        <v>1521</v>
      </c>
      <c r="C55" s="1426"/>
      <c r="D55" s="1440">
        <v>0</v>
      </c>
      <c r="E55" s="1440"/>
      <c r="F55" s="1440">
        <v>0</v>
      </c>
      <c r="G55" s="1441"/>
      <c r="H55" s="1440">
        <v>0</v>
      </c>
      <c r="I55" s="1440"/>
      <c r="J55" s="1440">
        <v>0</v>
      </c>
      <c r="K55" s="1441"/>
      <c r="L55" s="1440">
        <v>0</v>
      </c>
      <c r="M55" s="1441"/>
      <c r="N55" s="1440">
        <v>0</v>
      </c>
      <c r="O55" s="1441"/>
      <c r="P55" s="1440">
        <v>0</v>
      </c>
      <c r="Q55" s="1441"/>
      <c r="R55" s="1441">
        <f t="shared" si="2"/>
        <v>0</v>
      </c>
      <c r="S55" s="1441"/>
      <c r="T55" s="2914">
        <v>0</v>
      </c>
      <c r="U55" s="1442"/>
      <c r="V55" s="2784">
        <f t="shared" si="0"/>
        <v>0</v>
      </c>
      <c r="W55" s="1443"/>
    </row>
    <row r="56" spans="1:25" ht="15" customHeight="1">
      <c r="A56" s="2602"/>
      <c r="B56" s="1426" t="s">
        <v>1495</v>
      </c>
      <c r="C56" s="1426"/>
      <c r="D56" s="1595" t="s">
        <v>16</v>
      </c>
      <c r="E56" s="1595"/>
      <c r="F56" s="1595" t="s">
        <v>16</v>
      </c>
      <c r="G56" s="1441"/>
      <c r="H56" s="1595" t="s">
        <v>16</v>
      </c>
      <c r="I56" s="1590"/>
      <c r="J56" s="1595" t="s">
        <v>16</v>
      </c>
      <c r="K56" s="1441"/>
      <c r="L56" s="1595"/>
      <c r="M56" s="1441"/>
      <c r="N56" s="1595"/>
      <c r="O56" s="1441"/>
      <c r="P56" s="1595" t="s">
        <v>16</v>
      </c>
      <c r="Q56" s="1441"/>
      <c r="R56" s="1441"/>
      <c r="S56" s="1441"/>
      <c r="U56" s="1442"/>
      <c r="V56" s="2784"/>
      <c r="W56" s="1445"/>
    </row>
    <row r="57" spans="1:25" ht="16.2">
      <c r="A57" s="2602"/>
      <c r="B57" s="1426" t="s">
        <v>481</v>
      </c>
      <c r="C57" s="1426"/>
      <c r="D57" s="1596">
        <v>0</v>
      </c>
      <c r="E57" s="1596"/>
      <c r="F57" s="1596">
        <v>2509475</v>
      </c>
      <c r="G57" s="1448"/>
      <c r="H57" s="1596">
        <v>0</v>
      </c>
      <c r="I57" s="1591"/>
      <c r="J57" s="1596">
        <v>0</v>
      </c>
      <c r="K57" s="1441"/>
      <c r="L57" s="1596">
        <v>0</v>
      </c>
      <c r="M57" s="1441"/>
      <c r="N57" s="1596">
        <v>0</v>
      </c>
      <c r="O57" s="1441"/>
      <c r="P57" s="1596">
        <v>0</v>
      </c>
      <c r="Q57" s="1441"/>
      <c r="R57" s="1441">
        <f>ROUND(SUM(D57:Q57),0)</f>
        <v>2509475</v>
      </c>
      <c r="S57" s="1441"/>
      <c r="T57" s="2914">
        <v>2456625</v>
      </c>
      <c r="U57" s="2605"/>
      <c r="V57" s="2784">
        <f t="shared" si="0"/>
        <v>52850</v>
      </c>
      <c r="W57" s="1443"/>
      <c r="Y57" s="2606"/>
    </row>
    <row r="58" spans="1:25" ht="16.2">
      <c r="A58" s="2602"/>
      <c r="B58" s="1426" t="s">
        <v>1273</v>
      </c>
      <c r="C58" s="1426"/>
      <c r="D58" s="1596">
        <v>0</v>
      </c>
      <c r="E58" s="1596"/>
      <c r="F58" s="1596">
        <v>0</v>
      </c>
      <c r="G58" s="1448"/>
      <c r="H58" s="1596">
        <v>0</v>
      </c>
      <c r="I58" s="1591"/>
      <c r="J58" s="1596">
        <v>0</v>
      </c>
      <c r="K58" s="1441"/>
      <c r="L58" s="1596">
        <v>0</v>
      </c>
      <c r="M58" s="1441"/>
      <c r="N58" s="1596">
        <v>296111963</v>
      </c>
      <c r="O58" s="1441"/>
      <c r="P58" s="1596">
        <v>0</v>
      </c>
      <c r="Q58" s="1441"/>
      <c r="R58" s="1441">
        <f>ROUND(SUM(D58:Q58),0)</f>
        <v>296111963</v>
      </c>
      <c r="S58" s="1441"/>
      <c r="T58" s="2914">
        <v>449022334</v>
      </c>
      <c r="U58" s="2605"/>
      <c r="V58" s="2784">
        <f t="shared" si="0"/>
        <v>-152910371</v>
      </c>
      <c r="W58" s="1443"/>
      <c r="Y58" s="2606"/>
    </row>
    <row r="59" spans="1:25" ht="16.2">
      <c r="B59" s="1426" t="s">
        <v>482</v>
      </c>
      <c r="C59" s="1426"/>
      <c r="D59" s="1447">
        <v>0</v>
      </c>
      <c r="E59" s="1447"/>
      <c r="F59" s="1447">
        <v>1548884</v>
      </c>
      <c r="G59" s="1448"/>
      <c r="H59" s="1447">
        <v>0</v>
      </c>
      <c r="I59" s="1440"/>
      <c r="J59" s="1447">
        <v>0</v>
      </c>
      <c r="K59" s="1441"/>
      <c r="L59" s="1447">
        <v>0</v>
      </c>
      <c r="M59" s="1441"/>
      <c r="N59" s="1447">
        <v>0</v>
      </c>
      <c r="O59" s="1441"/>
      <c r="P59" s="1447">
        <v>0</v>
      </c>
      <c r="Q59" s="1441"/>
      <c r="R59" s="1441">
        <f>ROUND(SUM(D59:Q59),0)</f>
        <v>1548884</v>
      </c>
      <c r="S59" s="1441"/>
      <c r="T59" s="2914">
        <v>1337397</v>
      </c>
      <c r="U59" s="2607"/>
      <c r="V59" s="2784">
        <f t="shared" si="0"/>
        <v>211487</v>
      </c>
      <c r="W59" s="1443"/>
    </row>
    <row r="60" spans="1:25" ht="16.2">
      <c r="A60" s="2608"/>
      <c r="B60" s="1427" t="s">
        <v>483</v>
      </c>
      <c r="C60" s="1427"/>
      <c r="D60" s="1574"/>
      <c r="E60" s="1574"/>
      <c r="F60" s="1574"/>
      <c r="G60" s="1574"/>
      <c r="H60" s="1597"/>
      <c r="I60" s="1597"/>
      <c r="J60" s="1589"/>
      <c r="K60" s="1589"/>
      <c r="L60" s="1589"/>
      <c r="M60" s="1589"/>
      <c r="N60" s="1597"/>
      <c r="O60" s="1597"/>
      <c r="P60" s="1597"/>
      <c r="Q60" s="1597"/>
      <c r="R60" s="1597"/>
      <c r="S60" s="1597"/>
      <c r="T60" s="1597"/>
      <c r="U60" s="2609"/>
      <c r="V60" s="1441"/>
      <c r="W60" s="1445"/>
    </row>
    <row r="61" spans="1:25" s="2601" customFormat="1" ht="16.8" thickBot="1">
      <c r="B61" s="1598" t="s">
        <v>484</v>
      </c>
      <c r="C61" s="1575"/>
      <c r="D61" s="1640">
        <f>ROUND(SUM(D15:D59),0)</f>
        <v>0</v>
      </c>
      <c r="E61" s="1641"/>
      <c r="F61" s="1640">
        <f>ROUND(SUM(F15:F59),0)</f>
        <v>862271284</v>
      </c>
      <c r="G61" s="1641"/>
      <c r="H61" s="1640">
        <f>ROUND(SUM(H15:H59),0)</f>
        <v>28307274</v>
      </c>
      <c r="I61" s="1641"/>
      <c r="J61" s="1640">
        <f>ROUND(SUM(J15:J59),0)</f>
        <v>45915369</v>
      </c>
      <c r="K61" s="1642"/>
      <c r="L61" s="1640">
        <f>ROUND(SUM(L15:L59),0)</f>
        <v>71839317</v>
      </c>
      <c r="M61" s="1642"/>
      <c r="N61" s="1640">
        <f>ROUND(SUM(N15:N59),0)</f>
        <v>849028541</v>
      </c>
      <c r="O61" s="1641"/>
      <c r="P61" s="1640">
        <f>ROUND(SUM(P15:P59),0)</f>
        <v>56715309</v>
      </c>
      <c r="Q61" s="1641"/>
      <c r="R61" s="1640">
        <f>ROUND(SUM(R15:R59),0)</f>
        <v>1914077094</v>
      </c>
      <c r="S61" s="1641"/>
      <c r="T61" s="1640">
        <f>ROUND(SUM(T15:T59),0)</f>
        <v>2545539931</v>
      </c>
      <c r="U61" s="1641"/>
      <c r="V61" s="1640">
        <f>ROUND(SUM(V15:V59),0)</f>
        <v>-631462837</v>
      </c>
      <c r="W61" s="1643"/>
    </row>
    <row r="62" spans="1:25" ht="16.8" thickTop="1">
      <c r="B62" s="1449"/>
      <c r="C62" s="1449"/>
      <c r="D62" s="1426"/>
      <c r="E62" s="1426"/>
      <c r="F62" s="1426"/>
      <c r="G62" s="1426"/>
      <c r="H62" s="1426"/>
      <c r="I62" s="1426"/>
      <c r="J62" s="1426"/>
      <c r="K62" s="1426"/>
      <c r="L62" s="1426"/>
      <c r="M62" s="1426"/>
      <c r="N62" s="1426"/>
      <c r="O62" s="1426"/>
      <c r="P62" s="1426"/>
      <c r="Q62" s="1426"/>
      <c r="R62" s="1426"/>
      <c r="S62" s="1426"/>
      <c r="T62" s="1426"/>
      <c r="U62" s="1426"/>
      <c r="V62" s="1450"/>
      <c r="W62" s="1451"/>
    </row>
    <row r="63" spans="1:25" ht="16.2">
      <c r="B63" s="1426"/>
      <c r="C63" s="1426"/>
      <c r="D63" s="1426"/>
      <c r="E63" s="1426"/>
      <c r="F63" s="2895"/>
      <c r="G63" s="1426"/>
      <c r="H63" s="1426"/>
      <c r="I63" s="1426"/>
      <c r="J63" s="1426"/>
      <c r="K63" s="1426"/>
      <c r="L63" s="1426"/>
      <c r="M63" s="1426"/>
      <c r="N63" s="1426"/>
      <c r="O63" s="1426"/>
      <c r="P63" s="1426"/>
      <c r="Q63" s="1426"/>
      <c r="R63" s="1426"/>
      <c r="S63" s="1426"/>
      <c r="T63" s="1426"/>
      <c r="U63" s="1426"/>
      <c r="V63" s="1426"/>
    </row>
    <row r="64" spans="1:25" ht="15">
      <c r="B64" s="2610"/>
    </row>
    <row r="65" spans="2:2" ht="15">
      <c r="B65" s="2610"/>
    </row>
    <row r="66" spans="2:2" ht="15">
      <c r="B66" s="2610"/>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2" firstPageNumber="46" orientation="landscape" useFirstPageNumber="1" r:id="rId2"/>
  <headerFooter scaleWithDoc="0" alignWithMargins="0">
    <oddFooter>&amp;C&amp;8&amp;P</oddFooter>
  </headerFooter>
  <ignoredErrors>
    <ignoredError sqref="N13 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showOutlineSymbols="0" zoomScaleNormal="70" workbookViewId="0"/>
  </sheetViews>
  <sheetFormatPr defaultColWidth="8.90625" defaultRowHeight="15"/>
  <cols>
    <col min="1" max="3" width="9.6328125" style="2583" customWidth="1"/>
    <col min="4" max="4" width="10.453125" style="2583" customWidth="1"/>
    <col min="5" max="5" width="14.81640625" style="2583" customWidth="1"/>
    <col min="6" max="6" width="1.36328125" style="2583" customWidth="1"/>
    <col min="7" max="7" width="16.6328125" style="2583" customWidth="1"/>
    <col min="8" max="8" width="1.36328125" style="2583" customWidth="1"/>
    <col min="9" max="9" width="16.6328125" style="2583" bestFit="1" customWidth="1"/>
    <col min="10" max="10" width="9.6328125" style="2583" customWidth="1"/>
    <col min="11" max="11" width="15.6328125" style="2583" customWidth="1"/>
    <col min="12" max="16384" width="8.90625" style="2583"/>
  </cols>
  <sheetData>
    <row r="1" spans="1:11">
      <c r="A1" s="1184" t="s">
        <v>1217</v>
      </c>
    </row>
    <row r="2" spans="1:11">
      <c r="A2" s="1736"/>
    </row>
    <row r="3" spans="1:11" ht="15.6">
      <c r="A3" s="1404" t="s">
        <v>0</v>
      </c>
      <c r="I3" s="2389" t="s">
        <v>1439</v>
      </c>
    </row>
    <row r="4" spans="1:11" ht="15.6">
      <c r="A4" s="1737" t="s">
        <v>1438</v>
      </c>
    </row>
    <row r="5" spans="1:11" ht="15.6">
      <c r="A5" s="3597" t="s">
        <v>1667</v>
      </c>
      <c r="B5" s="3598"/>
      <c r="C5" s="3598"/>
      <c r="D5" s="3598"/>
      <c r="E5" s="3598"/>
      <c r="F5" s="3598"/>
      <c r="G5" s="3598"/>
      <c r="H5" s="3598"/>
      <c r="I5" s="3598"/>
      <c r="J5" s="3598"/>
      <c r="K5" s="3598"/>
    </row>
    <row r="6" spans="1:11" ht="15.6">
      <c r="A6" s="3597" t="s">
        <v>1106</v>
      </c>
      <c r="B6" s="3598"/>
      <c r="C6" s="3598"/>
      <c r="D6" s="3598"/>
      <c r="E6" s="3598"/>
      <c r="F6" s="3598"/>
      <c r="G6" s="3598"/>
      <c r="H6" s="3598"/>
      <c r="I6" s="3598"/>
      <c r="J6" s="3598"/>
      <c r="K6" s="3598"/>
    </row>
    <row r="7" spans="1:11" ht="15.6">
      <c r="A7" s="3597" t="s">
        <v>1103</v>
      </c>
      <c r="B7" s="3599"/>
      <c r="C7" s="3599"/>
      <c r="D7" s="3599"/>
      <c r="E7" s="3599"/>
      <c r="F7" s="3599"/>
      <c r="G7" s="3599"/>
      <c r="H7" s="3599"/>
      <c r="I7" s="3599"/>
      <c r="J7" s="3599"/>
      <c r="K7" s="3599"/>
    </row>
    <row r="8" spans="1:11" ht="15.6">
      <c r="A8" s="753"/>
      <c r="F8" s="753"/>
      <c r="H8" s="753"/>
      <c r="I8" s="754" t="s">
        <v>485</v>
      </c>
    </row>
    <row r="9" spans="1:11" ht="15.6">
      <c r="A9" s="753"/>
      <c r="F9" s="753"/>
      <c r="G9" s="755" t="s">
        <v>486</v>
      </c>
      <c r="H9" s="753"/>
      <c r="I9" s="755" t="s">
        <v>487</v>
      </c>
    </row>
    <row r="10" spans="1:11" ht="15.6">
      <c r="A10" s="753"/>
      <c r="E10" s="756" t="s">
        <v>1683</v>
      </c>
      <c r="F10" s="753"/>
      <c r="G10" s="755" t="s">
        <v>488</v>
      </c>
      <c r="H10" s="753"/>
      <c r="I10" s="756" t="s">
        <v>1684</v>
      </c>
    </row>
    <row r="11" spans="1:11" ht="15.6">
      <c r="A11" s="753"/>
      <c r="E11" s="757"/>
      <c r="F11" s="753"/>
      <c r="G11" s="757"/>
      <c r="H11" s="753"/>
      <c r="I11" s="757"/>
    </row>
    <row r="12" spans="1:11" ht="15.6">
      <c r="A12" s="758" t="s">
        <v>1206</v>
      </c>
      <c r="F12" s="753"/>
      <c r="H12" s="753"/>
    </row>
    <row r="13" spans="1:11">
      <c r="A13" s="753"/>
      <c r="F13" s="753"/>
      <c r="H13" s="753"/>
    </row>
    <row r="14" spans="1:11">
      <c r="A14" s="1263" t="s">
        <v>1205</v>
      </c>
      <c r="E14" s="2584">
        <v>13038.4</v>
      </c>
      <c r="F14" s="2584"/>
      <c r="G14" s="2585">
        <v>14080.1</v>
      </c>
      <c r="H14" s="2584"/>
      <c r="I14" s="2586">
        <v>8146.6</v>
      </c>
    </row>
    <row r="15" spans="1:11">
      <c r="A15" s="1263" t="s">
        <v>1204</v>
      </c>
      <c r="E15" s="759">
        <v>2.2100000000000002E-3</v>
      </c>
      <c r="F15" s="1649"/>
      <c r="G15" s="760">
        <v>1.4300000000000001E-3</v>
      </c>
      <c r="H15" s="1649"/>
      <c r="I15" s="761">
        <v>1.1999999999999999E-3</v>
      </c>
    </row>
    <row r="16" spans="1:11">
      <c r="A16" s="1649" t="s">
        <v>489</v>
      </c>
      <c r="E16" s="2587">
        <v>2.7080000000000002</v>
      </c>
      <c r="F16" s="762"/>
      <c r="G16" s="2588">
        <v>15.249000000000001</v>
      </c>
      <c r="H16" s="1845"/>
      <c r="I16" s="2589">
        <v>5.9329999999999998</v>
      </c>
    </row>
    <row r="17" spans="1:10">
      <c r="A17" s="753"/>
      <c r="J17" s="753"/>
    </row>
    <row r="18" spans="1:10">
      <c r="A18" s="1811"/>
      <c r="B18" s="2590"/>
      <c r="C18" s="2590"/>
      <c r="D18" s="2590"/>
      <c r="E18" s="2590"/>
      <c r="F18" s="2590"/>
      <c r="G18" s="2590"/>
      <c r="H18" s="2590"/>
      <c r="I18" s="2590"/>
      <c r="J18" s="1811"/>
    </row>
    <row r="19" spans="1:10">
      <c r="A19" s="1811"/>
      <c r="B19" s="2590"/>
      <c r="C19" s="2590"/>
      <c r="D19" s="2590"/>
      <c r="E19" s="2590"/>
      <c r="F19" s="2590"/>
      <c r="G19" s="2590"/>
      <c r="H19" s="2590"/>
      <c r="I19" s="2590"/>
      <c r="J19" s="1811"/>
    </row>
    <row r="20" spans="1:10" ht="17.399999999999999">
      <c r="A20" s="1812" t="s">
        <v>490</v>
      </c>
      <c r="B20" s="1813"/>
      <c r="C20" s="1813"/>
      <c r="D20" s="2590"/>
      <c r="E20" s="2590"/>
      <c r="F20" s="2590"/>
      <c r="G20" s="2590"/>
      <c r="H20" s="2590"/>
      <c r="I20" s="2590"/>
      <c r="J20" s="1811"/>
    </row>
    <row r="21" spans="1:10">
      <c r="A21" s="1811"/>
      <c r="B21" s="2590"/>
      <c r="C21" s="2590"/>
      <c r="D21" s="2590"/>
      <c r="E21" s="2590"/>
      <c r="F21" s="1150"/>
      <c r="G21" s="1150" t="s">
        <v>1683</v>
      </c>
      <c r="H21" s="1150"/>
      <c r="I21" s="1150" t="s">
        <v>1684</v>
      </c>
      <c r="J21" s="1811"/>
    </row>
    <row r="22" spans="1:10">
      <c r="A22" s="1811"/>
      <c r="B22" s="1814" t="s">
        <v>491</v>
      </c>
      <c r="C22" s="2590"/>
      <c r="D22" s="2591" t="s">
        <v>16</v>
      </c>
      <c r="E22" s="2590"/>
      <c r="F22" s="1815"/>
      <c r="G22" s="2592" t="s">
        <v>492</v>
      </c>
      <c r="H22" s="1815"/>
      <c r="I22" s="2592" t="s">
        <v>492</v>
      </c>
      <c r="J22" s="1811"/>
    </row>
    <row r="23" spans="1:10">
      <c r="A23" s="1811"/>
      <c r="B23" s="2591" t="s">
        <v>493</v>
      </c>
      <c r="C23" s="2590"/>
      <c r="D23" s="2590"/>
      <c r="E23" s="2590"/>
      <c r="F23" s="2593"/>
      <c r="G23" s="2594">
        <v>75</v>
      </c>
      <c r="H23" s="2593"/>
      <c r="I23" s="2594">
        <v>150</v>
      </c>
      <c r="J23" s="1811"/>
    </row>
    <row r="24" spans="1:10">
      <c r="A24" s="1811"/>
      <c r="B24" s="2591" t="s">
        <v>494</v>
      </c>
      <c r="C24" s="2590"/>
      <c r="D24" s="2590"/>
      <c r="E24" s="2590"/>
      <c r="F24" s="2593"/>
      <c r="G24" s="2595">
        <v>2651.8</v>
      </c>
      <c r="H24" s="2593"/>
      <c r="I24" s="2595">
        <v>24.7</v>
      </c>
      <c r="J24" s="1811"/>
    </row>
    <row r="25" spans="1:10">
      <c r="A25" s="1811"/>
      <c r="B25" s="2591" t="s">
        <v>495</v>
      </c>
      <c r="C25" s="2590"/>
      <c r="D25" s="2590"/>
      <c r="E25" s="2590"/>
      <c r="F25" s="2596"/>
      <c r="G25" s="2595">
        <v>11866.4</v>
      </c>
      <c r="H25" s="2596"/>
      <c r="I25" s="2597">
        <v>4113.2</v>
      </c>
      <c r="J25" s="1811"/>
    </row>
    <row r="26" spans="1:10">
      <c r="A26" s="1811"/>
      <c r="B26" s="2591" t="s">
        <v>496</v>
      </c>
      <c r="C26" s="2590"/>
      <c r="D26" s="2590"/>
      <c r="E26" s="2590"/>
      <c r="F26" s="2596"/>
      <c r="G26" s="2595">
        <v>1974.6</v>
      </c>
      <c r="H26" s="2596"/>
      <c r="I26" s="2597">
        <v>1929.7</v>
      </c>
      <c r="J26" s="1811"/>
    </row>
    <row r="27" spans="1:10">
      <c r="A27" s="1811"/>
      <c r="B27" s="1816" t="s">
        <v>1057</v>
      </c>
      <c r="C27" s="2590"/>
      <c r="D27" s="2590"/>
      <c r="E27" s="2590"/>
      <c r="F27" s="2598"/>
      <c r="G27" s="2595">
        <v>4855</v>
      </c>
      <c r="H27" s="2598"/>
      <c r="I27" s="2597">
        <v>4528</v>
      </c>
      <c r="J27" s="1811"/>
    </row>
    <row r="28" spans="1:10" ht="16.2" thickBot="1">
      <c r="A28" s="1811"/>
      <c r="B28" s="2590"/>
      <c r="C28" s="2590"/>
      <c r="D28" s="2590"/>
      <c r="E28" s="2590"/>
      <c r="F28" s="763"/>
      <c r="G28" s="764">
        <f>ROUND(SUM(G23:G27),1)</f>
        <v>21422.799999999999</v>
      </c>
      <c r="H28" s="763"/>
      <c r="I28" s="764">
        <f>ROUND(SUM(I23:I27),1)</f>
        <v>10745.6</v>
      </c>
      <c r="J28" s="1811"/>
    </row>
    <row r="29" spans="1:10" ht="15.6" thickTop="1">
      <c r="A29" s="753"/>
      <c r="F29" s="2599"/>
      <c r="G29" s="2599"/>
      <c r="H29" s="2599"/>
      <c r="J29" s="753"/>
    </row>
    <row r="30" spans="1:10">
      <c r="A30" s="753"/>
      <c r="J30" s="753"/>
    </row>
    <row r="31" spans="1:10" ht="15.6">
      <c r="A31" s="758"/>
      <c r="J31" s="753"/>
    </row>
    <row r="32" spans="1:10" ht="192.75" customHeight="1">
      <c r="A32" s="3600" t="s">
        <v>1223</v>
      </c>
      <c r="B32" s="3601"/>
      <c r="C32" s="3601"/>
      <c r="D32" s="3601"/>
      <c r="E32" s="3601"/>
      <c r="F32" s="3601"/>
      <c r="G32" s="3601"/>
      <c r="H32" s="3601"/>
      <c r="I32" s="3601"/>
      <c r="J32" s="753"/>
    </row>
    <row r="34" spans="1:11" ht="15" customHeight="1">
      <c r="A34" s="1200" t="s">
        <v>1208</v>
      </c>
      <c r="B34" s="1402"/>
      <c r="C34" s="1402"/>
      <c r="D34" s="1402"/>
      <c r="E34" s="1402"/>
      <c r="F34" s="1402"/>
      <c r="G34" s="1402"/>
      <c r="H34" s="1402"/>
      <c r="I34" s="1402"/>
      <c r="J34" s="1402"/>
      <c r="K34" s="1402"/>
    </row>
    <row r="35" spans="1:11" ht="17.25" customHeight="1">
      <c r="A35" s="1400"/>
      <c r="B35" s="1403"/>
      <c r="C35" s="1403"/>
      <c r="D35" s="1403"/>
      <c r="E35" s="1403"/>
      <c r="F35" s="1403"/>
      <c r="G35" s="1403"/>
      <c r="H35" s="1403"/>
      <c r="I35" s="1403"/>
      <c r="J35" s="1403"/>
      <c r="K35" s="765"/>
    </row>
    <row r="36" spans="1:11">
      <c r="A36" s="1649"/>
      <c r="B36" s="1649"/>
      <c r="C36" s="1403"/>
      <c r="D36" s="1403"/>
      <c r="E36" s="1403"/>
      <c r="F36" s="1403"/>
      <c r="G36" s="1403"/>
      <c r="H36" s="1403"/>
      <c r="I36" s="1403"/>
      <c r="J36" s="1403"/>
      <c r="K36" s="765"/>
    </row>
    <row r="37" spans="1:11">
      <c r="A37" s="1400"/>
      <c r="B37" s="1401"/>
      <c r="C37" s="1403"/>
      <c r="D37" s="1403"/>
      <c r="E37" s="1403"/>
      <c r="F37" s="1403"/>
      <c r="G37" s="1403"/>
      <c r="H37" s="1403"/>
      <c r="I37" s="1403"/>
      <c r="J37" s="1403"/>
      <c r="K37" s="765"/>
    </row>
    <row r="38" spans="1:11">
      <c r="A38" s="753"/>
      <c r="B38" s="1649" t="s">
        <v>16</v>
      </c>
      <c r="C38" s="753"/>
      <c r="D38" s="753"/>
      <c r="E38" s="753"/>
      <c r="F38" s="753"/>
      <c r="G38" s="753"/>
      <c r="H38" s="753"/>
      <c r="I38" s="753"/>
    </row>
    <row r="39" spans="1:11">
      <c r="B39" s="1649" t="s">
        <v>16</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7"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showOutlineSymbols="0" zoomScale="70" zoomScaleNormal="60" workbookViewId="0"/>
  </sheetViews>
  <sheetFormatPr defaultColWidth="8.90625" defaultRowHeight="13.2" outlineLevelCol="1"/>
  <cols>
    <col min="1" max="1" width="45.453125" style="944" customWidth="1"/>
    <col min="2" max="2" width="17" style="766" bestFit="1" customWidth="1"/>
    <col min="3" max="3" width="1.81640625" style="766" customWidth="1"/>
    <col min="4" max="4" width="17" style="766" bestFit="1" customWidth="1"/>
    <col min="5" max="5" width="1.6328125" style="772" customWidth="1" outlineLevel="1"/>
    <col min="6" max="6" width="17.1796875" style="766" customWidth="1"/>
    <col min="7" max="7" width="1.6328125" style="772" customWidth="1" outlineLevel="1"/>
    <col min="8" max="8" width="17.54296875" style="766" customWidth="1"/>
    <col min="9" max="9" width="1.6328125" style="772" customWidth="1" outlineLevel="1"/>
    <col min="10" max="10" width="16.453125" style="766" customWidth="1"/>
    <col min="11" max="11" width="1.6328125" style="766" customWidth="1"/>
    <col min="12" max="12" width="17" style="766" bestFit="1" customWidth="1"/>
    <col min="13" max="13" width="1.6328125" style="772" customWidth="1" outlineLevel="1"/>
    <col min="14" max="14" width="17.54296875" style="766" customWidth="1"/>
    <col min="15" max="15" width="1.6328125" style="772" customWidth="1" outlineLevel="1"/>
    <col min="16" max="16" width="17.1796875" style="766" customWidth="1"/>
    <col min="17" max="17" width="1.6328125" style="772" customWidth="1" outlineLevel="1"/>
    <col min="18" max="18" width="13.6328125" style="766" customWidth="1"/>
    <col min="19" max="19" width="1.6328125" style="772" customWidth="1" outlineLevel="1"/>
    <col min="20" max="20" width="13.6328125" style="766" customWidth="1"/>
    <col min="21" max="21" width="1.6328125" style="772" customWidth="1"/>
    <col min="22" max="22" width="13.6328125" style="766" customWidth="1"/>
    <col min="23" max="23" width="1.6328125" style="772" customWidth="1"/>
    <col min="24" max="24" width="13.6328125" style="766" customWidth="1"/>
    <col min="25" max="25" width="1.6328125" style="772" customWidth="1"/>
    <col min="26" max="26" width="22.453125" style="768" bestFit="1" customWidth="1"/>
    <col min="27" max="27" width="1.54296875" style="944" customWidth="1"/>
    <col min="28" max="28" width="18.81640625" style="944" bestFit="1" customWidth="1"/>
    <col min="29" max="29" width="12.6328125" style="944" bestFit="1" customWidth="1"/>
    <col min="30" max="16384" width="8.90625" style="944"/>
  </cols>
  <sheetData>
    <row r="1" spans="1:40" ht="15">
      <c r="A1" s="1184" t="s">
        <v>1217</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row>
    <row r="2" spans="1:40" ht="15">
      <c r="A2" s="1184"/>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row>
    <row r="3" spans="1:40" ht="24" customHeight="1">
      <c r="A3" s="1715" t="s">
        <v>0</v>
      </c>
      <c r="B3" s="941"/>
      <c r="C3" s="941"/>
      <c r="D3" s="942"/>
      <c r="E3" s="943"/>
      <c r="F3" s="942"/>
      <c r="G3" s="943"/>
      <c r="H3" s="942"/>
      <c r="I3" s="943"/>
      <c r="K3" s="941"/>
      <c r="L3" s="767"/>
      <c r="M3" s="941"/>
      <c r="N3" s="942"/>
      <c r="O3" s="943"/>
      <c r="P3" s="942"/>
      <c r="Q3" s="943"/>
      <c r="R3" s="942"/>
      <c r="S3" s="943"/>
      <c r="T3" s="942"/>
      <c r="U3" s="943"/>
      <c r="V3" s="942"/>
      <c r="W3" s="943"/>
      <c r="X3" s="942"/>
      <c r="Y3" s="943"/>
      <c r="Z3" s="1639" t="s">
        <v>497</v>
      </c>
      <c r="AA3" s="941"/>
      <c r="AC3" s="941"/>
      <c r="AE3" s="941"/>
    </row>
    <row r="4" spans="1:40" ht="16.8">
      <c r="A4" s="1715" t="s">
        <v>498</v>
      </c>
      <c r="B4" s="2540"/>
      <c r="C4" s="2540"/>
      <c r="D4" s="945"/>
      <c r="E4" s="943"/>
      <c r="F4" s="2540"/>
      <c r="G4" s="943"/>
      <c r="H4" s="2540"/>
      <c r="I4" s="943"/>
      <c r="J4" s="2540"/>
      <c r="K4" s="2540"/>
      <c r="L4" s="2540"/>
      <c r="M4" s="946"/>
      <c r="N4" s="2540"/>
      <c r="O4" s="943"/>
      <c r="P4" s="2540"/>
      <c r="Q4" s="943"/>
      <c r="R4" s="2540"/>
      <c r="S4" s="943"/>
      <c r="T4" s="2540"/>
      <c r="U4" s="943"/>
      <c r="V4" s="2540"/>
      <c r="W4" s="943"/>
      <c r="X4" s="2540"/>
      <c r="Y4" s="943"/>
      <c r="Z4" s="2541"/>
      <c r="AA4" s="947"/>
      <c r="AC4" s="941"/>
    </row>
    <row r="5" spans="1:40" ht="16.8">
      <c r="A5" s="1716" t="s">
        <v>1465</v>
      </c>
      <c r="B5" s="2540"/>
      <c r="C5" s="2540"/>
      <c r="D5" s="2540"/>
      <c r="E5" s="943"/>
      <c r="F5" s="2540"/>
      <c r="G5" s="943"/>
      <c r="H5" s="2540"/>
      <c r="I5" s="943"/>
      <c r="J5" s="2540"/>
      <c r="K5" s="2540"/>
      <c r="L5" s="2540"/>
      <c r="M5" s="946"/>
      <c r="N5" s="2540"/>
      <c r="O5" s="943"/>
      <c r="P5" s="2540"/>
      <c r="Q5" s="943"/>
      <c r="R5" s="2540"/>
      <c r="S5" s="943"/>
      <c r="T5" s="2540"/>
      <c r="U5" s="943"/>
      <c r="V5" s="2540"/>
      <c r="W5" s="943"/>
      <c r="X5" s="2540"/>
      <c r="Y5" s="943"/>
      <c r="Z5" s="2541"/>
    </row>
    <row r="6" spans="1:40" ht="18" customHeight="1">
      <c r="A6" s="948" t="s">
        <v>1590</v>
      </c>
      <c r="B6" s="2540"/>
      <c r="C6" s="2540"/>
      <c r="D6" s="950"/>
      <c r="E6" s="943"/>
      <c r="F6" s="2540"/>
      <c r="G6" s="943"/>
      <c r="H6" s="2540"/>
      <c r="I6" s="943"/>
      <c r="J6" s="2540"/>
      <c r="K6" s="2540"/>
      <c r="L6" s="2540"/>
      <c r="M6" s="946"/>
      <c r="N6" s="2540"/>
      <c r="O6" s="943"/>
      <c r="P6" s="2540"/>
      <c r="Q6" s="943"/>
      <c r="R6" s="2540"/>
      <c r="S6" s="943"/>
      <c r="T6" s="2540"/>
      <c r="U6" s="943"/>
      <c r="V6" s="2540"/>
      <c r="W6" s="943"/>
      <c r="X6" s="2540"/>
      <c r="Y6" s="943"/>
      <c r="Z6" s="2541"/>
    </row>
    <row r="7" spans="1:40" ht="15" customHeight="1">
      <c r="A7" s="949"/>
      <c r="B7" s="2540"/>
      <c r="C7" s="2540"/>
      <c r="D7" s="2540"/>
      <c r="E7" s="943"/>
      <c r="F7" s="2540"/>
      <c r="G7" s="943"/>
      <c r="H7" s="2540"/>
      <c r="I7" s="943"/>
      <c r="J7" s="2540"/>
      <c r="K7" s="2540"/>
      <c r="L7" s="2540"/>
      <c r="M7" s="946"/>
      <c r="N7" s="2540"/>
      <c r="O7" s="943"/>
      <c r="P7" s="2540"/>
      <c r="Q7" s="943"/>
      <c r="R7" s="2542"/>
      <c r="S7" s="943"/>
      <c r="T7" s="2542"/>
      <c r="U7" s="943"/>
      <c r="V7" s="2542"/>
      <c r="W7" s="943"/>
      <c r="X7" s="2542"/>
      <c r="Y7" s="943"/>
      <c r="Z7" s="2541"/>
    </row>
    <row r="8" spans="1:40" ht="15.6">
      <c r="A8" s="940"/>
      <c r="B8" s="2540"/>
      <c r="C8" s="2540"/>
      <c r="D8" s="2540"/>
      <c r="E8" s="943"/>
      <c r="F8" s="2540"/>
      <c r="G8" s="943"/>
      <c r="H8" s="2540"/>
      <c r="I8" s="943"/>
      <c r="J8" s="2540"/>
      <c r="K8" s="2540"/>
      <c r="L8" s="2540"/>
      <c r="M8" s="943"/>
      <c r="N8" s="2540"/>
      <c r="O8" s="943"/>
      <c r="P8" s="2540"/>
      <c r="Q8" s="943"/>
      <c r="R8" s="2540"/>
      <c r="S8" s="943"/>
      <c r="T8" s="2540"/>
      <c r="U8" s="943"/>
      <c r="V8" s="2540"/>
      <c r="W8" s="943"/>
      <c r="X8" s="2540"/>
      <c r="Y8" s="943"/>
      <c r="Z8" s="951"/>
      <c r="AA8" s="952"/>
    </row>
    <row r="9" spans="1:40" ht="15" customHeight="1">
      <c r="A9" s="2543"/>
      <c r="B9" s="1860">
        <v>2015</v>
      </c>
      <c r="C9" s="953"/>
      <c r="D9" s="953"/>
      <c r="E9" s="946"/>
      <c r="F9" s="953"/>
      <c r="G9" s="946"/>
      <c r="H9" s="953"/>
      <c r="I9" s="946"/>
      <c r="J9" s="953"/>
      <c r="K9" s="953"/>
      <c r="L9" s="954"/>
      <c r="M9" s="946"/>
      <c r="N9" s="954"/>
      <c r="O9" s="946"/>
      <c r="P9" s="954"/>
      <c r="Q9" s="946"/>
      <c r="R9" s="954"/>
      <c r="S9" s="946"/>
      <c r="T9" s="1860">
        <v>2016</v>
      </c>
      <c r="U9" s="946"/>
      <c r="V9" s="954"/>
      <c r="W9" s="946"/>
      <c r="X9" s="954"/>
      <c r="Y9" s="946"/>
      <c r="Z9" s="955" t="s">
        <v>1673</v>
      </c>
      <c r="AA9" s="955"/>
    </row>
    <row r="10" spans="1:40" ht="15" customHeight="1">
      <c r="A10" s="2543"/>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42369</v>
      </c>
      <c r="AA10" s="959"/>
    </row>
    <row r="11" spans="1:40" ht="15" customHeight="1">
      <c r="A11" s="2543"/>
      <c r="B11" s="2544" t="s">
        <v>16</v>
      </c>
      <c r="C11" s="2545"/>
      <c r="D11" s="2544" t="s">
        <v>16</v>
      </c>
      <c r="E11" s="2546"/>
      <c r="F11" s="2544" t="s">
        <v>16</v>
      </c>
      <c r="G11" s="2546"/>
      <c r="H11" s="2544" t="s">
        <v>16</v>
      </c>
      <c r="I11" s="2546"/>
      <c r="J11" s="2544" t="s">
        <v>16</v>
      </c>
      <c r="K11" s="958"/>
      <c r="L11" s="2544" t="s">
        <v>16</v>
      </c>
      <c r="M11" s="2546"/>
      <c r="N11" s="2544" t="s">
        <v>16</v>
      </c>
      <c r="O11" s="2546"/>
      <c r="P11" s="2544" t="s">
        <v>16</v>
      </c>
      <c r="Q11" s="2546"/>
      <c r="R11" s="2544" t="s">
        <v>16</v>
      </c>
      <c r="S11" s="2546"/>
      <c r="T11" s="2544" t="s">
        <v>16</v>
      </c>
      <c r="U11" s="2546"/>
      <c r="V11" s="2544" t="s">
        <v>16</v>
      </c>
      <c r="W11" s="2546"/>
      <c r="X11" s="2544" t="s">
        <v>16</v>
      </c>
      <c r="Y11" s="2546"/>
      <c r="Z11" s="2547" t="s">
        <v>16</v>
      </c>
      <c r="AB11" s="960"/>
      <c r="AC11" s="960"/>
      <c r="AD11" s="960"/>
      <c r="AE11" s="960"/>
      <c r="AF11" s="960"/>
      <c r="AG11" s="960"/>
      <c r="AH11" s="960"/>
      <c r="AI11" s="960"/>
      <c r="AJ11" s="960"/>
      <c r="AK11" s="960"/>
      <c r="AL11" s="960"/>
      <c r="AM11" s="960"/>
      <c r="AN11" s="960"/>
    </row>
    <row r="12" spans="1:40" s="965" customFormat="1" ht="15" customHeight="1">
      <c r="A12" s="1717" t="s">
        <v>499</v>
      </c>
      <c r="B12" s="961">
        <v>14124710</v>
      </c>
      <c r="C12" s="962"/>
      <c r="D12" s="961">
        <f>B46</f>
        <v>41637489</v>
      </c>
      <c r="E12" s="2548"/>
      <c r="F12" s="961">
        <f>D46</f>
        <v>141013682</v>
      </c>
      <c r="G12" s="2548"/>
      <c r="H12" s="961">
        <f>F46</f>
        <v>234729931</v>
      </c>
      <c r="I12" s="2548"/>
      <c r="J12" s="961">
        <f>H46</f>
        <v>166955311</v>
      </c>
      <c r="K12" s="963"/>
      <c r="L12" s="961">
        <f>J46</f>
        <v>153615082</v>
      </c>
      <c r="M12" s="964"/>
      <c r="N12" s="961">
        <f>L46</f>
        <v>101254338</v>
      </c>
      <c r="O12" s="961"/>
      <c r="P12" s="961">
        <f>N46</f>
        <v>106073923</v>
      </c>
      <c r="Q12" s="961"/>
      <c r="R12" s="961">
        <f>P46</f>
        <v>102813674</v>
      </c>
      <c r="S12" s="961"/>
      <c r="T12" s="961"/>
      <c r="U12" s="961"/>
      <c r="V12" s="961"/>
      <c r="W12" s="961"/>
      <c r="X12" s="961"/>
      <c r="Y12" s="961"/>
      <c r="Z12" s="961">
        <f>+B12</f>
        <v>14124710</v>
      </c>
    </row>
    <row r="13" spans="1:40" ht="15" customHeight="1">
      <c r="A13" s="2549"/>
      <c r="B13" s="2550"/>
      <c r="C13" s="2551"/>
      <c r="D13" s="2550"/>
      <c r="E13" s="2550"/>
      <c r="F13" s="2550"/>
      <c r="G13" s="2550"/>
      <c r="H13" s="2550"/>
      <c r="I13" s="2550"/>
      <c r="J13" s="2550"/>
      <c r="K13" s="958"/>
      <c r="L13" s="2550"/>
      <c r="M13" s="2550"/>
      <c r="N13" s="2550"/>
      <c r="O13" s="2550"/>
      <c r="P13" s="2550"/>
      <c r="Q13" s="2550"/>
      <c r="R13" s="2550"/>
      <c r="S13" s="2550"/>
      <c r="T13" s="2550"/>
      <c r="U13" s="2550"/>
      <c r="V13" s="2550"/>
      <c r="W13" s="2550"/>
      <c r="X13" s="2550"/>
      <c r="Y13" s="2550"/>
      <c r="Z13" s="2552"/>
    </row>
    <row r="14" spans="1:40" ht="15" customHeight="1">
      <c r="A14" s="966" t="s">
        <v>15</v>
      </c>
      <c r="B14" s="2550"/>
      <c r="C14" s="2551"/>
      <c r="D14" s="2550"/>
      <c r="E14" s="2550"/>
      <c r="F14" s="2550"/>
      <c r="G14" s="2550"/>
      <c r="H14" s="2550"/>
      <c r="I14" s="2550"/>
      <c r="J14" s="2550"/>
      <c r="K14" s="2550"/>
      <c r="L14" s="2550"/>
      <c r="M14" s="2550"/>
      <c r="N14" s="2550"/>
      <c r="O14" s="2550"/>
      <c r="P14" s="2550"/>
      <c r="Q14" s="2550"/>
      <c r="R14" s="2550"/>
      <c r="S14" s="2550"/>
      <c r="T14" s="2550"/>
      <c r="U14" s="2550"/>
      <c r="V14" s="2550"/>
      <c r="W14" s="2550"/>
      <c r="X14" s="2550"/>
      <c r="Y14" s="2550"/>
      <c r="Z14" s="2552"/>
    </row>
    <row r="15" spans="1:40" ht="15" customHeight="1">
      <c r="A15" s="1718" t="s">
        <v>500</v>
      </c>
      <c r="B15" s="2553">
        <v>83184099</v>
      </c>
      <c r="C15" s="2554"/>
      <c r="D15" s="2553">
        <v>72230176</v>
      </c>
      <c r="E15" s="2553"/>
      <c r="F15" s="2553">
        <v>89595330</v>
      </c>
      <c r="G15" s="2553"/>
      <c r="H15" s="2553">
        <v>85676433</v>
      </c>
      <c r="I15" s="2553"/>
      <c r="J15" s="2553">
        <v>76448434</v>
      </c>
      <c r="K15" s="2553"/>
      <c r="L15" s="2553">
        <v>85122705</v>
      </c>
      <c r="M15" s="2550"/>
      <c r="N15" s="2553">
        <v>81065162</v>
      </c>
      <c r="O15" s="2553"/>
      <c r="P15" s="2553">
        <v>70542751</v>
      </c>
      <c r="Q15" s="2553"/>
      <c r="R15" s="2553">
        <v>82899022</v>
      </c>
      <c r="S15" s="2553"/>
      <c r="T15" s="2553"/>
      <c r="U15" s="2553"/>
      <c r="V15" s="2553"/>
      <c r="W15" s="2553"/>
      <c r="X15" s="2553"/>
      <c r="Y15" s="2553"/>
      <c r="Z15" s="2555">
        <f>ROUND(SUM(B15:X15),0)</f>
        <v>726764112</v>
      </c>
    </row>
    <row r="16" spans="1:40" ht="15" customHeight="1">
      <c r="A16" s="1718" t="s">
        <v>501</v>
      </c>
      <c r="B16" s="2553">
        <v>3562000</v>
      </c>
      <c r="C16" s="2554"/>
      <c r="D16" s="2553">
        <v>3238000</v>
      </c>
      <c r="E16" s="2553"/>
      <c r="F16" s="2553">
        <v>3344000</v>
      </c>
      <c r="G16" s="2553"/>
      <c r="H16" s="2553">
        <v>3782000</v>
      </c>
      <c r="I16" s="2553"/>
      <c r="J16" s="2553">
        <v>3141000</v>
      </c>
      <c r="K16" s="2553"/>
      <c r="L16" s="2553">
        <v>3795000</v>
      </c>
      <c r="M16" s="2550"/>
      <c r="N16" s="2553">
        <v>3113000</v>
      </c>
      <c r="O16" s="2553"/>
      <c r="P16" s="2553">
        <v>3228000</v>
      </c>
      <c r="Q16" s="2553"/>
      <c r="R16" s="2553">
        <v>3664000</v>
      </c>
      <c r="S16" s="2553"/>
      <c r="T16" s="2553"/>
      <c r="U16" s="2553"/>
      <c r="V16" s="2553"/>
      <c r="W16" s="2553"/>
      <c r="X16" s="2553"/>
      <c r="Y16" s="2553"/>
      <c r="Z16" s="2555">
        <f t="shared" ref="Z16:Z23" si="0">ROUND(SUM(B16:X16),0)</f>
        <v>30867000</v>
      </c>
    </row>
    <row r="17" spans="1:28" ht="15" customHeight="1">
      <c r="A17" s="1718" t="s">
        <v>502</v>
      </c>
      <c r="B17" s="2553">
        <v>24861</v>
      </c>
      <c r="C17" s="2554"/>
      <c r="D17" s="2553">
        <v>21536</v>
      </c>
      <c r="E17" s="2553"/>
      <c r="F17" s="2553">
        <v>29065</v>
      </c>
      <c r="G17" s="2553"/>
      <c r="H17" s="2553">
        <v>36958</v>
      </c>
      <c r="I17" s="2553"/>
      <c r="J17" s="2556">
        <v>43244</v>
      </c>
      <c r="K17" s="2553"/>
      <c r="L17" s="2553">
        <v>39236</v>
      </c>
      <c r="M17" s="2550"/>
      <c r="N17" s="2553">
        <v>61405</v>
      </c>
      <c r="O17" s="2553"/>
      <c r="P17" s="2553">
        <v>72339</v>
      </c>
      <c r="Q17" s="2553"/>
      <c r="R17" s="2553">
        <v>46783</v>
      </c>
      <c r="S17" s="2553"/>
      <c r="T17" s="2553"/>
      <c r="U17" s="2553"/>
      <c r="V17" s="2553"/>
      <c r="W17" s="2553"/>
      <c r="X17" s="2553"/>
      <c r="Y17" s="2553"/>
      <c r="Z17" s="2555">
        <f t="shared" si="0"/>
        <v>375427</v>
      </c>
    </row>
    <row r="18" spans="1:28" ht="15" customHeight="1">
      <c r="A18" s="1718" t="s">
        <v>503</v>
      </c>
      <c r="B18" s="2556">
        <v>0</v>
      </c>
      <c r="C18" s="2557"/>
      <c r="D18" s="2553">
        <v>0</v>
      </c>
      <c r="E18" s="2556"/>
      <c r="F18" s="2556">
        <v>0</v>
      </c>
      <c r="G18" s="2556"/>
      <c r="H18" s="2556">
        <v>0</v>
      </c>
      <c r="I18" s="2553"/>
      <c r="J18" s="2556">
        <v>0</v>
      </c>
      <c r="K18" s="2558"/>
      <c r="L18" s="2556">
        <v>0</v>
      </c>
      <c r="M18" s="2550"/>
      <c r="N18" s="2556">
        <v>0</v>
      </c>
      <c r="O18" s="2553"/>
      <c r="P18" s="2556">
        <v>0</v>
      </c>
      <c r="Q18" s="2553"/>
      <c r="R18" s="2556">
        <v>0</v>
      </c>
      <c r="S18" s="2553"/>
      <c r="T18" s="2556"/>
      <c r="U18" s="2553"/>
      <c r="V18" s="2556"/>
      <c r="W18" s="2553"/>
      <c r="X18" s="2556"/>
      <c r="Y18" s="2553"/>
      <c r="Z18" s="2555">
        <f t="shared" si="0"/>
        <v>0</v>
      </c>
    </row>
    <row r="19" spans="1:28" ht="15" customHeight="1">
      <c r="A19" s="1718" t="s">
        <v>504</v>
      </c>
      <c r="B19" s="2553">
        <v>309539056</v>
      </c>
      <c r="C19" s="2554"/>
      <c r="D19" s="2553">
        <v>374780454</v>
      </c>
      <c r="E19" s="2553"/>
      <c r="F19" s="2553">
        <v>442548585</v>
      </c>
      <c r="G19" s="2553"/>
      <c r="H19" s="2553">
        <v>419142763</v>
      </c>
      <c r="I19" s="2553"/>
      <c r="J19" s="2553">
        <v>378002909</v>
      </c>
      <c r="K19" s="2553"/>
      <c r="L19" s="2553">
        <v>367644013</v>
      </c>
      <c r="M19" s="2550"/>
      <c r="N19" s="2553">
        <v>375065884</v>
      </c>
      <c r="O19" s="2553"/>
      <c r="P19" s="2553">
        <v>400111248</v>
      </c>
      <c r="Q19" s="2553"/>
      <c r="R19" s="2553">
        <v>342575482</v>
      </c>
      <c r="S19" s="2553"/>
      <c r="T19" s="2553"/>
      <c r="U19" s="2553"/>
      <c r="V19" s="2553"/>
      <c r="W19" s="2553"/>
      <c r="X19" s="2553"/>
      <c r="Y19" s="2553"/>
      <c r="Z19" s="2555">
        <f t="shared" si="0"/>
        <v>3409410394</v>
      </c>
    </row>
    <row r="20" spans="1:28" ht="15" customHeight="1">
      <c r="A20" s="1718" t="s">
        <v>505</v>
      </c>
      <c r="B20" s="2559">
        <v>581000</v>
      </c>
      <c r="C20" s="2557"/>
      <c r="D20" s="2553">
        <v>83000</v>
      </c>
      <c r="E20" s="2553"/>
      <c r="F20" s="2559">
        <v>1495000</v>
      </c>
      <c r="G20" s="2553"/>
      <c r="H20" s="2559">
        <v>478000</v>
      </c>
      <c r="I20" s="2553"/>
      <c r="J20" s="2553">
        <v>68000</v>
      </c>
      <c r="K20" s="2560"/>
      <c r="L20" s="2553">
        <v>1231000</v>
      </c>
      <c r="M20" s="2550"/>
      <c r="N20" s="2553">
        <v>316000</v>
      </c>
      <c r="O20" s="2553"/>
      <c r="P20" s="2561">
        <v>30000</v>
      </c>
      <c r="Q20" s="2553"/>
      <c r="R20" s="2561">
        <v>5447000</v>
      </c>
      <c r="S20" s="2553"/>
      <c r="T20" s="2559"/>
      <c r="U20" s="2553"/>
      <c r="V20" s="2556"/>
      <c r="W20" s="2556"/>
      <c r="X20" s="2559"/>
      <c r="Y20" s="2553"/>
      <c r="Z20" s="2555">
        <f t="shared" si="0"/>
        <v>9729000</v>
      </c>
    </row>
    <row r="21" spans="1:28" ht="15" customHeight="1">
      <c r="A21" s="1718" t="s">
        <v>506</v>
      </c>
      <c r="B21" s="2559">
        <v>3396937</v>
      </c>
      <c r="C21" s="2557"/>
      <c r="D21" s="2553">
        <v>0</v>
      </c>
      <c r="E21" s="2553"/>
      <c r="F21" s="2559">
        <v>967527</v>
      </c>
      <c r="G21" s="2553"/>
      <c r="H21" s="2556">
        <v>15598038</v>
      </c>
      <c r="I21" s="2553"/>
      <c r="J21" s="2556">
        <v>350258</v>
      </c>
      <c r="K21" s="2560"/>
      <c r="L21" s="2556">
        <v>2865005</v>
      </c>
      <c r="M21" s="2550"/>
      <c r="N21" s="2556">
        <v>2787549</v>
      </c>
      <c r="O21" s="2553"/>
      <c r="P21" s="2553">
        <v>379860</v>
      </c>
      <c r="Q21" s="2553"/>
      <c r="R21" s="2553">
        <v>6983644</v>
      </c>
      <c r="S21" s="2553"/>
      <c r="T21" s="2556"/>
      <c r="U21" s="2553"/>
      <c r="V21" s="2556"/>
      <c r="W21" s="2556"/>
      <c r="X21" s="2559"/>
      <c r="Y21" s="2553"/>
      <c r="Z21" s="2555">
        <f t="shared" si="0"/>
        <v>33328818</v>
      </c>
    </row>
    <row r="22" spans="1:28" ht="15" customHeight="1">
      <c r="A22" s="1718" t="s">
        <v>507</v>
      </c>
      <c r="B22" s="2559">
        <v>0</v>
      </c>
      <c r="C22" s="2557"/>
      <c r="D22" s="2553">
        <v>0</v>
      </c>
      <c r="E22" s="2553"/>
      <c r="F22" s="2559">
        <v>0</v>
      </c>
      <c r="G22" s="2553"/>
      <c r="H22" s="2559">
        <v>0</v>
      </c>
      <c r="I22" s="2553"/>
      <c r="J22" s="2553">
        <v>0</v>
      </c>
      <c r="K22" s="2560"/>
      <c r="L22" s="2553">
        <v>0</v>
      </c>
      <c r="M22" s="2550"/>
      <c r="N22" s="2553">
        <v>0</v>
      </c>
      <c r="O22" s="2553"/>
      <c r="P22" s="2553">
        <v>0</v>
      </c>
      <c r="Q22" s="2553"/>
      <c r="R22" s="2553">
        <v>0</v>
      </c>
      <c r="S22" s="2553"/>
      <c r="T22" s="2556"/>
      <c r="U22" s="2553"/>
      <c r="V22" s="2559"/>
      <c r="W22" s="2556"/>
      <c r="X22" s="2556"/>
      <c r="Y22" s="2553"/>
      <c r="Z22" s="2555">
        <f t="shared" si="0"/>
        <v>0</v>
      </c>
    </row>
    <row r="23" spans="1:28" ht="15" customHeight="1">
      <c r="A23" s="1718" t="s">
        <v>508</v>
      </c>
      <c r="B23" s="2556">
        <v>65000</v>
      </c>
      <c r="C23" s="2562"/>
      <c r="D23" s="2553">
        <v>0</v>
      </c>
      <c r="E23" s="2553"/>
      <c r="F23" s="2556">
        <v>0</v>
      </c>
      <c r="G23" s="2553"/>
      <c r="H23" s="2553">
        <v>247000</v>
      </c>
      <c r="I23" s="2553"/>
      <c r="J23" s="2556">
        <v>0</v>
      </c>
      <c r="K23" s="2553"/>
      <c r="L23" s="2560">
        <v>78055</v>
      </c>
      <c r="M23" s="2550"/>
      <c r="N23" s="2556">
        <v>2307000</v>
      </c>
      <c r="O23" s="2553"/>
      <c r="P23" s="2556">
        <v>12680</v>
      </c>
      <c r="Q23" s="2553"/>
      <c r="R23" s="2556">
        <v>434000</v>
      </c>
      <c r="S23" s="2553"/>
      <c r="T23" s="2556"/>
      <c r="U23" s="2553"/>
      <c r="V23" s="2559"/>
      <c r="W23" s="2553"/>
      <c r="X23" s="2560"/>
      <c r="Y23" s="2553"/>
      <c r="Z23" s="2555">
        <f t="shared" si="0"/>
        <v>3143735</v>
      </c>
    </row>
    <row r="24" spans="1:28" s="965" customFormat="1" ht="22.5" customHeight="1">
      <c r="A24" s="966" t="s">
        <v>156</v>
      </c>
      <c r="B24" s="967">
        <f>ROUND(SUM(B15:B23),0)</f>
        <v>400352953</v>
      </c>
      <c r="C24" s="968"/>
      <c r="D24" s="967">
        <f>ROUND(SUM(D15:D23),0)</f>
        <v>450353166</v>
      </c>
      <c r="E24" s="969"/>
      <c r="F24" s="967">
        <f>ROUND(SUM(F15:F23),0)</f>
        <v>537979507</v>
      </c>
      <c r="G24" s="969"/>
      <c r="H24" s="967">
        <f>ROUND(SUM(H15:H23),0)</f>
        <v>524961192</v>
      </c>
      <c r="I24" s="969"/>
      <c r="J24" s="967">
        <f>ROUND(SUM(J15:J23),0)</f>
        <v>458053845</v>
      </c>
      <c r="K24" s="971"/>
      <c r="L24" s="967">
        <f>ROUND(SUM(L15:L23),0)</f>
        <v>460775014</v>
      </c>
      <c r="M24" s="964"/>
      <c r="N24" s="967">
        <f>ROUND(SUM(N15:N23),0)</f>
        <v>464716000</v>
      </c>
      <c r="O24" s="969"/>
      <c r="P24" s="967">
        <f>ROUND(SUM(P15:P23),0)</f>
        <v>474376878</v>
      </c>
      <c r="Q24" s="969"/>
      <c r="R24" s="967">
        <f>ROUND(SUM(R15:R23),0)</f>
        <v>442049931</v>
      </c>
      <c r="S24" s="969"/>
      <c r="T24" s="967">
        <f>ROUND(SUM(T15:T23),0)</f>
        <v>0</v>
      </c>
      <c r="U24" s="969"/>
      <c r="V24" s="967">
        <f>ROUND(SUM(V15:V23),0)</f>
        <v>0</v>
      </c>
      <c r="W24" s="969"/>
      <c r="X24" s="967">
        <f>ROUND(SUM(X15:X23),0)</f>
        <v>0</v>
      </c>
      <c r="Y24" s="969"/>
      <c r="Z24" s="967">
        <f>ROUND(SUM(Z15:Z23),0)</f>
        <v>4213618486</v>
      </c>
      <c r="AB24" s="769"/>
    </row>
    <row r="25" spans="1:28" ht="15" customHeight="1">
      <c r="A25" s="2549"/>
      <c r="B25" s="2553"/>
      <c r="C25" s="2554"/>
      <c r="D25" s="2553"/>
      <c r="E25" s="2553"/>
      <c r="F25" s="2553"/>
      <c r="G25" s="2553"/>
      <c r="H25" s="2553"/>
      <c r="I25" s="2553"/>
      <c r="J25" s="2553"/>
      <c r="K25" s="2553"/>
      <c r="L25" s="2553"/>
      <c r="M25" s="2550"/>
      <c r="N25" s="2553"/>
      <c r="O25" s="2553"/>
      <c r="P25" s="2553"/>
      <c r="Q25" s="2553"/>
      <c r="R25" s="2553"/>
      <c r="S25" s="2553"/>
      <c r="T25" s="2553"/>
      <c r="U25" s="2553"/>
      <c r="V25" s="2553"/>
      <c r="W25" s="2553"/>
      <c r="X25" s="2553"/>
      <c r="Y25" s="2553"/>
      <c r="Z25" s="2563"/>
    </row>
    <row r="26" spans="1:28" ht="15" customHeight="1">
      <c r="A26" s="966" t="s">
        <v>24</v>
      </c>
      <c r="B26" s="2553"/>
      <c r="C26" s="2554"/>
      <c r="D26" s="2553"/>
      <c r="E26" s="2553"/>
      <c r="F26" s="2553"/>
      <c r="G26" s="2553"/>
      <c r="H26" s="2553"/>
      <c r="I26" s="2553"/>
      <c r="J26" s="2553"/>
      <c r="K26" s="2553"/>
      <c r="L26" s="2553"/>
      <c r="M26" s="2550"/>
      <c r="N26" s="2553"/>
      <c r="O26" s="2553"/>
      <c r="P26" s="2553"/>
      <c r="Q26" s="2553"/>
      <c r="R26" s="2553"/>
      <c r="S26" s="2553"/>
      <c r="T26" s="2553"/>
      <c r="U26" s="2553"/>
      <c r="V26" s="2553"/>
      <c r="W26" s="2553"/>
      <c r="X26" s="2553"/>
      <c r="Y26" s="2553"/>
      <c r="Z26" s="2563"/>
    </row>
    <row r="27" spans="1:28" ht="15" customHeight="1">
      <c r="A27" s="1719" t="s">
        <v>509</v>
      </c>
      <c r="B27" s="2564">
        <v>353036557</v>
      </c>
      <c r="C27" s="2565"/>
      <c r="D27" s="2553">
        <v>348765808</v>
      </c>
      <c r="E27" s="2564"/>
      <c r="F27" s="2564">
        <v>440699008</v>
      </c>
      <c r="G27" s="2564"/>
      <c r="H27" s="2564">
        <v>589058681</v>
      </c>
      <c r="I27" s="2564"/>
      <c r="J27" s="2564">
        <v>466500636</v>
      </c>
      <c r="K27" s="2564"/>
      <c r="L27" s="2564">
        <v>491414030</v>
      </c>
      <c r="M27" s="2566"/>
      <c r="N27" s="2564">
        <v>457923227</v>
      </c>
      <c r="O27" s="2564"/>
      <c r="P27" s="2564">
        <v>474044679</v>
      </c>
      <c r="Q27" s="2564"/>
      <c r="R27" s="2564">
        <v>363139255</v>
      </c>
      <c r="S27" s="2564"/>
      <c r="T27" s="2564"/>
      <c r="U27" s="2564"/>
      <c r="V27" s="2564"/>
      <c r="W27" s="2564"/>
      <c r="X27" s="2564"/>
      <c r="Y27" s="2564"/>
      <c r="Z27" s="2555">
        <f>ROUND(SUM(B27:X27),0)</f>
        <v>3984581881</v>
      </c>
    </row>
    <row r="28" spans="1:28" ht="15" customHeight="1">
      <c r="A28" s="1719" t="s">
        <v>510</v>
      </c>
      <c r="B28" s="2564">
        <v>0</v>
      </c>
      <c r="C28" s="2565"/>
      <c r="D28" s="2553">
        <v>2</v>
      </c>
      <c r="E28" s="2564"/>
      <c r="F28" s="2564">
        <v>63</v>
      </c>
      <c r="G28" s="2564"/>
      <c r="H28" s="2564">
        <v>24</v>
      </c>
      <c r="I28" s="2564"/>
      <c r="J28" s="2564">
        <v>26</v>
      </c>
      <c r="K28" s="2564"/>
      <c r="L28" s="2564">
        <v>535</v>
      </c>
      <c r="M28" s="2566"/>
      <c r="N28" s="2567">
        <v>0</v>
      </c>
      <c r="O28" s="2564"/>
      <c r="P28" s="2568">
        <v>189</v>
      </c>
      <c r="Q28" s="2564"/>
      <c r="R28" s="2564">
        <v>1399</v>
      </c>
      <c r="S28" s="2564"/>
      <c r="T28" s="2567"/>
      <c r="U28" s="2564"/>
      <c r="V28" s="2564"/>
      <c r="W28" s="2564"/>
      <c r="X28" s="2569"/>
      <c r="Y28" s="2564"/>
      <c r="Z28" s="2555">
        <f>ROUND(SUM(B28:X28),0)</f>
        <v>2238</v>
      </c>
      <c r="AB28" s="770"/>
    </row>
    <row r="29" spans="1:28" ht="15" customHeight="1">
      <c r="A29" s="1719" t="s">
        <v>511</v>
      </c>
      <c r="B29" s="2564">
        <v>833823</v>
      </c>
      <c r="C29" s="2565"/>
      <c r="D29" s="2553">
        <v>398373</v>
      </c>
      <c r="E29" s="2564"/>
      <c r="F29" s="2564">
        <v>537119</v>
      </c>
      <c r="G29" s="2564"/>
      <c r="H29" s="2564">
        <v>983435</v>
      </c>
      <c r="I29" s="2564"/>
      <c r="J29" s="2564">
        <v>507338</v>
      </c>
      <c r="K29" s="2564"/>
      <c r="L29" s="2564">
        <v>762861</v>
      </c>
      <c r="M29" s="2566"/>
      <c r="N29" s="2567">
        <v>911316</v>
      </c>
      <c r="O29" s="2564"/>
      <c r="P29" s="2568">
        <v>924203</v>
      </c>
      <c r="Q29" s="2564"/>
      <c r="R29" s="2564">
        <v>1176399</v>
      </c>
      <c r="S29" s="2564"/>
      <c r="T29" s="2564"/>
      <c r="U29" s="2564"/>
      <c r="V29" s="2564"/>
      <c r="W29" s="2564"/>
      <c r="X29" s="2564"/>
      <c r="Y29" s="2564"/>
      <c r="Z29" s="2555">
        <f>ROUND(SUM(B29:X29),0)</f>
        <v>7034867</v>
      </c>
    </row>
    <row r="30" spans="1:28" ht="15" customHeight="1">
      <c r="A30" s="1719" t="s">
        <v>512</v>
      </c>
      <c r="B30" s="2564">
        <v>1889246</v>
      </c>
      <c r="C30" s="2565"/>
      <c r="D30" s="2553">
        <v>581716</v>
      </c>
      <c r="E30" s="2564"/>
      <c r="F30" s="2569">
        <v>1869148</v>
      </c>
      <c r="G30" s="2564"/>
      <c r="H30" s="2564">
        <v>1912548</v>
      </c>
      <c r="I30" s="2564"/>
      <c r="J30" s="2564">
        <v>1251618</v>
      </c>
      <c r="K30" s="2564"/>
      <c r="L30" s="2564">
        <v>2260342</v>
      </c>
      <c r="M30" s="2566"/>
      <c r="N30" s="2567">
        <v>534662</v>
      </c>
      <c r="O30" s="2564"/>
      <c r="P30" s="2568">
        <v>1167619</v>
      </c>
      <c r="Q30" s="2564"/>
      <c r="R30" s="2564">
        <v>1485265</v>
      </c>
      <c r="S30" s="2564"/>
      <c r="T30" s="2564"/>
      <c r="U30" s="2564"/>
      <c r="V30" s="2564"/>
      <c r="W30" s="2564"/>
      <c r="X30" s="2564"/>
      <c r="Y30" s="2564"/>
      <c r="Z30" s="2555">
        <f>ROUND(SUM(B30:X30),0)</f>
        <v>12952164</v>
      </c>
    </row>
    <row r="31" spans="1:28" ht="15" customHeight="1">
      <c r="A31" s="1719" t="s">
        <v>513</v>
      </c>
      <c r="B31" s="2570">
        <v>1253638</v>
      </c>
      <c r="C31" s="2565"/>
      <c r="D31" s="2553">
        <v>489467</v>
      </c>
      <c r="E31" s="2564"/>
      <c r="F31" s="2571">
        <v>36335</v>
      </c>
      <c r="G31" s="2564"/>
      <c r="H31" s="2570">
        <v>424566</v>
      </c>
      <c r="I31" s="2564"/>
      <c r="J31" s="2564">
        <v>321335</v>
      </c>
      <c r="K31" s="2564"/>
      <c r="L31" s="2564">
        <v>208858</v>
      </c>
      <c r="M31" s="2566"/>
      <c r="N31" s="2570">
        <v>0</v>
      </c>
      <c r="O31" s="2564"/>
      <c r="P31" s="2564">
        <v>892254</v>
      </c>
      <c r="Q31" s="2564"/>
      <c r="R31" s="2569">
        <v>282592</v>
      </c>
      <c r="S31" s="2564"/>
      <c r="T31" s="2571"/>
      <c r="U31" s="2564"/>
      <c r="V31" s="2571"/>
      <c r="W31" s="2564"/>
      <c r="X31" s="2569"/>
      <c r="Y31" s="2564"/>
      <c r="Z31" s="2555">
        <f>ROUND(SUM(B31:X31),0)</f>
        <v>3909045</v>
      </c>
    </row>
    <row r="32" spans="1:28" ht="22.5" customHeight="1">
      <c r="A32" s="972" t="s">
        <v>162</v>
      </c>
      <c r="B32" s="970">
        <f>ROUND(SUM(B27:B31),0)</f>
        <v>357013264</v>
      </c>
      <c r="C32" s="2565"/>
      <c r="D32" s="970">
        <f>ROUND(SUM(D27:D31),0)</f>
        <v>350235366</v>
      </c>
      <c r="E32" s="2564"/>
      <c r="F32" s="970">
        <f>ROUND(SUM(F27:F31),0)</f>
        <v>443141673</v>
      </c>
      <c r="G32" s="2564"/>
      <c r="H32" s="970">
        <f>ROUND(SUM(H27:H31),0)</f>
        <v>592379254</v>
      </c>
      <c r="I32" s="2564"/>
      <c r="J32" s="970">
        <f>ROUND(SUM(J27:J31),0)</f>
        <v>468580953</v>
      </c>
      <c r="K32" s="2564"/>
      <c r="L32" s="970">
        <f>ROUND(SUM(L27:L31),0)</f>
        <v>494646626</v>
      </c>
      <c r="M32" s="2566"/>
      <c r="N32" s="970">
        <f>ROUND(SUM(N27:N31),0)</f>
        <v>459369205</v>
      </c>
      <c r="O32" s="2564"/>
      <c r="P32" s="970">
        <f>ROUND(SUM(P27:P31),0)</f>
        <v>477028944</v>
      </c>
      <c r="Q32" s="2564"/>
      <c r="R32" s="970">
        <f>ROUND(SUM(R27:R31),0)</f>
        <v>366084910</v>
      </c>
      <c r="S32" s="2564"/>
      <c r="T32" s="970">
        <f>ROUND(SUM(T27:T31),0)</f>
        <v>0</v>
      </c>
      <c r="U32" s="2564"/>
      <c r="V32" s="970">
        <f>ROUND(SUM(V27:V31),0)</f>
        <v>0</v>
      </c>
      <c r="W32" s="2564"/>
      <c r="X32" s="970">
        <f>ROUND(SUM(X27:X31),0)</f>
        <v>0</v>
      </c>
      <c r="Y32" s="2564"/>
      <c r="Z32" s="970">
        <f>ROUND(SUM(Z27:Z31),0)</f>
        <v>4008480195</v>
      </c>
    </row>
    <row r="33" spans="1:28" ht="15" customHeight="1">
      <c r="A33" s="972"/>
      <c r="B33" s="2564"/>
      <c r="C33" s="2565"/>
      <c r="D33" s="2564"/>
      <c r="E33" s="2564"/>
      <c r="F33" s="2570"/>
      <c r="G33" s="2564"/>
      <c r="H33" s="2570"/>
      <c r="I33" s="2564"/>
      <c r="J33" s="2564"/>
      <c r="K33" s="2564"/>
      <c r="L33" s="2569"/>
      <c r="M33" s="2566"/>
      <c r="N33" s="2569"/>
      <c r="O33" s="2564"/>
      <c r="P33" s="2568"/>
      <c r="Q33" s="2564"/>
      <c r="R33" s="2570"/>
      <c r="S33" s="2564"/>
      <c r="T33" s="2570"/>
      <c r="U33" s="2564"/>
      <c r="V33" s="2565"/>
      <c r="W33" s="2564"/>
      <c r="X33" s="2570"/>
      <c r="Y33" s="2564"/>
      <c r="Z33" s="2555"/>
    </row>
    <row r="34" spans="1:28" ht="15" customHeight="1">
      <c r="A34" s="973" t="s">
        <v>514</v>
      </c>
      <c r="B34" s="2570"/>
      <c r="C34" s="2572"/>
      <c r="D34" s="2570"/>
      <c r="E34" s="2564"/>
      <c r="F34" s="2569"/>
      <c r="G34" s="2564"/>
      <c r="H34" s="2570"/>
      <c r="I34" s="2564"/>
      <c r="J34" s="2570"/>
      <c r="K34" s="2564"/>
      <c r="L34" s="2570"/>
      <c r="M34" s="2566"/>
      <c r="N34" s="2570"/>
      <c r="O34" s="2564"/>
      <c r="P34" s="2568"/>
      <c r="Q34" s="2564"/>
      <c r="R34" s="2570"/>
      <c r="S34" s="2564"/>
      <c r="T34" s="2570"/>
      <c r="U34" s="2564"/>
      <c r="V34" s="2569"/>
      <c r="W34" s="2564"/>
      <c r="X34" s="2569"/>
      <c r="Y34" s="2564"/>
      <c r="Z34" s="2555"/>
    </row>
    <row r="35" spans="1:28" ht="15" customHeight="1">
      <c r="A35" s="1719" t="s">
        <v>515</v>
      </c>
      <c r="B35" s="2570">
        <v>0</v>
      </c>
      <c r="C35" s="2572"/>
      <c r="D35" s="2553">
        <v>0</v>
      </c>
      <c r="E35" s="2564"/>
      <c r="F35" s="2570">
        <v>0</v>
      </c>
      <c r="G35" s="2564"/>
      <c r="H35" s="2570">
        <v>0</v>
      </c>
      <c r="I35" s="2564"/>
      <c r="J35" s="2570">
        <v>0</v>
      </c>
      <c r="K35" s="2564"/>
      <c r="L35" s="2570">
        <v>0</v>
      </c>
      <c r="M35" s="2566"/>
      <c r="N35" s="2569">
        <v>0</v>
      </c>
      <c r="O35" s="2564"/>
      <c r="P35" s="2570">
        <v>0</v>
      </c>
      <c r="Q35" s="2564"/>
      <c r="R35" s="2571">
        <v>0</v>
      </c>
      <c r="S35" s="2564"/>
      <c r="T35" s="2571"/>
      <c r="U35" s="2564"/>
      <c r="V35" s="2571"/>
      <c r="W35" s="2564"/>
      <c r="X35" s="2571"/>
      <c r="Y35" s="2564"/>
      <c r="Z35" s="2555">
        <f t="shared" ref="Z35:Z41" si="1">ROUND(SUM(B35:X35),0)</f>
        <v>0</v>
      </c>
    </row>
    <row r="36" spans="1:28" ht="15" customHeight="1">
      <c r="A36" s="1719" t="s">
        <v>516</v>
      </c>
      <c r="B36" s="2570">
        <v>0</v>
      </c>
      <c r="C36" s="2572"/>
      <c r="D36" s="2553">
        <v>0</v>
      </c>
      <c r="E36" s="2564"/>
      <c r="F36" s="2570">
        <v>0</v>
      </c>
      <c r="G36" s="2564"/>
      <c r="H36" s="2570">
        <v>0</v>
      </c>
      <c r="I36" s="2564"/>
      <c r="J36" s="2570">
        <v>0</v>
      </c>
      <c r="K36" s="2564"/>
      <c r="L36" s="2570">
        <v>0</v>
      </c>
      <c r="M36" s="2566"/>
      <c r="N36" s="2570">
        <v>0</v>
      </c>
      <c r="O36" s="2564"/>
      <c r="P36" s="2570">
        <v>0</v>
      </c>
      <c r="Q36" s="2564"/>
      <c r="R36" s="2570">
        <v>0</v>
      </c>
      <c r="S36" s="2564"/>
      <c r="T36" s="2556"/>
      <c r="U36" s="2564"/>
      <c r="V36" s="2556"/>
      <c r="W36" s="2564"/>
      <c r="X36" s="2570"/>
      <c r="Y36" s="2564"/>
      <c r="Z36" s="2555">
        <f t="shared" si="1"/>
        <v>0</v>
      </c>
    </row>
    <row r="37" spans="1:28" ht="15" customHeight="1">
      <c r="A37" s="1719" t="s">
        <v>150</v>
      </c>
      <c r="B37" s="2570">
        <v>0</v>
      </c>
      <c r="C37" s="2572"/>
      <c r="D37" s="2553">
        <v>0</v>
      </c>
      <c r="E37" s="2564"/>
      <c r="F37" s="2570">
        <v>0</v>
      </c>
      <c r="G37" s="2564"/>
      <c r="H37" s="2570">
        <v>0</v>
      </c>
      <c r="I37" s="2564"/>
      <c r="J37" s="2571">
        <v>1306200</v>
      </c>
      <c r="K37" s="2564"/>
      <c r="L37" s="2569">
        <v>10237119</v>
      </c>
      <c r="M37" s="2566"/>
      <c r="N37" s="2570">
        <v>0</v>
      </c>
      <c r="O37" s="2564"/>
      <c r="P37" s="2570">
        <v>0</v>
      </c>
      <c r="Q37" s="2564"/>
      <c r="R37" s="2570">
        <v>0</v>
      </c>
      <c r="S37" s="2564"/>
      <c r="T37" s="2556"/>
      <c r="U37" s="2564"/>
      <c r="V37" s="2571"/>
      <c r="W37" s="2564"/>
      <c r="X37" s="2571"/>
      <c r="Y37" s="2564"/>
      <c r="Z37" s="2555">
        <f t="shared" si="1"/>
        <v>11543319</v>
      </c>
    </row>
    <row r="38" spans="1:28" ht="13.5" customHeight="1">
      <c r="A38" s="1719" t="s">
        <v>517</v>
      </c>
      <c r="B38" s="974"/>
      <c r="C38" s="974"/>
      <c r="D38" s="2553"/>
      <c r="E38" s="974"/>
      <c r="F38" s="974"/>
      <c r="G38" s="974"/>
      <c r="H38" s="974"/>
      <c r="I38" s="974"/>
      <c r="J38" s="974"/>
      <c r="K38" s="974"/>
      <c r="L38" s="974"/>
      <c r="M38" s="2566"/>
      <c r="N38" s="974"/>
      <c r="O38" s="974"/>
      <c r="P38" s="974"/>
      <c r="Q38" s="974"/>
      <c r="R38" s="974"/>
      <c r="S38" s="974"/>
      <c r="T38" s="974"/>
      <c r="U38" s="974"/>
      <c r="V38" s="974"/>
      <c r="W38" s="974"/>
      <c r="X38" s="974"/>
      <c r="Y38" s="974"/>
      <c r="Z38" s="2555"/>
    </row>
    <row r="39" spans="1:28" ht="13.5" customHeight="1">
      <c r="A39" s="1719" t="s">
        <v>518</v>
      </c>
      <c r="B39" s="2570">
        <v>0</v>
      </c>
      <c r="C39" s="2572"/>
      <c r="D39" s="2553">
        <v>0</v>
      </c>
      <c r="E39" s="2564"/>
      <c r="F39" s="2570">
        <v>0</v>
      </c>
      <c r="G39" s="2564"/>
      <c r="H39" s="2570">
        <v>0</v>
      </c>
      <c r="I39" s="2564"/>
      <c r="J39" s="2570">
        <v>0</v>
      </c>
      <c r="K39" s="2564"/>
      <c r="L39" s="2570">
        <v>0</v>
      </c>
      <c r="M39" s="2566"/>
      <c r="N39" s="2570">
        <v>0</v>
      </c>
      <c r="O39" s="2564"/>
      <c r="P39" s="2570">
        <v>0</v>
      </c>
      <c r="Q39" s="2564"/>
      <c r="R39" s="2570">
        <v>231397</v>
      </c>
      <c r="S39" s="2564"/>
      <c r="T39" s="2556"/>
      <c r="U39" s="2564"/>
      <c r="V39" s="2556"/>
      <c r="W39" s="2564"/>
      <c r="X39" s="2571"/>
      <c r="Y39" s="2564"/>
      <c r="Z39" s="2555">
        <f t="shared" si="1"/>
        <v>231397</v>
      </c>
    </row>
    <row r="40" spans="1:28" ht="13.5" customHeight="1">
      <c r="A40" s="1719" t="s">
        <v>519</v>
      </c>
      <c r="B40" s="2570">
        <v>15148000</v>
      </c>
      <c r="C40" s="2572"/>
      <c r="D40" s="2553">
        <v>0</v>
      </c>
      <c r="E40" s="2564"/>
      <c r="F40" s="2570">
        <v>0</v>
      </c>
      <c r="G40" s="2564"/>
      <c r="H40" s="2564">
        <v>0</v>
      </c>
      <c r="I40" s="2564"/>
      <c r="J40" s="2570">
        <v>0</v>
      </c>
      <c r="K40" s="2564"/>
      <c r="L40" s="2570">
        <v>7574000</v>
      </c>
      <c r="M40" s="2566"/>
      <c r="N40" s="2569">
        <v>0</v>
      </c>
      <c r="O40" s="2564"/>
      <c r="P40" s="2570">
        <v>0</v>
      </c>
      <c r="Q40" s="2564"/>
      <c r="R40" s="2570">
        <v>0</v>
      </c>
      <c r="S40" s="2564"/>
      <c r="T40" s="2556"/>
      <c r="U40" s="2564"/>
      <c r="V40" s="2556"/>
      <c r="W40" s="2564"/>
      <c r="X40" s="2571"/>
      <c r="Y40" s="2564"/>
      <c r="Z40" s="2555">
        <f t="shared" si="1"/>
        <v>22722000</v>
      </c>
    </row>
    <row r="41" spans="1:28" ht="15" customHeight="1">
      <c r="A41" s="1719" t="s">
        <v>520</v>
      </c>
      <c r="B41" s="2571">
        <v>678910</v>
      </c>
      <c r="C41" s="2572"/>
      <c r="D41" s="2553">
        <v>741607</v>
      </c>
      <c r="E41" s="2564"/>
      <c r="F41" s="2571">
        <v>1121585</v>
      </c>
      <c r="G41" s="2564"/>
      <c r="H41" s="2571">
        <v>356558</v>
      </c>
      <c r="I41" s="2564"/>
      <c r="J41" s="2571">
        <v>1506921</v>
      </c>
      <c r="K41" s="2564"/>
      <c r="L41" s="2571">
        <v>678013</v>
      </c>
      <c r="M41" s="2566"/>
      <c r="N41" s="2569">
        <v>527210</v>
      </c>
      <c r="O41" s="2564"/>
      <c r="P41" s="2569">
        <v>608183</v>
      </c>
      <c r="Q41" s="2564"/>
      <c r="R41" s="2569">
        <v>656718</v>
      </c>
      <c r="S41" s="2564"/>
      <c r="T41" s="2569"/>
      <c r="U41" s="2564"/>
      <c r="V41" s="2571"/>
      <c r="W41" s="2564"/>
      <c r="X41" s="2571"/>
      <c r="Y41" s="2564"/>
      <c r="Z41" s="2555">
        <f t="shared" si="1"/>
        <v>6875705</v>
      </c>
    </row>
    <row r="42" spans="1:28" ht="22.5" customHeight="1">
      <c r="A42" s="966" t="s">
        <v>521</v>
      </c>
      <c r="B42" s="975">
        <f>ROUND(SUM(B35:B41),0)</f>
        <v>15826910</v>
      </c>
      <c r="C42" s="2557"/>
      <c r="D42" s="975">
        <f>ROUND(SUM(D35:D41),0)</f>
        <v>741607</v>
      </c>
      <c r="E42" s="2553"/>
      <c r="F42" s="975">
        <f>ROUND(SUM(F35:F41),0)</f>
        <v>1121585</v>
      </c>
      <c r="G42" s="2553"/>
      <c r="H42" s="975">
        <f>ROUND(SUM(H35:H41),0)</f>
        <v>356558</v>
      </c>
      <c r="I42" s="2553"/>
      <c r="J42" s="975">
        <f>ROUND(SUM(J35:J41),0)</f>
        <v>2813121</v>
      </c>
      <c r="K42" s="2553"/>
      <c r="L42" s="975">
        <f>ROUND(SUM(L35:L41),0)</f>
        <v>18489132</v>
      </c>
      <c r="M42" s="2550"/>
      <c r="N42" s="975">
        <f>ROUND(SUM(N35:N41),0)</f>
        <v>527210</v>
      </c>
      <c r="O42" s="2553"/>
      <c r="P42" s="975">
        <f>ROUND(SUM(P35:P41),0)</f>
        <v>608183</v>
      </c>
      <c r="Q42" s="2553"/>
      <c r="R42" s="975">
        <f>ROUND(SUM(R35:R41),0)</f>
        <v>888115</v>
      </c>
      <c r="S42" s="2553"/>
      <c r="T42" s="975">
        <f>ROUND(SUM(T35:T41),0)</f>
        <v>0</v>
      </c>
      <c r="U42" s="2553"/>
      <c r="V42" s="975">
        <f>ROUND(SUM(V35:V41),0)</f>
        <v>0</v>
      </c>
      <c r="W42" s="2553"/>
      <c r="X42" s="975">
        <f>ROUND(SUM(X35:X41),0)</f>
        <v>0</v>
      </c>
      <c r="Y42" s="2553"/>
      <c r="Z42" s="975">
        <f>ROUND(SUM(Z35:Z41),0)</f>
        <v>41372421</v>
      </c>
    </row>
    <row r="43" spans="1:28" ht="15" customHeight="1">
      <c r="B43" s="2573"/>
      <c r="C43" s="2557"/>
      <c r="D43" s="2573"/>
      <c r="E43" s="2553"/>
      <c r="F43" s="2574"/>
      <c r="G43" s="2553"/>
      <c r="H43" s="2573"/>
      <c r="I43" s="2553"/>
      <c r="J43" s="2573"/>
      <c r="K43" s="2553"/>
      <c r="L43" s="2573"/>
      <c r="M43" s="2550"/>
      <c r="N43" s="2573"/>
      <c r="O43" s="2553"/>
      <c r="P43" s="2575"/>
      <c r="Q43" s="2553"/>
      <c r="R43" s="2573"/>
      <c r="S43" s="2553"/>
      <c r="T43" s="2573"/>
      <c r="U43" s="2553"/>
      <c r="V43" s="2574"/>
      <c r="W43" s="2553"/>
      <c r="X43" s="2576"/>
      <c r="Y43" s="2553"/>
      <c r="Z43" s="2577"/>
    </row>
    <row r="44" spans="1:28" s="965" customFormat="1" ht="20.25" customHeight="1">
      <c r="A44" s="966" t="s">
        <v>522</v>
      </c>
      <c r="B44" s="2578">
        <f>ROUND(B32+B42,0)</f>
        <v>372840174</v>
      </c>
      <c r="C44" s="968"/>
      <c r="D44" s="2578">
        <f>ROUND(D32+D42,0)</f>
        <v>350976973</v>
      </c>
      <c r="E44" s="969"/>
      <c r="F44" s="2578">
        <f>ROUND(F32+F42,0)</f>
        <v>444263258</v>
      </c>
      <c r="G44" s="969"/>
      <c r="H44" s="2578">
        <f>ROUND(H32+H42,0)</f>
        <v>592735812</v>
      </c>
      <c r="I44" s="969"/>
      <c r="J44" s="2578">
        <f>ROUND(J32+J42,0)</f>
        <v>471394074</v>
      </c>
      <c r="K44" s="968"/>
      <c r="L44" s="2578">
        <f>ROUND(L32+L42,0)</f>
        <v>513135758</v>
      </c>
      <c r="M44" s="964"/>
      <c r="N44" s="2578">
        <f>ROUND(N32+N42,0)</f>
        <v>459896415</v>
      </c>
      <c r="O44" s="969"/>
      <c r="P44" s="2578">
        <f>ROUND(P32+P42,0)</f>
        <v>477637127</v>
      </c>
      <c r="Q44" s="969"/>
      <c r="R44" s="2578">
        <f>ROUND(R32+R42,0)</f>
        <v>366973025</v>
      </c>
      <c r="S44" s="969"/>
      <c r="T44" s="2578">
        <f>ROUND(T32+T42,0)</f>
        <v>0</v>
      </c>
      <c r="U44" s="969"/>
      <c r="V44" s="2578">
        <f>ROUND(V32+V42,0)</f>
        <v>0</v>
      </c>
      <c r="W44" s="969"/>
      <c r="X44" s="2578">
        <f>ROUND(X32+X42,0)</f>
        <v>0</v>
      </c>
      <c r="Y44" s="969"/>
      <c r="Z44" s="2578">
        <f>ROUND(Z32+Z42,0)</f>
        <v>4049852616</v>
      </c>
      <c r="AB44" s="769"/>
    </row>
    <row r="45" spans="1:28" ht="15" customHeight="1">
      <c r="A45" s="2549"/>
      <c r="B45" s="2551"/>
      <c r="C45" s="2551"/>
      <c r="D45" s="2551"/>
      <c r="E45" s="2550"/>
      <c r="F45" s="2551"/>
      <c r="G45" s="2550"/>
      <c r="H45" s="2551"/>
      <c r="I45" s="2550"/>
      <c r="J45" s="2579"/>
      <c r="K45" s="2551"/>
      <c r="L45" s="2579"/>
      <c r="M45" s="2550"/>
      <c r="N45" s="2579"/>
      <c r="O45" s="2550"/>
      <c r="P45" s="2579"/>
      <c r="Q45" s="2550"/>
      <c r="R45" s="2579"/>
      <c r="S45" s="2550"/>
      <c r="T45" s="2579"/>
      <c r="U45" s="2550"/>
      <c r="V45" s="2579"/>
      <c r="W45" s="2550"/>
      <c r="X45" s="2579"/>
      <c r="Y45" s="2550"/>
      <c r="Z45" s="2580"/>
    </row>
    <row r="46" spans="1:28" s="965" customFormat="1" ht="20.25" customHeight="1" thickBot="1">
      <c r="A46" s="973" t="s">
        <v>523</v>
      </c>
      <c r="B46" s="976">
        <f>ROUND(B12+B24-B44,0)</f>
        <v>41637489</v>
      </c>
      <c r="C46" s="962"/>
      <c r="D46" s="976">
        <f>ROUND(D12+D24-D44,0)</f>
        <v>141013682</v>
      </c>
      <c r="E46" s="2548"/>
      <c r="F46" s="976">
        <f>ROUND(F12+F24-F44,0)</f>
        <v>234729931</v>
      </c>
      <c r="G46" s="2548"/>
      <c r="H46" s="976">
        <f>ROUND(H12+H24-H44,0)</f>
        <v>166955311</v>
      </c>
      <c r="I46" s="2548"/>
      <c r="J46" s="976">
        <f>ROUND(J12+J24-J44,0)</f>
        <v>153615082</v>
      </c>
      <c r="K46" s="962"/>
      <c r="L46" s="976">
        <f>ROUND(L12+L24-L44,0)</f>
        <v>101254338</v>
      </c>
      <c r="M46" s="977"/>
      <c r="N46" s="976">
        <f>ROUND(N12+N24-N44,0)</f>
        <v>106073923</v>
      </c>
      <c r="O46" s="978"/>
      <c r="P46" s="976">
        <f>ROUND(P12+P24-P44,0)</f>
        <v>102813674</v>
      </c>
      <c r="Q46" s="978"/>
      <c r="R46" s="976">
        <f>ROUND(R12+R24-R44,0)</f>
        <v>177890580</v>
      </c>
      <c r="S46" s="978"/>
      <c r="T46" s="976">
        <f>ROUND(T12+T24-T44,0)</f>
        <v>0</v>
      </c>
      <c r="U46" s="978"/>
      <c r="V46" s="976">
        <f>ROUND(V12+V24-V44,0)</f>
        <v>0</v>
      </c>
      <c r="W46" s="978"/>
      <c r="X46" s="976">
        <f>ROUND(X12+X24-X44,0)</f>
        <v>0</v>
      </c>
      <c r="Y46" s="978"/>
      <c r="Z46" s="976">
        <f>ROUND(Z12+Z24-Z44,0)</f>
        <v>177890580</v>
      </c>
    </row>
    <row r="47" spans="1:28" ht="15" customHeight="1" thickTop="1">
      <c r="A47" s="2549"/>
      <c r="B47" s="2545"/>
      <c r="C47" s="2545"/>
      <c r="D47" s="2545"/>
      <c r="E47" s="2581"/>
      <c r="F47" s="2545"/>
      <c r="G47" s="2581"/>
      <c r="H47" s="2545"/>
      <c r="I47" s="2581"/>
      <c r="J47" s="2545"/>
      <c r="K47" s="2545"/>
      <c r="L47" s="2545"/>
      <c r="M47" s="2581"/>
      <c r="N47" s="2545"/>
      <c r="O47" s="2581"/>
      <c r="P47" s="2545"/>
      <c r="Q47" s="2581"/>
      <c r="R47" s="2545"/>
      <c r="S47" s="2581"/>
      <c r="T47" s="2545"/>
      <c r="U47" s="2581"/>
      <c r="V47" s="2545"/>
      <c r="W47" s="2581"/>
      <c r="X47" s="2545"/>
      <c r="Y47" s="2581"/>
      <c r="Z47" s="2580"/>
    </row>
    <row r="48" spans="1:28" ht="20.100000000000001" customHeight="1">
      <c r="A48" s="979"/>
      <c r="B48" s="2582"/>
      <c r="C48" s="2582"/>
      <c r="D48" s="2582"/>
      <c r="E48" s="2546"/>
      <c r="F48" s="2582"/>
      <c r="G48" s="2546"/>
      <c r="H48" s="2582"/>
      <c r="I48" s="2546"/>
      <c r="J48" s="2582"/>
      <c r="K48" s="2582"/>
      <c r="L48" s="2582"/>
      <c r="M48" s="2546"/>
      <c r="N48" s="2582"/>
      <c r="O48" s="2546"/>
      <c r="P48" s="2582"/>
      <c r="Q48" s="2546"/>
      <c r="R48" s="2582"/>
      <c r="S48" s="2546"/>
      <c r="T48" s="2582"/>
      <c r="U48" s="2546"/>
      <c r="V48" s="2582"/>
      <c r="W48" s="2546"/>
      <c r="X48" s="2582"/>
      <c r="Y48" s="2546"/>
      <c r="Z48" s="2552"/>
    </row>
    <row r="50" spans="1:26" ht="18" customHeight="1">
      <c r="A50" s="980"/>
      <c r="B50" s="2540"/>
      <c r="C50" s="2540"/>
      <c r="D50" s="2540"/>
      <c r="E50" s="943"/>
      <c r="F50" s="2540"/>
      <c r="G50" s="943"/>
      <c r="H50" s="2540"/>
      <c r="I50" s="943"/>
      <c r="J50" s="2540"/>
      <c r="K50" s="2540"/>
      <c r="L50" s="2540"/>
      <c r="M50" s="2546"/>
      <c r="N50" s="2540"/>
      <c r="O50" s="943"/>
      <c r="P50" s="2540"/>
      <c r="Q50" s="943"/>
      <c r="R50" s="2540"/>
      <c r="S50" s="943"/>
      <c r="T50" s="2540"/>
      <c r="U50" s="943"/>
      <c r="V50" s="2540"/>
      <c r="W50" s="943"/>
      <c r="X50" s="2540"/>
      <c r="Y50" s="943"/>
      <c r="Z50" s="2541"/>
    </row>
    <row r="51" spans="1:26" ht="20.100000000000001" customHeight="1">
      <c r="A51" s="2543"/>
      <c r="B51" s="2582"/>
      <c r="C51" s="2582"/>
      <c r="D51" s="2582"/>
      <c r="E51" s="2546"/>
      <c r="F51" s="2582"/>
      <c r="G51" s="2546"/>
      <c r="H51" s="2582"/>
      <c r="I51" s="2546"/>
      <c r="J51" s="2582"/>
      <c r="K51" s="2582"/>
      <c r="L51" s="2582"/>
      <c r="M51" s="2546"/>
      <c r="N51" s="2582"/>
      <c r="O51" s="2546"/>
      <c r="P51" s="2582"/>
      <c r="Q51" s="2546"/>
      <c r="R51" s="2582"/>
      <c r="S51" s="2546"/>
      <c r="T51" s="2582"/>
      <c r="U51" s="2546"/>
      <c r="V51" s="2582"/>
      <c r="W51" s="2546"/>
      <c r="X51" s="2582"/>
      <c r="Y51" s="2546"/>
      <c r="Z51" s="2552"/>
    </row>
    <row r="52" spans="1:26" ht="20.100000000000001" customHeight="1">
      <c r="A52" s="2543"/>
      <c r="B52" s="2582"/>
      <c r="C52" s="2582"/>
      <c r="D52" s="2582"/>
      <c r="E52" s="2546"/>
      <c r="F52" s="2582"/>
      <c r="G52" s="2546"/>
      <c r="H52" s="2582"/>
      <c r="I52" s="2546"/>
      <c r="J52" s="2582"/>
      <c r="K52" s="2582"/>
      <c r="L52" s="2582"/>
      <c r="M52" s="2546"/>
      <c r="N52" s="2582"/>
      <c r="O52" s="2546"/>
      <c r="P52" s="2582"/>
      <c r="Q52" s="2546"/>
      <c r="R52" s="2582"/>
      <c r="S52" s="2546"/>
      <c r="T52" s="2582"/>
      <c r="U52" s="2546"/>
      <c r="V52" s="2582"/>
      <c r="W52" s="2546"/>
      <c r="X52" s="2582"/>
      <c r="Y52" s="2546"/>
      <c r="Z52" s="2552"/>
    </row>
    <row r="53" spans="1:26" ht="20.100000000000001" customHeight="1">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ht="20.100000000000001" customHeight="1">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ht="20.100000000000001" customHeight="1">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ht="20.100000000000001" customHeight="1">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ht="20.100000000000001" customHeight="1">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row r="87" spans="1:26">
      <c r="A87" s="940"/>
      <c r="B87" s="942"/>
      <c r="C87" s="942"/>
      <c r="D87" s="942"/>
      <c r="E87" s="943"/>
      <c r="F87" s="942"/>
      <c r="G87" s="943"/>
      <c r="H87" s="942"/>
      <c r="I87" s="943"/>
      <c r="J87" s="942"/>
      <c r="K87" s="942"/>
      <c r="L87" s="942"/>
      <c r="M87" s="943"/>
      <c r="N87" s="942"/>
      <c r="O87" s="943"/>
      <c r="P87" s="942"/>
      <c r="Q87" s="943"/>
      <c r="R87" s="942"/>
      <c r="S87" s="943"/>
      <c r="T87" s="942"/>
      <c r="U87" s="943"/>
      <c r="V87" s="942"/>
      <c r="W87" s="943"/>
      <c r="X87" s="942"/>
      <c r="Y87" s="943"/>
      <c r="Z87" s="771"/>
    </row>
    <row r="88" spans="1:26">
      <c r="A88" s="940"/>
      <c r="B88" s="942"/>
      <c r="C88" s="942"/>
      <c r="D88" s="942"/>
      <c r="E88" s="943"/>
      <c r="F88" s="942"/>
      <c r="G88" s="943"/>
      <c r="H88" s="942"/>
      <c r="I88" s="943"/>
      <c r="J88" s="942"/>
      <c r="K88" s="942"/>
      <c r="L88" s="942"/>
      <c r="M88" s="943"/>
      <c r="N88" s="942"/>
      <c r="O88" s="943"/>
      <c r="P88" s="942"/>
      <c r="Q88" s="943"/>
      <c r="R88" s="942"/>
      <c r="S88" s="943"/>
      <c r="T88" s="942"/>
      <c r="U88" s="943"/>
      <c r="V88" s="942"/>
      <c r="W88" s="943"/>
      <c r="X88" s="942"/>
      <c r="Y88" s="943"/>
      <c r="Z88" s="771"/>
    </row>
    <row r="89" spans="1:26">
      <c r="A89" s="940"/>
      <c r="B89" s="942"/>
      <c r="C89" s="942"/>
      <c r="D89" s="942"/>
      <c r="E89" s="943"/>
      <c r="F89" s="942"/>
      <c r="G89" s="943"/>
      <c r="H89" s="942"/>
      <c r="I89" s="943"/>
      <c r="J89" s="942"/>
      <c r="K89" s="942"/>
      <c r="L89" s="942"/>
      <c r="M89" s="943"/>
      <c r="N89" s="942"/>
      <c r="O89" s="943"/>
      <c r="P89" s="942"/>
      <c r="Q89" s="943"/>
      <c r="R89" s="942"/>
      <c r="S89" s="943"/>
      <c r="T89" s="942"/>
      <c r="U89" s="943"/>
      <c r="V89" s="942"/>
      <c r="W89" s="943"/>
      <c r="X89" s="942"/>
      <c r="Y89" s="943"/>
      <c r="Z89" s="771"/>
    </row>
    <row r="90" spans="1:26">
      <c r="A90" s="940"/>
      <c r="B90" s="942"/>
      <c r="C90" s="942"/>
      <c r="D90" s="942"/>
      <c r="E90" s="943"/>
      <c r="F90" s="942"/>
      <c r="G90" s="943"/>
      <c r="H90" s="942"/>
      <c r="I90" s="943"/>
      <c r="J90" s="942"/>
      <c r="K90" s="942"/>
      <c r="L90" s="942"/>
      <c r="M90" s="943"/>
      <c r="N90" s="942"/>
      <c r="O90" s="943"/>
      <c r="P90" s="942"/>
      <c r="Q90" s="943"/>
      <c r="R90" s="942"/>
      <c r="S90" s="943"/>
      <c r="T90" s="942"/>
      <c r="U90" s="943"/>
      <c r="V90" s="942"/>
      <c r="W90" s="943"/>
      <c r="X90" s="942"/>
      <c r="Y90" s="943"/>
      <c r="Z90" s="771"/>
    </row>
    <row r="91" spans="1:26">
      <c r="A91" s="940"/>
      <c r="B91" s="942"/>
      <c r="C91" s="942"/>
      <c r="D91" s="942"/>
      <c r="E91" s="943"/>
      <c r="F91" s="942"/>
      <c r="G91" s="943"/>
      <c r="H91" s="942"/>
      <c r="I91" s="943"/>
      <c r="J91" s="942"/>
      <c r="K91" s="942"/>
      <c r="L91" s="942"/>
      <c r="M91" s="943"/>
      <c r="N91" s="942"/>
      <c r="O91" s="943"/>
      <c r="P91" s="942"/>
      <c r="Q91" s="943"/>
      <c r="R91" s="942"/>
      <c r="S91" s="943"/>
      <c r="T91" s="942"/>
      <c r="U91" s="943"/>
      <c r="V91" s="942"/>
      <c r="W91" s="943"/>
      <c r="X91" s="942"/>
      <c r="Y91" s="943"/>
      <c r="Z91" s="771"/>
    </row>
    <row r="92" spans="1:26">
      <c r="A92" s="940"/>
      <c r="B92" s="942"/>
      <c r="C92" s="942"/>
      <c r="D92" s="942"/>
      <c r="E92" s="943"/>
      <c r="F92" s="942"/>
      <c r="G92" s="943"/>
      <c r="H92" s="942"/>
      <c r="I92" s="943"/>
      <c r="J92" s="942"/>
      <c r="K92" s="942"/>
      <c r="L92" s="942"/>
      <c r="M92" s="943"/>
      <c r="N92" s="942"/>
      <c r="O92" s="943"/>
      <c r="P92" s="942"/>
      <c r="Q92" s="943"/>
      <c r="R92" s="942"/>
      <c r="S92" s="943"/>
      <c r="T92" s="942"/>
      <c r="U92" s="943"/>
      <c r="V92" s="942"/>
      <c r="W92" s="943"/>
      <c r="X92" s="942"/>
      <c r="Y92" s="943"/>
      <c r="Z92" s="771"/>
    </row>
    <row r="93" spans="1:26">
      <c r="A93" s="940"/>
      <c r="B93" s="942"/>
      <c r="C93" s="942"/>
      <c r="D93" s="942"/>
      <c r="E93" s="943"/>
      <c r="F93" s="942"/>
      <c r="G93" s="943"/>
      <c r="H93" s="942"/>
      <c r="I93" s="943"/>
      <c r="J93" s="942"/>
      <c r="K93" s="942"/>
      <c r="L93" s="942"/>
      <c r="M93" s="943"/>
      <c r="N93" s="942"/>
      <c r="O93" s="943"/>
      <c r="P93" s="942"/>
      <c r="Q93" s="943"/>
      <c r="R93" s="942"/>
      <c r="S93" s="943"/>
      <c r="T93" s="942"/>
      <c r="U93" s="943"/>
      <c r="V93" s="942"/>
      <c r="W93" s="943"/>
      <c r="X93" s="942"/>
      <c r="Y93" s="943"/>
      <c r="Z93" s="771"/>
    </row>
    <row r="94" spans="1:26">
      <c r="A94" s="940"/>
      <c r="B94" s="942"/>
      <c r="C94" s="942"/>
      <c r="D94" s="942"/>
      <c r="E94" s="943"/>
      <c r="F94" s="942"/>
      <c r="G94" s="943"/>
      <c r="H94" s="942"/>
      <c r="I94" s="943"/>
      <c r="J94" s="942"/>
      <c r="K94" s="942"/>
      <c r="L94" s="942"/>
      <c r="M94" s="943"/>
      <c r="N94" s="942"/>
      <c r="O94" s="943"/>
      <c r="P94" s="942"/>
      <c r="Q94" s="943"/>
      <c r="R94" s="942"/>
      <c r="S94" s="943"/>
      <c r="T94" s="942"/>
      <c r="U94" s="943"/>
      <c r="V94" s="942"/>
      <c r="W94" s="943"/>
      <c r="X94" s="942"/>
      <c r="Y94" s="943"/>
      <c r="Z94" s="771"/>
    </row>
    <row r="95" spans="1:26">
      <c r="A95" s="940"/>
      <c r="B95" s="942"/>
      <c r="C95" s="942"/>
      <c r="D95" s="942"/>
      <c r="E95" s="943"/>
      <c r="F95" s="942"/>
      <c r="G95" s="943"/>
      <c r="H95" s="942"/>
      <c r="I95" s="943"/>
      <c r="J95" s="942"/>
      <c r="K95" s="942"/>
      <c r="L95" s="942"/>
      <c r="M95" s="943"/>
      <c r="N95" s="942"/>
      <c r="O95" s="943"/>
      <c r="P95" s="942"/>
      <c r="Q95" s="943"/>
      <c r="R95" s="942"/>
      <c r="S95" s="943"/>
      <c r="T95" s="942"/>
      <c r="U95" s="943"/>
      <c r="V95" s="942"/>
      <c r="W95" s="943"/>
      <c r="X95" s="942"/>
      <c r="Y95" s="943"/>
      <c r="Z95" s="77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0" firstPageNumber="48"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Q119"/>
  <sheetViews>
    <sheetView showGridLines="0" zoomScale="70" zoomScaleNormal="70" workbookViewId="0"/>
  </sheetViews>
  <sheetFormatPr defaultColWidth="8.90625" defaultRowHeight="13.2"/>
  <cols>
    <col min="1" max="1" width="46.1796875" style="1865" customWidth="1"/>
    <col min="2" max="2" width="1.1796875" style="1865" customWidth="1"/>
    <col min="3" max="3" width="20" style="3397" customWidth="1"/>
    <col min="4" max="4" width="0.1796875" style="1865" customWidth="1"/>
    <col min="5" max="5" width="20" style="1866" customWidth="1"/>
    <col min="6" max="6" width="0.54296875" style="1866" customWidth="1"/>
    <col min="7" max="7" width="20" style="1866" customWidth="1"/>
    <col min="8" max="8" width="0.81640625" style="1866" customWidth="1"/>
    <col min="9" max="9" width="14.453125" style="1866" bestFit="1" customWidth="1"/>
    <col min="10" max="10" width="0.453125" style="1866" customWidth="1"/>
    <col min="11" max="11" width="14.453125" style="1867" bestFit="1" customWidth="1"/>
    <col min="12" max="12" width="1.1796875" style="1865" customWidth="1"/>
    <col min="13" max="13" width="14.1796875" style="1868" bestFit="1" customWidth="1"/>
    <col min="14" max="14" width="2.54296875" style="1868" customWidth="1"/>
    <col min="15" max="15" width="19.1796875" style="2537" bestFit="1" customWidth="1"/>
    <col min="16" max="16" width="13" style="2537" bestFit="1" customWidth="1"/>
    <col min="17" max="17" width="8.90625" style="1868"/>
    <col min="18" max="16384" width="8.90625" style="1865"/>
  </cols>
  <sheetData>
    <row r="1" spans="1:17" ht="15">
      <c r="A1" s="1184" t="s">
        <v>1217</v>
      </c>
      <c r="C1" s="1865"/>
      <c r="K1" s="1866"/>
      <c r="L1" s="1866"/>
      <c r="M1" s="1866"/>
      <c r="N1" s="1866"/>
      <c r="O1" s="3523"/>
    </row>
    <row r="2" spans="1:17" ht="15">
      <c r="A2" s="3234"/>
      <c r="C2" s="1865"/>
      <c r="K2" s="1866"/>
      <c r="L2" s="1866"/>
      <c r="M2" s="1866"/>
      <c r="N2" s="1866"/>
      <c r="O2" s="3523"/>
    </row>
    <row r="3" spans="1:17" s="1880" customFormat="1">
      <c r="A3" s="3235" t="s">
        <v>524</v>
      </c>
      <c r="B3" s="3235"/>
      <c r="C3" s="3399"/>
      <c r="D3" s="3236"/>
      <c r="E3" s="2989"/>
      <c r="F3" s="2989"/>
      <c r="G3" s="2989"/>
      <c r="H3" s="2989"/>
      <c r="I3" s="2989"/>
      <c r="J3" s="2989"/>
      <c r="K3" s="2989"/>
      <c r="L3" s="2989"/>
      <c r="M3" s="2989"/>
      <c r="N3" s="2989"/>
      <c r="O3" s="3524" t="s">
        <v>525</v>
      </c>
      <c r="P3" s="2538"/>
      <c r="Q3" s="1152"/>
    </row>
    <row r="4" spans="1:17" s="1880" customFormat="1">
      <c r="A4" s="3235" t="s">
        <v>526</v>
      </c>
      <c r="B4" s="3235"/>
      <c r="C4" s="3399"/>
      <c r="D4" s="3236"/>
      <c r="E4" s="2989"/>
      <c r="F4" s="2989"/>
      <c r="G4" s="2989"/>
      <c r="H4" s="2989"/>
      <c r="I4" s="2989"/>
      <c r="J4" s="2989"/>
      <c r="K4" s="2989"/>
      <c r="L4" s="2989"/>
      <c r="M4" s="2989"/>
      <c r="N4" s="2989"/>
      <c r="O4" s="3525"/>
      <c r="P4" s="2538"/>
      <c r="Q4" s="1152"/>
    </row>
    <row r="5" spans="1:17" s="1880" customFormat="1">
      <c r="A5" s="3235" t="s">
        <v>527</v>
      </c>
      <c r="B5" s="3235"/>
      <c r="C5" s="3399"/>
      <c r="D5" s="3236"/>
      <c r="E5" s="2989"/>
      <c r="F5" s="2989"/>
      <c r="G5" s="2989"/>
      <c r="H5" s="2989"/>
      <c r="I5" s="2989"/>
      <c r="J5" s="2989"/>
      <c r="K5" s="2989"/>
      <c r="L5" s="2989"/>
      <c r="M5" s="2989"/>
      <c r="N5" s="2989"/>
      <c r="O5" s="3525"/>
      <c r="P5" s="2538"/>
      <c r="Q5" s="1152"/>
    </row>
    <row r="6" spans="1:17" s="1880" customFormat="1">
      <c r="A6" s="3237" t="s">
        <v>1522</v>
      </c>
      <c r="B6" s="3237"/>
      <c r="C6" s="3238"/>
      <c r="D6" s="3239"/>
      <c r="E6" s="2989"/>
      <c r="F6" s="2989"/>
      <c r="G6" s="2989"/>
      <c r="H6" s="2989"/>
      <c r="I6" s="2989"/>
      <c r="J6" s="2989"/>
      <c r="K6" s="2989"/>
      <c r="L6" s="2989"/>
      <c r="M6" s="2989"/>
      <c r="N6" s="2989"/>
      <c r="O6" s="3525"/>
      <c r="P6" s="2538"/>
      <c r="Q6" s="1152"/>
    </row>
    <row r="7" spans="1:17">
      <c r="C7" s="1868"/>
      <c r="K7" s="1866"/>
      <c r="L7" s="1866"/>
      <c r="M7" s="1866"/>
      <c r="N7" s="1866"/>
      <c r="O7" s="2990"/>
    </row>
    <row r="8" spans="1:17" ht="27" customHeight="1">
      <c r="A8" s="3240" t="s">
        <v>529</v>
      </c>
      <c r="B8" s="3241"/>
      <c r="C8" s="3400" t="s">
        <v>1132</v>
      </c>
      <c r="D8" s="2991"/>
      <c r="E8" s="2992" t="s">
        <v>1631</v>
      </c>
      <c r="F8" s="2990"/>
      <c r="G8" s="2992" t="s">
        <v>1648</v>
      </c>
      <c r="H8" s="2990"/>
      <c r="I8" s="2992" t="s">
        <v>1649</v>
      </c>
      <c r="J8" s="2990"/>
      <c r="K8" s="2992" t="s">
        <v>1653</v>
      </c>
      <c r="L8" s="2990"/>
      <c r="M8" s="2992" t="s">
        <v>1696</v>
      </c>
      <c r="N8" s="2990"/>
      <c r="O8" s="3422" t="s">
        <v>1697</v>
      </c>
    </row>
    <row r="9" spans="1:17" s="1880" customFormat="1">
      <c r="A9" s="3242" t="s">
        <v>530</v>
      </c>
      <c r="B9" s="3243"/>
      <c r="C9" s="3401">
        <v>75016000</v>
      </c>
      <c r="D9" s="3243"/>
      <c r="E9" s="3244"/>
      <c r="F9" s="3244"/>
      <c r="G9" s="3244"/>
      <c r="H9" s="3244"/>
      <c r="I9" s="3244"/>
      <c r="J9" s="3244"/>
      <c r="K9" s="3244"/>
      <c r="L9" s="3244"/>
      <c r="M9" s="3244"/>
      <c r="N9" s="3244"/>
      <c r="O9" s="3401"/>
      <c r="P9" s="2538"/>
      <c r="Q9" s="1152"/>
    </row>
    <row r="10" spans="1:17" s="1880" customFormat="1">
      <c r="A10" s="1865" t="s">
        <v>1224</v>
      </c>
      <c r="B10" s="1865"/>
      <c r="C10" s="3402"/>
      <c r="D10" s="3245"/>
      <c r="E10" s="3246">
        <v>0</v>
      </c>
      <c r="F10" s="3246"/>
      <c r="G10" s="3246">
        <v>0</v>
      </c>
      <c r="H10" s="3246"/>
      <c r="I10" s="3246">
        <v>0</v>
      </c>
      <c r="J10" s="3246"/>
      <c r="K10" s="3246">
        <v>0</v>
      </c>
      <c r="L10" s="3246"/>
      <c r="M10" s="3246">
        <v>0</v>
      </c>
      <c r="N10" s="3246"/>
      <c r="O10" s="3246">
        <v>0</v>
      </c>
      <c r="P10" s="2538"/>
      <c r="Q10" s="1152"/>
    </row>
    <row r="11" spans="1:17" s="1880" customFormat="1">
      <c r="A11" s="1865" t="s">
        <v>1225</v>
      </c>
      <c r="B11" s="1865"/>
      <c r="C11" s="3402"/>
      <c r="D11" s="3245"/>
      <c r="E11" s="3248">
        <v>0</v>
      </c>
      <c r="F11" s="3247"/>
      <c r="G11" s="3247">
        <v>0</v>
      </c>
      <c r="H11" s="3247"/>
      <c r="I11" s="3247">
        <v>0</v>
      </c>
      <c r="J11" s="3247"/>
      <c r="K11" s="3248">
        <v>0</v>
      </c>
      <c r="L11" s="3247"/>
      <c r="M11" s="3248">
        <v>0</v>
      </c>
      <c r="N11" s="3247"/>
      <c r="O11" s="3247">
        <f>ROUND(SUM(E11)+G11+I11+K11+M11,0)</f>
        <v>0</v>
      </c>
      <c r="P11" s="2538"/>
      <c r="Q11" s="1152"/>
    </row>
    <row r="12" spans="1:17" s="1880" customFormat="1">
      <c r="A12" s="1865" t="s">
        <v>531</v>
      </c>
      <c r="B12" s="1865" t="s">
        <v>16</v>
      </c>
      <c r="C12" s="3402"/>
      <c r="D12" s="3245"/>
      <c r="E12" s="3248">
        <v>0</v>
      </c>
      <c r="F12" s="3247"/>
      <c r="G12" s="3247">
        <v>0</v>
      </c>
      <c r="H12" s="3247"/>
      <c r="I12" s="3247">
        <v>0</v>
      </c>
      <c r="J12" s="3247"/>
      <c r="K12" s="3248">
        <v>0</v>
      </c>
      <c r="L12" s="3247"/>
      <c r="M12" s="3248">
        <v>0</v>
      </c>
      <c r="N12" s="3247"/>
      <c r="O12" s="3247">
        <f t="shared" ref="O12:O75" si="0">ROUND(SUM(E12)+G12+I12+K12+M12,0)</f>
        <v>0</v>
      </c>
      <c r="P12" s="2538"/>
      <c r="Q12" s="1152"/>
    </row>
    <row r="13" spans="1:17" s="1880" customFormat="1">
      <c r="A13" s="1865" t="s">
        <v>532</v>
      </c>
      <c r="B13" s="1865"/>
      <c r="C13" s="3402"/>
      <c r="D13" s="3245"/>
      <c r="E13" s="3248">
        <v>0</v>
      </c>
      <c r="F13" s="3247"/>
      <c r="G13" s="3247">
        <v>0</v>
      </c>
      <c r="H13" s="3247"/>
      <c r="I13" s="3247">
        <v>0</v>
      </c>
      <c r="J13" s="3247"/>
      <c r="K13" s="3248">
        <v>0</v>
      </c>
      <c r="L13" s="3247"/>
      <c r="M13" s="3248">
        <v>0</v>
      </c>
      <c r="N13" s="3247"/>
      <c r="O13" s="3247">
        <f t="shared" si="0"/>
        <v>0</v>
      </c>
      <c r="P13" s="2538"/>
      <c r="Q13" s="1152"/>
    </row>
    <row r="14" spans="1:17" s="1880" customFormat="1">
      <c r="A14" s="1865" t="s">
        <v>533</v>
      </c>
      <c r="B14" s="1865"/>
      <c r="C14" s="3402"/>
      <c r="D14" s="3245"/>
      <c r="E14" s="3248">
        <v>0</v>
      </c>
      <c r="F14" s="3247"/>
      <c r="G14" s="3247">
        <v>0</v>
      </c>
      <c r="H14" s="3247"/>
      <c r="I14" s="3247">
        <v>0</v>
      </c>
      <c r="J14" s="3247"/>
      <c r="K14" s="3248">
        <v>0</v>
      </c>
      <c r="L14" s="3247"/>
      <c r="M14" s="3248">
        <v>0</v>
      </c>
      <c r="N14" s="3247"/>
      <c r="O14" s="3247">
        <f t="shared" si="0"/>
        <v>0</v>
      </c>
      <c r="P14" s="2538"/>
      <c r="Q14" s="1152"/>
    </row>
    <row r="15" spans="1:17" s="1880" customFormat="1">
      <c r="A15" s="1865" t="s">
        <v>534</v>
      </c>
      <c r="B15" s="1865"/>
      <c r="C15" s="3402"/>
      <c r="D15" s="3245"/>
      <c r="E15" s="3248">
        <v>0</v>
      </c>
      <c r="F15" s="3247"/>
      <c r="G15" s="3247">
        <v>0</v>
      </c>
      <c r="H15" s="3247"/>
      <c r="I15" s="3247">
        <v>0</v>
      </c>
      <c r="J15" s="3247"/>
      <c r="K15" s="3248">
        <v>0</v>
      </c>
      <c r="L15" s="3247"/>
      <c r="M15" s="3248">
        <v>0</v>
      </c>
      <c r="N15" s="3247"/>
      <c r="O15" s="3247">
        <f t="shared" si="0"/>
        <v>0</v>
      </c>
      <c r="P15" s="2538"/>
      <c r="Q15" s="1152"/>
    </row>
    <row r="16" spans="1:17" s="1880" customFormat="1">
      <c r="A16" s="3423" t="s">
        <v>1577</v>
      </c>
      <c r="B16" s="1865"/>
      <c r="C16" s="3424">
        <v>4095000</v>
      </c>
      <c r="D16" s="3245"/>
      <c r="E16" s="3247"/>
      <c r="F16" s="3247"/>
      <c r="G16" s="3247"/>
      <c r="H16" s="3247"/>
      <c r="I16" s="3247"/>
      <c r="J16" s="3247"/>
      <c r="K16" s="3248"/>
      <c r="L16" s="3247"/>
      <c r="M16" s="3248"/>
      <c r="N16" s="3247"/>
      <c r="O16" s="3247"/>
      <c r="P16" s="2538"/>
      <c r="Q16" s="1152"/>
    </row>
    <row r="17" spans="1:17" s="1880" customFormat="1">
      <c r="A17" s="3425" t="s">
        <v>1578</v>
      </c>
      <c r="B17" s="1865"/>
      <c r="C17" s="3402"/>
      <c r="D17" s="3245"/>
      <c r="E17" s="3247">
        <v>0</v>
      </c>
      <c r="F17" s="3247"/>
      <c r="G17" s="3247">
        <v>321917</v>
      </c>
      <c r="H17" s="3247"/>
      <c r="I17" s="3248">
        <v>225028</v>
      </c>
      <c r="J17" s="3247"/>
      <c r="K17" s="3248">
        <v>240699</v>
      </c>
      <c r="L17" s="3247"/>
      <c r="M17" s="3248">
        <v>501424</v>
      </c>
      <c r="N17" s="3247"/>
      <c r="O17" s="3247">
        <f t="shared" si="0"/>
        <v>1289068</v>
      </c>
      <c r="P17" s="2538"/>
      <c r="Q17" s="1152"/>
    </row>
    <row r="18" spans="1:17" s="1880" customFormat="1">
      <c r="A18" s="3242" t="s">
        <v>535</v>
      </c>
      <c r="B18" s="3241"/>
      <c r="C18" s="3424">
        <v>144408082</v>
      </c>
      <c r="D18" s="2993"/>
      <c r="E18" s="3247"/>
      <c r="F18" s="3247"/>
      <c r="G18" s="3247"/>
      <c r="H18" s="3247"/>
      <c r="I18" s="3248"/>
      <c r="J18" s="3247"/>
      <c r="K18" s="3248"/>
      <c r="L18" s="3247"/>
      <c r="M18" s="3248"/>
      <c r="N18" s="3247"/>
      <c r="O18" s="3247"/>
      <c r="P18" s="2538"/>
      <c r="Q18" s="1152"/>
    </row>
    <row r="19" spans="1:17" s="1880" customFormat="1">
      <c r="A19" s="1865" t="s">
        <v>536</v>
      </c>
      <c r="B19" s="3249"/>
      <c r="C19" s="3426"/>
      <c r="D19" s="2994"/>
      <c r="E19" s="3247">
        <v>0</v>
      </c>
      <c r="F19" s="3247"/>
      <c r="G19" s="3247">
        <v>0</v>
      </c>
      <c r="H19" s="3247"/>
      <c r="I19" s="3248">
        <v>0</v>
      </c>
      <c r="J19" s="3247"/>
      <c r="K19" s="3248">
        <v>0</v>
      </c>
      <c r="L19" s="3247"/>
      <c r="M19" s="3248">
        <v>0</v>
      </c>
      <c r="N19" s="3247"/>
      <c r="O19" s="3247">
        <f t="shared" si="0"/>
        <v>0</v>
      </c>
      <c r="P19" s="2538"/>
      <c r="Q19" s="1152"/>
    </row>
    <row r="20" spans="1:17" s="1880" customFormat="1">
      <c r="A20" s="1865" t="s">
        <v>537</v>
      </c>
      <c r="B20" s="3249"/>
      <c r="C20" s="3426"/>
      <c r="D20" s="2994"/>
      <c r="E20" s="3247">
        <v>0</v>
      </c>
      <c r="F20" s="3247"/>
      <c r="G20" s="3247">
        <v>0</v>
      </c>
      <c r="H20" s="3247"/>
      <c r="I20" s="3248">
        <v>0</v>
      </c>
      <c r="J20" s="3247"/>
      <c r="K20" s="3248">
        <v>0</v>
      </c>
      <c r="L20" s="3247"/>
      <c r="M20" s="3248">
        <v>0</v>
      </c>
      <c r="N20" s="3247"/>
      <c r="O20" s="3247">
        <f t="shared" si="0"/>
        <v>0</v>
      </c>
      <c r="P20" s="2538"/>
      <c r="Q20" s="1152"/>
    </row>
    <row r="21" spans="1:17" s="1880" customFormat="1">
      <c r="A21" s="1865" t="s">
        <v>538</v>
      </c>
      <c r="B21" s="3249"/>
      <c r="C21" s="3426"/>
      <c r="D21" s="2994"/>
      <c r="E21" s="3247">
        <v>914366</v>
      </c>
      <c r="F21" s="3250"/>
      <c r="G21" s="3247">
        <v>666834</v>
      </c>
      <c r="H21" s="3247"/>
      <c r="I21" s="3248">
        <v>145754</v>
      </c>
      <c r="J21" s="3250"/>
      <c r="K21" s="3248">
        <v>381701</v>
      </c>
      <c r="L21" s="3250"/>
      <c r="M21" s="3248">
        <v>215990</v>
      </c>
      <c r="N21" s="3250"/>
      <c r="O21" s="3247">
        <f t="shared" si="0"/>
        <v>2324645</v>
      </c>
      <c r="P21" s="2538"/>
      <c r="Q21" s="1152"/>
    </row>
    <row r="22" spans="1:17" s="1880" customFormat="1">
      <c r="A22" s="1865" t="s">
        <v>539</v>
      </c>
      <c r="B22" s="3249"/>
      <c r="C22" s="3426"/>
      <c r="D22" s="2994"/>
      <c r="E22" s="3247">
        <v>0</v>
      </c>
      <c r="F22" s="3247"/>
      <c r="G22" s="3247">
        <v>0</v>
      </c>
      <c r="H22" s="3247"/>
      <c r="I22" s="3248">
        <v>0</v>
      </c>
      <c r="J22" s="3247"/>
      <c r="K22" s="3248">
        <v>0</v>
      </c>
      <c r="L22" s="3247"/>
      <c r="M22" s="3248">
        <v>0</v>
      </c>
      <c r="N22" s="3247"/>
      <c r="O22" s="3247">
        <f t="shared" si="0"/>
        <v>0</v>
      </c>
      <c r="P22" s="2538"/>
      <c r="Q22" s="1152"/>
    </row>
    <row r="23" spans="1:17" s="1880" customFormat="1">
      <c r="A23" s="1865" t="s">
        <v>540</v>
      </c>
      <c r="B23" s="3249"/>
      <c r="C23" s="3426"/>
      <c r="D23" s="2994"/>
      <c r="E23" s="3247">
        <v>0</v>
      </c>
      <c r="F23" s="3247"/>
      <c r="G23" s="3247">
        <v>0</v>
      </c>
      <c r="H23" s="3247"/>
      <c r="I23" s="3248">
        <v>0</v>
      </c>
      <c r="J23" s="3247"/>
      <c r="K23" s="3248">
        <v>0</v>
      </c>
      <c r="L23" s="3247"/>
      <c r="M23" s="3248">
        <v>0</v>
      </c>
      <c r="N23" s="3247"/>
      <c r="O23" s="3247">
        <f t="shared" si="0"/>
        <v>0</v>
      </c>
      <c r="P23" s="2538"/>
      <c r="Q23" s="1152"/>
    </row>
    <row r="24" spans="1:17" s="1880" customFormat="1">
      <c r="A24" s="1865" t="s">
        <v>541</v>
      </c>
      <c r="B24" s="3249"/>
      <c r="C24" s="3426"/>
      <c r="D24" s="2994"/>
      <c r="E24" s="3247">
        <v>0</v>
      </c>
      <c r="F24" s="3247"/>
      <c r="G24" s="3247">
        <v>0</v>
      </c>
      <c r="H24" s="3247"/>
      <c r="I24" s="3248">
        <v>0</v>
      </c>
      <c r="J24" s="3247"/>
      <c r="K24" s="3248">
        <v>0</v>
      </c>
      <c r="L24" s="3247"/>
      <c r="M24" s="3248">
        <v>0</v>
      </c>
      <c r="N24" s="3247"/>
      <c r="O24" s="3247">
        <f t="shared" si="0"/>
        <v>0</v>
      </c>
      <c r="P24" s="2538"/>
      <c r="Q24" s="1152"/>
    </row>
    <row r="25" spans="1:17" s="1880" customFormat="1">
      <c r="A25" s="1865" t="s">
        <v>542</v>
      </c>
      <c r="B25" s="3249"/>
      <c r="C25" s="3426"/>
      <c r="D25" s="2994"/>
      <c r="E25" s="3247">
        <v>-129</v>
      </c>
      <c r="F25" s="3247"/>
      <c r="G25" s="3247">
        <v>-59</v>
      </c>
      <c r="H25" s="3247"/>
      <c r="I25" s="3248">
        <v>0</v>
      </c>
      <c r="J25" s="3247"/>
      <c r="K25" s="3248">
        <v>0</v>
      </c>
      <c r="L25" s="3247"/>
      <c r="M25" s="3248">
        <v>-288</v>
      </c>
      <c r="N25" s="3247"/>
      <c r="O25" s="3247">
        <f t="shared" si="0"/>
        <v>-476</v>
      </c>
      <c r="P25" s="2538"/>
      <c r="Q25" s="1152"/>
    </row>
    <row r="26" spans="1:17" s="1880" customFormat="1">
      <c r="A26" s="1865" t="s">
        <v>543</v>
      </c>
      <c r="B26" s="3249"/>
      <c r="C26" s="3426"/>
      <c r="D26" s="2994"/>
      <c r="E26" s="3247">
        <v>0</v>
      </c>
      <c r="F26" s="3247"/>
      <c r="G26" s="3247">
        <v>0</v>
      </c>
      <c r="H26" s="3247"/>
      <c r="I26" s="3248">
        <v>0</v>
      </c>
      <c r="J26" s="3247"/>
      <c r="K26" s="3248">
        <v>0</v>
      </c>
      <c r="L26" s="3247"/>
      <c r="M26" s="3248">
        <v>0</v>
      </c>
      <c r="N26" s="3247"/>
      <c r="O26" s="3247">
        <f t="shared" si="0"/>
        <v>0</v>
      </c>
      <c r="P26" s="2538"/>
      <c r="Q26" s="1152"/>
    </row>
    <row r="27" spans="1:17" s="1880" customFormat="1">
      <c r="A27" s="1865" t="s">
        <v>1226</v>
      </c>
      <c r="B27" s="3249"/>
      <c r="C27" s="3426"/>
      <c r="D27" s="2994"/>
      <c r="E27" s="3247">
        <v>0</v>
      </c>
      <c r="F27" s="3247"/>
      <c r="G27" s="3247">
        <v>0</v>
      </c>
      <c r="H27" s="3247"/>
      <c r="I27" s="3248">
        <v>0</v>
      </c>
      <c r="J27" s="3247"/>
      <c r="K27" s="3248">
        <v>0</v>
      </c>
      <c r="L27" s="3247"/>
      <c r="M27" s="3248">
        <v>0</v>
      </c>
      <c r="N27" s="3247"/>
      <c r="O27" s="3247">
        <f t="shared" si="0"/>
        <v>0</v>
      </c>
      <c r="P27" s="2538"/>
      <c r="Q27" s="1152"/>
    </row>
    <row r="28" spans="1:17" s="1880" customFormat="1">
      <c r="A28" s="1865" t="s">
        <v>544</v>
      </c>
      <c r="B28" s="3249"/>
      <c r="C28" s="3426"/>
      <c r="D28" s="2994"/>
      <c r="E28" s="3247">
        <v>0</v>
      </c>
      <c r="F28" s="3247"/>
      <c r="G28" s="3247">
        <v>0</v>
      </c>
      <c r="H28" s="3247"/>
      <c r="I28" s="3248">
        <v>0</v>
      </c>
      <c r="J28" s="3247"/>
      <c r="K28" s="3248">
        <v>0</v>
      </c>
      <c r="L28" s="3247"/>
      <c r="M28" s="3248">
        <v>0</v>
      </c>
      <c r="N28" s="3247"/>
      <c r="O28" s="3247">
        <f t="shared" si="0"/>
        <v>0</v>
      </c>
      <c r="P28" s="2538"/>
      <c r="Q28" s="1152"/>
    </row>
    <row r="29" spans="1:17" s="1880" customFormat="1">
      <c r="A29" s="1865" t="s">
        <v>545</v>
      </c>
      <c r="B29" s="3249"/>
      <c r="C29" s="3426"/>
      <c r="D29" s="2994"/>
      <c r="E29" s="3247">
        <v>0</v>
      </c>
      <c r="F29" s="3247"/>
      <c r="G29" s="3247">
        <v>0</v>
      </c>
      <c r="H29" s="3247"/>
      <c r="I29" s="3248">
        <v>0</v>
      </c>
      <c r="J29" s="3247"/>
      <c r="K29" s="3248">
        <v>0</v>
      </c>
      <c r="L29" s="3247"/>
      <c r="M29" s="3248">
        <v>0</v>
      </c>
      <c r="N29" s="3247"/>
      <c r="O29" s="3247">
        <f t="shared" si="0"/>
        <v>0</v>
      </c>
      <c r="P29" s="2538"/>
      <c r="Q29" s="1152"/>
    </row>
    <row r="30" spans="1:17" s="1880" customFormat="1">
      <c r="A30" s="1865" t="s">
        <v>546</v>
      </c>
      <c r="B30" s="3249"/>
      <c r="C30" s="3426"/>
      <c r="D30" s="2994"/>
      <c r="E30" s="3247">
        <v>0</v>
      </c>
      <c r="F30" s="3247"/>
      <c r="G30" s="3247">
        <v>0</v>
      </c>
      <c r="H30" s="3247"/>
      <c r="I30" s="3248">
        <v>0</v>
      </c>
      <c r="J30" s="3247"/>
      <c r="K30" s="3248">
        <v>0</v>
      </c>
      <c r="L30" s="3247"/>
      <c r="M30" s="3248">
        <v>0</v>
      </c>
      <c r="N30" s="3247"/>
      <c r="O30" s="3247">
        <f t="shared" si="0"/>
        <v>0</v>
      </c>
      <c r="P30" s="2538"/>
      <c r="Q30" s="1152"/>
    </row>
    <row r="31" spans="1:17" s="1880" customFormat="1">
      <c r="A31" s="1865" t="s">
        <v>547</v>
      </c>
      <c r="B31" s="3249"/>
      <c r="C31" s="3426"/>
      <c r="D31" s="2994"/>
      <c r="E31" s="3247">
        <v>0</v>
      </c>
      <c r="F31" s="3247"/>
      <c r="G31" s="3247">
        <v>0</v>
      </c>
      <c r="H31" s="3247"/>
      <c r="I31" s="3248">
        <v>0</v>
      </c>
      <c r="J31" s="3247"/>
      <c r="K31" s="3248">
        <v>0</v>
      </c>
      <c r="L31" s="3247"/>
      <c r="M31" s="3248">
        <v>0</v>
      </c>
      <c r="N31" s="3247"/>
      <c r="O31" s="3247">
        <f t="shared" si="0"/>
        <v>0</v>
      </c>
      <c r="P31" s="2538"/>
      <c r="Q31" s="1152"/>
    </row>
    <row r="32" spans="1:17" s="1880" customFormat="1">
      <c r="A32" s="1865" t="s">
        <v>548</v>
      </c>
      <c r="B32" s="3249"/>
      <c r="C32" s="3426"/>
      <c r="D32" s="2994"/>
      <c r="E32" s="3247">
        <v>0</v>
      </c>
      <c r="F32" s="3247"/>
      <c r="G32" s="3247">
        <v>0</v>
      </c>
      <c r="H32" s="3247"/>
      <c r="I32" s="3248">
        <v>0</v>
      </c>
      <c r="J32" s="3247"/>
      <c r="K32" s="3248">
        <v>0</v>
      </c>
      <c r="L32" s="3247"/>
      <c r="M32" s="3248">
        <v>0</v>
      </c>
      <c r="N32" s="3247"/>
      <c r="O32" s="3247">
        <f t="shared" si="0"/>
        <v>0</v>
      </c>
      <c r="P32" s="2538"/>
      <c r="Q32" s="1152"/>
    </row>
    <row r="33" spans="1:17" s="1880" customFormat="1">
      <c r="A33" s="1865" t="s">
        <v>549</v>
      </c>
      <c r="B33" s="3249"/>
      <c r="C33" s="3426"/>
      <c r="D33" s="2994"/>
      <c r="E33" s="3247">
        <v>0</v>
      </c>
      <c r="F33" s="3247"/>
      <c r="G33" s="3247">
        <v>0</v>
      </c>
      <c r="H33" s="3247"/>
      <c r="I33" s="3248">
        <v>0</v>
      </c>
      <c r="J33" s="3247"/>
      <c r="K33" s="3248">
        <v>0</v>
      </c>
      <c r="L33" s="3247"/>
      <c r="M33" s="3248">
        <v>0</v>
      </c>
      <c r="N33" s="3247"/>
      <c r="O33" s="3247">
        <f t="shared" si="0"/>
        <v>0</v>
      </c>
      <c r="P33" s="2538"/>
      <c r="Q33" s="1152"/>
    </row>
    <row r="34" spans="1:17" s="1880" customFormat="1">
      <c r="A34" s="1865" t="s">
        <v>550</v>
      </c>
      <c r="B34" s="3249"/>
      <c r="C34" s="3426"/>
      <c r="D34" s="2994"/>
      <c r="E34" s="3247">
        <v>0</v>
      </c>
      <c r="F34" s="3247"/>
      <c r="G34" s="3247">
        <v>0</v>
      </c>
      <c r="H34" s="3247"/>
      <c r="I34" s="3248">
        <v>0</v>
      </c>
      <c r="J34" s="3247"/>
      <c r="K34" s="3248">
        <v>0</v>
      </c>
      <c r="L34" s="3247"/>
      <c r="M34" s="3248">
        <v>0</v>
      </c>
      <c r="N34" s="3247"/>
      <c r="O34" s="3247">
        <f t="shared" si="0"/>
        <v>0</v>
      </c>
      <c r="P34" s="2538"/>
      <c r="Q34" s="1152"/>
    </row>
    <row r="35" spans="1:17" s="1880" customFormat="1">
      <c r="A35" s="1865" t="s">
        <v>551</v>
      </c>
      <c r="B35" s="3249"/>
      <c r="C35" s="3426"/>
      <c r="D35" s="2994"/>
      <c r="E35" s="3247">
        <v>0</v>
      </c>
      <c r="F35" s="3247"/>
      <c r="G35" s="3247">
        <v>0</v>
      </c>
      <c r="H35" s="3247"/>
      <c r="I35" s="3248">
        <v>0</v>
      </c>
      <c r="J35" s="3247"/>
      <c r="K35" s="3248">
        <v>0</v>
      </c>
      <c r="L35" s="3247"/>
      <c r="M35" s="3248">
        <v>0</v>
      </c>
      <c r="N35" s="3247"/>
      <c r="O35" s="3247">
        <f t="shared" si="0"/>
        <v>0</v>
      </c>
      <c r="P35" s="2538"/>
      <c r="Q35" s="1152"/>
    </row>
    <row r="36" spans="1:17">
      <c r="A36" s="3242" t="s">
        <v>552</v>
      </c>
      <c r="B36" s="3251"/>
      <c r="C36" s="3424">
        <v>986150400</v>
      </c>
      <c r="D36" s="3252"/>
      <c r="E36" s="3247"/>
      <c r="F36" s="3247"/>
      <c r="G36" s="3247"/>
      <c r="H36" s="3247"/>
      <c r="I36" s="3250"/>
      <c r="J36" s="3247"/>
      <c r="K36" s="3250"/>
      <c r="L36" s="3247"/>
      <c r="M36" s="3250"/>
      <c r="N36" s="3247"/>
      <c r="O36" s="3247"/>
    </row>
    <row r="37" spans="1:17">
      <c r="A37" s="1865" t="s">
        <v>553</v>
      </c>
      <c r="B37" s="1865" t="s">
        <v>16</v>
      </c>
      <c r="C37" s="3427"/>
      <c r="D37" s="3253"/>
      <c r="E37" s="3247">
        <v>69434768</v>
      </c>
      <c r="F37" s="3250"/>
      <c r="G37" s="3247">
        <v>161350428</v>
      </c>
      <c r="H37" s="3247"/>
      <c r="I37" s="3250">
        <v>6465765</v>
      </c>
      <c r="J37" s="3250"/>
      <c r="K37" s="3250">
        <v>20752132</v>
      </c>
      <c r="L37" s="3250"/>
      <c r="M37" s="3250">
        <v>18562846</v>
      </c>
      <c r="N37" s="3250"/>
      <c r="O37" s="3247">
        <f t="shared" si="0"/>
        <v>276565939</v>
      </c>
    </row>
    <row r="38" spans="1:17">
      <c r="A38" s="3242" t="s">
        <v>554</v>
      </c>
      <c r="B38" s="3254"/>
      <c r="C38" s="3424">
        <v>165000</v>
      </c>
      <c r="D38" s="3255"/>
      <c r="E38" s="3247"/>
      <c r="F38" s="3247"/>
      <c r="G38" s="3247"/>
      <c r="H38" s="3247"/>
      <c r="I38" s="3250"/>
      <c r="J38" s="3247"/>
      <c r="K38" s="3250"/>
      <c r="L38" s="3247"/>
      <c r="M38" s="3250"/>
      <c r="N38" s="3247"/>
      <c r="O38" s="3247"/>
    </row>
    <row r="39" spans="1:17">
      <c r="A39" s="1865" t="s">
        <v>555</v>
      </c>
      <c r="B39" s="1865" t="s">
        <v>16</v>
      </c>
      <c r="C39" s="3427"/>
      <c r="D39" s="3253"/>
      <c r="E39" s="3247">
        <v>15000</v>
      </c>
      <c r="F39" s="3247"/>
      <c r="G39" s="3247">
        <v>15000</v>
      </c>
      <c r="H39" s="3247"/>
      <c r="I39" s="3250">
        <v>0</v>
      </c>
      <c r="J39" s="3247"/>
      <c r="K39" s="3250">
        <v>0</v>
      </c>
      <c r="L39" s="3247"/>
      <c r="M39" s="3250">
        <v>0</v>
      </c>
      <c r="N39" s="3247"/>
      <c r="O39" s="3247">
        <f t="shared" si="0"/>
        <v>30000</v>
      </c>
    </row>
    <row r="40" spans="1:17">
      <c r="A40" s="3242" t="s">
        <v>1579</v>
      </c>
      <c r="B40" s="3256"/>
      <c r="C40" s="3424">
        <v>273574000</v>
      </c>
      <c r="D40" s="3257"/>
      <c r="E40" s="3247"/>
      <c r="F40" s="3247"/>
      <c r="G40" s="3247"/>
      <c r="H40" s="3247"/>
      <c r="I40" s="3250"/>
      <c r="J40" s="3247"/>
      <c r="K40" s="3250"/>
      <c r="L40" s="3247"/>
      <c r="M40" s="3250"/>
      <c r="N40" s="3247"/>
      <c r="O40" s="3247"/>
    </row>
    <row r="41" spans="1:17">
      <c r="A41" s="1865" t="s">
        <v>1581</v>
      </c>
      <c r="B41" s="1865" t="s">
        <v>16</v>
      </c>
      <c r="C41" s="3427"/>
      <c r="D41" s="3253"/>
      <c r="E41" s="3247">
        <v>27908784</v>
      </c>
      <c r="F41" s="3258"/>
      <c r="G41" s="3247">
        <v>32375771</v>
      </c>
      <c r="H41" s="3247"/>
      <c r="I41" s="3250">
        <v>12149637</v>
      </c>
      <c r="J41" s="3258"/>
      <c r="K41" s="3250">
        <v>11387468</v>
      </c>
      <c r="L41" s="3258"/>
      <c r="M41" s="3250">
        <v>12281479</v>
      </c>
      <c r="N41" s="3258"/>
      <c r="O41" s="3247">
        <f t="shared" si="0"/>
        <v>96103139</v>
      </c>
    </row>
    <row r="42" spans="1:17">
      <c r="A42" s="3242" t="s">
        <v>556</v>
      </c>
      <c r="B42" s="3243"/>
      <c r="C42" s="3424">
        <v>1829386084</v>
      </c>
      <c r="D42" s="3259"/>
      <c r="E42" s="3247"/>
      <c r="F42" s="3260"/>
      <c r="G42" s="3247"/>
      <c r="H42" s="3247"/>
      <c r="I42" s="3261"/>
      <c r="J42" s="3260"/>
      <c r="K42" s="3261"/>
      <c r="L42" s="3260"/>
      <c r="M42" s="3261"/>
      <c r="N42" s="3260"/>
      <c r="O42" s="3247"/>
    </row>
    <row r="43" spans="1:17">
      <c r="A43" s="1865" t="s">
        <v>557</v>
      </c>
      <c r="C43" s="3427"/>
      <c r="D43" s="3253"/>
      <c r="E43" s="3247">
        <v>0</v>
      </c>
      <c r="F43" s="3247"/>
      <c r="G43" s="3247">
        <v>20000000</v>
      </c>
      <c r="H43" s="3247"/>
      <c r="I43" s="3250">
        <v>0</v>
      </c>
      <c r="J43" s="3247"/>
      <c r="K43" s="3250">
        <v>0</v>
      </c>
      <c r="L43" s="3247"/>
      <c r="M43" s="3250">
        <v>0</v>
      </c>
      <c r="N43" s="3247"/>
      <c r="O43" s="3247">
        <f t="shared" si="0"/>
        <v>20000000</v>
      </c>
    </row>
    <row r="44" spans="1:17">
      <c r="A44" s="1865" t="s">
        <v>558</v>
      </c>
      <c r="C44" s="3427"/>
      <c r="D44" s="3253"/>
      <c r="E44" s="3247">
        <v>211278</v>
      </c>
      <c r="F44" s="3247"/>
      <c r="G44" s="3247">
        <v>696515</v>
      </c>
      <c r="H44" s="3247"/>
      <c r="I44" s="3250">
        <v>0</v>
      </c>
      <c r="J44" s="3247"/>
      <c r="K44" s="3250">
        <v>0</v>
      </c>
      <c r="L44" s="3247"/>
      <c r="M44" s="3250">
        <v>120990</v>
      </c>
      <c r="N44" s="3247"/>
      <c r="O44" s="3247">
        <f t="shared" si="0"/>
        <v>1028783</v>
      </c>
    </row>
    <row r="45" spans="1:17">
      <c r="A45" s="1865" t="s">
        <v>559</v>
      </c>
      <c r="C45" s="3427"/>
      <c r="D45" s="3253"/>
      <c r="E45" s="3247">
        <v>0</v>
      </c>
      <c r="F45" s="3247"/>
      <c r="G45" s="3247">
        <v>2076374</v>
      </c>
      <c r="H45" s="3247"/>
      <c r="I45" s="3250">
        <v>0</v>
      </c>
      <c r="J45" s="3247"/>
      <c r="K45" s="3250">
        <v>0</v>
      </c>
      <c r="L45" s="3247"/>
      <c r="M45" s="3250">
        <v>0</v>
      </c>
      <c r="N45" s="3247"/>
      <c r="O45" s="3247">
        <f t="shared" si="0"/>
        <v>2076374</v>
      </c>
    </row>
    <row r="46" spans="1:17">
      <c r="A46" s="1865" t="s">
        <v>560</v>
      </c>
      <c r="C46" s="3427"/>
      <c r="D46" s="3253"/>
      <c r="E46" s="3247">
        <v>0</v>
      </c>
      <c r="F46" s="3247"/>
      <c r="G46" s="3247">
        <v>300000</v>
      </c>
      <c r="H46" s="3247"/>
      <c r="I46" s="3250">
        <v>0</v>
      </c>
      <c r="J46" s="3247"/>
      <c r="K46" s="3250">
        <v>50000</v>
      </c>
      <c r="L46" s="3247"/>
      <c r="M46" s="3250">
        <v>140000</v>
      </c>
      <c r="N46" s="3247"/>
      <c r="O46" s="3247">
        <f t="shared" si="0"/>
        <v>490000</v>
      </c>
    </row>
    <row r="47" spans="1:17">
      <c r="A47" s="1865" t="s">
        <v>1227</v>
      </c>
      <c r="C47" s="3427"/>
      <c r="D47" s="3253"/>
      <c r="E47" s="3247">
        <v>0</v>
      </c>
      <c r="F47" s="3247"/>
      <c r="G47" s="3247">
        <v>0</v>
      </c>
      <c r="H47" s="3247"/>
      <c r="I47" s="3250">
        <v>0</v>
      </c>
      <c r="J47" s="3247"/>
      <c r="K47" s="3250">
        <v>0</v>
      </c>
      <c r="L47" s="3247"/>
      <c r="M47" s="3250">
        <v>30257679</v>
      </c>
      <c r="N47" s="3247"/>
      <c r="O47" s="3247">
        <f t="shared" si="0"/>
        <v>30257679</v>
      </c>
    </row>
    <row r="48" spans="1:17">
      <c r="A48" s="1865" t="s">
        <v>561</v>
      </c>
      <c r="C48" s="3427"/>
      <c r="D48" s="3253"/>
      <c r="E48" s="3247">
        <v>76666</v>
      </c>
      <c r="F48" s="3247"/>
      <c r="G48" s="3247">
        <v>198041</v>
      </c>
      <c r="H48" s="3247"/>
      <c r="I48" s="3250">
        <v>259779</v>
      </c>
      <c r="J48" s="3247"/>
      <c r="K48" s="3250">
        <v>0</v>
      </c>
      <c r="L48" s="3247"/>
      <c r="M48" s="3250">
        <v>0</v>
      </c>
      <c r="N48" s="3247"/>
      <c r="O48" s="3247">
        <f t="shared" si="0"/>
        <v>534486</v>
      </c>
    </row>
    <row r="49" spans="1:15">
      <c r="A49" s="1865" t="s">
        <v>562</v>
      </c>
      <c r="C49" s="3427"/>
      <c r="D49" s="3253"/>
      <c r="E49" s="3247">
        <v>0</v>
      </c>
      <c r="F49" s="3247"/>
      <c r="G49" s="3247">
        <v>0</v>
      </c>
      <c r="H49" s="3247"/>
      <c r="I49" s="3250">
        <v>0</v>
      </c>
      <c r="J49" s="3247"/>
      <c r="K49" s="3250">
        <v>0</v>
      </c>
      <c r="L49" s="3247"/>
      <c r="M49" s="3250">
        <v>0</v>
      </c>
      <c r="N49" s="3247"/>
      <c r="O49" s="3247">
        <f t="shared" si="0"/>
        <v>0</v>
      </c>
    </row>
    <row r="50" spans="1:15">
      <c r="A50" s="1865" t="s">
        <v>1228</v>
      </c>
      <c r="C50" s="3427"/>
      <c r="D50" s="3253"/>
      <c r="E50" s="3247">
        <v>215520</v>
      </c>
      <c r="F50" s="3247"/>
      <c r="G50" s="3247">
        <v>0</v>
      </c>
      <c r="H50" s="3247"/>
      <c r="I50" s="3250">
        <v>0</v>
      </c>
      <c r="J50" s="3247"/>
      <c r="K50" s="3250">
        <v>0</v>
      </c>
      <c r="L50" s="3247"/>
      <c r="M50" s="3250">
        <v>0</v>
      </c>
      <c r="N50" s="3247"/>
      <c r="O50" s="3247">
        <f t="shared" si="0"/>
        <v>215520</v>
      </c>
    </row>
    <row r="51" spans="1:15">
      <c r="A51" s="1865" t="s">
        <v>563</v>
      </c>
      <c r="C51" s="3427"/>
      <c r="D51" s="3253"/>
      <c r="E51" s="3247">
        <v>19600000</v>
      </c>
      <c r="F51" s="3247"/>
      <c r="G51" s="3247">
        <v>0</v>
      </c>
      <c r="H51" s="3247"/>
      <c r="I51" s="3250">
        <v>0</v>
      </c>
      <c r="J51" s="3247"/>
      <c r="K51" s="3250">
        <v>0</v>
      </c>
      <c r="L51" s="3247"/>
      <c r="M51" s="3250">
        <v>0</v>
      </c>
      <c r="N51" s="3247"/>
      <c r="O51" s="3247">
        <f t="shared" si="0"/>
        <v>19600000</v>
      </c>
    </row>
    <row r="52" spans="1:15">
      <c r="A52" s="1865" t="s">
        <v>564</v>
      </c>
      <c r="C52" s="3427"/>
      <c r="D52" s="3253"/>
      <c r="E52" s="3247">
        <v>1609589</v>
      </c>
      <c r="F52" s="3258"/>
      <c r="G52" s="3247">
        <v>3375471</v>
      </c>
      <c r="H52" s="3247"/>
      <c r="I52" s="3250">
        <v>75709</v>
      </c>
      <c r="J52" s="3258"/>
      <c r="K52" s="3250">
        <v>509397</v>
      </c>
      <c r="L52" s="3258"/>
      <c r="M52" s="3250">
        <v>1341331</v>
      </c>
      <c r="N52" s="3258"/>
      <c r="O52" s="3247">
        <f t="shared" si="0"/>
        <v>6911497</v>
      </c>
    </row>
    <row r="53" spans="1:15">
      <c r="A53" s="1865" t="s">
        <v>565</v>
      </c>
      <c r="C53" s="3427"/>
      <c r="D53" s="3253"/>
      <c r="E53" s="3247">
        <v>374793</v>
      </c>
      <c r="F53" s="3258"/>
      <c r="G53" s="3247">
        <v>734209</v>
      </c>
      <c r="H53" s="3247"/>
      <c r="I53" s="3250">
        <v>153685</v>
      </c>
      <c r="J53" s="3258"/>
      <c r="K53" s="3250">
        <v>36941</v>
      </c>
      <c r="L53" s="3258"/>
      <c r="M53" s="3250">
        <v>302180</v>
      </c>
      <c r="N53" s="3258"/>
      <c r="O53" s="3247">
        <f t="shared" si="0"/>
        <v>1601808</v>
      </c>
    </row>
    <row r="54" spans="1:15">
      <c r="A54" s="1865" t="s">
        <v>566</v>
      </c>
      <c r="C54" s="3427"/>
      <c r="D54" s="3253"/>
      <c r="E54" s="3247">
        <v>0</v>
      </c>
      <c r="F54" s="3247"/>
      <c r="G54" s="3247">
        <v>0</v>
      </c>
      <c r="H54" s="3247"/>
      <c r="I54" s="3250">
        <v>0</v>
      </c>
      <c r="J54" s="3247"/>
      <c r="K54" s="3250">
        <v>0</v>
      </c>
      <c r="L54" s="3247"/>
      <c r="M54" s="3250">
        <v>0</v>
      </c>
      <c r="N54" s="3247"/>
      <c r="O54" s="3247">
        <f t="shared" si="0"/>
        <v>0</v>
      </c>
    </row>
    <row r="55" spans="1:15">
      <c r="A55" s="1865" t="s">
        <v>1232</v>
      </c>
      <c r="C55" s="3427"/>
      <c r="D55" s="3253"/>
      <c r="E55" s="3247">
        <v>0</v>
      </c>
      <c r="F55" s="3258"/>
      <c r="G55" s="3247">
        <v>0</v>
      </c>
      <c r="H55" s="3247"/>
      <c r="I55" s="3250">
        <v>0</v>
      </c>
      <c r="J55" s="3258"/>
      <c r="K55" s="3250">
        <v>0</v>
      </c>
      <c r="L55" s="3258"/>
      <c r="M55" s="3250">
        <v>0</v>
      </c>
      <c r="N55" s="3258"/>
      <c r="O55" s="3247">
        <f t="shared" si="0"/>
        <v>0</v>
      </c>
    </row>
    <row r="56" spans="1:15">
      <c r="A56" s="3425" t="s">
        <v>1464</v>
      </c>
      <c r="C56" s="3427"/>
      <c r="D56" s="3253"/>
      <c r="E56" s="3247">
        <v>291048</v>
      </c>
      <c r="F56" s="3258"/>
      <c r="G56" s="3247">
        <v>194032</v>
      </c>
      <c r="H56" s="3247"/>
      <c r="I56" s="3250">
        <v>0</v>
      </c>
      <c r="J56" s="3258"/>
      <c r="K56" s="3250">
        <v>0</v>
      </c>
      <c r="L56" s="3258"/>
      <c r="M56" s="3250">
        <v>0</v>
      </c>
      <c r="N56" s="3258"/>
      <c r="O56" s="3247">
        <f t="shared" si="0"/>
        <v>485080</v>
      </c>
    </row>
    <row r="57" spans="1:15">
      <c r="A57" s="1865" t="s">
        <v>567</v>
      </c>
      <c r="C57" s="3427"/>
      <c r="D57" s="3253"/>
      <c r="E57" s="3247">
        <v>0</v>
      </c>
      <c r="F57" s="3247"/>
      <c r="G57" s="3247">
        <v>0</v>
      </c>
      <c r="H57" s="3247"/>
      <c r="I57" s="3250">
        <v>0</v>
      </c>
      <c r="J57" s="3247"/>
      <c r="K57" s="3250">
        <v>0</v>
      </c>
      <c r="L57" s="3247"/>
      <c r="M57" s="3250">
        <v>0</v>
      </c>
      <c r="N57" s="3247"/>
      <c r="O57" s="3247">
        <f t="shared" si="0"/>
        <v>0</v>
      </c>
    </row>
    <row r="58" spans="1:15">
      <c r="A58" s="1865" t="s">
        <v>568</v>
      </c>
      <c r="C58" s="3427"/>
      <c r="D58" s="3253"/>
      <c r="E58" s="3247">
        <v>0</v>
      </c>
      <c r="F58" s="3247"/>
      <c r="G58" s="3247">
        <v>127400000</v>
      </c>
      <c r="H58" s="3247"/>
      <c r="I58" s="3250">
        <v>0</v>
      </c>
      <c r="J58" s="3247"/>
      <c r="K58" s="3250">
        <v>0</v>
      </c>
      <c r="L58" s="3247"/>
      <c r="M58" s="3250">
        <v>0</v>
      </c>
      <c r="N58" s="3247"/>
      <c r="O58" s="3247">
        <f t="shared" si="0"/>
        <v>127400000</v>
      </c>
    </row>
    <row r="59" spans="1:15">
      <c r="A59" s="1865" t="s">
        <v>569</v>
      </c>
      <c r="C59" s="3427"/>
      <c r="D59" s="3253"/>
      <c r="E59" s="3247">
        <v>617398</v>
      </c>
      <c r="F59" s="3258"/>
      <c r="G59" s="3247">
        <v>240562</v>
      </c>
      <c r="H59" s="3247"/>
      <c r="I59" s="3250">
        <v>0</v>
      </c>
      <c r="J59" s="3258"/>
      <c r="K59" s="3250">
        <v>0</v>
      </c>
      <c r="L59" s="3258"/>
      <c r="M59" s="3250">
        <v>0</v>
      </c>
      <c r="N59" s="3258"/>
      <c r="O59" s="3247">
        <f t="shared" si="0"/>
        <v>857960</v>
      </c>
    </row>
    <row r="60" spans="1:15">
      <c r="A60" s="1865" t="s">
        <v>570</v>
      </c>
      <c r="C60" s="3427"/>
      <c r="D60" s="3253"/>
      <c r="E60" s="3247">
        <v>253540</v>
      </c>
      <c r="F60" s="3258"/>
      <c r="G60" s="3247">
        <v>318984</v>
      </c>
      <c r="H60" s="3247"/>
      <c r="I60" s="3250">
        <v>55412</v>
      </c>
      <c r="J60" s="3258"/>
      <c r="K60" s="3250">
        <v>0</v>
      </c>
      <c r="L60" s="3258"/>
      <c r="M60" s="3250">
        <v>0</v>
      </c>
      <c r="N60" s="3258"/>
      <c r="O60" s="3247">
        <f t="shared" si="0"/>
        <v>627936</v>
      </c>
    </row>
    <row r="61" spans="1:15">
      <c r="A61" s="1865" t="s">
        <v>571</v>
      </c>
      <c r="C61" s="3427"/>
      <c r="D61" s="3253"/>
      <c r="E61" s="3247">
        <v>0</v>
      </c>
      <c r="F61" s="3247"/>
      <c r="G61" s="3247">
        <v>0</v>
      </c>
      <c r="H61" s="3247"/>
      <c r="I61" s="3250">
        <v>0</v>
      </c>
      <c r="J61" s="3247"/>
      <c r="K61" s="3250">
        <v>0</v>
      </c>
      <c r="L61" s="3247"/>
      <c r="M61" s="3250">
        <v>0</v>
      </c>
      <c r="N61" s="3247"/>
      <c r="O61" s="3247">
        <f t="shared" si="0"/>
        <v>0</v>
      </c>
    </row>
    <row r="62" spans="1:15">
      <c r="A62" s="1865" t="s">
        <v>572</v>
      </c>
      <c r="C62" s="3427"/>
      <c r="D62" s="3253"/>
      <c r="E62" s="3247">
        <v>0</v>
      </c>
      <c r="F62" s="3247"/>
      <c r="G62" s="3247">
        <v>0</v>
      </c>
      <c r="H62" s="3247"/>
      <c r="I62" s="3250">
        <v>0</v>
      </c>
      <c r="J62" s="3247"/>
      <c r="K62" s="3250">
        <v>0</v>
      </c>
      <c r="L62" s="3247"/>
      <c r="M62" s="3250">
        <v>3000000</v>
      </c>
      <c r="N62" s="3247"/>
      <c r="O62" s="3247">
        <f t="shared" si="0"/>
        <v>3000000</v>
      </c>
    </row>
    <row r="63" spans="1:15">
      <c r="A63" s="1865" t="s">
        <v>573</v>
      </c>
      <c r="C63" s="3427"/>
      <c r="D63" s="3253"/>
      <c r="E63" s="3247">
        <v>632079</v>
      </c>
      <c r="F63" s="3247"/>
      <c r="G63" s="3247">
        <v>397083</v>
      </c>
      <c r="H63" s="3247"/>
      <c r="I63" s="3250">
        <v>0</v>
      </c>
      <c r="J63" s="3247"/>
      <c r="K63" s="3250">
        <v>0</v>
      </c>
      <c r="L63" s="3247"/>
      <c r="M63" s="3250">
        <v>736773</v>
      </c>
      <c r="N63" s="3247"/>
      <c r="O63" s="3247">
        <f t="shared" si="0"/>
        <v>1765935</v>
      </c>
    </row>
    <row r="64" spans="1:15">
      <c r="A64" s="1865" t="s">
        <v>574</v>
      </c>
      <c r="C64" s="3427"/>
      <c r="D64" s="3253"/>
      <c r="E64" s="3247">
        <v>21777000</v>
      </c>
      <c r="F64" s="3247"/>
      <c r="G64" s="3247">
        <v>21777000</v>
      </c>
      <c r="H64" s="3247"/>
      <c r="I64" s="3250">
        <v>0</v>
      </c>
      <c r="J64" s="3247"/>
      <c r="K64" s="3250">
        <v>21777000</v>
      </c>
      <c r="L64" s="3247"/>
      <c r="M64" s="3250">
        <v>0</v>
      </c>
      <c r="N64" s="3247"/>
      <c r="O64" s="3247">
        <f t="shared" si="0"/>
        <v>65331000</v>
      </c>
    </row>
    <row r="65" spans="1:15">
      <c r="A65" s="1865" t="s">
        <v>575</v>
      </c>
      <c r="C65" s="3427"/>
      <c r="D65" s="3253"/>
      <c r="E65" s="3247">
        <v>0</v>
      </c>
      <c r="F65" s="3247"/>
      <c r="G65" s="3247">
        <v>0</v>
      </c>
      <c r="H65" s="3247"/>
      <c r="I65" s="3250">
        <v>0</v>
      </c>
      <c r="J65" s="3247"/>
      <c r="K65" s="3250">
        <v>0</v>
      </c>
      <c r="L65" s="3247"/>
      <c r="M65" s="3250">
        <v>0</v>
      </c>
      <c r="N65" s="3247"/>
      <c r="O65" s="3247">
        <f t="shared" si="0"/>
        <v>0</v>
      </c>
    </row>
    <row r="66" spans="1:15">
      <c r="A66" s="1865" t="s">
        <v>576</v>
      </c>
      <c r="C66" s="3427"/>
      <c r="D66" s="3253"/>
      <c r="E66" s="3247">
        <v>49123</v>
      </c>
      <c r="F66" s="3258"/>
      <c r="G66" s="3247">
        <v>2865396</v>
      </c>
      <c r="H66" s="3247"/>
      <c r="I66" s="3250">
        <v>237697</v>
      </c>
      <c r="J66" s="3258"/>
      <c r="K66" s="3250">
        <v>894100</v>
      </c>
      <c r="L66" s="3258"/>
      <c r="M66" s="3250">
        <v>1281639</v>
      </c>
      <c r="N66" s="3258"/>
      <c r="O66" s="3247">
        <f t="shared" si="0"/>
        <v>5327955</v>
      </c>
    </row>
    <row r="67" spans="1:15">
      <c r="A67" s="1865" t="s">
        <v>577</v>
      </c>
      <c r="C67" s="3427"/>
      <c r="D67" s="3253"/>
      <c r="E67" s="3247">
        <v>1487458</v>
      </c>
      <c r="F67" s="3258"/>
      <c r="G67" s="3247">
        <v>1644337</v>
      </c>
      <c r="H67" s="3247"/>
      <c r="I67" s="3250">
        <v>80792</v>
      </c>
      <c r="J67" s="3258"/>
      <c r="K67" s="3250">
        <v>1033167</v>
      </c>
      <c r="L67" s="3258"/>
      <c r="M67" s="3250">
        <v>193340</v>
      </c>
      <c r="N67" s="3258"/>
      <c r="O67" s="3247">
        <f t="shared" si="0"/>
        <v>4439094</v>
      </c>
    </row>
    <row r="68" spans="1:15">
      <c r="A68" s="1865" t="s">
        <v>578</v>
      </c>
      <c r="C68" s="3427"/>
      <c r="D68" s="3253"/>
      <c r="E68" s="3247">
        <v>0</v>
      </c>
      <c r="F68" s="3247"/>
      <c r="G68" s="3247">
        <v>0</v>
      </c>
      <c r="H68" s="3247"/>
      <c r="I68" s="3250">
        <v>0</v>
      </c>
      <c r="J68" s="3247"/>
      <c r="K68" s="3250">
        <v>0</v>
      </c>
      <c r="L68" s="3247"/>
      <c r="M68" s="3250">
        <v>2644000</v>
      </c>
      <c r="N68" s="3247"/>
      <c r="O68" s="3247">
        <f t="shared" si="0"/>
        <v>2644000</v>
      </c>
    </row>
    <row r="69" spans="1:15">
      <c r="A69" s="1865" t="s">
        <v>579</v>
      </c>
      <c r="C69" s="3427"/>
      <c r="D69" s="3253"/>
      <c r="E69" s="3247">
        <v>0</v>
      </c>
      <c r="F69" s="3247"/>
      <c r="G69" s="3247">
        <v>0</v>
      </c>
      <c r="H69" s="3247"/>
      <c r="I69" s="3250">
        <v>0</v>
      </c>
      <c r="J69" s="3247"/>
      <c r="K69" s="3250">
        <v>0</v>
      </c>
      <c r="L69" s="3247"/>
      <c r="M69" s="3250">
        <v>5288000</v>
      </c>
      <c r="N69" s="3247"/>
      <c r="O69" s="3247">
        <f t="shared" si="0"/>
        <v>5288000</v>
      </c>
    </row>
    <row r="70" spans="1:15">
      <c r="A70" s="1865" t="s">
        <v>580</v>
      </c>
      <c r="C70" s="3427"/>
      <c r="D70" s="3253"/>
      <c r="E70" s="3247">
        <v>0</v>
      </c>
      <c r="F70" s="3247"/>
      <c r="G70" s="3247">
        <v>0</v>
      </c>
      <c r="H70" s="3247"/>
      <c r="I70" s="3250">
        <v>0</v>
      </c>
      <c r="J70" s="3247"/>
      <c r="K70" s="3250">
        <v>0</v>
      </c>
      <c r="L70" s="3247"/>
      <c r="M70" s="3250">
        <v>0</v>
      </c>
      <c r="N70" s="3247"/>
      <c r="O70" s="3247">
        <f t="shared" si="0"/>
        <v>0</v>
      </c>
    </row>
    <row r="71" spans="1:15">
      <c r="A71" s="1865" t="s">
        <v>1129</v>
      </c>
      <c r="C71" s="3427"/>
      <c r="D71" s="3253"/>
      <c r="E71" s="3247">
        <v>0</v>
      </c>
      <c r="F71" s="3247"/>
      <c r="G71" s="3247">
        <v>0</v>
      </c>
      <c r="H71" s="3247"/>
      <c r="I71" s="3250">
        <v>0</v>
      </c>
      <c r="J71" s="3247"/>
      <c r="K71" s="3250">
        <v>0</v>
      </c>
      <c r="L71" s="3247"/>
      <c r="M71" s="3250">
        <v>0</v>
      </c>
      <c r="N71" s="3247"/>
      <c r="O71" s="3247">
        <f t="shared" si="0"/>
        <v>0</v>
      </c>
    </row>
    <row r="72" spans="1:15">
      <c r="A72" s="3242" t="s">
        <v>581</v>
      </c>
      <c r="B72" s="3226"/>
      <c r="C72" s="3424">
        <v>26412176000</v>
      </c>
      <c r="D72" s="3262"/>
      <c r="E72" s="3247"/>
      <c r="F72" s="3250"/>
      <c r="G72" s="3247"/>
      <c r="H72" s="3247"/>
      <c r="I72" s="3250"/>
      <c r="J72" s="3250"/>
      <c r="K72" s="3250"/>
      <c r="L72" s="3250"/>
      <c r="M72" s="3250"/>
      <c r="N72" s="3250"/>
      <c r="O72" s="3247"/>
    </row>
    <row r="73" spans="1:15">
      <c r="A73" s="1865" t="s">
        <v>1229</v>
      </c>
      <c r="B73" s="3225"/>
      <c r="C73" s="3426"/>
      <c r="D73" s="3253"/>
      <c r="E73" s="3247">
        <v>0</v>
      </c>
      <c r="F73" s="3247"/>
      <c r="G73" s="3247">
        <v>0</v>
      </c>
      <c r="H73" s="3247"/>
      <c r="I73" s="3248">
        <v>0</v>
      </c>
      <c r="J73" s="3247"/>
      <c r="K73" s="3248">
        <v>0</v>
      </c>
      <c r="L73" s="3247"/>
      <c r="M73" s="3248">
        <v>0</v>
      </c>
      <c r="N73" s="3247"/>
      <c r="O73" s="3247">
        <f t="shared" si="0"/>
        <v>0</v>
      </c>
    </row>
    <row r="74" spans="1:15">
      <c r="A74" s="1865" t="s">
        <v>582</v>
      </c>
      <c r="B74" s="3225"/>
      <c r="C74" s="3426"/>
      <c r="D74" s="3263"/>
      <c r="E74" s="3247">
        <v>0</v>
      </c>
      <c r="F74" s="3247"/>
      <c r="G74" s="3247">
        <v>0</v>
      </c>
      <c r="H74" s="3247"/>
      <c r="I74" s="3248">
        <v>0</v>
      </c>
      <c r="J74" s="3247"/>
      <c r="K74" s="3248">
        <v>0</v>
      </c>
      <c r="L74" s="3247"/>
      <c r="M74" s="3248">
        <v>0</v>
      </c>
      <c r="N74" s="3247"/>
      <c r="O74" s="3247">
        <f t="shared" si="0"/>
        <v>0</v>
      </c>
    </row>
    <row r="75" spans="1:15">
      <c r="A75" s="1865" t="s">
        <v>583</v>
      </c>
      <c r="B75" s="3225"/>
      <c r="C75" s="3426"/>
      <c r="D75" s="3263"/>
      <c r="E75" s="3247">
        <v>0</v>
      </c>
      <c r="F75" s="3247"/>
      <c r="G75" s="3247">
        <v>0</v>
      </c>
      <c r="H75" s="3247"/>
      <c r="I75" s="3248">
        <v>0</v>
      </c>
      <c r="J75" s="3247"/>
      <c r="K75" s="3248">
        <v>0</v>
      </c>
      <c r="L75" s="3247"/>
      <c r="M75" s="3248">
        <v>0</v>
      </c>
      <c r="N75" s="3247"/>
      <c r="O75" s="3247">
        <f t="shared" si="0"/>
        <v>0</v>
      </c>
    </row>
    <row r="76" spans="1:15">
      <c r="A76" s="1865" t="s">
        <v>584</v>
      </c>
      <c r="B76" s="3264"/>
      <c r="C76" s="3426"/>
      <c r="D76" s="3263"/>
      <c r="E76" s="3247">
        <v>0</v>
      </c>
      <c r="F76" s="3247"/>
      <c r="G76" s="3247">
        <v>0</v>
      </c>
      <c r="H76" s="3247"/>
      <c r="I76" s="3248">
        <v>0</v>
      </c>
      <c r="J76" s="3247"/>
      <c r="K76" s="3248">
        <v>0</v>
      </c>
      <c r="L76" s="3247"/>
      <c r="M76" s="3248">
        <v>0</v>
      </c>
      <c r="N76" s="3247"/>
      <c r="O76" s="3247">
        <f t="shared" ref="O76:O95" si="1">ROUND(SUM(E76)+G76+I76+K76+M76,0)</f>
        <v>0</v>
      </c>
    </row>
    <row r="77" spans="1:15">
      <c r="A77" s="3265" t="s">
        <v>585</v>
      </c>
      <c r="B77" s="3266"/>
      <c r="C77" s="3426"/>
      <c r="D77" s="3263"/>
      <c r="E77" s="3247">
        <v>0</v>
      </c>
      <c r="F77" s="3247"/>
      <c r="G77" s="3247">
        <v>0</v>
      </c>
      <c r="H77" s="3247"/>
      <c r="I77" s="3248">
        <v>0</v>
      </c>
      <c r="J77" s="3247"/>
      <c r="K77" s="3248">
        <v>0</v>
      </c>
      <c r="L77" s="3247"/>
      <c r="M77" s="3248">
        <v>0</v>
      </c>
      <c r="N77" s="3247"/>
      <c r="O77" s="3247">
        <f t="shared" si="1"/>
        <v>0</v>
      </c>
    </row>
    <row r="78" spans="1:15">
      <c r="A78" s="1865" t="s">
        <v>586</v>
      </c>
      <c r="B78" s="3225"/>
      <c r="C78" s="3426"/>
      <c r="D78" s="3253"/>
      <c r="E78" s="3247">
        <v>0</v>
      </c>
      <c r="F78" s="3247"/>
      <c r="G78" s="3247">
        <v>0</v>
      </c>
      <c r="H78" s="3247"/>
      <c r="I78" s="3250">
        <v>0</v>
      </c>
      <c r="J78" s="3247"/>
      <c r="K78" s="3250">
        <v>0</v>
      </c>
      <c r="L78" s="3247"/>
      <c r="M78" s="3250">
        <v>0</v>
      </c>
      <c r="N78" s="3247"/>
      <c r="O78" s="3247">
        <f t="shared" si="1"/>
        <v>0</v>
      </c>
    </row>
    <row r="79" spans="1:15">
      <c r="A79" s="1869" t="s">
        <v>587</v>
      </c>
      <c r="B79" s="3267"/>
      <c r="C79" s="3426"/>
      <c r="D79" s="3268"/>
      <c r="E79" s="3247">
        <v>187376824</v>
      </c>
      <c r="F79" s="3250"/>
      <c r="G79" s="3247">
        <v>266021932</v>
      </c>
      <c r="H79" s="3247"/>
      <c r="I79" s="3248">
        <v>89879645</v>
      </c>
      <c r="J79" s="3250"/>
      <c r="K79" s="3248">
        <v>57794889</v>
      </c>
      <c r="L79" s="3250"/>
      <c r="M79" s="3248">
        <v>61031245</v>
      </c>
      <c r="N79" s="3250"/>
      <c r="O79" s="3247">
        <f t="shared" si="1"/>
        <v>662104535</v>
      </c>
    </row>
    <row r="80" spans="1:15">
      <c r="A80" s="1865" t="s">
        <v>588</v>
      </c>
      <c r="B80" s="3269"/>
      <c r="C80" s="3426"/>
      <c r="D80" s="3245"/>
      <c r="E80" s="3247">
        <v>816092000</v>
      </c>
      <c r="F80" s="3247"/>
      <c r="G80" s="3247">
        <v>909796000</v>
      </c>
      <c r="H80" s="3247"/>
      <c r="I80" s="3248">
        <v>349335000</v>
      </c>
      <c r="J80" s="3247"/>
      <c r="K80" s="3248">
        <v>361065000</v>
      </c>
      <c r="L80" s="3247"/>
      <c r="M80" s="3248">
        <v>227809000</v>
      </c>
      <c r="N80" s="3247"/>
      <c r="O80" s="3247">
        <f t="shared" si="1"/>
        <v>2664097000</v>
      </c>
    </row>
    <row r="81" spans="1:15">
      <c r="A81" s="1865" t="s">
        <v>589</v>
      </c>
      <c r="B81" s="3270"/>
      <c r="C81" s="3426"/>
      <c r="D81" s="3271"/>
      <c r="E81" s="3247">
        <v>0</v>
      </c>
      <c r="F81" s="3247"/>
      <c r="G81" s="3247">
        <v>0</v>
      </c>
      <c r="H81" s="3247"/>
      <c r="I81" s="3248">
        <v>0</v>
      </c>
      <c r="J81" s="3247"/>
      <c r="K81" s="3248">
        <v>0</v>
      </c>
      <c r="L81" s="3247"/>
      <c r="M81" s="3248">
        <v>0</v>
      </c>
      <c r="N81" s="3247"/>
      <c r="O81" s="3247">
        <f t="shared" si="1"/>
        <v>0</v>
      </c>
    </row>
    <row r="82" spans="1:15">
      <c r="A82" s="1865" t="s">
        <v>590</v>
      </c>
      <c r="B82" s="3270"/>
      <c r="C82" s="3426"/>
      <c r="D82" s="3271"/>
      <c r="E82" s="3247">
        <v>0</v>
      </c>
      <c r="F82" s="3247"/>
      <c r="G82" s="3247">
        <v>0</v>
      </c>
      <c r="H82" s="3247"/>
      <c r="I82" s="3248">
        <v>0</v>
      </c>
      <c r="J82" s="3247"/>
      <c r="K82" s="3248">
        <v>0</v>
      </c>
      <c r="L82" s="3247"/>
      <c r="M82" s="3248">
        <v>0</v>
      </c>
      <c r="N82" s="3247"/>
      <c r="O82" s="3247">
        <f t="shared" si="1"/>
        <v>0</v>
      </c>
    </row>
    <row r="83" spans="1:15">
      <c r="A83" s="1865" t="s">
        <v>591</v>
      </c>
      <c r="B83" s="3270"/>
      <c r="C83" s="3426"/>
      <c r="D83" s="3271"/>
      <c r="E83" s="3247">
        <v>0</v>
      </c>
      <c r="F83" s="3247"/>
      <c r="G83" s="3247">
        <v>0</v>
      </c>
      <c r="H83" s="3247"/>
      <c r="I83" s="3248">
        <v>0</v>
      </c>
      <c r="J83" s="3247"/>
      <c r="K83" s="3248">
        <v>0</v>
      </c>
      <c r="L83" s="3247"/>
      <c r="M83" s="3248">
        <v>0</v>
      </c>
      <c r="N83" s="3247"/>
      <c r="O83" s="3247">
        <f t="shared" si="1"/>
        <v>0</v>
      </c>
    </row>
    <row r="84" spans="1:15">
      <c r="A84" s="1865" t="s">
        <v>1131</v>
      </c>
      <c r="B84" s="3270"/>
      <c r="C84" s="3426"/>
      <c r="D84" s="3271"/>
      <c r="E84" s="3247">
        <v>0</v>
      </c>
      <c r="F84" s="3247"/>
      <c r="G84" s="3247">
        <v>0</v>
      </c>
      <c r="H84" s="3247"/>
      <c r="I84" s="3248">
        <v>0</v>
      </c>
      <c r="J84" s="3247"/>
      <c r="K84" s="3248">
        <v>0</v>
      </c>
      <c r="L84" s="3247"/>
      <c r="M84" s="3248">
        <v>0</v>
      </c>
      <c r="N84" s="3247"/>
      <c r="O84" s="3247">
        <f t="shared" si="1"/>
        <v>0</v>
      </c>
    </row>
    <row r="85" spans="1:15">
      <c r="A85" s="1865" t="s">
        <v>1130</v>
      </c>
      <c r="B85" s="3270"/>
      <c r="C85" s="3426"/>
      <c r="D85" s="3271"/>
      <c r="E85" s="3247">
        <v>0</v>
      </c>
      <c r="F85" s="3247"/>
      <c r="G85" s="3247">
        <v>0</v>
      </c>
      <c r="H85" s="3247"/>
      <c r="I85" s="3248">
        <v>0</v>
      </c>
      <c r="J85" s="3247"/>
      <c r="K85" s="3248">
        <v>0</v>
      </c>
      <c r="L85" s="3247"/>
      <c r="M85" s="3248">
        <v>0</v>
      </c>
      <c r="N85" s="3247"/>
      <c r="O85" s="3247">
        <f t="shared" si="1"/>
        <v>0</v>
      </c>
    </row>
    <row r="86" spans="1:15">
      <c r="A86" s="1865" t="s">
        <v>592</v>
      </c>
      <c r="B86" s="3270"/>
      <c r="C86" s="3426"/>
      <c r="D86" s="3271"/>
      <c r="E86" s="3247">
        <v>0</v>
      </c>
      <c r="F86" s="3247"/>
      <c r="G86" s="3247">
        <v>0</v>
      </c>
      <c r="H86" s="3247"/>
      <c r="I86" s="3248">
        <v>0</v>
      </c>
      <c r="J86" s="3247"/>
      <c r="K86" s="3248">
        <v>0</v>
      </c>
      <c r="L86" s="3247"/>
      <c r="M86" s="3248">
        <v>0</v>
      </c>
      <c r="N86" s="3247"/>
      <c r="O86" s="3247">
        <f t="shared" si="1"/>
        <v>0</v>
      </c>
    </row>
    <row r="87" spans="1:15">
      <c r="A87" s="3242" t="s">
        <v>593</v>
      </c>
      <c r="B87" s="3272"/>
      <c r="C87" s="3424">
        <v>9664200</v>
      </c>
      <c r="D87" s="3273"/>
      <c r="E87" s="3247"/>
      <c r="F87" s="3247"/>
      <c r="G87" s="3247"/>
      <c r="H87" s="3247"/>
      <c r="I87" s="3250"/>
      <c r="J87" s="3247"/>
      <c r="K87" s="3250"/>
      <c r="L87" s="3247"/>
      <c r="M87" s="3250"/>
      <c r="N87" s="3247"/>
      <c r="O87" s="3247"/>
    </row>
    <row r="88" spans="1:15">
      <c r="A88" s="1865" t="s">
        <v>594</v>
      </c>
      <c r="B88" s="3274"/>
      <c r="C88" s="3426"/>
      <c r="D88" s="3273"/>
      <c r="E88" s="3247">
        <v>356393</v>
      </c>
      <c r="F88" s="3247"/>
      <c r="G88" s="3247">
        <v>229701</v>
      </c>
      <c r="H88" s="3247"/>
      <c r="I88" s="3250">
        <v>48362</v>
      </c>
      <c r="J88" s="3247"/>
      <c r="K88" s="3250">
        <v>137551</v>
      </c>
      <c r="L88" s="3247"/>
      <c r="M88" s="3250">
        <v>92196</v>
      </c>
      <c r="N88" s="3247"/>
      <c r="O88" s="3247">
        <f t="shared" si="1"/>
        <v>864203</v>
      </c>
    </row>
    <row r="89" spans="1:15">
      <c r="A89" s="3242" t="s">
        <v>595</v>
      </c>
      <c r="B89" s="3275"/>
      <c r="C89" s="3424">
        <v>47052200</v>
      </c>
      <c r="D89" s="3253"/>
      <c r="E89" s="3247"/>
      <c r="F89" s="3247"/>
      <c r="G89" s="3247"/>
      <c r="H89" s="3247"/>
      <c r="I89" s="3276"/>
      <c r="J89" s="3247"/>
      <c r="K89" s="3276"/>
      <c r="L89" s="3247"/>
      <c r="M89" s="3276"/>
      <c r="N89" s="3247"/>
      <c r="O89" s="3247"/>
    </row>
    <row r="90" spans="1:15">
      <c r="A90" s="1865" t="s">
        <v>596</v>
      </c>
      <c r="B90" s="3277"/>
      <c r="C90" s="3426"/>
      <c r="D90" s="3253"/>
      <c r="E90" s="3247">
        <v>3640524</v>
      </c>
      <c r="F90" s="3250"/>
      <c r="G90" s="3247">
        <v>5154470</v>
      </c>
      <c r="H90" s="3247"/>
      <c r="I90" s="3276">
        <v>782991</v>
      </c>
      <c r="J90" s="3250"/>
      <c r="K90" s="3276">
        <v>1580880</v>
      </c>
      <c r="L90" s="3250"/>
      <c r="M90" s="3276">
        <v>936409</v>
      </c>
      <c r="N90" s="3250"/>
      <c r="O90" s="3247">
        <f t="shared" si="1"/>
        <v>12095274</v>
      </c>
    </row>
    <row r="91" spans="1:15">
      <c r="A91" s="3242" t="s">
        <v>597</v>
      </c>
      <c r="B91" s="3278"/>
      <c r="C91" s="3424">
        <v>8582001</v>
      </c>
      <c r="D91" s="3279"/>
      <c r="E91" s="3247"/>
      <c r="F91" s="3247"/>
      <c r="G91" s="3247"/>
      <c r="H91" s="3247"/>
      <c r="I91" s="3248"/>
      <c r="J91" s="3247"/>
      <c r="K91" s="3248"/>
      <c r="L91" s="3247"/>
      <c r="M91" s="3248"/>
      <c r="N91" s="3247"/>
      <c r="O91" s="3247"/>
    </row>
    <row r="92" spans="1:15">
      <c r="A92" s="1865" t="s">
        <v>598</v>
      </c>
      <c r="B92" s="3280"/>
      <c r="C92" s="3428"/>
      <c r="D92" s="3279"/>
      <c r="E92" s="3247">
        <v>0</v>
      </c>
      <c r="F92" s="3247"/>
      <c r="G92" s="3247">
        <v>0</v>
      </c>
      <c r="H92" s="3247"/>
      <c r="I92" s="3248">
        <v>0</v>
      </c>
      <c r="J92" s="3247"/>
      <c r="K92" s="3248">
        <v>0</v>
      </c>
      <c r="L92" s="3247"/>
      <c r="M92" s="3248">
        <v>0</v>
      </c>
      <c r="N92" s="3247"/>
      <c r="O92" s="3247">
        <f t="shared" si="1"/>
        <v>0</v>
      </c>
    </row>
    <row r="93" spans="1:15">
      <c r="A93" s="1865" t="s">
        <v>599</v>
      </c>
      <c r="B93" s="3280"/>
      <c r="C93" s="3428"/>
      <c r="D93" s="3279"/>
      <c r="E93" s="3247">
        <v>0</v>
      </c>
      <c r="F93" s="3247"/>
      <c r="G93" s="3247">
        <v>0</v>
      </c>
      <c r="H93" s="3247"/>
      <c r="I93" s="3248">
        <v>0</v>
      </c>
      <c r="J93" s="3247"/>
      <c r="K93" s="3248">
        <v>0</v>
      </c>
      <c r="L93" s="3247"/>
      <c r="M93" s="3248">
        <v>0</v>
      </c>
      <c r="N93" s="3247"/>
      <c r="O93" s="3247">
        <f t="shared" si="1"/>
        <v>0</v>
      </c>
    </row>
    <row r="94" spans="1:15">
      <c r="A94" s="1865" t="s">
        <v>600</v>
      </c>
      <c r="B94" s="3280"/>
      <c r="C94" s="3429"/>
      <c r="D94" s="3279"/>
      <c r="E94" s="3247">
        <v>0</v>
      </c>
      <c r="F94" s="3247"/>
      <c r="G94" s="3247">
        <v>0</v>
      </c>
      <c r="H94" s="3247"/>
      <c r="I94" s="3248">
        <v>0</v>
      </c>
      <c r="J94" s="3247"/>
      <c r="K94" s="3248">
        <v>0</v>
      </c>
      <c r="L94" s="3247"/>
      <c r="M94" s="3248">
        <v>0</v>
      </c>
      <c r="N94" s="3247"/>
      <c r="O94" s="3247">
        <f t="shared" si="1"/>
        <v>0</v>
      </c>
    </row>
    <row r="95" spans="1:15">
      <c r="A95" s="1865" t="s">
        <v>601</v>
      </c>
      <c r="B95" s="1869"/>
      <c r="C95" s="3429"/>
      <c r="D95" s="3263"/>
      <c r="E95" s="3247">
        <v>0</v>
      </c>
      <c r="F95" s="3247"/>
      <c r="G95" s="3247">
        <v>0</v>
      </c>
      <c r="H95" s="3247"/>
      <c r="I95" s="3248">
        <v>0</v>
      </c>
      <c r="J95" s="3247"/>
      <c r="K95" s="3248">
        <v>0</v>
      </c>
      <c r="L95" s="3247"/>
      <c r="M95" s="3248">
        <v>0</v>
      </c>
      <c r="N95" s="3247"/>
      <c r="O95" s="3247">
        <f t="shared" si="1"/>
        <v>0</v>
      </c>
    </row>
    <row r="96" spans="1:15">
      <c r="A96" s="3281" t="s">
        <v>58</v>
      </c>
      <c r="B96" s="3282"/>
      <c r="C96" s="3283">
        <f>ROUND(SUM(C9:C95),0)</f>
        <v>29790268967</v>
      </c>
      <c r="D96" s="3284"/>
      <c r="E96" s="3285">
        <f>ROUND(SUM(E9:E95),0)</f>
        <v>1152934022</v>
      </c>
      <c r="F96" s="3285"/>
      <c r="G96" s="3285">
        <f t="shared" ref="G96:I96" si="2">ROUND(SUM(G9:G95),0)</f>
        <v>1558149998</v>
      </c>
      <c r="H96" s="3285"/>
      <c r="I96" s="3285">
        <f t="shared" si="2"/>
        <v>459895256</v>
      </c>
      <c r="J96" s="3285"/>
      <c r="K96" s="3285">
        <f t="shared" ref="K96" si="3">ROUND(SUM(K9:K95),0)</f>
        <v>477640925</v>
      </c>
      <c r="L96" s="3285"/>
      <c r="M96" s="3285">
        <f t="shared" ref="M96" si="4">ROUND(SUM(M9:M95),0)</f>
        <v>366736233</v>
      </c>
      <c r="N96" s="3285"/>
      <c r="O96" s="3285">
        <f>ROUND(SUM(O9:O95),0)</f>
        <v>4015356434</v>
      </c>
    </row>
    <row r="97" spans="1:17" s="1880" customFormat="1" ht="26.4">
      <c r="A97" s="3286" t="s">
        <v>602</v>
      </c>
      <c r="B97" s="3287"/>
      <c r="C97" s="3288">
        <v>89000</v>
      </c>
      <c r="D97" s="3289"/>
      <c r="E97" s="3276"/>
      <c r="F97" s="3276"/>
      <c r="G97" s="3276"/>
      <c r="H97" s="3276"/>
      <c r="I97" s="3276"/>
      <c r="J97" s="3276"/>
      <c r="K97" s="3276"/>
      <c r="L97" s="3276"/>
      <c r="M97" s="3276"/>
      <c r="N97" s="3276"/>
      <c r="O97" s="3526"/>
      <c r="P97" s="2538"/>
      <c r="Q97" s="1152"/>
    </row>
    <row r="98" spans="1:17" s="1880" customFormat="1">
      <c r="A98" s="3290" t="s">
        <v>603</v>
      </c>
      <c r="B98" s="3287"/>
      <c r="C98" s="3403"/>
      <c r="D98" s="3289"/>
      <c r="E98" s="3247">
        <v>-2542102</v>
      </c>
      <c r="F98" s="3247"/>
      <c r="G98" s="3247">
        <v>-2541492</v>
      </c>
      <c r="H98" s="3247"/>
      <c r="I98" s="3247">
        <v>-527210</v>
      </c>
      <c r="J98" s="3247"/>
      <c r="K98" s="3247">
        <v>-608183</v>
      </c>
      <c r="L98" s="3247"/>
      <c r="M98" s="3247">
        <v>-656718</v>
      </c>
      <c r="N98" s="3247"/>
      <c r="O98" s="3291">
        <f>ROUND(SUM(E98)+G98+I98+K98+M98,0)</f>
        <v>-6875705</v>
      </c>
      <c r="P98" s="2538"/>
      <c r="Q98" s="1152"/>
    </row>
    <row r="99" spans="1:17" s="1880" customFormat="1">
      <c r="A99" s="3290" t="s">
        <v>1509</v>
      </c>
      <c r="B99" s="3287"/>
      <c r="C99" s="3403"/>
      <c r="D99" s="3289"/>
      <c r="E99" s="3247"/>
      <c r="F99" s="3247"/>
      <c r="G99" s="3247"/>
      <c r="H99" s="3247"/>
      <c r="I99" s="3247"/>
      <c r="J99" s="3247"/>
      <c r="K99" s="3247"/>
      <c r="L99" s="3247"/>
      <c r="M99" s="3247"/>
      <c r="N99" s="3247"/>
      <c r="O99" s="3291"/>
      <c r="P99" s="2538"/>
      <c r="Q99" s="1152"/>
    </row>
    <row r="100" spans="1:17" s="1880" customFormat="1">
      <c r="A100" s="3290" t="s">
        <v>604</v>
      </c>
      <c r="B100" s="3292"/>
      <c r="C100" s="3288"/>
      <c r="D100" s="3293"/>
      <c r="E100" s="3247">
        <v>-1617</v>
      </c>
      <c r="F100" s="3238"/>
      <c r="G100" s="3238">
        <v>-1673</v>
      </c>
      <c r="H100" s="3238"/>
      <c r="I100" s="3238">
        <v>1159</v>
      </c>
      <c r="J100" s="3238"/>
      <c r="K100" s="3288">
        <v>-3798</v>
      </c>
      <c r="L100" s="3238"/>
      <c r="M100" s="3288">
        <v>5395</v>
      </c>
      <c r="N100" s="3238"/>
      <c r="O100" s="3291">
        <f>ROUND(SUM(E100)+G100+I100+K100+M100,0)</f>
        <v>-534</v>
      </c>
      <c r="P100" s="2538"/>
      <c r="Q100" s="1152"/>
    </row>
    <row r="101" spans="1:17" s="1880" customFormat="1" ht="13.8" thickBot="1">
      <c r="A101" s="3281" t="s">
        <v>1698</v>
      </c>
      <c r="B101" s="3226"/>
      <c r="C101" s="3404">
        <f>ROUND(SUM(C96:C100),0)</f>
        <v>29790357967</v>
      </c>
      <c r="D101" s="3294"/>
      <c r="E101" s="3295">
        <f>ROUND(SUM(E96:E100),0)</f>
        <v>1150390303</v>
      </c>
      <c r="F101" s="3296"/>
      <c r="G101" s="3295">
        <f t="shared" ref="G101:I101" si="5">ROUND(SUM(G96:G100),0)</f>
        <v>1555606833</v>
      </c>
      <c r="H101" s="3296"/>
      <c r="I101" s="3295">
        <f t="shared" si="5"/>
        <v>459369205</v>
      </c>
      <c r="J101" s="3296"/>
      <c r="K101" s="3295">
        <f t="shared" ref="K101" si="6">ROUND(SUM(K96:K100),0)</f>
        <v>477028944</v>
      </c>
      <c r="L101" s="3296"/>
      <c r="M101" s="3295">
        <f t="shared" ref="M101" si="7">ROUND(SUM(M96:M100),0)</f>
        <v>366084910</v>
      </c>
      <c r="N101" s="3296"/>
      <c r="O101" s="3295">
        <f>ROUND(SUM(O96:O100),0)</f>
        <v>4008480195</v>
      </c>
      <c r="P101" s="2538"/>
      <c r="Q101" s="1152"/>
    </row>
    <row r="102" spans="1:17" ht="13.8" thickTop="1">
      <c r="A102" s="3297"/>
      <c r="B102" s="3227"/>
      <c r="C102" s="3405"/>
      <c r="D102" s="1870"/>
      <c r="E102" s="3298"/>
      <c r="F102" s="3298"/>
      <c r="G102" s="3298"/>
      <c r="H102" s="3298"/>
      <c r="I102" s="3298"/>
      <c r="J102" s="3298"/>
      <c r="K102" s="3298"/>
      <c r="L102" s="3298"/>
      <c r="M102" s="3298"/>
      <c r="N102" s="3298"/>
      <c r="O102" s="3527"/>
    </row>
    <row r="103" spans="1:17">
      <c r="A103" s="3299" t="s">
        <v>1547</v>
      </c>
      <c r="B103" s="3227"/>
      <c r="C103" s="3227"/>
      <c r="D103" s="1870"/>
      <c r="E103" s="3298"/>
      <c r="F103" s="3298"/>
      <c r="G103" s="3298"/>
      <c r="H103" s="3298"/>
      <c r="I103" s="3298"/>
      <c r="J103" s="3298"/>
      <c r="K103" s="3298"/>
      <c r="L103" s="3298"/>
      <c r="M103" s="3298"/>
      <c r="N103" s="3298"/>
      <c r="O103" s="3527"/>
    </row>
    <row r="104" spans="1:17">
      <c r="A104" s="3299" t="s">
        <v>1216</v>
      </c>
      <c r="B104" s="3227"/>
      <c r="C104" s="3227"/>
      <c r="D104" s="1870"/>
      <c r="E104" s="3298"/>
      <c r="F104" s="3298"/>
      <c r="G104" s="3298"/>
      <c r="H104" s="3298"/>
      <c r="I104" s="3298"/>
      <c r="J104" s="3298"/>
      <c r="K104" s="3298"/>
      <c r="L104" s="3298"/>
      <c r="M104" s="3298"/>
      <c r="N104" s="3298"/>
      <c r="O104" s="3527"/>
    </row>
    <row r="105" spans="1:17">
      <c r="A105" s="3300" t="s">
        <v>1179</v>
      </c>
      <c r="B105" s="3301"/>
      <c r="C105" s="3406"/>
      <c r="D105" s="1868"/>
      <c r="E105" s="3298"/>
      <c r="F105" s="3298"/>
      <c r="G105" s="3298"/>
      <c r="H105" s="3298"/>
      <c r="I105" s="3298"/>
      <c r="J105" s="3298"/>
      <c r="K105" s="3298"/>
      <c r="L105" s="3298"/>
      <c r="M105" s="3298"/>
      <c r="N105" s="3298"/>
      <c r="O105" s="3528"/>
    </row>
    <row r="106" spans="1:17">
      <c r="A106" s="3302" t="s">
        <v>1180</v>
      </c>
      <c r="B106" s="1870"/>
      <c r="C106" s="1870"/>
      <c r="D106" s="3280"/>
      <c r="E106" s="3224"/>
      <c r="F106" s="3224"/>
      <c r="G106" s="3224"/>
      <c r="H106" s="3224"/>
      <c r="I106" s="3224"/>
      <c r="J106" s="3224"/>
      <c r="K106" s="3224"/>
      <c r="L106" s="3224"/>
      <c r="M106" s="3224"/>
      <c r="N106" s="3224"/>
      <c r="O106" s="3523"/>
    </row>
    <row r="107" spans="1:17">
      <c r="A107" s="3302" t="s">
        <v>1181</v>
      </c>
      <c r="B107" s="1872"/>
      <c r="C107" s="3407"/>
      <c r="D107" s="1873"/>
      <c r="E107" s="3224"/>
      <c r="F107" s="3224"/>
      <c r="G107" s="3224"/>
      <c r="H107" s="3224"/>
      <c r="I107" s="3224"/>
      <c r="J107" s="3224"/>
      <c r="K107" s="3224"/>
      <c r="L107" s="3224"/>
      <c r="M107" s="3224"/>
      <c r="N107" s="3224"/>
      <c r="O107" s="3291"/>
    </row>
    <row r="108" spans="1:17" ht="15">
      <c r="B108" s="1872"/>
      <c r="C108" s="3408"/>
      <c r="D108" s="1873"/>
      <c r="E108" s="3383"/>
      <c r="F108" s="3383"/>
      <c r="G108" s="3383"/>
      <c r="H108" s="3383"/>
      <c r="I108" s="3383"/>
      <c r="J108" s="3383"/>
      <c r="K108" s="3410"/>
      <c r="L108" s="3224"/>
      <c r="M108" s="1866"/>
      <c r="N108" s="1866"/>
      <c r="O108" s="3538"/>
    </row>
    <row r="109" spans="1:17">
      <c r="B109" s="3384"/>
      <c r="C109" s="3540"/>
      <c r="D109" s="3385"/>
      <c r="E109" s="3385"/>
      <c r="F109" s="3385"/>
      <c r="G109" s="3385"/>
      <c r="H109" s="3385"/>
      <c r="I109" s="3385"/>
      <c r="J109" s="3385"/>
      <c r="K109" s="3385"/>
      <c r="L109" s="3541"/>
      <c r="M109" s="3542"/>
      <c r="N109" s="3542"/>
      <c r="O109" s="3543"/>
    </row>
    <row r="110" spans="1:17" ht="15">
      <c r="B110" s="1881"/>
      <c r="C110" s="3544"/>
      <c r="D110" s="1874"/>
      <c r="E110" s="1871"/>
      <c r="F110" s="1871"/>
      <c r="G110" s="1871"/>
      <c r="H110" s="1871"/>
      <c r="I110" s="1871"/>
      <c r="J110" s="1871"/>
      <c r="K110" s="3410"/>
      <c r="L110" s="3224"/>
      <c r="M110" s="1866"/>
      <c r="N110" s="1866"/>
      <c r="O110" s="3539"/>
    </row>
    <row r="111" spans="1:17" ht="15">
      <c r="B111" s="1881"/>
      <c r="C111" s="3544"/>
      <c r="D111" s="1874"/>
      <c r="E111" s="1871"/>
      <c r="F111" s="1871"/>
      <c r="G111" s="1871"/>
      <c r="H111" s="1871"/>
      <c r="I111" s="1871"/>
      <c r="J111" s="1871"/>
      <c r="K111" s="3410"/>
      <c r="L111" s="3224"/>
      <c r="M111" s="1866"/>
      <c r="N111" s="1866"/>
      <c r="O111" s="3539"/>
    </row>
    <row r="112" spans="1:17" ht="15">
      <c r="A112" s="1869"/>
      <c r="B112" s="1870"/>
      <c r="C112" s="1870"/>
      <c r="L112" s="3224"/>
      <c r="M112" s="1866"/>
      <c r="N112" s="1866"/>
      <c r="O112" s="3539"/>
    </row>
    <row r="113" spans="1:15">
      <c r="A113" s="1869"/>
      <c r="B113" s="1870"/>
      <c r="C113" s="1870"/>
      <c r="L113" s="3224"/>
      <c r="M113" s="1866"/>
      <c r="N113" s="1866"/>
      <c r="O113" s="3545"/>
    </row>
    <row r="114" spans="1:15" ht="15">
      <c r="C114" s="1865"/>
      <c r="L114" s="3224"/>
      <c r="M114" s="1866"/>
      <c r="N114" s="1866"/>
      <c r="O114" s="3539"/>
    </row>
    <row r="115" spans="1:15" ht="15">
      <c r="A115" s="1870"/>
      <c r="B115" s="1875"/>
      <c r="C115" s="1875"/>
      <c r="D115" s="1875"/>
      <c r="E115" s="1867"/>
      <c r="F115" s="1867"/>
      <c r="G115" s="1867"/>
      <c r="H115" s="1867"/>
      <c r="I115" s="1867"/>
      <c r="J115" s="1867"/>
      <c r="L115" s="3224"/>
      <c r="M115" s="1866"/>
      <c r="N115" s="1866"/>
      <c r="O115" s="3539"/>
    </row>
    <row r="116" spans="1:15" ht="12.75" customHeight="1">
      <c r="A116" s="1870"/>
      <c r="B116" s="1875"/>
      <c r="C116" s="1875"/>
      <c r="D116" s="1875"/>
      <c r="E116" s="1867"/>
      <c r="F116" s="1867"/>
      <c r="G116" s="1867"/>
      <c r="H116" s="1867"/>
      <c r="I116" s="1867"/>
      <c r="J116" s="1867"/>
      <c r="L116" s="3224"/>
      <c r="M116" s="1866"/>
      <c r="N116" s="1866"/>
      <c r="O116" s="3539"/>
    </row>
    <row r="117" spans="1:15" ht="12.75" customHeight="1">
      <c r="A117" s="1870"/>
      <c r="B117" s="1875"/>
      <c r="C117" s="3398"/>
      <c r="D117" s="1875"/>
      <c r="E117" s="1867"/>
      <c r="F117" s="1867"/>
      <c r="G117" s="1867"/>
      <c r="H117" s="1867"/>
      <c r="I117" s="1867"/>
      <c r="J117" s="1867"/>
    </row>
    <row r="118" spans="1:15" ht="12.75" customHeight="1">
      <c r="A118" s="1870"/>
      <c r="B118" s="1875"/>
      <c r="C118" s="3398"/>
      <c r="D118" s="1875"/>
      <c r="E118" s="1867"/>
      <c r="F118" s="1867"/>
      <c r="G118" s="1867"/>
      <c r="H118" s="1867"/>
      <c r="I118" s="1867"/>
      <c r="J118" s="1867"/>
    </row>
    <row r="119" spans="1:15">
      <c r="A119" s="1870"/>
      <c r="B119" s="1875"/>
      <c r="C119" s="339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3" firstPageNumber="49" fitToHeight="2" orientation="landscape" useFirstPageNumber="1" r:id="rId2"/>
  <headerFooter scaleWithDoc="0" alignWithMargins="0">
    <oddFooter>&amp;C&amp;8&amp;P</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autoPageBreaks="0" fitToPage="1"/>
  </sheetPr>
  <dimension ref="A1:J108"/>
  <sheetViews>
    <sheetView showGridLines="0" zoomScale="80" zoomScaleNormal="80" zoomScaleSheetLayoutView="79" workbookViewId="0"/>
  </sheetViews>
  <sheetFormatPr defaultColWidth="8.90625" defaultRowHeight="15"/>
  <cols>
    <col min="1" max="1" width="2.1796875" style="1405" customWidth="1"/>
    <col min="2" max="2" width="8.90625" style="1405"/>
    <col min="3" max="3" width="2.1796875" style="1405" customWidth="1"/>
    <col min="4" max="4" width="21.08984375" style="1405" bestFit="1" customWidth="1"/>
    <col min="5" max="5" width="2.1796875" style="1405" customWidth="1"/>
    <col min="6" max="6" width="58.6328125" style="1405" customWidth="1"/>
    <col min="7" max="7" width="2.1796875" style="1405" customWidth="1"/>
    <col min="8" max="8" width="16" style="1405" customWidth="1"/>
    <col min="9" max="9" width="2.1796875" style="1405" customWidth="1"/>
    <col min="10" max="10" width="18.453125" style="1405" bestFit="1" customWidth="1"/>
    <col min="11" max="11" width="8.90625" style="1405" customWidth="1"/>
    <col min="12" max="16384" width="8.90625" style="1405"/>
  </cols>
  <sheetData>
    <row r="1" spans="1:10">
      <c r="A1" s="1184" t="s">
        <v>1217</v>
      </c>
    </row>
    <row r="2" spans="1:10">
      <c r="A2" s="3233"/>
    </row>
    <row r="3" spans="1:10">
      <c r="A3" s="3430" t="s">
        <v>0</v>
      </c>
      <c r="B3" s="2961"/>
      <c r="C3" s="2961"/>
      <c r="D3" s="2961"/>
      <c r="E3" s="2961"/>
      <c r="F3" s="2961"/>
      <c r="G3" s="2961"/>
      <c r="H3" s="3431"/>
      <c r="I3" s="2962"/>
      <c r="J3" s="2963" t="s">
        <v>605</v>
      </c>
    </row>
    <row r="4" spans="1:10">
      <c r="A4" s="3432" t="s">
        <v>1699</v>
      </c>
      <c r="B4" s="3432"/>
      <c r="C4" s="3432"/>
      <c r="D4" s="3432"/>
      <c r="E4" s="3432"/>
      <c r="F4" s="3432"/>
      <c r="G4" s="3433"/>
      <c r="H4" s="3434"/>
      <c r="I4" s="3435"/>
      <c r="J4" s="3435"/>
    </row>
    <row r="5" spans="1:10">
      <c r="A5" s="3432" t="s">
        <v>606</v>
      </c>
      <c r="B5" s="3432"/>
      <c r="C5" s="3432"/>
      <c r="D5" s="3432"/>
      <c r="E5" s="3432"/>
      <c r="F5" s="3432"/>
      <c r="G5" s="3433"/>
      <c r="H5" s="3436"/>
      <c r="I5" s="3435"/>
      <c r="J5" s="3435"/>
    </row>
    <row r="6" spans="1:10" s="1406" customFormat="1" ht="11.4">
      <c r="A6" s="3437"/>
      <c r="B6" s="3438"/>
      <c r="C6" s="3438"/>
      <c r="D6" s="3437"/>
      <c r="E6" s="3437"/>
      <c r="F6" s="3437"/>
      <c r="G6" s="3437"/>
      <c r="H6" s="3437"/>
      <c r="I6" s="3437"/>
      <c r="J6" s="3439"/>
    </row>
    <row r="7" spans="1:10" s="1406" customFormat="1" ht="12">
      <c r="A7" s="3438"/>
      <c r="B7" s="3440" t="s">
        <v>607</v>
      </c>
      <c r="C7" s="3440"/>
      <c r="D7" s="3441"/>
      <c r="E7" s="3441"/>
      <c r="F7" s="3441"/>
      <c r="G7" s="3441"/>
      <c r="H7" s="3442"/>
      <c r="I7" s="3443"/>
      <c r="J7" s="3438"/>
    </row>
    <row r="8" spans="1:10" s="1406" customFormat="1" ht="12.6" thickBot="1">
      <c r="A8" s="3438"/>
      <c r="B8" s="3444" t="s">
        <v>609</v>
      </c>
      <c r="C8" s="3445"/>
      <c r="D8" s="3446" t="s">
        <v>610</v>
      </c>
      <c r="E8" s="3447"/>
      <c r="F8" s="3446" t="s">
        <v>528</v>
      </c>
      <c r="G8" s="3447"/>
      <c r="H8" s="3448" t="s">
        <v>1696</v>
      </c>
      <c r="I8" s="3449"/>
      <c r="J8" s="3450" t="s">
        <v>608</v>
      </c>
    </row>
    <row r="9" spans="1:10" s="1406" customFormat="1" ht="12">
      <c r="A9" s="3451" t="s">
        <v>611</v>
      </c>
      <c r="B9" s="2964"/>
      <c r="C9" s="2964"/>
      <c r="D9" s="2964"/>
      <c r="E9" s="3438"/>
      <c r="F9" s="3452"/>
      <c r="G9" s="3452"/>
      <c r="H9" s="2965"/>
      <c r="I9" s="2966"/>
      <c r="J9" s="2966"/>
    </row>
    <row r="10" spans="1:10" s="1406" customFormat="1" ht="12">
      <c r="A10" s="3451"/>
      <c r="B10" s="3453">
        <v>10.579000000000001</v>
      </c>
      <c r="C10" s="3451"/>
      <c r="D10" s="3454" t="s">
        <v>612</v>
      </c>
      <c r="E10" s="3438"/>
      <c r="F10" s="3455" t="s">
        <v>613</v>
      </c>
      <c r="G10" s="3456"/>
      <c r="H10" s="2967">
        <v>0</v>
      </c>
      <c r="I10" s="3457"/>
      <c r="J10" s="2968">
        <v>5824761.2400000002</v>
      </c>
    </row>
    <row r="11" spans="1:10" s="1406" customFormat="1" ht="12">
      <c r="A11" s="3451"/>
      <c r="B11" s="3453">
        <v>11.557</v>
      </c>
      <c r="C11" s="3451"/>
      <c r="D11" s="3454" t="s">
        <v>614</v>
      </c>
      <c r="E11" s="3438"/>
      <c r="F11" s="3455" t="s">
        <v>615</v>
      </c>
      <c r="G11" s="3455"/>
      <c r="H11" s="2969">
        <v>0</v>
      </c>
      <c r="I11" s="3458"/>
      <c r="J11" s="2965">
        <v>10057886.999999998</v>
      </c>
    </row>
    <row r="12" spans="1:10" s="1406" customFormat="1" ht="12">
      <c r="A12" s="3451"/>
      <c r="B12" s="3453">
        <v>45.024999999999999</v>
      </c>
      <c r="C12" s="3451"/>
      <c r="D12" s="3454" t="s">
        <v>616</v>
      </c>
      <c r="E12" s="3438"/>
      <c r="F12" s="3455" t="s">
        <v>617</v>
      </c>
      <c r="G12" s="3455"/>
      <c r="H12" s="2969">
        <v>0</v>
      </c>
      <c r="I12" s="3458"/>
      <c r="J12" s="2965">
        <v>399900</v>
      </c>
    </row>
    <row r="13" spans="1:10" s="1406" customFormat="1" ht="12">
      <c r="A13" s="3451"/>
      <c r="B13" s="3453">
        <v>84.033000000000001</v>
      </c>
      <c r="C13" s="3451"/>
      <c r="D13" s="3454" t="s">
        <v>618</v>
      </c>
      <c r="E13" s="3438"/>
      <c r="F13" s="3455" t="s">
        <v>619</v>
      </c>
      <c r="G13" s="3455"/>
      <c r="H13" s="2969">
        <v>0</v>
      </c>
      <c r="I13" s="3458"/>
      <c r="J13" s="2965">
        <v>2102760</v>
      </c>
    </row>
    <row r="14" spans="1:10" s="1406" customFormat="1" ht="12">
      <c r="A14" s="3451"/>
      <c r="B14" s="3453">
        <v>84.063000000000002</v>
      </c>
      <c r="C14" s="3451"/>
      <c r="D14" s="3454" t="s">
        <v>618</v>
      </c>
      <c r="E14" s="3438"/>
      <c r="F14" s="3455" t="s">
        <v>620</v>
      </c>
      <c r="G14" s="3455"/>
      <c r="H14" s="2969">
        <v>0</v>
      </c>
      <c r="I14" s="3458"/>
      <c r="J14" s="2965">
        <v>147198591</v>
      </c>
    </row>
    <row r="15" spans="1:10" s="1406" customFormat="1" ht="12">
      <c r="A15" s="3451"/>
      <c r="B15" s="3453">
        <v>84.384</v>
      </c>
      <c r="C15" s="3451"/>
      <c r="D15" s="3454" t="s">
        <v>618</v>
      </c>
      <c r="E15" s="3438"/>
      <c r="F15" s="3455" t="s">
        <v>621</v>
      </c>
      <c r="G15" s="3455"/>
      <c r="H15" s="2970">
        <v>0</v>
      </c>
      <c r="I15" s="3458"/>
      <c r="J15" s="2965">
        <v>19578872.359999999</v>
      </c>
    </row>
    <row r="16" spans="1:10" s="1406" customFormat="1" ht="12">
      <c r="A16" s="3451"/>
      <c r="B16" s="3453">
        <v>84.385000000000005</v>
      </c>
      <c r="C16" s="3451"/>
      <c r="D16" s="3454" t="s">
        <v>618</v>
      </c>
      <c r="E16" s="3438"/>
      <c r="F16" s="3455" t="s">
        <v>622</v>
      </c>
      <c r="G16" s="3455"/>
      <c r="H16" s="2970">
        <v>0</v>
      </c>
      <c r="I16" s="3458"/>
      <c r="J16" s="2965">
        <v>13530907</v>
      </c>
    </row>
    <row r="17" spans="1:10" s="1406" customFormat="1" ht="12">
      <c r="A17" s="3451"/>
      <c r="B17" s="3453">
        <v>84.385999999999996</v>
      </c>
      <c r="C17" s="3451"/>
      <c r="D17" s="3454" t="s">
        <v>618</v>
      </c>
      <c r="E17" s="3438"/>
      <c r="F17" s="3455" t="s">
        <v>623</v>
      </c>
      <c r="G17" s="3455"/>
      <c r="H17" s="2969">
        <v>0</v>
      </c>
      <c r="I17" s="3458"/>
      <c r="J17" s="2965">
        <v>53551200.24000001</v>
      </c>
    </row>
    <row r="18" spans="1:10" s="1406" customFormat="1" ht="12">
      <c r="A18" s="3451"/>
      <c r="B18" s="3453">
        <v>84.387</v>
      </c>
      <c r="C18" s="3451"/>
      <c r="D18" s="3454" t="s">
        <v>618</v>
      </c>
      <c r="E18" s="3438"/>
      <c r="F18" s="3455" t="s">
        <v>624</v>
      </c>
      <c r="G18" s="3455"/>
      <c r="H18" s="2969">
        <v>0</v>
      </c>
      <c r="I18" s="3458"/>
      <c r="J18" s="2965">
        <v>6039255</v>
      </c>
    </row>
    <row r="19" spans="1:10" s="1406" customFormat="1" ht="12">
      <c r="A19" s="3451"/>
      <c r="B19" s="3453">
        <v>84.388000000000005</v>
      </c>
      <c r="C19" s="3451"/>
      <c r="D19" s="3454" t="s">
        <v>618</v>
      </c>
      <c r="E19" s="3438"/>
      <c r="F19" s="3455" t="s">
        <v>625</v>
      </c>
      <c r="G19" s="3455"/>
      <c r="H19" s="2971">
        <v>0</v>
      </c>
      <c r="I19" s="3458"/>
      <c r="J19" s="2965">
        <v>260866068</v>
      </c>
    </row>
    <row r="20" spans="1:10" s="1406" customFormat="1" ht="12">
      <c r="A20" s="3451"/>
      <c r="B20" s="3453">
        <v>84.388999999999996</v>
      </c>
      <c r="C20" s="3451"/>
      <c r="D20" s="3454" t="s">
        <v>618</v>
      </c>
      <c r="E20" s="3438"/>
      <c r="F20" s="3455" t="s">
        <v>626</v>
      </c>
      <c r="G20" s="3455"/>
      <c r="H20" s="2969">
        <v>0</v>
      </c>
      <c r="I20" s="3458"/>
      <c r="J20" s="2965">
        <v>906803696</v>
      </c>
    </row>
    <row r="21" spans="1:10" s="1406" customFormat="1" ht="12">
      <c r="A21" s="3451"/>
      <c r="B21" s="3453">
        <v>84.39</v>
      </c>
      <c r="C21" s="3454"/>
      <c r="D21" s="3454" t="s">
        <v>618</v>
      </c>
      <c r="E21" s="3438"/>
      <c r="F21" s="3455" t="s">
        <v>627</v>
      </c>
      <c r="G21" s="3455"/>
      <c r="H21" s="2972">
        <v>0</v>
      </c>
      <c r="I21" s="3458"/>
      <c r="J21" s="2973">
        <v>25694044</v>
      </c>
    </row>
    <row r="22" spans="1:10" s="1406" customFormat="1" ht="12">
      <c r="A22" s="3451"/>
      <c r="B22" s="3453">
        <v>84.391000000000005</v>
      </c>
      <c r="C22" s="3451"/>
      <c r="D22" s="3454" t="s">
        <v>618</v>
      </c>
      <c r="E22" s="3438"/>
      <c r="F22" s="3455" t="s">
        <v>628</v>
      </c>
      <c r="G22" s="3455"/>
      <c r="H22" s="2969">
        <v>0</v>
      </c>
      <c r="I22" s="2965"/>
      <c r="J22" s="2965">
        <v>755867980.04999995</v>
      </c>
    </row>
    <row r="23" spans="1:10" s="1406" customFormat="1" ht="12">
      <c r="A23" s="3451"/>
      <c r="B23" s="3453">
        <v>84.391999999999996</v>
      </c>
      <c r="C23" s="3451"/>
      <c r="D23" s="3454" t="s">
        <v>618</v>
      </c>
      <c r="E23" s="3438"/>
      <c r="F23" s="3455" t="s">
        <v>629</v>
      </c>
      <c r="G23" s="3455"/>
      <c r="H23" s="2969">
        <v>0</v>
      </c>
      <c r="I23" s="2965"/>
      <c r="J23" s="2965">
        <v>34302395</v>
      </c>
    </row>
    <row r="24" spans="1:10" s="1406" customFormat="1" ht="11.4">
      <c r="A24" s="3438"/>
      <c r="B24" s="3459">
        <v>84.394000000000005</v>
      </c>
      <c r="C24" s="3460"/>
      <c r="D24" s="3460" t="s">
        <v>618</v>
      </c>
      <c r="E24" s="3460"/>
      <c r="F24" s="3461" t="s">
        <v>630</v>
      </c>
      <c r="G24" s="3461"/>
      <c r="H24" s="2969">
        <v>0</v>
      </c>
      <c r="I24" s="3462"/>
      <c r="J24" s="2974">
        <v>2468557791</v>
      </c>
    </row>
    <row r="25" spans="1:10" s="1406" customFormat="1" ht="11.4">
      <c r="A25" s="3438"/>
      <c r="B25" s="3453">
        <v>84.394999999999996</v>
      </c>
      <c r="C25" s="3454"/>
      <c r="D25" s="3454" t="s">
        <v>618</v>
      </c>
      <c r="E25" s="3438"/>
      <c r="F25" s="3455" t="s">
        <v>631</v>
      </c>
      <c r="G25" s="3455"/>
      <c r="H25" s="2971">
        <v>0</v>
      </c>
      <c r="I25" s="3463"/>
      <c r="J25" s="2965">
        <v>696575810.71000004</v>
      </c>
    </row>
    <row r="26" spans="1:10" s="1406" customFormat="1" ht="11.4">
      <c r="A26" s="3438"/>
      <c r="B26" s="3459">
        <v>84.397000000000006</v>
      </c>
      <c r="C26" s="3460"/>
      <c r="D26" s="3460" t="s">
        <v>618</v>
      </c>
      <c r="E26" s="3460"/>
      <c r="F26" s="3461" t="s">
        <v>632</v>
      </c>
      <c r="G26" s="3461"/>
      <c r="H26" s="2969">
        <v>0</v>
      </c>
      <c r="I26" s="3462"/>
      <c r="J26" s="2974">
        <v>527364018.81</v>
      </c>
    </row>
    <row r="27" spans="1:10" s="1406" customFormat="1" ht="11.4">
      <c r="A27" s="3438"/>
      <c r="B27" s="3453">
        <v>84.397999999999996</v>
      </c>
      <c r="C27" s="3454"/>
      <c r="D27" s="3454" t="s">
        <v>618</v>
      </c>
      <c r="E27" s="3438"/>
      <c r="F27" s="3455" t="s">
        <v>633</v>
      </c>
      <c r="G27" s="3455"/>
      <c r="H27" s="2969">
        <v>0</v>
      </c>
      <c r="I27" s="3463"/>
      <c r="J27" s="2965">
        <v>856884</v>
      </c>
    </row>
    <row r="28" spans="1:10" s="1406" customFormat="1" ht="11.4">
      <c r="A28" s="3438"/>
      <c r="B28" s="3459">
        <v>84.399000000000001</v>
      </c>
      <c r="C28" s="3460"/>
      <c r="D28" s="3460" t="s">
        <v>618</v>
      </c>
      <c r="E28" s="3460"/>
      <c r="F28" s="3461" t="s">
        <v>634</v>
      </c>
      <c r="G28" s="3461"/>
      <c r="H28" s="2969">
        <v>0</v>
      </c>
      <c r="I28" s="3462"/>
      <c r="J28" s="2974">
        <v>2297731</v>
      </c>
    </row>
    <row r="29" spans="1:10" s="1406" customFormat="1" ht="11.4">
      <c r="A29" s="3438"/>
      <c r="B29" s="3453">
        <v>84.41</v>
      </c>
      <c r="C29" s="3454"/>
      <c r="D29" s="3454" t="s">
        <v>618</v>
      </c>
      <c r="E29" s="3438"/>
      <c r="F29" s="3455" t="s">
        <v>635</v>
      </c>
      <c r="G29" s="3455"/>
      <c r="H29" s="2969">
        <v>0</v>
      </c>
      <c r="I29" s="3463"/>
      <c r="J29" s="2965">
        <v>616479620</v>
      </c>
    </row>
    <row r="30" spans="1:10" s="1406" customFormat="1" ht="11.4">
      <c r="A30" s="3438"/>
      <c r="B30" s="3453">
        <v>93.406999999999996</v>
      </c>
      <c r="C30" s="3454"/>
      <c r="D30" s="3454" t="s">
        <v>636</v>
      </c>
      <c r="E30" s="3438"/>
      <c r="F30" s="3455" t="s">
        <v>637</v>
      </c>
      <c r="G30" s="3455"/>
      <c r="H30" s="2969">
        <v>0</v>
      </c>
      <c r="I30" s="3463"/>
      <c r="J30" s="2965">
        <v>411249</v>
      </c>
    </row>
    <row r="31" spans="1:10" s="1406" customFormat="1" ht="12">
      <c r="A31" s="3438"/>
      <c r="B31" s="3459"/>
      <c r="C31" s="3438"/>
      <c r="D31" s="3438"/>
      <c r="E31" s="3438"/>
      <c r="F31" s="3464" t="s">
        <v>638</v>
      </c>
      <c r="G31" s="3464"/>
      <c r="H31" s="3546">
        <f>ROUND(SUM(H10:H30),2)</f>
        <v>0</v>
      </c>
      <c r="I31" s="2975"/>
      <c r="J31" s="3546">
        <f>ROUND(SUM(J10:J30),2)</f>
        <v>6554361421.4099998</v>
      </c>
    </row>
    <row r="32" spans="1:10" s="1406" customFormat="1" ht="12">
      <c r="A32" s="3465" t="s">
        <v>639</v>
      </c>
      <c r="B32" s="2986"/>
      <c r="C32" s="2976"/>
      <c r="D32" s="2976"/>
      <c r="E32" s="3438"/>
      <c r="F32" s="3452"/>
      <c r="G32" s="3452"/>
      <c r="H32" s="2977"/>
      <c r="I32" s="2965"/>
      <c r="J32" s="2965"/>
    </row>
    <row r="33" spans="1:10" s="1406" customFormat="1" ht="12">
      <c r="A33" s="3465"/>
      <c r="B33" s="3459">
        <v>10.086</v>
      </c>
      <c r="C33" s="3460"/>
      <c r="D33" s="3460" t="s">
        <v>612</v>
      </c>
      <c r="E33" s="3438"/>
      <c r="F33" s="3438" t="s">
        <v>640</v>
      </c>
      <c r="G33" s="3438"/>
      <c r="H33" s="2969">
        <v>0</v>
      </c>
      <c r="I33" s="2965"/>
      <c r="J33" s="2965">
        <v>7611.86</v>
      </c>
    </row>
    <row r="34" spans="1:10" s="1406" customFormat="1" ht="12">
      <c r="A34" s="3465"/>
      <c r="B34" s="3459">
        <v>10.688000000000001</v>
      </c>
      <c r="C34" s="3460"/>
      <c r="D34" s="3460" t="s">
        <v>612</v>
      </c>
      <c r="E34" s="3438"/>
      <c r="F34" s="3438" t="s">
        <v>1700</v>
      </c>
      <c r="G34" s="3438"/>
      <c r="H34" s="2969">
        <v>0</v>
      </c>
      <c r="I34" s="2965"/>
      <c r="J34" s="2965">
        <v>763000</v>
      </c>
    </row>
    <row r="35" spans="1:10" s="1406" customFormat="1" ht="12">
      <c r="A35" s="3465"/>
      <c r="B35" s="3459">
        <v>66.039000000000001</v>
      </c>
      <c r="C35" s="3460"/>
      <c r="D35" s="3460" t="s">
        <v>641</v>
      </c>
      <c r="E35" s="3438"/>
      <c r="F35" s="3438" t="s">
        <v>642</v>
      </c>
      <c r="G35" s="3438"/>
      <c r="H35" s="2969">
        <v>0</v>
      </c>
      <c r="I35" s="2965"/>
      <c r="J35" s="2965">
        <v>1000000</v>
      </c>
    </row>
    <row r="36" spans="1:10" s="1406" customFormat="1" ht="12">
      <c r="A36" s="3465"/>
      <c r="B36" s="3459">
        <v>66.040000000000006</v>
      </c>
      <c r="C36" s="3460"/>
      <c r="D36" s="3460" t="s">
        <v>641</v>
      </c>
      <c r="E36" s="3438"/>
      <c r="F36" s="3438" t="s">
        <v>643</v>
      </c>
      <c r="G36" s="3438"/>
      <c r="H36" s="2969">
        <v>0</v>
      </c>
      <c r="I36" s="2965"/>
      <c r="J36" s="2965">
        <v>1635086.95</v>
      </c>
    </row>
    <row r="37" spans="1:10" s="1406" customFormat="1" ht="12">
      <c r="A37" s="3465"/>
      <c r="B37" s="3459">
        <v>66.453999999999994</v>
      </c>
      <c r="C37" s="3460"/>
      <c r="D37" s="3460" t="s">
        <v>641</v>
      </c>
      <c r="E37" s="3438"/>
      <c r="F37" s="3438" t="s">
        <v>644</v>
      </c>
      <c r="G37" s="3438"/>
      <c r="H37" s="2969">
        <v>0</v>
      </c>
      <c r="I37" s="2965"/>
      <c r="J37" s="2965">
        <v>4132731.39</v>
      </c>
    </row>
    <row r="38" spans="1:10" s="1406" customFormat="1" ht="11.4">
      <c r="A38" s="3438"/>
      <c r="B38" s="3459">
        <v>66.457999999999998</v>
      </c>
      <c r="C38" s="3438"/>
      <c r="D38" s="3438" t="s">
        <v>641</v>
      </c>
      <c r="E38" s="3438"/>
      <c r="F38" s="3438" t="s">
        <v>645</v>
      </c>
      <c r="G38" s="3438"/>
      <c r="H38" s="2969">
        <v>0</v>
      </c>
      <c r="I38" s="3463"/>
      <c r="J38" s="2965">
        <v>432564200</v>
      </c>
    </row>
    <row r="39" spans="1:10" s="1406" customFormat="1" ht="11.4">
      <c r="A39" s="3438"/>
      <c r="B39" s="3459">
        <v>66.468000000000004</v>
      </c>
      <c r="C39" s="3438"/>
      <c r="D39" s="3438" t="s">
        <v>641</v>
      </c>
      <c r="E39" s="3438"/>
      <c r="F39" s="3438" t="s">
        <v>646</v>
      </c>
      <c r="G39" s="3438"/>
      <c r="H39" s="2969">
        <v>0</v>
      </c>
      <c r="I39" s="3463"/>
      <c r="J39" s="2965">
        <v>86811000</v>
      </c>
    </row>
    <row r="40" spans="1:10" s="1406" customFormat="1" ht="11.4">
      <c r="A40" s="3438"/>
      <c r="B40" s="3459">
        <v>66.805000000000007</v>
      </c>
      <c r="C40" s="3438"/>
      <c r="D40" s="3438" t="s">
        <v>641</v>
      </c>
      <c r="E40" s="3438"/>
      <c r="F40" s="3438" t="s">
        <v>647</v>
      </c>
      <c r="G40" s="3438"/>
      <c r="H40" s="2970">
        <v>0</v>
      </c>
      <c r="I40" s="3463"/>
      <c r="J40" s="2965">
        <v>9212000</v>
      </c>
    </row>
    <row r="41" spans="1:10" s="1406" customFormat="1" ht="11.4">
      <c r="A41" s="3438"/>
      <c r="B41" s="3459">
        <v>81.042000000000002</v>
      </c>
      <c r="C41" s="3438"/>
      <c r="D41" s="3438" t="s">
        <v>648</v>
      </c>
      <c r="E41" s="3438"/>
      <c r="F41" s="3438" t="s">
        <v>649</v>
      </c>
      <c r="G41" s="3438"/>
      <c r="H41" s="2970">
        <v>0</v>
      </c>
      <c r="I41" s="3463"/>
      <c r="J41" s="2965">
        <v>395730364.83999997</v>
      </c>
    </row>
    <row r="42" spans="1:10" s="1406" customFormat="1" ht="11.4">
      <c r="A42" s="3438"/>
      <c r="B42" s="3459">
        <v>81.122</v>
      </c>
      <c r="C42" s="3438"/>
      <c r="D42" s="3438" t="s">
        <v>648</v>
      </c>
      <c r="E42" s="3438"/>
      <c r="F42" s="3438" t="s">
        <v>1650</v>
      </c>
      <c r="G42" s="3438"/>
      <c r="H42" s="2970">
        <v>0</v>
      </c>
      <c r="I42" s="3463"/>
      <c r="J42" s="2965">
        <v>1235199.97</v>
      </c>
    </row>
    <row r="43" spans="1:10" s="1406" customFormat="1" ht="12">
      <c r="A43" s="3438"/>
      <c r="B43" s="3459"/>
      <c r="C43" s="3438"/>
      <c r="D43" s="3438"/>
      <c r="E43" s="3438"/>
      <c r="F43" s="3464" t="s">
        <v>650</v>
      </c>
      <c r="G43" s="3464"/>
      <c r="H43" s="3546">
        <f>ROUND(SUM(H33:H42),2)</f>
        <v>0</v>
      </c>
      <c r="I43" s="2965"/>
      <c r="J43" s="3546">
        <f>ROUND(SUM(J33:J42),2)</f>
        <v>933091195.00999999</v>
      </c>
    </row>
    <row r="44" spans="1:10" s="1406" customFormat="1" ht="12">
      <c r="A44" s="3451" t="s">
        <v>651</v>
      </c>
      <c r="B44" s="2987"/>
      <c r="C44" s="2964"/>
      <c r="D44" s="2964"/>
      <c r="E44" s="3438"/>
      <c r="F44" s="3452"/>
      <c r="G44" s="3452"/>
      <c r="H44" s="2969"/>
      <c r="I44" s="2965"/>
      <c r="J44" s="2965"/>
    </row>
    <row r="45" spans="1:10" s="1406" customFormat="1" ht="11.4">
      <c r="A45" s="3438"/>
      <c r="B45" s="3453">
        <v>10.568</v>
      </c>
      <c r="C45" s="3454"/>
      <c r="D45" s="3454" t="s">
        <v>612</v>
      </c>
      <c r="E45" s="3438"/>
      <c r="F45" s="3455" t="s">
        <v>652</v>
      </c>
      <c r="G45" s="3455"/>
      <c r="H45" s="2970">
        <v>0</v>
      </c>
      <c r="I45" s="3463"/>
      <c r="J45" s="2965">
        <v>4891302</v>
      </c>
    </row>
    <row r="46" spans="1:10" s="1406" customFormat="1" ht="11.4">
      <c r="A46" s="3438"/>
      <c r="B46" s="3453">
        <v>93.704999999999998</v>
      </c>
      <c r="C46" s="3466"/>
      <c r="D46" s="3454" t="s">
        <v>636</v>
      </c>
      <c r="E46" s="3454"/>
      <c r="F46" s="3455" t="s">
        <v>653</v>
      </c>
      <c r="G46" s="3455"/>
      <c r="H46" s="2970">
        <v>0</v>
      </c>
      <c r="I46" s="3463"/>
      <c r="J46" s="2965">
        <v>2042446</v>
      </c>
    </row>
    <row r="47" spans="1:10" s="1406" customFormat="1" ht="12">
      <c r="A47" s="3438"/>
      <c r="B47" s="3453">
        <v>93.706999999999994</v>
      </c>
      <c r="C47" s="3454"/>
      <c r="D47" s="3454" t="s">
        <v>636</v>
      </c>
      <c r="E47" s="3454"/>
      <c r="F47" s="3455" t="s">
        <v>654</v>
      </c>
      <c r="G47" s="3455"/>
      <c r="H47" s="2970">
        <v>0</v>
      </c>
      <c r="I47" s="3458"/>
      <c r="J47" s="2965">
        <v>4148718</v>
      </c>
    </row>
    <row r="48" spans="1:10" s="1406" customFormat="1" ht="12">
      <c r="A48" s="3438"/>
      <c r="B48" s="3467"/>
      <c r="C48" s="3438"/>
      <c r="D48" s="3438"/>
      <c r="E48" s="3438"/>
      <c r="F48" s="3464" t="s">
        <v>655</v>
      </c>
      <c r="G48" s="3464"/>
      <c r="H48" s="3546">
        <f>ROUND(SUM(H45:H47),2)</f>
        <v>0</v>
      </c>
      <c r="I48" s="2965"/>
      <c r="J48" s="3546">
        <f>ROUND(SUM(J45:J47),2)</f>
        <v>11082466</v>
      </c>
    </row>
    <row r="49" spans="1:10" s="1406" customFormat="1" ht="12">
      <c r="A49" s="3451" t="s">
        <v>656</v>
      </c>
      <c r="B49" s="2987"/>
      <c r="C49" s="2964"/>
      <c r="D49" s="2964"/>
      <c r="E49" s="3438"/>
      <c r="F49" s="3438"/>
      <c r="G49" s="3438"/>
      <c r="H49" s="3468"/>
      <c r="I49" s="3463"/>
      <c r="J49" s="2978"/>
    </row>
    <row r="50" spans="1:10" s="1406" customFormat="1" ht="11.4">
      <c r="B50" s="3453">
        <v>10.557</v>
      </c>
      <c r="C50" s="3438"/>
      <c r="D50" s="3454" t="s">
        <v>612</v>
      </c>
      <c r="E50" s="3438"/>
      <c r="F50" s="3461" t="s">
        <v>1230</v>
      </c>
      <c r="G50" s="3461"/>
      <c r="H50" s="2970">
        <v>0</v>
      </c>
      <c r="I50" s="3469"/>
      <c r="J50" s="2965">
        <v>5468978</v>
      </c>
    </row>
    <row r="51" spans="1:10" s="1406" customFormat="1" ht="11.4">
      <c r="B51" s="3453">
        <v>10.561</v>
      </c>
      <c r="C51" s="3454"/>
      <c r="D51" s="3454" t="s">
        <v>612</v>
      </c>
      <c r="E51" s="3438"/>
      <c r="F51" s="3455" t="s">
        <v>657</v>
      </c>
      <c r="G51" s="3455"/>
      <c r="H51" s="2970">
        <v>0</v>
      </c>
      <c r="I51" s="2973"/>
      <c r="J51" s="2965">
        <v>24402283</v>
      </c>
    </row>
    <row r="52" spans="1:10" s="1406" customFormat="1" ht="11.4">
      <c r="B52" s="3453">
        <v>10.577999999999999</v>
      </c>
      <c r="C52" s="3454"/>
      <c r="D52" s="3454" t="s">
        <v>612</v>
      </c>
      <c r="E52" s="3438"/>
      <c r="F52" s="3455" t="s">
        <v>658</v>
      </c>
      <c r="G52" s="3455"/>
      <c r="H52" s="2970">
        <v>0</v>
      </c>
      <c r="I52" s="2973"/>
      <c r="J52" s="2965">
        <v>4172768.48</v>
      </c>
    </row>
    <row r="53" spans="1:10" s="1406" customFormat="1" ht="22.8">
      <c r="B53" s="3453">
        <v>14.257</v>
      </c>
      <c r="C53" s="3454"/>
      <c r="D53" s="3455" t="s">
        <v>659</v>
      </c>
      <c r="E53" s="3438"/>
      <c r="F53" s="3455" t="s">
        <v>660</v>
      </c>
      <c r="G53" s="3455"/>
      <c r="H53" s="2979">
        <v>0</v>
      </c>
      <c r="I53" s="2973"/>
      <c r="J53" s="2973">
        <v>26951329</v>
      </c>
    </row>
    <row r="54" spans="1:10" s="1406" customFormat="1" ht="11.4">
      <c r="B54" s="3453">
        <v>84.393000000000001</v>
      </c>
      <c r="C54" s="3454"/>
      <c r="D54" s="3454" t="s">
        <v>618</v>
      </c>
      <c r="E54" s="3438"/>
      <c r="F54" s="3461" t="s">
        <v>661</v>
      </c>
      <c r="G54" s="3461"/>
      <c r="H54" s="2970">
        <v>0</v>
      </c>
      <c r="I54" s="2973"/>
      <c r="J54" s="2965">
        <v>26406387.039999999</v>
      </c>
    </row>
    <row r="55" spans="1:10" s="1406" customFormat="1" ht="11.4">
      <c r="B55" s="3453">
        <v>93.563000000000002</v>
      </c>
      <c r="C55" s="3454"/>
      <c r="D55" s="3454" t="s">
        <v>636</v>
      </c>
      <c r="E55" s="3438"/>
      <c r="F55" s="3461" t="s">
        <v>662</v>
      </c>
      <c r="G55" s="3461"/>
      <c r="H55" s="2970">
        <v>0</v>
      </c>
      <c r="I55" s="2973"/>
      <c r="J55" s="2965">
        <v>101131818.69</v>
      </c>
    </row>
    <row r="56" spans="1:10" s="1406" customFormat="1" ht="11.4">
      <c r="B56" s="3459">
        <v>93.658000000000001</v>
      </c>
      <c r="C56" s="3470"/>
      <c r="D56" s="3438" t="s">
        <v>636</v>
      </c>
      <c r="E56" s="3438"/>
      <c r="F56" s="3438" t="s">
        <v>663</v>
      </c>
      <c r="G56" s="3438"/>
      <c r="H56" s="2970">
        <v>0</v>
      </c>
      <c r="I56" s="3463"/>
      <c r="J56" s="2965">
        <v>54868712.609999999</v>
      </c>
    </row>
    <row r="57" spans="1:10" s="1406" customFormat="1" ht="11.4">
      <c r="B57" s="3459">
        <v>93.659000000000006</v>
      </c>
      <c r="C57" s="3470"/>
      <c r="D57" s="3454" t="s">
        <v>636</v>
      </c>
      <c r="E57" s="3438"/>
      <c r="F57" s="3461" t="s">
        <v>664</v>
      </c>
      <c r="G57" s="3461"/>
      <c r="H57" s="2970">
        <v>0</v>
      </c>
      <c r="I57" s="3463"/>
      <c r="J57" s="2965">
        <v>60062684</v>
      </c>
    </row>
    <row r="58" spans="1:10" s="1406" customFormat="1" ht="11.4">
      <c r="B58" s="3459">
        <v>93.707999999999998</v>
      </c>
      <c r="C58" s="3470"/>
      <c r="D58" s="3454" t="s">
        <v>636</v>
      </c>
      <c r="E58" s="3438"/>
      <c r="F58" s="3461" t="s">
        <v>665</v>
      </c>
      <c r="G58" s="3461"/>
      <c r="H58" s="2970">
        <v>0</v>
      </c>
      <c r="I58" s="3463"/>
      <c r="J58" s="2965">
        <v>5577399.8699999992</v>
      </c>
    </row>
    <row r="59" spans="1:10" s="1406" customFormat="1" ht="11.4">
      <c r="B59" s="3459">
        <v>93.712000000000003</v>
      </c>
      <c r="C59" s="3470"/>
      <c r="D59" s="3454" t="s">
        <v>636</v>
      </c>
      <c r="E59" s="3438"/>
      <c r="F59" s="3461" t="s">
        <v>666</v>
      </c>
      <c r="G59" s="3461"/>
      <c r="H59" s="2970">
        <v>0</v>
      </c>
      <c r="I59" s="3463"/>
      <c r="J59" s="2965">
        <v>4275750.26</v>
      </c>
    </row>
    <row r="60" spans="1:10" s="1406" customFormat="1" ht="11.4">
      <c r="B60" s="3459">
        <v>93.712999999999994</v>
      </c>
      <c r="C60" s="3470"/>
      <c r="D60" s="3454" t="s">
        <v>636</v>
      </c>
      <c r="E60" s="3438"/>
      <c r="F60" s="3461" t="s">
        <v>667</v>
      </c>
      <c r="G60" s="3461"/>
      <c r="H60" s="2970">
        <v>0</v>
      </c>
      <c r="I60" s="3463"/>
      <c r="J60" s="2965">
        <v>96785640</v>
      </c>
    </row>
    <row r="61" spans="1:10" s="1406" customFormat="1" ht="22.8">
      <c r="B61" s="3453">
        <v>93.713999999999999</v>
      </c>
      <c r="C61" s="3470"/>
      <c r="D61" s="3454" t="s">
        <v>636</v>
      </c>
      <c r="E61" s="3454"/>
      <c r="F61" s="3455" t="s">
        <v>668</v>
      </c>
      <c r="G61" s="3455"/>
      <c r="H61" s="2979">
        <v>0</v>
      </c>
      <c r="I61" s="3463"/>
      <c r="J61" s="2973">
        <v>723023290</v>
      </c>
    </row>
    <row r="62" spans="1:10" s="1406" customFormat="1" ht="12" customHeight="1">
      <c r="B62" s="3453">
        <v>93.724999999999994</v>
      </c>
      <c r="C62" s="3471"/>
      <c r="D62" s="3454" t="s">
        <v>636</v>
      </c>
      <c r="E62" s="3454"/>
      <c r="F62" s="3455" t="s">
        <v>669</v>
      </c>
      <c r="G62" s="3455"/>
      <c r="H62" s="2979">
        <v>0</v>
      </c>
      <c r="I62" s="3469"/>
      <c r="J62" s="2973">
        <v>1166708.33</v>
      </c>
    </row>
    <row r="63" spans="1:10" s="1406" customFormat="1" ht="11.4">
      <c r="B63" s="3459">
        <v>93.778000000000006</v>
      </c>
      <c r="C63" s="3470"/>
      <c r="D63" s="3438" t="s">
        <v>636</v>
      </c>
      <c r="E63" s="3438"/>
      <c r="F63" s="3438" t="s">
        <v>1119</v>
      </c>
      <c r="G63" s="3438"/>
      <c r="H63" s="2977">
        <v>4148972.33</v>
      </c>
      <c r="I63" s="3463"/>
      <c r="J63" s="2974">
        <v>14112931036.280001</v>
      </c>
    </row>
    <row r="64" spans="1:10" s="1406" customFormat="1" ht="22.8">
      <c r="B64" s="3453">
        <v>94.006</v>
      </c>
      <c r="C64" s="3470"/>
      <c r="D64" s="3455" t="s">
        <v>670</v>
      </c>
      <c r="E64" s="3438"/>
      <c r="F64" s="3454" t="s">
        <v>671</v>
      </c>
      <c r="G64" s="3454"/>
      <c r="H64" s="2979">
        <v>0</v>
      </c>
      <c r="I64" s="3439"/>
      <c r="J64" s="2973">
        <v>7850028.0899999999</v>
      </c>
    </row>
    <row r="65" spans="1:10" s="1406" customFormat="1" ht="12">
      <c r="B65" s="3467"/>
      <c r="C65" s="3438"/>
      <c r="D65" s="3438"/>
      <c r="E65" s="3438"/>
      <c r="F65" s="3464" t="s">
        <v>672</v>
      </c>
      <c r="G65" s="3464"/>
      <c r="H65" s="3546">
        <f>ROUND(SUM(H50:H64),2)</f>
        <v>4148972.33</v>
      </c>
      <c r="I65" s="2966"/>
      <c r="J65" s="3546">
        <f>ROUND(SUM(J50:J64),2)</f>
        <v>15255074813.65</v>
      </c>
    </row>
    <row r="66" spans="1:10" s="1406" customFormat="1" ht="12">
      <c r="A66" s="3451" t="s">
        <v>673</v>
      </c>
      <c r="B66" s="3467"/>
      <c r="C66" s="3466"/>
      <c r="D66" s="3438"/>
      <c r="E66" s="3438"/>
      <c r="F66" s="3452"/>
      <c r="G66" s="3452"/>
      <c r="H66" s="2977"/>
      <c r="I66" s="2966"/>
      <c r="J66" s="2966"/>
    </row>
    <row r="67" spans="1:10" s="1406" customFormat="1" ht="12">
      <c r="A67" s="3451"/>
      <c r="B67" s="3459">
        <v>84.397000000000006</v>
      </c>
      <c r="C67" s="3451"/>
      <c r="D67" s="3454" t="s">
        <v>618</v>
      </c>
      <c r="E67" s="3438"/>
      <c r="F67" s="3455" t="s">
        <v>632</v>
      </c>
      <c r="G67" s="3472"/>
      <c r="H67" s="2970">
        <v>0</v>
      </c>
      <c r="I67" s="3458"/>
      <c r="J67" s="2965">
        <v>21875000</v>
      </c>
    </row>
    <row r="68" spans="1:10" s="1406" customFormat="1" ht="12">
      <c r="A68" s="3438"/>
      <c r="B68" s="3459">
        <v>93.71</v>
      </c>
      <c r="C68" s="3438"/>
      <c r="D68" s="3438" t="s">
        <v>636</v>
      </c>
      <c r="E68" s="3438"/>
      <c r="F68" s="3460" t="s">
        <v>674</v>
      </c>
      <c r="G68" s="3460"/>
      <c r="H68" s="2970">
        <v>0</v>
      </c>
      <c r="I68" s="3458"/>
      <c r="J68" s="2965">
        <v>85384063.909999996</v>
      </c>
    </row>
    <row r="69" spans="1:10" s="1406" customFormat="1" ht="12">
      <c r="A69" s="3438"/>
      <c r="B69" s="3459"/>
      <c r="C69" s="3438"/>
      <c r="D69" s="3438"/>
      <c r="E69" s="3438"/>
      <c r="F69" s="3464" t="s">
        <v>675</v>
      </c>
      <c r="G69" s="3464"/>
      <c r="H69" s="3546">
        <f>ROUND(SUM(H67:H68),2)</f>
        <v>0</v>
      </c>
      <c r="I69" s="2966"/>
      <c r="J69" s="3546">
        <f>ROUND(SUM(J67:J68),2)</f>
        <v>107259063.91</v>
      </c>
    </row>
    <row r="70" spans="1:10" s="1406" customFormat="1" ht="13.8">
      <c r="A70" s="3451" t="s">
        <v>676</v>
      </c>
      <c r="B70" s="2988"/>
      <c r="C70" s="2980"/>
      <c r="D70" s="2980"/>
      <c r="E70" s="3438"/>
      <c r="F70" s="3452"/>
      <c r="G70" s="3452"/>
      <c r="H70" s="2977"/>
      <c r="I70" s="2966"/>
      <c r="J70" s="2966"/>
    </row>
    <row r="71" spans="1:10" s="1406" customFormat="1" ht="12">
      <c r="A71" s="3451"/>
      <c r="B71" s="3459">
        <v>17.207000000000001</v>
      </c>
      <c r="C71" s="3451"/>
      <c r="D71" s="3438" t="s">
        <v>677</v>
      </c>
      <c r="E71" s="3438"/>
      <c r="F71" s="3460" t="s">
        <v>678</v>
      </c>
      <c r="G71" s="3460"/>
      <c r="H71" s="2970">
        <v>0</v>
      </c>
      <c r="I71" s="3439"/>
      <c r="J71" s="2965">
        <v>22855217</v>
      </c>
    </row>
    <row r="72" spans="1:10" s="1406" customFormat="1" ht="11.4">
      <c r="A72" s="3438"/>
      <c r="B72" s="3459">
        <v>17.225000000000001</v>
      </c>
      <c r="C72" s="3470"/>
      <c r="D72" s="3438" t="s">
        <v>677</v>
      </c>
      <c r="E72" s="3438"/>
      <c r="F72" s="3460" t="s">
        <v>679</v>
      </c>
      <c r="G72" s="3460"/>
      <c r="H72" s="2977">
        <v>0</v>
      </c>
      <c r="I72" s="2966"/>
      <c r="J72" s="2965">
        <v>16670035600.42</v>
      </c>
    </row>
    <row r="73" spans="1:10" s="1406" customFormat="1" ht="11.4">
      <c r="A73" s="3438"/>
      <c r="B73" s="3459">
        <v>17.234999999999999</v>
      </c>
      <c r="C73" s="3470"/>
      <c r="D73" s="3438" t="s">
        <v>677</v>
      </c>
      <c r="E73" s="3438"/>
      <c r="F73" s="3460" t="s">
        <v>680</v>
      </c>
      <c r="G73" s="3460"/>
      <c r="H73" s="2970">
        <v>0</v>
      </c>
      <c r="I73" s="2966"/>
      <c r="J73" s="2965">
        <v>1539762.38</v>
      </c>
    </row>
    <row r="74" spans="1:10" s="1406" customFormat="1" ht="11.4">
      <c r="A74" s="3438"/>
      <c r="B74" s="3459">
        <v>17.257999999999999</v>
      </c>
      <c r="C74" s="3470"/>
      <c r="D74" s="3438" t="s">
        <v>677</v>
      </c>
      <c r="E74" s="3438"/>
      <c r="F74" s="3460" t="s">
        <v>681</v>
      </c>
      <c r="G74" s="3460"/>
      <c r="H74" s="2970">
        <v>0</v>
      </c>
      <c r="I74" s="2966"/>
      <c r="J74" s="2965">
        <v>31516111</v>
      </c>
    </row>
    <row r="75" spans="1:10" s="1406" customFormat="1" ht="11.4">
      <c r="A75" s="3438"/>
      <c r="B75" s="3459">
        <v>17.259</v>
      </c>
      <c r="C75" s="3470"/>
      <c r="D75" s="3438" t="s">
        <v>677</v>
      </c>
      <c r="E75" s="3438"/>
      <c r="F75" s="3460" t="s">
        <v>682</v>
      </c>
      <c r="G75" s="3460"/>
      <c r="H75" s="2970">
        <v>0</v>
      </c>
      <c r="I75" s="2966"/>
      <c r="J75" s="2965">
        <v>71526360</v>
      </c>
    </row>
    <row r="76" spans="1:10" s="1406" customFormat="1" ht="11.4">
      <c r="A76" s="3438"/>
      <c r="B76" s="3459">
        <v>17.260000000000002</v>
      </c>
      <c r="C76" s="3470"/>
      <c r="D76" s="3438" t="s">
        <v>677</v>
      </c>
      <c r="E76" s="3438"/>
      <c r="F76" s="3460" t="s">
        <v>683</v>
      </c>
      <c r="G76" s="3460"/>
      <c r="H76" s="2970">
        <v>0</v>
      </c>
      <c r="I76" s="2965"/>
      <c r="J76" s="2965">
        <v>70633412.469999999</v>
      </c>
    </row>
    <row r="77" spans="1:10" s="1406" customFormat="1" ht="22.8">
      <c r="A77" s="3438"/>
      <c r="B77" s="3453">
        <v>17.274999999999999</v>
      </c>
      <c r="C77" s="3471"/>
      <c r="D77" s="3454" t="s">
        <v>677</v>
      </c>
      <c r="E77" s="3438"/>
      <c r="F77" s="3455" t="s">
        <v>684</v>
      </c>
      <c r="G77" s="3455"/>
      <c r="H77" s="2979">
        <v>0</v>
      </c>
      <c r="I77" s="2973"/>
      <c r="J77" s="2973">
        <v>1112175.1399999999</v>
      </c>
    </row>
    <row r="78" spans="1:10" s="1406" customFormat="1" ht="12">
      <c r="A78" s="3438"/>
      <c r="B78" s="3467"/>
      <c r="C78" s="3438"/>
      <c r="D78" s="3438"/>
      <c r="E78" s="3438"/>
      <c r="F78" s="3464" t="s">
        <v>685</v>
      </c>
      <c r="G78" s="3464"/>
      <c r="H78" s="3546">
        <f>ROUND(SUM(H71:H77),2)</f>
        <v>0</v>
      </c>
      <c r="I78" s="2965"/>
      <c r="J78" s="3546">
        <f>ROUND(SUM(J71:J77),2)</f>
        <v>16869218638.41</v>
      </c>
    </row>
    <row r="79" spans="1:10" s="1406" customFormat="1" ht="12">
      <c r="A79" s="3465" t="s">
        <v>686</v>
      </c>
      <c r="B79" s="3459"/>
      <c r="C79" s="3438"/>
      <c r="D79" s="3438"/>
      <c r="E79" s="3438"/>
      <c r="F79" s="3452"/>
      <c r="G79" s="3452"/>
      <c r="H79" s="2977"/>
      <c r="I79" s="2965"/>
      <c r="J79" s="2965"/>
    </row>
    <row r="80" spans="1:10" s="1406" customFormat="1" ht="12">
      <c r="A80" s="3465"/>
      <c r="B80" s="3453">
        <v>11.558</v>
      </c>
      <c r="C80" s="3465"/>
      <c r="D80" s="3454" t="s">
        <v>614</v>
      </c>
      <c r="E80" s="3438"/>
      <c r="F80" s="3455" t="s">
        <v>687</v>
      </c>
      <c r="G80" s="3455"/>
      <c r="H80" s="2970">
        <v>0</v>
      </c>
      <c r="I80" s="2965"/>
      <c r="J80" s="2981">
        <v>8288986.96</v>
      </c>
    </row>
    <row r="81" spans="1:10" s="1406" customFormat="1" ht="12">
      <c r="A81" s="3465"/>
      <c r="B81" s="3453">
        <v>12.401</v>
      </c>
      <c r="C81" s="3465"/>
      <c r="D81" s="3454" t="s">
        <v>688</v>
      </c>
      <c r="E81" s="3438"/>
      <c r="F81" s="3455" t="s">
        <v>689</v>
      </c>
      <c r="G81" s="3455"/>
      <c r="H81" s="2970">
        <v>0</v>
      </c>
      <c r="I81" s="3463"/>
      <c r="J81" s="2965">
        <v>7416726.4000000004</v>
      </c>
    </row>
    <row r="82" spans="1:10" s="1406" customFormat="1" ht="12">
      <c r="A82" s="3465"/>
      <c r="B82" s="3453">
        <v>16.588000000000001</v>
      </c>
      <c r="C82" s="3465"/>
      <c r="D82" s="3454" t="s">
        <v>690</v>
      </c>
      <c r="E82" s="3438"/>
      <c r="F82" s="3455" t="s">
        <v>691</v>
      </c>
      <c r="G82" s="3455"/>
      <c r="H82" s="2970">
        <v>0</v>
      </c>
      <c r="I82" s="2965"/>
      <c r="J82" s="2965">
        <v>7274394.3500000015</v>
      </c>
    </row>
    <row r="83" spans="1:10" s="1406" customFormat="1" ht="12">
      <c r="A83" s="3465"/>
      <c r="B83" s="3453">
        <v>16.8</v>
      </c>
      <c r="C83" s="3465"/>
      <c r="D83" s="3454" t="s">
        <v>690</v>
      </c>
      <c r="E83" s="3438"/>
      <c r="F83" s="3455" t="s">
        <v>692</v>
      </c>
      <c r="G83" s="3455"/>
      <c r="H83" s="2969">
        <v>0</v>
      </c>
      <c r="I83" s="2965"/>
      <c r="J83" s="2965">
        <v>1618399.0999999999</v>
      </c>
    </row>
    <row r="84" spans="1:10" s="1406" customFormat="1" ht="12">
      <c r="A84" s="3465"/>
      <c r="B84" s="3453">
        <v>16.800999999999998</v>
      </c>
      <c r="C84" s="3465"/>
      <c r="D84" s="3454" t="s">
        <v>690</v>
      </c>
      <c r="E84" s="3438"/>
      <c r="F84" s="3455" t="s">
        <v>693</v>
      </c>
      <c r="G84" s="3455"/>
      <c r="H84" s="2970">
        <v>0</v>
      </c>
      <c r="I84" s="2965"/>
      <c r="J84" s="2965">
        <v>1788999.08</v>
      </c>
    </row>
    <row r="85" spans="1:10" s="1406" customFormat="1" ht="12">
      <c r="A85" s="3465"/>
      <c r="B85" s="3453">
        <v>16.802</v>
      </c>
      <c r="C85" s="3473"/>
      <c r="D85" s="3454" t="s">
        <v>690</v>
      </c>
      <c r="E85" s="3438"/>
      <c r="F85" s="3455" t="s">
        <v>694</v>
      </c>
      <c r="G85" s="3455"/>
      <c r="H85" s="2970">
        <v>0</v>
      </c>
      <c r="I85" s="2973"/>
      <c r="J85" s="2965">
        <v>2828986.58</v>
      </c>
    </row>
    <row r="86" spans="1:10" s="1406" customFormat="1" ht="22.8">
      <c r="A86" s="3465"/>
      <c r="B86" s="3453">
        <v>16.803000000000001</v>
      </c>
      <c r="C86" s="3473"/>
      <c r="D86" s="3454" t="s">
        <v>690</v>
      </c>
      <c r="E86" s="3438"/>
      <c r="F86" s="3455" t="s">
        <v>695</v>
      </c>
      <c r="G86" s="3455"/>
      <c r="H86" s="2979">
        <v>0</v>
      </c>
      <c r="I86" s="2973"/>
      <c r="J86" s="2973">
        <v>66946360.409999996</v>
      </c>
    </row>
    <row r="87" spans="1:10" s="1406" customFormat="1" ht="12">
      <c r="A87" s="3465"/>
      <c r="B87" s="3474"/>
      <c r="C87" s="3465"/>
      <c r="D87" s="3465"/>
      <c r="E87" s="3438"/>
      <c r="F87" s="3464" t="s">
        <v>696</v>
      </c>
      <c r="G87" s="3464"/>
      <c r="H87" s="3546">
        <f>ROUND(SUM(H80:H86),2)</f>
        <v>0</v>
      </c>
      <c r="I87" s="2965"/>
      <c r="J87" s="3546">
        <f>ROUND(SUM(J80:J86),2)</f>
        <v>96162852.879999995</v>
      </c>
    </row>
    <row r="88" spans="1:10" s="1406" customFormat="1" ht="12">
      <c r="A88" s="3451" t="s">
        <v>697</v>
      </c>
      <c r="B88" s="3467"/>
      <c r="C88" s="3438"/>
      <c r="D88" s="3438"/>
      <c r="E88" s="3438"/>
      <c r="F88" s="3452"/>
      <c r="G88" s="3452"/>
      <c r="H88" s="3475"/>
      <c r="I88" s="3476"/>
      <c r="J88" s="2965"/>
    </row>
    <row r="89" spans="1:10" s="1406" customFormat="1" ht="11.4">
      <c r="A89" s="3438"/>
      <c r="B89" s="3459">
        <v>20.204999999999998</v>
      </c>
      <c r="C89" s="3470"/>
      <c r="D89" s="3438" t="s">
        <v>698</v>
      </c>
      <c r="E89" s="3438"/>
      <c r="F89" s="3438" t="s">
        <v>699</v>
      </c>
      <c r="G89" s="3438"/>
      <c r="H89" s="2970">
        <v>0</v>
      </c>
      <c r="I89" s="2965"/>
      <c r="J89" s="2965">
        <v>932335656.74000001</v>
      </c>
    </row>
    <row r="90" spans="1:10" s="1406" customFormat="1" ht="11.4">
      <c r="A90" s="3438"/>
      <c r="B90" s="3459">
        <v>20.318999999999999</v>
      </c>
      <c r="C90" s="3470"/>
      <c r="D90" s="3438" t="s">
        <v>698</v>
      </c>
      <c r="E90" s="3438"/>
      <c r="F90" s="3438" t="s">
        <v>1231</v>
      </c>
      <c r="G90" s="3438"/>
      <c r="H90" s="2971">
        <v>22593888.379999999</v>
      </c>
      <c r="I90" s="2966"/>
      <c r="J90" s="2965">
        <v>135242377.30000001</v>
      </c>
    </row>
    <row r="91" spans="1:10" s="1406" customFormat="1" ht="11.4">
      <c r="A91" s="3438"/>
      <c r="B91" s="3459">
        <v>20.509</v>
      </c>
      <c r="C91" s="3470"/>
      <c r="D91" s="3438" t="s">
        <v>698</v>
      </c>
      <c r="E91" s="3438"/>
      <c r="F91" s="3438" t="s">
        <v>700</v>
      </c>
      <c r="G91" s="3438"/>
      <c r="H91" s="2970">
        <v>0</v>
      </c>
      <c r="I91" s="2966"/>
      <c r="J91" s="2965">
        <v>23215239.280000001</v>
      </c>
    </row>
    <row r="92" spans="1:10" s="1406" customFormat="1" ht="12">
      <c r="A92" s="3438"/>
      <c r="B92" s="3438"/>
      <c r="C92" s="3438"/>
      <c r="D92" s="3438"/>
      <c r="E92" s="3438"/>
      <c r="F92" s="3464" t="s">
        <v>701</v>
      </c>
      <c r="G92" s="3464"/>
      <c r="H92" s="3546">
        <f>ROUND(SUM(H89:H91),2)</f>
        <v>22593888.379999999</v>
      </c>
      <c r="I92" s="2966"/>
      <c r="J92" s="3546">
        <f>ROUND(SUM(J89:J91),2)</f>
        <v>1090793273.3199999</v>
      </c>
    </row>
    <row r="93" spans="1:10" s="1406" customFormat="1" ht="11.4">
      <c r="A93" s="3438"/>
      <c r="B93" s="3470"/>
      <c r="C93" s="3438"/>
      <c r="D93" s="3438"/>
      <c r="E93" s="3438"/>
      <c r="F93" s="3438"/>
      <c r="G93" s="3438"/>
      <c r="H93" s="3468"/>
      <c r="I93" s="3439"/>
      <c r="J93" s="2982"/>
    </row>
    <row r="94" spans="1:10" s="1406" customFormat="1" ht="12.6" thickBot="1">
      <c r="A94" s="3438"/>
      <c r="B94" s="3438"/>
      <c r="C94" s="3438"/>
      <c r="D94" s="3438"/>
      <c r="E94" s="3438"/>
      <c r="F94" s="3464" t="s">
        <v>702</v>
      </c>
      <c r="G94" s="3477"/>
      <c r="H94" s="2983">
        <f>ROUND(SUM(H31+H43+H48+H65+H69+H78+H87+H92),2)</f>
        <v>26742860.710000001</v>
      </c>
      <c r="I94" s="3478"/>
      <c r="J94" s="2983">
        <f>ROUND(SUM(J31+J43+J48+J65+J69+J78+J87+J92),2)</f>
        <v>40917043724.589996</v>
      </c>
    </row>
    <row r="95" spans="1:10" s="1406" customFormat="1" ht="12.6" thickTop="1">
      <c r="A95" s="3438"/>
      <c r="B95" s="3438"/>
      <c r="C95" s="3438"/>
      <c r="D95" s="3438"/>
      <c r="E95" s="3438"/>
      <c r="F95" s="3464"/>
      <c r="G95" s="3464"/>
      <c r="H95" s="2984"/>
      <c r="I95" s="3479"/>
      <c r="J95" s="2985"/>
    </row>
    <row r="96" spans="1:10" s="1406" customFormat="1" ht="12">
      <c r="A96" s="3480" t="s">
        <v>1643</v>
      </c>
      <c r="B96" s="3438"/>
      <c r="C96" s="3438"/>
      <c r="D96" s="3438"/>
      <c r="E96" s="3438"/>
      <c r="F96" s="3464"/>
      <c r="G96" s="3464"/>
      <c r="H96" s="2984"/>
      <c r="I96" s="3479"/>
      <c r="J96" s="2985"/>
    </row>
    <row r="97" spans="1:10" s="1406" customFormat="1" ht="11.4">
      <c r="A97" s="3480" t="s">
        <v>703</v>
      </c>
      <c r="B97" s="3481"/>
      <c r="C97" s="3481"/>
      <c r="D97" s="3481"/>
      <c r="E97" s="3481"/>
      <c r="F97" s="3481"/>
      <c r="G97" s="3481"/>
      <c r="H97" s="3482"/>
      <c r="I97" s="3483"/>
      <c r="J97" s="3483"/>
    </row>
    <row r="98" spans="1:10" s="1406" customFormat="1" ht="11.4">
      <c r="A98" s="3480" t="s">
        <v>704</v>
      </c>
      <c r="B98" s="3484"/>
      <c r="C98" s="3485"/>
      <c r="D98" s="3484"/>
      <c r="E98" s="3485"/>
      <c r="F98" s="3485"/>
      <c r="G98" s="3485"/>
      <c r="H98" s="3486"/>
      <c r="I98" s="3487"/>
      <c r="J98" s="3487"/>
    </row>
    <row r="99" spans="1:10" s="1406" customFormat="1" ht="11.4">
      <c r="A99" s="3480" t="s">
        <v>705</v>
      </c>
      <c r="B99" s="3485"/>
      <c r="C99" s="3485"/>
      <c r="D99" s="3487"/>
      <c r="E99" s="3485"/>
      <c r="F99" s="3485"/>
      <c r="G99" s="3485"/>
      <c r="H99" s="3486"/>
      <c r="I99" s="3487"/>
      <c r="J99" s="3487"/>
    </row>
    <row r="100" spans="1:10" s="1406" customFormat="1" ht="11.4">
      <c r="A100" s="3480" t="s">
        <v>706</v>
      </c>
      <c r="B100" s="3488"/>
      <c r="C100" s="3489"/>
      <c r="D100" s="3487"/>
      <c r="E100" s="3489"/>
      <c r="F100" s="3489"/>
      <c r="G100" s="3489"/>
      <c r="H100" s="3490"/>
      <c r="I100" s="3491"/>
      <c r="J100" s="3491"/>
    </row>
    <row r="101" spans="1:10">
      <c r="A101" s="1411"/>
      <c r="B101" s="1407"/>
      <c r="C101" s="1408"/>
      <c r="D101" s="1410"/>
      <c r="E101" s="1408"/>
      <c r="F101" s="1408"/>
      <c r="G101" s="1408"/>
      <c r="H101" s="1409"/>
      <c r="I101" s="1410"/>
      <c r="J101" s="1410"/>
    </row>
    <row r="102" spans="1:10">
      <c r="A102" s="1412"/>
      <c r="B102" s="1413"/>
      <c r="C102" s="1413"/>
      <c r="D102" s="1410"/>
      <c r="E102" s="1412"/>
      <c r="F102" s="1412"/>
      <c r="G102" s="1412"/>
      <c r="H102" s="1414"/>
      <c r="I102" s="1415"/>
      <c r="J102" s="1856"/>
    </row>
    <row r="103" spans="1:10">
      <c r="A103" s="1412"/>
      <c r="B103" s="1413"/>
      <c r="C103" s="1413"/>
      <c r="D103" s="1410"/>
      <c r="E103" s="1412"/>
      <c r="F103" s="1412"/>
      <c r="G103" s="1412"/>
      <c r="H103" s="1414"/>
      <c r="I103" s="1415"/>
      <c r="J103" s="1856"/>
    </row>
    <row r="104" spans="1:10">
      <c r="B104" s="1413"/>
      <c r="C104" s="1413"/>
      <c r="D104" s="1416"/>
      <c r="E104" s="1412"/>
      <c r="F104" s="1412"/>
      <c r="G104" s="1412"/>
      <c r="H104" s="1414"/>
      <c r="I104" s="1415"/>
      <c r="J104" s="1856"/>
    </row>
    <row r="105" spans="1:10" ht="15.6">
      <c r="B105" s="1417"/>
      <c r="C105" s="1417"/>
      <c r="D105" s="1410"/>
      <c r="E105" s="1418"/>
      <c r="F105" s="1418"/>
      <c r="G105" s="1418"/>
      <c r="H105" s="1419"/>
      <c r="I105" s="1420"/>
      <c r="J105" s="1857"/>
    </row>
    <row r="106" spans="1:10" ht="15.6">
      <c r="B106" s="1417"/>
      <c r="C106" s="1417"/>
      <c r="D106" s="1418"/>
      <c r="E106" s="1418"/>
      <c r="F106" s="1418"/>
      <c r="G106" s="1418"/>
      <c r="H106" s="1419"/>
      <c r="I106" s="1420"/>
      <c r="J106" s="1857"/>
    </row>
    <row r="107" spans="1:10" ht="15.6">
      <c r="B107" s="1417"/>
      <c r="C107" s="1417"/>
      <c r="D107" s="1418"/>
      <c r="E107" s="1418"/>
      <c r="F107" s="1418"/>
      <c r="G107" s="1418"/>
      <c r="H107" s="1419"/>
      <c r="I107" s="1420"/>
      <c r="J107" s="1857"/>
    </row>
    <row r="108" spans="1:10" ht="15.6">
      <c r="B108" s="1417"/>
      <c r="C108" s="1417"/>
      <c r="D108" s="1418"/>
      <c r="E108" s="1418"/>
      <c r="F108" s="1418"/>
      <c r="G108" s="1418"/>
      <c r="H108" s="1419"/>
      <c r="I108" s="1420"/>
      <c r="J108" s="1857"/>
    </row>
  </sheetData>
  <customSheetViews>
    <customSheetView guid="{8EE6466D-211E-4E05-9F84-CC0A1C6F79F4}" showGridLines="0" topLeftCell="A76">
      <selection sqref="A1:XFD1048576"/>
      <rowBreaks count="2" manualBreakCount="2">
        <brk id="65" max="9" man="1"/>
        <brk id="115" max="16383" man="1"/>
      </rowBreaks>
      <pageMargins left="0.45" right="0.45" top="0.5" bottom="0.5" header="0.3" footer="0.25"/>
      <pageSetup scale="59" firstPageNumber="50" orientation="landscape" useFirstPageNumber="1" r:id="rId1"/>
      <headerFooter scaleWithDoc="0" alignWithMargins="0">
        <oddFooter>&amp;C&amp;8&amp;P</oddFooter>
      </headerFooter>
    </customSheetView>
  </customSheetViews>
  <pageMargins left="0.45" right="0.45" top="0.5" bottom="0.5" header="0.3" footer="0.25"/>
  <pageSetup scale="75" firstPageNumber="51" fitToHeight="2" orientation="landscape" useFirstPageNumber="1" r:id="rId2"/>
  <headerFooter scaleWithDoc="0" alignWithMargins="0">
    <oddFooter>&amp;C&amp;8&amp;P</oddFooter>
  </headerFooter>
  <rowBreaks count="2" manualBreakCount="2">
    <brk id="65" max="9" man="1"/>
    <brk id="11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1"/>
  <sheetViews>
    <sheetView showGridLines="0" zoomScale="80" zoomScaleNormal="80" zoomScaleSheetLayoutView="100" workbookViewId="0"/>
  </sheetViews>
  <sheetFormatPr defaultColWidth="8.90625" defaultRowHeight="15.6"/>
  <cols>
    <col min="1" max="1" width="3.54296875" style="1170" customWidth="1"/>
    <col min="2" max="2" width="8.453125" style="1257" customWidth="1"/>
    <col min="3" max="3" width="12.1796875" style="1257" customWidth="1"/>
    <col min="4" max="4" width="15" style="1046" customWidth="1"/>
    <col min="5" max="5" width="15.6328125" style="1043" customWidth="1"/>
    <col min="6" max="6" width="12.54296875" style="1170" customWidth="1"/>
    <col min="7" max="7" width="10.36328125" style="1170" customWidth="1"/>
    <col min="8" max="8" width="9.08984375" style="1035" customWidth="1"/>
    <col min="9" max="9" width="5.54296875" style="1042" customWidth="1"/>
    <col min="10" max="10" width="9.36328125" style="1042" customWidth="1"/>
    <col min="11" max="11" width="8.36328125" style="1043" customWidth="1"/>
    <col min="12" max="12" width="3.90625" style="1043" customWidth="1"/>
    <col min="13" max="13" width="11.1796875" style="1043" customWidth="1"/>
    <col min="14" max="14" width="12.1796875" style="1043" customWidth="1"/>
    <col min="15" max="15" width="5.6328125" style="1256" customWidth="1"/>
    <col min="16" max="16" width="11.6328125" style="1256" customWidth="1"/>
    <col min="17" max="17" width="8" style="1256" customWidth="1"/>
    <col min="18" max="18" width="3.6328125" style="1256" customWidth="1"/>
    <col min="19" max="19" width="13.1796875" style="1256" customWidth="1"/>
    <col min="20" max="20" width="12.08984375" style="1256" customWidth="1"/>
    <col min="21" max="21" width="12.1796875" style="1256" customWidth="1"/>
    <col min="22" max="16384" width="8.90625" style="1256"/>
  </cols>
  <sheetData>
    <row r="1" spans="1:20">
      <c r="A1" s="1184" t="s">
        <v>1217</v>
      </c>
    </row>
    <row r="2" spans="1:20">
      <c r="A2" s="1031" t="s">
        <v>996</v>
      </c>
      <c r="B2" s="1032"/>
      <c r="C2" s="1033"/>
      <c r="D2" s="1034"/>
      <c r="E2" s="1035"/>
      <c r="F2" s="1035"/>
      <c r="G2" s="1035"/>
      <c r="I2" s="1036"/>
      <c r="J2" s="1036"/>
      <c r="K2" s="1035"/>
      <c r="L2" s="1035"/>
      <c r="M2" s="1035"/>
      <c r="N2" s="1037"/>
      <c r="O2" s="1038"/>
      <c r="P2" s="1822" t="s">
        <v>1210</v>
      </c>
      <c r="Q2" s="1039"/>
      <c r="R2" s="1039"/>
      <c r="S2" s="1040"/>
      <c r="T2" s="1041"/>
    </row>
    <row r="3" spans="1:20" ht="12.75" customHeight="1">
      <c r="A3" s="1032"/>
      <c r="B3" s="1032"/>
      <c r="C3" s="1033"/>
      <c r="D3" s="1034"/>
      <c r="E3" s="1035"/>
      <c r="F3" s="1035"/>
      <c r="G3" s="1035"/>
      <c r="I3" s="1257"/>
      <c r="J3" s="1257"/>
      <c r="K3" s="1046"/>
      <c r="M3" s="1170"/>
      <c r="N3" s="1170"/>
      <c r="P3" s="1823" t="s">
        <v>1675</v>
      </c>
      <c r="T3" s="1041"/>
    </row>
    <row r="4" spans="1:20" ht="9" customHeight="1">
      <c r="H4" s="2947"/>
      <c r="I4" s="2953"/>
      <c r="J4" s="2953"/>
      <c r="K4" s="2954"/>
      <c r="L4" s="2951"/>
      <c r="M4" s="2952"/>
      <c r="N4" s="2952"/>
      <c r="O4" s="2949"/>
      <c r="P4" s="1823"/>
      <c r="Q4" s="2949"/>
      <c r="T4" s="1041"/>
    </row>
    <row r="5" spans="1:20" ht="13.5" customHeight="1">
      <c r="T5" s="1041"/>
    </row>
    <row r="6" spans="1:20" ht="13.5" customHeight="1">
      <c r="A6" s="1044" t="s">
        <v>997</v>
      </c>
      <c r="B6" s="1034" t="s">
        <v>998</v>
      </c>
      <c r="C6" s="1034"/>
      <c r="D6" s="1034"/>
      <c r="E6" s="1035"/>
      <c r="F6" s="1035"/>
      <c r="G6" s="1035"/>
      <c r="I6" s="1061" t="s">
        <v>1442</v>
      </c>
      <c r="J6" s="2953"/>
      <c r="K6" s="2954"/>
      <c r="L6" s="2951"/>
      <c r="M6" s="2952"/>
      <c r="N6" s="1256"/>
    </row>
    <row r="7" spans="1:20" ht="13.5" customHeight="1">
      <c r="A7" s="1044"/>
      <c r="B7" s="1034" t="s">
        <v>999</v>
      </c>
      <c r="C7" s="1034"/>
      <c r="D7" s="1034"/>
      <c r="E7" s="1035"/>
      <c r="F7" s="1035"/>
      <c r="G7" s="1035"/>
      <c r="I7" s="1035"/>
      <c r="J7" s="3335" t="s">
        <v>1693</v>
      </c>
      <c r="K7" s="2953"/>
      <c r="L7" s="2954"/>
      <c r="M7" s="2951"/>
      <c r="N7" s="2952"/>
    </row>
    <row r="8" spans="1:20" ht="12.9" customHeight="1">
      <c r="A8" s="1044"/>
      <c r="B8" s="1034" t="s">
        <v>1000</v>
      </c>
      <c r="C8" s="1034"/>
      <c r="D8" s="1034"/>
      <c r="E8" s="1035"/>
      <c r="F8" s="1035"/>
      <c r="G8" s="1035"/>
      <c r="I8" s="2947"/>
      <c r="J8" s="3335" t="s">
        <v>1681</v>
      </c>
      <c r="K8" s="2953"/>
      <c r="L8" s="2954"/>
      <c r="M8" s="2951"/>
      <c r="N8" s="2952"/>
    </row>
    <row r="9" spans="1:20" ht="12.75" customHeight="1">
      <c r="A9" s="1044"/>
      <c r="B9" s="1034" t="s">
        <v>1001</v>
      </c>
      <c r="C9" s="1034"/>
      <c r="D9" s="1034"/>
      <c r="E9" s="1035"/>
      <c r="F9" s="1035"/>
      <c r="G9" s="1035"/>
    </row>
    <row r="10" spans="1:20" ht="12.75" customHeight="1">
      <c r="F10" s="2776"/>
      <c r="I10" s="1035"/>
      <c r="J10" s="1035" t="s">
        <v>1236</v>
      </c>
      <c r="K10" s="1035"/>
      <c r="L10" s="1035"/>
      <c r="M10" s="1035"/>
      <c r="N10" s="1035"/>
      <c r="O10" s="1170"/>
    </row>
    <row r="11" spans="1:20" ht="12.75" customHeight="1">
      <c r="A11" s="1035"/>
      <c r="B11" s="1034"/>
      <c r="C11" s="1036" t="s">
        <v>1058</v>
      </c>
      <c r="D11" s="1047"/>
      <c r="E11" s="1035"/>
      <c r="F11" s="3537">
        <v>109.9</v>
      </c>
      <c r="G11" s="1035" t="s">
        <v>1002</v>
      </c>
    </row>
    <row r="12" spans="1:20" ht="12.75" customHeight="1">
      <c r="A12" s="1035"/>
      <c r="B12" s="1036"/>
      <c r="C12" s="1036" t="s">
        <v>1263</v>
      </c>
      <c r="D12" s="1048"/>
      <c r="E12" s="1035"/>
      <c r="F12" s="3535">
        <v>17.399999999999999</v>
      </c>
      <c r="G12" s="1035"/>
      <c r="J12" s="3393" t="s">
        <v>1639</v>
      </c>
      <c r="P12" s="3390">
        <v>3.1</v>
      </c>
      <c r="Q12" s="2947" t="s">
        <v>1002</v>
      </c>
    </row>
    <row r="13" spans="1:20" ht="12.75" customHeight="1">
      <c r="A13" s="1035"/>
      <c r="B13" s="1036"/>
      <c r="C13" s="1036" t="s">
        <v>1003</v>
      </c>
      <c r="D13" s="1048"/>
      <c r="E13" s="1035"/>
      <c r="F13" s="2876">
        <v>87.4</v>
      </c>
      <c r="G13" s="1035"/>
      <c r="J13" s="3334" t="s">
        <v>1562</v>
      </c>
      <c r="L13" s="2946"/>
      <c r="M13" s="2947"/>
      <c r="P13" s="1045">
        <v>292.89999999999998</v>
      </c>
      <c r="T13" s="1035"/>
    </row>
    <row r="14" spans="1:20" ht="12.75" customHeight="1">
      <c r="A14" s="1035"/>
      <c r="B14" s="1036"/>
      <c r="C14" s="1036" t="s">
        <v>1004</v>
      </c>
      <c r="D14" s="1048"/>
      <c r="E14" s="1035"/>
      <c r="F14" s="2876">
        <v>10.8</v>
      </c>
      <c r="I14" s="2947"/>
      <c r="J14" s="3391" t="s">
        <v>1638</v>
      </c>
      <c r="P14" s="3392">
        <v>8.4</v>
      </c>
      <c r="T14" s="1050"/>
    </row>
    <row r="15" spans="1:20" ht="12.75" customHeight="1">
      <c r="A15" s="1035"/>
      <c r="B15" s="1036"/>
      <c r="C15" s="1036" t="s">
        <v>1264</v>
      </c>
      <c r="D15" s="1048"/>
      <c r="E15" s="1035"/>
      <c r="F15" s="2876">
        <v>410.1</v>
      </c>
      <c r="G15" s="1035"/>
      <c r="J15" s="3334" t="s">
        <v>1647</v>
      </c>
      <c r="P15" s="3421">
        <v>1.6</v>
      </c>
      <c r="T15" s="1050"/>
    </row>
    <row r="16" spans="1:20" ht="12.75" customHeight="1">
      <c r="A16" s="1035"/>
      <c r="B16" s="1036"/>
      <c r="C16" s="1036" t="s">
        <v>1059</v>
      </c>
      <c r="D16" s="1048"/>
      <c r="E16" s="1035"/>
      <c r="F16" s="3535">
        <v>113.5</v>
      </c>
      <c r="G16" s="1035"/>
      <c r="I16" s="2947"/>
      <c r="J16" s="3393" t="s">
        <v>1640</v>
      </c>
      <c r="P16" s="3392">
        <v>104.7</v>
      </c>
      <c r="R16" s="1035"/>
    </row>
    <row r="17" spans="1:19" ht="12.75" customHeight="1">
      <c r="A17" s="1035"/>
      <c r="B17" s="1036"/>
      <c r="C17" s="1036" t="s">
        <v>1005</v>
      </c>
      <c r="D17" s="1051"/>
      <c r="E17" s="1035"/>
      <c r="F17" s="3535">
        <v>360.7</v>
      </c>
      <c r="G17" s="1035"/>
      <c r="J17" s="3334" t="s">
        <v>1576</v>
      </c>
      <c r="L17" s="3334"/>
      <c r="M17" s="3335"/>
      <c r="O17" s="1035"/>
      <c r="P17" s="1045">
        <v>1.7</v>
      </c>
    </row>
    <row r="18" spans="1:19" ht="12.75" customHeight="1">
      <c r="A18" s="1035"/>
      <c r="B18" s="1036"/>
      <c r="C18" s="1036" t="s">
        <v>1238</v>
      </c>
      <c r="D18" s="1051"/>
      <c r="E18" s="1035"/>
      <c r="F18" s="2876">
        <v>17.600000000000001</v>
      </c>
      <c r="G18" s="1035"/>
      <c r="I18" s="3335"/>
      <c r="J18" s="3393" t="s">
        <v>1642</v>
      </c>
      <c r="P18" s="3392">
        <v>2.2000000000000002</v>
      </c>
    </row>
    <row r="19" spans="1:19" ht="12.75" customHeight="1">
      <c r="J19" s="2948" t="s">
        <v>1610</v>
      </c>
      <c r="L19" s="1046"/>
      <c r="P19" s="1045">
        <v>2.8</v>
      </c>
    </row>
    <row r="20" spans="1:19" ht="12.9" customHeight="1">
      <c r="I20" s="1257"/>
      <c r="J20" s="2948" t="s">
        <v>1611</v>
      </c>
      <c r="K20" s="1257"/>
      <c r="M20" s="1046"/>
      <c r="P20" s="1045">
        <v>2</v>
      </c>
      <c r="R20" s="3338"/>
    </row>
    <row r="21" spans="1:19" ht="12.75" customHeight="1">
      <c r="A21" s="1044" t="s">
        <v>1006</v>
      </c>
      <c r="B21" s="1034" t="s">
        <v>1237</v>
      </c>
      <c r="C21" s="1034"/>
      <c r="D21" s="1034"/>
      <c r="E21" s="1035"/>
      <c r="F21" s="1035"/>
      <c r="G21" s="1035"/>
      <c r="I21" s="2949"/>
      <c r="J21" s="2948" t="s">
        <v>1284</v>
      </c>
      <c r="K21" s="1047"/>
      <c r="L21" s="1035"/>
      <c r="N21" s="1170"/>
      <c r="P21" s="1045">
        <v>23.7</v>
      </c>
    </row>
    <row r="22" spans="1:19" ht="13.65" customHeight="1">
      <c r="A22" s="1044"/>
      <c r="B22" s="1034" t="s">
        <v>1007</v>
      </c>
      <c r="C22" s="1034"/>
      <c r="D22" s="1034"/>
      <c r="E22" s="1035"/>
      <c r="F22" s="1035"/>
      <c r="G22" s="1035"/>
      <c r="J22" s="2948" t="s">
        <v>1608</v>
      </c>
      <c r="K22" s="1046"/>
      <c r="N22" s="1170"/>
      <c r="P22" s="1045">
        <v>1</v>
      </c>
    </row>
    <row r="23" spans="1:19" ht="12.75" customHeight="1">
      <c r="A23" s="1044"/>
      <c r="B23" s="1034"/>
      <c r="C23" s="1034"/>
      <c r="D23" s="1034"/>
      <c r="E23" s="1035"/>
      <c r="F23" s="1035"/>
      <c r="G23" s="1035"/>
      <c r="I23" s="1257"/>
      <c r="J23" s="3420" t="s">
        <v>1646</v>
      </c>
      <c r="P23" s="3421">
        <v>1.8</v>
      </c>
    </row>
    <row r="24" spans="1:19" s="3338" customFormat="1" ht="12.75" customHeight="1">
      <c r="A24" s="1035"/>
      <c r="B24" s="1052" t="s">
        <v>1008</v>
      </c>
      <c r="C24" s="1052"/>
      <c r="D24" s="1034"/>
      <c r="E24" s="1035"/>
      <c r="F24" s="1035"/>
      <c r="G24" s="1035"/>
      <c r="H24" s="1035"/>
      <c r="I24" s="1257"/>
      <c r="J24" s="3394" t="s">
        <v>1641</v>
      </c>
      <c r="K24" s="1043"/>
      <c r="L24" s="1043"/>
      <c r="M24" s="1043"/>
      <c r="N24" s="1043"/>
      <c r="O24" s="1256"/>
      <c r="P24" s="3392">
        <v>3.2</v>
      </c>
      <c r="Q24" s="1256"/>
      <c r="R24" s="1256"/>
      <c r="S24" s="1256"/>
    </row>
    <row r="25" spans="1:19" ht="13.35" customHeight="1">
      <c r="G25" s="1035"/>
      <c r="J25" s="2948" t="s">
        <v>1609</v>
      </c>
      <c r="K25" s="1046"/>
      <c r="N25" s="1170"/>
      <c r="P25" s="1045">
        <v>2.2999999999999998</v>
      </c>
      <c r="R25" s="3338"/>
      <c r="S25" s="3338"/>
    </row>
    <row r="26" spans="1:19" ht="12.75" customHeight="1">
      <c r="A26" s="2952"/>
      <c r="B26" s="2953"/>
      <c r="C26" s="2948" t="s">
        <v>1605</v>
      </c>
      <c r="D26" s="2954"/>
      <c r="E26" s="2951"/>
      <c r="F26" s="1053">
        <v>602.9</v>
      </c>
      <c r="G26" s="1035" t="s">
        <v>1002</v>
      </c>
      <c r="J26" s="1036" t="s">
        <v>1441</v>
      </c>
      <c r="K26" s="1047"/>
      <c r="L26" s="1035"/>
      <c r="N26" s="1170"/>
      <c r="P26" s="3172">
        <v>8.1999999999999993</v>
      </c>
    </row>
    <row r="27" spans="1:19" ht="12.75" customHeight="1">
      <c r="C27" s="2948" t="s">
        <v>1009</v>
      </c>
      <c r="D27" s="1047"/>
      <c r="E27" s="1035"/>
      <c r="F27" s="1045">
        <v>495.7</v>
      </c>
      <c r="G27" s="1256"/>
    </row>
    <row r="28" spans="1:19" ht="12.75" customHeight="1">
      <c r="A28" s="2952"/>
      <c r="B28" s="2953"/>
      <c r="C28" s="2948" t="s">
        <v>1575</v>
      </c>
      <c r="D28" s="2955"/>
      <c r="E28" s="3335"/>
      <c r="F28" s="1045">
        <v>14.9</v>
      </c>
      <c r="G28" s="3335"/>
      <c r="I28" s="1032" t="s">
        <v>1468</v>
      </c>
      <c r="J28" s="1032"/>
      <c r="K28" s="1035"/>
      <c r="L28" s="1035"/>
      <c r="M28" s="1035"/>
      <c r="N28" s="1035"/>
      <c r="P28" s="2777"/>
      <c r="Q28" s="2949"/>
    </row>
    <row r="29" spans="1:19" ht="12.9" customHeight="1">
      <c r="A29" s="1035"/>
      <c r="B29" s="1036"/>
      <c r="C29" s="2948" t="s">
        <v>1542</v>
      </c>
      <c r="D29" s="1047"/>
      <c r="E29" s="1035"/>
      <c r="F29" s="1045">
        <v>36.200000000000003</v>
      </c>
      <c r="H29" s="1170"/>
      <c r="Q29" s="2949"/>
    </row>
    <row r="30" spans="1:19" ht="12.75" customHeight="1">
      <c r="C30" s="2948" t="s">
        <v>1629</v>
      </c>
      <c r="F30" s="1045">
        <v>8.4</v>
      </c>
      <c r="H30" s="1170"/>
      <c r="I30" s="1036"/>
      <c r="J30" s="1036" t="s">
        <v>1010</v>
      </c>
      <c r="K30" s="1047"/>
      <c r="L30" s="1035"/>
      <c r="M30" s="1256"/>
      <c r="P30" s="1053">
        <v>7907.8</v>
      </c>
      <c r="Q30" s="1035" t="s">
        <v>1002</v>
      </c>
    </row>
    <row r="31" spans="1:19" ht="12.75" customHeight="1">
      <c r="A31" s="2947"/>
      <c r="B31" s="2948"/>
      <c r="C31" s="2948" t="s">
        <v>1014</v>
      </c>
      <c r="D31" s="2955"/>
      <c r="E31" s="2947"/>
      <c r="F31" s="1045">
        <v>66.7</v>
      </c>
      <c r="G31" s="2952"/>
      <c r="H31" s="1170"/>
      <c r="I31" s="1036"/>
      <c r="J31" s="1036" t="s">
        <v>1011</v>
      </c>
      <c r="K31" s="1047"/>
      <c r="L31" s="1035"/>
      <c r="M31" s="1256"/>
      <c r="P31" s="1045">
        <v>2309.9</v>
      </c>
      <c r="Q31" s="2949"/>
    </row>
    <row r="32" spans="1:19" ht="12.75" customHeight="1">
      <c r="A32" s="3335"/>
      <c r="B32" s="2948"/>
      <c r="C32" s="2948" t="s">
        <v>1571</v>
      </c>
      <c r="D32" s="2955"/>
      <c r="E32" s="3335"/>
      <c r="F32" s="1045">
        <v>49.5</v>
      </c>
      <c r="G32" s="2952"/>
      <c r="H32" s="2952"/>
      <c r="I32" s="1036"/>
      <c r="J32" s="1036" t="s">
        <v>1012</v>
      </c>
      <c r="K32" s="1047"/>
      <c r="L32" s="1035"/>
      <c r="M32" s="1256"/>
      <c r="P32" s="1045">
        <v>2074.6999999999998</v>
      </c>
      <c r="Q32" s="2949"/>
    </row>
    <row r="33" spans="1:20" s="3338" customFormat="1" ht="12.75" customHeight="1">
      <c r="A33" s="3335"/>
      <c r="B33" s="2948"/>
      <c r="C33" s="2948" t="s">
        <v>1574</v>
      </c>
      <c r="D33" s="2955"/>
      <c r="E33" s="3335"/>
      <c r="F33" s="1045">
        <v>586.9</v>
      </c>
      <c r="G33" s="2952"/>
      <c r="H33" s="1170"/>
      <c r="I33" s="1042"/>
      <c r="J33" s="1036" t="s">
        <v>1013</v>
      </c>
      <c r="K33" s="1047"/>
      <c r="L33" s="1035"/>
      <c r="M33" s="1256"/>
      <c r="N33" s="1043"/>
      <c r="O33" s="1256"/>
      <c r="P33" s="1045">
        <v>728.7</v>
      </c>
      <c r="Q33" s="2949"/>
      <c r="R33" s="1256"/>
      <c r="S33" s="1256"/>
    </row>
    <row r="34" spans="1:20" ht="12.9" customHeight="1">
      <c r="A34" s="3335"/>
      <c r="B34" s="2948"/>
      <c r="C34" s="2948" t="s">
        <v>1573</v>
      </c>
      <c r="D34" s="2955"/>
      <c r="E34" s="3335"/>
      <c r="F34" s="1045">
        <v>3.8</v>
      </c>
      <c r="G34" s="2952"/>
      <c r="H34" s="2947"/>
      <c r="J34" s="1036"/>
      <c r="P34" s="1045"/>
      <c r="Q34" s="2949"/>
      <c r="R34" s="1035"/>
      <c r="S34" s="3338"/>
    </row>
    <row r="35" spans="1:20" ht="12.75" customHeight="1">
      <c r="A35" s="1035"/>
      <c r="B35" s="1036"/>
      <c r="C35" s="3334" t="s">
        <v>1561</v>
      </c>
      <c r="D35" s="1047"/>
      <c r="E35" s="1035"/>
      <c r="F35" s="1045">
        <v>23</v>
      </c>
      <c r="G35" s="1035"/>
      <c r="H35" s="2947"/>
      <c r="I35" s="1035" t="s">
        <v>1257</v>
      </c>
      <c r="J35" s="1036"/>
      <c r="K35" s="1035"/>
      <c r="L35" s="1035"/>
      <c r="M35" s="1035"/>
      <c r="N35" s="1035"/>
      <c r="O35" s="1045"/>
      <c r="Q35" s="2949"/>
      <c r="R35" s="1050"/>
    </row>
    <row r="36" spans="1:20" ht="12.75" customHeight="1">
      <c r="C36" s="3334" t="s">
        <v>1637</v>
      </c>
      <c r="F36" s="1045">
        <v>14.3</v>
      </c>
      <c r="H36" s="2947"/>
      <c r="I36" s="1035" t="s">
        <v>1258</v>
      </c>
      <c r="J36" s="1036"/>
      <c r="K36" s="1035"/>
      <c r="L36" s="1035"/>
      <c r="M36" s="1035"/>
      <c r="N36" s="1035"/>
      <c r="O36" s="1045"/>
      <c r="Q36" s="2949"/>
      <c r="R36" s="1050"/>
    </row>
    <row r="37" spans="1:20" ht="12.75" customHeight="1">
      <c r="A37" s="3335"/>
      <c r="B37" s="2948"/>
      <c r="C37" s="3334" t="s">
        <v>1612</v>
      </c>
      <c r="D37" s="2955"/>
      <c r="E37" s="3335"/>
      <c r="F37" s="1045">
        <v>8.5</v>
      </c>
      <c r="G37" s="3335"/>
      <c r="H37" s="2947"/>
      <c r="I37" s="3335" t="s">
        <v>1694</v>
      </c>
      <c r="J37" s="1036"/>
      <c r="K37" s="1035"/>
      <c r="L37" s="1035"/>
      <c r="M37" s="1035"/>
      <c r="N37" s="1035"/>
      <c r="O37" s="1045"/>
    </row>
    <row r="38" spans="1:20" ht="12.75" customHeight="1">
      <c r="C38" s="2948" t="s">
        <v>1463</v>
      </c>
      <c r="D38" s="2946"/>
      <c r="E38" s="2947"/>
      <c r="F38" s="1045">
        <v>2.7</v>
      </c>
      <c r="T38" s="1258"/>
    </row>
    <row r="39" spans="1:20" ht="12.75" customHeight="1">
      <c r="A39" s="1035"/>
      <c r="B39" s="1036"/>
      <c r="C39" s="2948" t="s">
        <v>1686</v>
      </c>
      <c r="F39" s="1045">
        <v>30.1</v>
      </c>
      <c r="G39" s="1035"/>
      <c r="I39" s="3333" t="s">
        <v>1679</v>
      </c>
      <c r="J39" s="1036"/>
      <c r="K39" s="1035"/>
      <c r="L39" s="1035"/>
      <c r="M39" s="1035"/>
      <c r="N39" s="1035"/>
      <c r="O39" s="1054"/>
      <c r="P39" s="1054"/>
      <c r="T39" s="1258"/>
    </row>
    <row r="40" spans="1:20" ht="12.9" customHeight="1">
      <c r="A40" s="1035"/>
      <c r="B40" s="1036"/>
      <c r="C40" s="2948" t="s">
        <v>1607</v>
      </c>
      <c r="D40" s="2868"/>
      <c r="E40" s="2869"/>
      <c r="F40" s="1045">
        <v>6.7</v>
      </c>
      <c r="H40" s="1054"/>
      <c r="I40" s="3334" t="s">
        <v>1680</v>
      </c>
      <c r="J40" s="1036"/>
      <c r="K40" s="1035"/>
      <c r="L40" s="1035"/>
      <c r="M40" s="1035"/>
      <c r="N40" s="1035"/>
      <c r="O40" s="1054"/>
      <c r="P40" s="1054"/>
      <c r="T40" s="1258"/>
    </row>
    <row r="41" spans="1:20" ht="12.75" customHeight="1">
      <c r="A41" s="1035"/>
      <c r="B41" s="1036"/>
      <c r="C41" s="2948" t="s">
        <v>1560</v>
      </c>
      <c r="D41" s="1047"/>
      <c r="E41" s="1035"/>
      <c r="F41" s="1045">
        <v>1245</v>
      </c>
      <c r="G41" s="1035"/>
      <c r="H41" s="1054"/>
      <c r="I41" s="3334"/>
      <c r="J41" s="2948"/>
      <c r="K41" s="3335"/>
      <c r="L41" s="3335"/>
      <c r="M41" s="3335"/>
      <c r="N41" s="3335"/>
      <c r="O41" s="1054"/>
      <c r="P41" s="1054"/>
      <c r="T41" s="1258"/>
    </row>
    <row r="42" spans="1:20" ht="12.75" customHeight="1">
      <c r="B42" s="2948"/>
      <c r="C42" s="2948" t="s">
        <v>1261</v>
      </c>
      <c r="D42" s="2955"/>
      <c r="E42" s="2947"/>
      <c r="F42" s="1045">
        <v>1230</v>
      </c>
      <c r="G42" s="2947"/>
      <c r="H42" s="1170"/>
      <c r="I42" s="1257"/>
      <c r="J42" s="1036"/>
      <c r="K42" s="1047"/>
      <c r="L42" s="1035"/>
      <c r="P42" s="3170"/>
      <c r="T42" s="1258"/>
    </row>
    <row r="43" spans="1:20" s="3338" customFormat="1" ht="12.75" customHeight="1">
      <c r="A43" s="2952"/>
      <c r="B43" s="2948"/>
      <c r="C43" s="2948" t="s">
        <v>1559</v>
      </c>
      <c r="D43" s="1047"/>
      <c r="E43" s="1035"/>
      <c r="F43" s="1045">
        <v>31.6</v>
      </c>
      <c r="G43" s="2947"/>
      <c r="H43" s="2892" t="s">
        <v>1017</v>
      </c>
      <c r="I43" s="1035" t="s">
        <v>1060</v>
      </c>
      <c r="J43" s="2948"/>
      <c r="K43" s="2955"/>
      <c r="L43" s="2947"/>
      <c r="M43" s="2951"/>
      <c r="N43" s="2951"/>
      <c r="O43" s="2949"/>
      <c r="P43" s="3170"/>
      <c r="R43" s="1256"/>
      <c r="S43" s="1256"/>
      <c r="T43" s="1258"/>
    </row>
    <row r="44" spans="1:20" ht="12.75" customHeight="1">
      <c r="A44" s="2952"/>
      <c r="B44" s="2948"/>
      <c r="C44" s="2948" t="s">
        <v>1015</v>
      </c>
      <c r="D44" s="2955"/>
      <c r="E44" s="2947"/>
      <c r="F44" s="1045">
        <v>326.89999999999998</v>
      </c>
      <c r="G44" s="2947"/>
      <c r="I44" s="1035" t="s">
        <v>1265</v>
      </c>
      <c r="J44" s="2948"/>
      <c r="K44" s="2955"/>
      <c r="L44" s="2947"/>
      <c r="M44" s="2951"/>
      <c r="N44" s="2951"/>
      <c r="O44" s="2949"/>
      <c r="P44" s="3170"/>
      <c r="S44" s="3338"/>
      <c r="T44" s="1258"/>
    </row>
    <row r="45" spans="1:20" ht="12.75" customHeight="1">
      <c r="A45" s="2952"/>
      <c r="B45" s="2948"/>
      <c r="C45" s="2948" t="s">
        <v>1016</v>
      </c>
      <c r="D45" s="1047"/>
      <c r="E45" s="1035"/>
      <c r="F45" s="1045">
        <v>4.5999999999999996</v>
      </c>
      <c r="G45" s="3335"/>
      <c r="I45" s="1035" t="s">
        <v>1271</v>
      </c>
      <c r="J45" s="1036"/>
      <c r="P45" s="3171"/>
      <c r="Q45" s="2949"/>
      <c r="R45" s="3338"/>
      <c r="T45" s="1258"/>
    </row>
    <row r="46" spans="1:20" ht="12.75" customHeight="1">
      <c r="A46" s="1035"/>
      <c r="C46" s="2948" t="s">
        <v>1572</v>
      </c>
      <c r="D46" s="2955"/>
      <c r="E46" s="3335"/>
      <c r="F46" s="1045">
        <v>6.6</v>
      </c>
      <c r="H46" s="3335"/>
      <c r="I46" s="3335" t="s">
        <v>1260</v>
      </c>
      <c r="J46" s="2948"/>
      <c r="K46" s="2951"/>
      <c r="L46" s="2951"/>
      <c r="M46" s="2951"/>
      <c r="N46" s="2951"/>
      <c r="O46" s="3338"/>
      <c r="P46" s="3171"/>
      <c r="Q46" s="2949"/>
      <c r="R46" s="3338"/>
    </row>
    <row r="47" spans="1:20" ht="13.5" customHeight="1">
      <c r="A47" s="3335"/>
      <c r="B47" s="2953"/>
      <c r="C47" s="2948" t="s">
        <v>1507</v>
      </c>
      <c r="D47" s="1047"/>
      <c r="E47" s="1035"/>
      <c r="F47" s="1045">
        <v>6.4</v>
      </c>
      <c r="G47" s="2952"/>
      <c r="I47" s="1035" t="s">
        <v>16</v>
      </c>
      <c r="J47" s="1036"/>
      <c r="K47" s="1034"/>
      <c r="P47" s="3172"/>
    </row>
    <row r="48" spans="1:20" ht="13.5" customHeight="1">
      <c r="A48" s="1035"/>
      <c r="C48" s="2948" t="s">
        <v>1606</v>
      </c>
      <c r="D48" s="2955"/>
      <c r="E48" s="3335"/>
      <c r="F48" s="1045">
        <v>58.6</v>
      </c>
      <c r="I48" s="2947" t="s">
        <v>1535</v>
      </c>
      <c r="J48" s="2948"/>
      <c r="K48" s="2946"/>
      <c r="L48" s="2951"/>
      <c r="M48" s="2951"/>
      <c r="N48" s="2951"/>
      <c r="O48" s="2949"/>
      <c r="P48" s="3172"/>
      <c r="Q48" s="3338"/>
    </row>
    <row r="49" spans="1:21" ht="12.75" customHeight="1">
      <c r="A49" s="3335"/>
      <c r="B49" s="2953"/>
      <c r="C49" s="2948" t="s">
        <v>1178</v>
      </c>
      <c r="D49" s="1047"/>
      <c r="E49" s="1035"/>
      <c r="F49" s="1045">
        <v>998.1</v>
      </c>
      <c r="G49" s="2952"/>
      <c r="I49" s="2947" t="s">
        <v>1536</v>
      </c>
      <c r="J49" s="2948"/>
      <c r="K49" s="2946"/>
      <c r="L49" s="2951"/>
      <c r="M49" s="2951"/>
      <c r="N49" s="2951"/>
      <c r="O49" s="2949"/>
      <c r="P49" s="3172"/>
    </row>
    <row r="50" spans="1:21" ht="12.75" customHeight="1">
      <c r="C50" s="2948" t="s">
        <v>1580</v>
      </c>
      <c r="D50" s="2955"/>
      <c r="E50" s="3335"/>
      <c r="F50" s="1045">
        <v>36.700000000000003</v>
      </c>
      <c r="I50" s="1035" t="s">
        <v>1259</v>
      </c>
      <c r="J50" s="2948"/>
      <c r="K50" s="2946"/>
      <c r="L50" s="2951"/>
      <c r="M50" s="2951"/>
      <c r="N50" s="2951"/>
      <c r="O50" s="2949"/>
      <c r="P50" s="3172"/>
      <c r="R50" s="3338"/>
    </row>
    <row r="51" spans="1:21" ht="12.9" customHeight="1">
      <c r="J51" s="1036"/>
      <c r="K51" s="2611"/>
      <c r="L51" s="1035"/>
      <c r="P51" s="3172"/>
      <c r="Q51" s="2949"/>
    </row>
    <row r="52" spans="1:21" ht="12.75" customHeight="1">
      <c r="B52" s="1036" t="s">
        <v>1018</v>
      </c>
      <c r="C52" s="2948"/>
      <c r="D52" s="2870"/>
      <c r="E52" s="2947"/>
      <c r="F52" s="2777"/>
      <c r="G52" s="2952"/>
      <c r="I52" s="2950"/>
      <c r="J52" s="3173"/>
      <c r="K52" s="3174"/>
      <c r="L52" s="3175"/>
      <c r="M52" s="2951"/>
      <c r="N52" s="3176"/>
      <c r="O52" s="3177" t="s">
        <v>1532</v>
      </c>
      <c r="P52" s="3178"/>
      <c r="Q52" s="2949"/>
    </row>
    <row r="53" spans="1:21" ht="12.75" customHeight="1">
      <c r="A53" s="1035"/>
      <c r="B53" s="3335" t="s">
        <v>1691</v>
      </c>
      <c r="C53" s="1036"/>
      <c r="D53" s="2870"/>
      <c r="E53" s="1035"/>
      <c r="F53" s="2777"/>
      <c r="H53" s="2947"/>
      <c r="I53" s="3180"/>
      <c r="J53" s="3173"/>
      <c r="K53" s="3174"/>
      <c r="L53" s="3175"/>
      <c r="M53" s="2951"/>
      <c r="N53" s="3177" t="s">
        <v>995</v>
      </c>
      <c r="O53" s="3181"/>
      <c r="P53" s="3178" t="s">
        <v>1533</v>
      </c>
      <c r="Q53" s="2949"/>
      <c r="S53" s="1033"/>
      <c r="T53" s="1258"/>
      <c r="U53" s="1258"/>
    </row>
    <row r="54" spans="1:21" ht="12.75" customHeight="1">
      <c r="A54" s="2947"/>
      <c r="B54" s="3335" t="s">
        <v>1692</v>
      </c>
      <c r="C54" s="2948"/>
      <c r="D54" s="2870"/>
      <c r="E54" s="2947"/>
      <c r="F54" s="2777"/>
      <c r="G54" s="2952"/>
      <c r="H54" s="2947"/>
      <c r="I54" s="3180"/>
      <c r="J54" s="3173"/>
      <c r="K54" s="3174"/>
      <c r="L54" s="3175"/>
      <c r="M54" s="2951"/>
      <c r="N54" s="3177"/>
      <c r="O54" s="3181"/>
      <c r="P54" s="3178"/>
      <c r="S54" s="1056"/>
      <c r="T54" s="1258"/>
      <c r="U54" s="1258"/>
    </row>
    <row r="55" spans="1:21" ht="12.75" customHeight="1">
      <c r="B55" s="2947" t="s">
        <v>1695</v>
      </c>
      <c r="H55" s="3335"/>
      <c r="I55" s="3184" t="s">
        <v>1019</v>
      </c>
      <c r="J55" s="3173"/>
      <c r="K55" s="3182"/>
      <c r="L55" s="3175"/>
      <c r="N55" s="3185">
        <v>0</v>
      </c>
      <c r="O55" s="3181"/>
      <c r="P55" s="3186">
        <v>4344615</v>
      </c>
      <c r="Q55" s="3179"/>
      <c r="S55" s="1057"/>
      <c r="T55" s="1258"/>
      <c r="U55" s="1258"/>
    </row>
    <row r="56" spans="1:21" ht="12.75" customHeight="1">
      <c r="A56" s="1035"/>
      <c r="I56" s="3184" t="s">
        <v>1534</v>
      </c>
      <c r="J56" s="3173"/>
      <c r="K56" s="3174"/>
      <c r="L56" s="3175"/>
      <c r="N56" s="3187">
        <v>0</v>
      </c>
      <c r="O56" s="3181"/>
      <c r="P56" s="3188">
        <v>902044</v>
      </c>
      <c r="Q56" s="3179"/>
      <c r="T56" s="1258"/>
      <c r="U56" s="1258"/>
    </row>
    <row r="57" spans="1:21" ht="12.75" customHeight="1">
      <c r="B57" s="1058" t="s">
        <v>1239</v>
      </c>
      <c r="I57" s="3184" t="s">
        <v>1020</v>
      </c>
      <c r="J57" s="2946"/>
      <c r="K57" s="3190"/>
      <c r="L57" s="3175"/>
      <c r="N57" s="3191">
        <v>0</v>
      </c>
      <c r="O57" s="3192"/>
      <c r="P57" s="3193">
        <v>22048236</v>
      </c>
      <c r="Q57" s="3179"/>
    </row>
    <row r="58" spans="1:21" s="2949" customFormat="1" ht="12.75" customHeight="1">
      <c r="A58" s="1035"/>
      <c r="B58" s="1035" t="s">
        <v>1240</v>
      </c>
      <c r="C58" s="1036"/>
      <c r="D58" s="1047"/>
      <c r="E58" s="1035"/>
      <c r="F58" s="1045"/>
      <c r="G58" s="1170"/>
      <c r="H58" s="1035"/>
      <c r="I58" s="3184" t="s">
        <v>1021</v>
      </c>
      <c r="J58" s="2946"/>
      <c r="K58" s="3190"/>
      <c r="L58" s="3175"/>
      <c r="M58" s="2951"/>
      <c r="N58" s="3191">
        <v>491402</v>
      </c>
      <c r="O58" s="3181"/>
      <c r="P58" s="3194">
        <v>1521632</v>
      </c>
      <c r="Q58" s="3183"/>
      <c r="R58" s="1256"/>
      <c r="S58" s="1256"/>
    </row>
    <row r="59" spans="1:21" s="1054" customFormat="1" ht="12.75" customHeight="1">
      <c r="A59" s="1035"/>
      <c r="B59" s="3335" t="s">
        <v>1678</v>
      </c>
      <c r="C59" s="1257"/>
      <c r="D59" s="1046"/>
      <c r="E59" s="1043"/>
      <c r="F59" s="1170"/>
      <c r="G59" s="1170"/>
      <c r="H59" s="2947"/>
      <c r="I59" s="3184" t="s">
        <v>1022</v>
      </c>
      <c r="J59" s="2946"/>
      <c r="K59" s="3195"/>
      <c r="L59" s="3175"/>
      <c r="M59" s="1043"/>
      <c r="N59" s="3187">
        <v>0</v>
      </c>
      <c r="O59" s="3181"/>
      <c r="P59" s="3187">
        <v>0</v>
      </c>
      <c r="Q59" s="3189"/>
      <c r="R59" s="1055"/>
      <c r="S59" s="2949"/>
    </row>
    <row r="60" spans="1:21" ht="12.75" customHeight="1">
      <c r="A60" s="1035"/>
      <c r="B60" s="3335" t="s">
        <v>1676</v>
      </c>
      <c r="C60" s="1036"/>
      <c r="D60" s="1047"/>
      <c r="E60" s="1035"/>
      <c r="F60" s="1045"/>
      <c r="I60" s="3184" t="s">
        <v>1198</v>
      </c>
      <c r="J60" s="2946"/>
      <c r="K60" s="3195"/>
      <c r="L60" s="3175"/>
      <c r="N60" s="3187">
        <v>0</v>
      </c>
      <c r="O60" s="3181"/>
      <c r="P60" s="3187">
        <v>0</v>
      </c>
      <c r="R60" s="1038"/>
      <c r="S60" s="1054"/>
    </row>
    <row r="61" spans="1:21" ht="12.75" customHeight="1" thickBot="1">
      <c r="B61" s="3335" t="s">
        <v>1677</v>
      </c>
      <c r="I61" s="3184" t="s">
        <v>1023</v>
      </c>
      <c r="J61" s="3184"/>
      <c r="K61" s="3183"/>
      <c r="L61" s="3196"/>
      <c r="N61" s="3197">
        <f>SUM(N55:N60)</f>
        <v>491402</v>
      </c>
      <c r="O61" s="3198"/>
      <c r="P61" s="3199">
        <f>SUM(P55:P60)</f>
        <v>28816527</v>
      </c>
      <c r="Q61" s="2949"/>
      <c r="R61" s="1038"/>
    </row>
    <row r="62" spans="1:21" s="2949" customFormat="1" ht="12.75" customHeight="1" thickTop="1">
      <c r="R62" s="1059"/>
      <c r="S62" s="1256"/>
    </row>
    <row r="63" spans="1:21" ht="12.75" customHeight="1">
      <c r="R63" s="2958"/>
      <c r="S63" s="2949"/>
    </row>
    <row r="64" spans="1:21" ht="12.75" customHeight="1">
      <c r="A64" s="1044" t="s">
        <v>1211</v>
      </c>
      <c r="B64" s="1058" t="s">
        <v>1541</v>
      </c>
      <c r="C64" s="1042"/>
      <c r="D64" s="2611"/>
      <c r="E64" s="1035"/>
      <c r="F64" s="1043"/>
      <c r="G64" s="1043"/>
      <c r="R64" s="2958"/>
    </row>
    <row r="65" spans="1:18" ht="12.75" customHeight="1">
      <c r="A65" s="1031"/>
      <c r="B65" s="1058" t="s">
        <v>1540</v>
      </c>
      <c r="C65" s="2948"/>
      <c r="D65" s="2611"/>
      <c r="E65" s="2947"/>
      <c r="F65" s="2951"/>
      <c r="G65" s="2951"/>
      <c r="H65" s="1256"/>
      <c r="I65" s="3171"/>
      <c r="R65" s="1059"/>
    </row>
    <row r="66" spans="1:18" ht="12.75" customHeight="1">
      <c r="A66" s="2949"/>
      <c r="B66" s="2949"/>
      <c r="C66" s="2949"/>
      <c r="D66" s="2949"/>
      <c r="E66" s="2949"/>
      <c r="F66" s="2949"/>
      <c r="G66" s="2949"/>
      <c r="H66" s="2949"/>
      <c r="I66" s="3171"/>
      <c r="R66" s="2958"/>
    </row>
    <row r="67" spans="1:18" ht="12.75" customHeight="1">
      <c r="A67" s="1054"/>
      <c r="B67" s="1054"/>
      <c r="C67" s="1054"/>
      <c r="D67" s="1054"/>
      <c r="E67" s="1054"/>
      <c r="F67" s="1054"/>
      <c r="G67" s="1054"/>
      <c r="H67" s="2949"/>
      <c r="I67" s="2949"/>
      <c r="R67" s="1059"/>
    </row>
    <row r="68" spans="1:18" ht="12.75" customHeight="1">
      <c r="A68" s="3206" t="s">
        <v>1539</v>
      </c>
      <c r="B68" s="3207" t="s">
        <v>1543</v>
      </c>
      <c r="C68" s="2950"/>
      <c r="D68" s="2611"/>
      <c r="E68" s="1035"/>
      <c r="F68" s="1043"/>
      <c r="G68" s="1043"/>
      <c r="H68" s="1054"/>
      <c r="I68" s="1054"/>
      <c r="J68" s="1256"/>
      <c r="R68" s="1059"/>
    </row>
    <row r="69" spans="1:18" ht="12.75" customHeight="1">
      <c r="A69" s="3205"/>
      <c r="B69" s="2948" t="s">
        <v>1555</v>
      </c>
      <c r="C69" s="1036"/>
      <c r="D69" s="2611"/>
      <c r="E69" s="1035"/>
      <c r="F69" s="1043"/>
      <c r="G69" s="1043"/>
      <c r="H69" s="1256"/>
      <c r="I69" s="3171"/>
      <c r="J69" s="1256"/>
      <c r="R69" s="1059"/>
    </row>
    <row r="70" spans="1:18" s="1054" customFormat="1" ht="12.75" customHeight="1">
      <c r="A70" s="1044"/>
      <c r="B70" s="3207" t="s">
        <v>1548</v>
      </c>
      <c r="C70" s="2948"/>
      <c r="D70" s="2611"/>
      <c r="E70" s="2947"/>
      <c r="F70" s="2951"/>
      <c r="G70" s="2951"/>
      <c r="H70" s="2949"/>
      <c r="I70" s="3171"/>
      <c r="J70" s="2949"/>
      <c r="R70" s="1059"/>
    </row>
    <row r="71" spans="1:18" s="1054" customFormat="1" ht="12.75" customHeight="1">
      <c r="A71" s="1035"/>
      <c r="B71" s="3207" t="s">
        <v>1552</v>
      </c>
      <c r="C71" s="1042"/>
      <c r="D71" s="1043"/>
      <c r="E71" s="1043"/>
      <c r="F71" s="1043"/>
      <c r="G71" s="1043"/>
      <c r="H71" s="1256"/>
      <c r="I71" s="1256"/>
      <c r="J71" s="1256"/>
      <c r="R71" s="1059"/>
    </row>
    <row r="72" spans="1:18" ht="12.75" customHeight="1">
      <c r="A72" s="1035"/>
      <c r="B72" s="3207" t="s">
        <v>1549</v>
      </c>
      <c r="C72" s="1042"/>
      <c r="D72" s="1043"/>
      <c r="F72" s="1043"/>
      <c r="G72" s="1043"/>
      <c r="H72" s="1256"/>
      <c r="I72" s="1256"/>
      <c r="J72" s="1256"/>
      <c r="R72" s="1062"/>
    </row>
    <row r="73" spans="1:18" ht="12.75" customHeight="1">
      <c r="A73" s="1256"/>
      <c r="B73" s="2948" t="s">
        <v>1550</v>
      </c>
      <c r="C73" s="1042"/>
      <c r="D73" s="1043"/>
      <c r="F73" s="1043"/>
      <c r="G73" s="1043"/>
      <c r="H73" s="1256"/>
      <c r="I73" s="1256"/>
      <c r="J73" s="1256"/>
      <c r="R73" s="1062"/>
    </row>
    <row r="74" spans="1:18" ht="12.75" customHeight="1">
      <c r="A74" s="1035"/>
      <c r="B74" s="2948" t="s">
        <v>1551</v>
      </c>
      <c r="C74" s="1042"/>
      <c r="D74" s="1043"/>
      <c r="F74" s="1043"/>
      <c r="G74" s="1043"/>
      <c r="H74" s="1256"/>
      <c r="I74" s="1256"/>
      <c r="J74" s="1256"/>
      <c r="R74" s="1062"/>
    </row>
    <row r="75" spans="1:18" ht="12.75" customHeight="1">
      <c r="A75" s="1035"/>
      <c r="B75" s="2948" t="s">
        <v>1553</v>
      </c>
      <c r="C75" s="1042"/>
      <c r="D75" s="1043"/>
      <c r="F75" s="1043"/>
      <c r="G75" s="1043"/>
      <c r="H75" s="1256"/>
      <c r="I75" s="1256"/>
      <c r="J75" s="1256"/>
      <c r="K75" s="1035"/>
      <c r="L75" s="1035"/>
      <c r="M75" s="1035"/>
      <c r="N75" s="1035"/>
      <c r="O75" s="1054"/>
      <c r="P75" s="1054"/>
      <c r="R75" s="1054"/>
    </row>
    <row r="76" spans="1:18" ht="12.75" customHeight="1">
      <c r="A76" s="1035"/>
      <c r="B76" s="2948" t="s">
        <v>1554</v>
      </c>
      <c r="C76" s="1042"/>
      <c r="D76" s="1043"/>
      <c r="F76" s="1043"/>
      <c r="G76" s="1043"/>
      <c r="H76" s="1256"/>
      <c r="I76" s="1256"/>
      <c r="J76" s="1256"/>
      <c r="K76" s="1035"/>
      <c r="L76" s="1035"/>
      <c r="M76" s="1035"/>
      <c r="N76" s="1035"/>
      <c r="O76" s="1054"/>
      <c r="P76" s="1054"/>
    </row>
    <row r="77" spans="1:18" ht="12.75" customHeight="1">
      <c r="B77" s="1035" t="s">
        <v>16</v>
      </c>
      <c r="Q77" s="1054"/>
    </row>
    <row r="78" spans="1:18" ht="12.75" customHeight="1">
      <c r="G78" s="2952"/>
      <c r="N78" s="1611"/>
      <c r="O78" s="1055"/>
      <c r="P78" s="1055"/>
      <c r="Q78" s="1054"/>
    </row>
    <row r="79" spans="1:18" ht="12.75" customHeight="1">
      <c r="A79" s="3336" t="s">
        <v>1565</v>
      </c>
      <c r="B79" s="3337" t="s">
        <v>1563</v>
      </c>
      <c r="C79" s="1042"/>
      <c r="D79" s="1043"/>
      <c r="F79" s="1043"/>
      <c r="G79" s="1043"/>
      <c r="H79" s="1256"/>
      <c r="I79" s="1256"/>
      <c r="N79" s="1060"/>
      <c r="O79" s="1170"/>
      <c r="P79" s="1055"/>
      <c r="Q79" s="1054"/>
    </row>
    <row r="80" spans="1:18" ht="12.75" customHeight="1">
      <c r="A80" s="3335"/>
      <c r="B80" s="3337" t="s">
        <v>1564</v>
      </c>
      <c r="C80" s="1042"/>
      <c r="D80" s="1043"/>
      <c r="F80" s="1043"/>
      <c r="G80" s="1043"/>
      <c r="H80" s="1256"/>
      <c r="I80" s="1256"/>
      <c r="N80" s="2775"/>
      <c r="O80" s="2776"/>
      <c r="P80" s="2775"/>
      <c r="Q80" s="1054"/>
    </row>
    <row r="81" spans="1:17" ht="12.75" customHeight="1">
      <c r="A81" s="3335"/>
      <c r="B81" s="3337" t="s">
        <v>1621</v>
      </c>
      <c r="C81" s="2950"/>
      <c r="D81" s="2951"/>
      <c r="E81" s="2951"/>
      <c r="F81" s="2951"/>
      <c r="G81" s="2951"/>
      <c r="H81" s="1256"/>
      <c r="I81" s="1035"/>
      <c r="N81" s="2778"/>
      <c r="O81" s="1170"/>
      <c r="P81" s="2778"/>
      <c r="Q81" s="1054"/>
    </row>
    <row r="82" spans="1:17" ht="12.75" customHeight="1">
      <c r="A82" s="3338"/>
      <c r="B82" s="3334" t="s">
        <v>1682</v>
      </c>
      <c r="C82" s="2948"/>
      <c r="D82" s="2947"/>
      <c r="E82" s="2947"/>
      <c r="F82" s="2947"/>
      <c r="G82" s="2947"/>
      <c r="H82" s="1053"/>
      <c r="I82" s="1035"/>
      <c r="N82" s="2779"/>
      <c r="O82" s="1170"/>
      <c r="P82" s="2877"/>
      <c r="Q82" s="1054"/>
    </row>
    <row r="83" spans="1:17" ht="12.75" customHeight="1">
      <c r="H83" s="1049"/>
      <c r="I83" s="1035"/>
      <c r="J83" s="1035"/>
      <c r="K83" s="1035"/>
      <c r="N83" s="2780"/>
      <c r="O83" s="2781"/>
      <c r="P83" s="2780"/>
    </row>
    <row r="84" spans="1:17" ht="12.75" customHeight="1">
      <c r="H84" s="2956"/>
      <c r="I84" s="2947"/>
      <c r="J84" s="2947"/>
      <c r="K84" s="2947"/>
      <c r="L84" s="2951"/>
      <c r="M84" s="2951"/>
      <c r="N84" s="2959"/>
      <c r="O84" s="2960"/>
      <c r="P84" s="2959"/>
      <c r="Q84" s="2949"/>
    </row>
    <row r="85" spans="1:17" ht="12.75" customHeight="1">
      <c r="H85" s="1049"/>
      <c r="I85" s="1035"/>
      <c r="J85" s="1035"/>
      <c r="K85" s="1035"/>
      <c r="N85" s="2780"/>
      <c r="O85" s="1170"/>
      <c r="P85" s="2779"/>
    </row>
    <row r="86" spans="1:17" ht="12.75" customHeight="1">
      <c r="C86" s="1036"/>
      <c r="D86" s="1035"/>
      <c r="E86" s="1035"/>
      <c r="F86" s="1035"/>
      <c r="G86" s="1035"/>
      <c r="H86" s="1054"/>
      <c r="I86" s="1054"/>
      <c r="J86" s="1256"/>
    </row>
    <row r="87" spans="1:17" ht="12.75" customHeight="1">
      <c r="C87" s="1036"/>
      <c r="D87" s="1035"/>
      <c r="E87" s="1035"/>
      <c r="F87" s="1035"/>
      <c r="G87" s="1043"/>
      <c r="H87" s="1256"/>
      <c r="I87" s="1256"/>
      <c r="J87" s="1054"/>
    </row>
    <row r="88" spans="1:17" ht="12.75" customHeight="1">
      <c r="A88" s="1035"/>
      <c r="B88" s="1042"/>
      <c r="C88" s="1042"/>
      <c r="D88" s="1043"/>
      <c r="F88" s="1043"/>
      <c r="H88" s="2957"/>
      <c r="I88" s="1055"/>
      <c r="J88" s="1054"/>
    </row>
    <row r="89" spans="1:17" ht="12.75" customHeight="1">
      <c r="A89" s="1256"/>
      <c r="B89" s="1256"/>
      <c r="C89" s="1035"/>
      <c r="D89" s="1058"/>
      <c r="E89" s="1058"/>
      <c r="F89" s="1063"/>
      <c r="H89" s="2776"/>
      <c r="I89" s="2944"/>
      <c r="J89" s="1054"/>
    </row>
    <row r="90" spans="1:17" ht="12.75" customHeight="1">
      <c r="A90" s="1256"/>
      <c r="B90" s="1256"/>
      <c r="C90" s="1035"/>
      <c r="D90" s="1058"/>
      <c r="E90" s="1058"/>
      <c r="F90" s="1063"/>
      <c r="H90" s="1170"/>
      <c r="I90" s="2943" t="s">
        <v>16</v>
      </c>
      <c r="J90" s="1054"/>
    </row>
    <row r="91" spans="1:17" ht="12.75" customHeight="1">
      <c r="A91" s="1256"/>
      <c r="B91" s="1256"/>
      <c r="C91" s="1035"/>
      <c r="D91" s="1058"/>
      <c r="E91" s="1058"/>
      <c r="F91" s="1063"/>
      <c r="H91" s="1170"/>
      <c r="I91" s="2942" t="s">
        <v>16</v>
      </c>
      <c r="J91" s="1054"/>
    </row>
    <row r="92" spans="1:17" ht="20.100000000000001" customHeight="1">
      <c r="A92" s="1256"/>
      <c r="B92" s="1256"/>
      <c r="C92" s="1035"/>
      <c r="D92" s="1058"/>
      <c r="E92" s="1058"/>
      <c r="F92" s="1063"/>
      <c r="G92" s="1043"/>
      <c r="H92" s="2781"/>
      <c r="I92" s="2941" t="s">
        <v>16</v>
      </c>
      <c r="J92" s="1256"/>
    </row>
    <row r="93" spans="1:17" ht="20.100000000000001" customHeight="1">
      <c r="A93" s="1256"/>
      <c r="B93" s="1256"/>
      <c r="C93" s="1042"/>
      <c r="D93" s="1043"/>
      <c r="F93" s="1043"/>
      <c r="G93" s="1043"/>
      <c r="H93" s="1170"/>
      <c r="I93" s="2940" t="s">
        <v>16</v>
      </c>
      <c r="J93" s="1256"/>
    </row>
    <row r="94" spans="1:17" ht="20.100000000000001" customHeight="1">
      <c r="A94" s="1256"/>
      <c r="B94" s="1256"/>
      <c r="C94" s="1042"/>
      <c r="D94" s="1043"/>
      <c r="F94" s="1043"/>
      <c r="G94" s="1043"/>
      <c r="H94" s="1170"/>
      <c r="I94" s="2940" t="s">
        <v>16</v>
      </c>
      <c r="J94" s="1256"/>
    </row>
    <row r="95" spans="1:17" ht="18" customHeight="1">
      <c r="A95" s="1256"/>
      <c r="B95" s="1256"/>
      <c r="C95" s="1042"/>
      <c r="D95" s="1043"/>
      <c r="F95" s="1043"/>
      <c r="G95" s="1043"/>
      <c r="H95" s="1170"/>
      <c r="I95" s="2940" t="s">
        <v>16</v>
      </c>
      <c r="J95" s="1256"/>
    </row>
    <row r="96" spans="1:17" ht="12" customHeight="1">
      <c r="A96" s="1256"/>
      <c r="B96" s="1256"/>
      <c r="C96" s="1042"/>
      <c r="D96" s="1043"/>
      <c r="F96" s="1043"/>
      <c r="G96" s="1043"/>
      <c r="H96" s="2782"/>
      <c r="I96" s="2945" t="s">
        <v>16</v>
      </c>
      <c r="J96" s="1256"/>
    </row>
    <row r="97" spans="1:18" ht="12.75" customHeight="1">
      <c r="A97" s="1256"/>
      <c r="B97" s="1256"/>
      <c r="C97" s="1042"/>
      <c r="D97" s="1043"/>
      <c r="F97" s="1043"/>
      <c r="G97" s="1035"/>
    </row>
    <row r="98" spans="1:18" ht="12.75" customHeight="1">
      <c r="A98" s="1035"/>
      <c r="B98" s="1036" t="s">
        <v>16</v>
      </c>
      <c r="C98" s="1036"/>
      <c r="D98" s="1035"/>
      <c r="E98" s="1035"/>
      <c r="F98" s="1035"/>
      <c r="G98" s="1262"/>
      <c r="I98" s="1054"/>
      <c r="K98" s="1035"/>
      <c r="L98" s="1035"/>
      <c r="M98" s="1035"/>
      <c r="N98" s="1035"/>
      <c r="O98" s="1054"/>
      <c r="P98" s="1039"/>
    </row>
    <row r="99" spans="1:18" ht="12.75" customHeight="1">
      <c r="A99" s="1343"/>
      <c r="B99" s="1075"/>
      <c r="C99" s="1074"/>
      <c r="D99" s="1075"/>
      <c r="E99" s="1075"/>
      <c r="F99" s="1076"/>
      <c r="G99" s="1262"/>
      <c r="H99" s="1256"/>
      <c r="I99" s="1256"/>
      <c r="J99" s="1054"/>
      <c r="K99" s="1035"/>
      <c r="L99" s="1035"/>
      <c r="M99" s="1035"/>
      <c r="N99" s="1035"/>
      <c r="O99" s="1054"/>
      <c r="P99" s="1039"/>
    </row>
    <row r="100" spans="1:18" ht="12.75" customHeight="1">
      <c r="A100" s="1074"/>
      <c r="B100" s="1075"/>
      <c r="C100" s="1074"/>
      <c r="D100" s="1075"/>
      <c r="E100" s="1075"/>
      <c r="F100" s="1076"/>
      <c r="G100" s="1262"/>
      <c r="H100" s="1256"/>
      <c r="I100" s="1256"/>
      <c r="J100" s="1054"/>
      <c r="K100" s="1035"/>
      <c r="L100" s="1035"/>
      <c r="M100" s="1035"/>
      <c r="N100" s="1035"/>
      <c r="O100" s="1054"/>
      <c r="P100" s="1039"/>
      <c r="R100" s="1039"/>
    </row>
    <row r="101" spans="1:18" ht="12.75" customHeight="1">
      <c r="A101" s="1074"/>
      <c r="B101" s="1075"/>
      <c r="C101" s="1074"/>
      <c r="D101" s="1345"/>
      <c r="E101" s="1074"/>
      <c r="F101" s="1074"/>
      <c r="G101" s="1262"/>
      <c r="H101" s="1256"/>
      <c r="I101" s="1256"/>
      <c r="J101" s="1054"/>
      <c r="K101" s="1035"/>
      <c r="L101" s="1035"/>
      <c r="M101" s="1035"/>
      <c r="N101" s="1035"/>
      <c r="O101" s="1054"/>
      <c r="P101" s="1039"/>
      <c r="R101" s="1039"/>
    </row>
    <row r="102" spans="1:18" ht="12.75" customHeight="1">
      <c r="A102" s="1262"/>
      <c r="B102" s="1075"/>
      <c r="C102" s="1346"/>
      <c r="D102" s="1347"/>
      <c r="E102" s="1348"/>
      <c r="F102" s="1347"/>
      <c r="G102" s="1262"/>
      <c r="H102" s="1256"/>
      <c r="I102" s="1256"/>
      <c r="J102" s="1054"/>
      <c r="K102" s="1035"/>
      <c r="L102" s="1035"/>
      <c r="M102" s="1035"/>
      <c r="N102" s="1035"/>
      <c r="O102" s="1054"/>
      <c r="P102" s="1039"/>
      <c r="Q102" s="1054"/>
      <c r="R102" s="1039"/>
    </row>
    <row r="103" spans="1:18" ht="12.75" customHeight="1">
      <c r="A103" s="1262"/>
      <c r="B103" s="1075"/>
      <c r="C103" s="1346"/>
      <c r="D103" s="1075"/>
      <c r="E103" s="1075"/>
      <c r="F103" s="1075"/>
      <c r="G103" s="1262"/>
      <c r="H103" s="1256"/>
      <c r="I103" s="1256"/>
      <c r="J103" s="1054"/>
      <c r="K103" s="1035"/>
      <c r="L103" s="1035"/>
      <c r="M103" s="1035"/>
      <c r="N103" s="1035"/>
      <c r="O103" s="1054"/>
      <c r="P103" s="1039"/>
      <c r="Q103" s="1054"/>
      <c r="R103" s="1039"/>
    </row>
    <row r="104" spans="1:18" ht="12.75" customHeight="1">
      <c r="A104" s="1262"/>
      <c r="B104" s="1075"/>
      <c r="C104" s="1346"/>
      <c r="D104" s="1075"/>
      <c r="E104" s="1075"/>
      <c r="F104" s="1075"/>
      <c r="G104" s="1262"/>
      <c r="H104" s="1256"/>
      <c r="I104" s="1256"/>
      <c r="J104" s="1054"/>
      <c r="K104" s="1035"/>
      <c r="L104" s="1035"/>
      <c r="M104" s="1035"/>
      <c r="N104" s="1035"/>
      <c r="O104" s="1054"/>
      <c r="P104" s="1039"/>
      <c r="Q104" s="1054"/>
      <c r="R104" s="1039"/>
    </row>
    <row r="105" spans="1:18" ht="12.75" customHeight="1">
      <c r="A105" s="1262"/>
      <c r="B105" s="1075"/>
      <c r="C105" s="1346"/>
      <c r="D105" s="1349"/>
      <c r="E105" s="1075"/>
      <c r="F105" s="1349"/>
      <c r="G105" s="1262"/>
      <c r="H105" s="1256"/>
      <c r="I105" s="1256"/>
      <c r="J105" s="1256"/>
      <c r="K105" s="1035"/>
      <c r="L105" s="1035"/>
      <c r="M105" s="1035"/>
      <c r="N105" s="1035"/>
      <c r="O105" s="1054"/>
      <c r="P105" s="1039"/>
      <c r="Q105" s="1054"/>
      <c r="R105" s="1039"/>
    </row>
    <row r="106" spans="1:18" ht="12.75" customHeight="1">
      <c r="A106" s="1262"/>
      <c r="B106" s="1075"/>
      <c r="C106" s="1261"/>
      <c r="D106" s="1350"/>
      <c r="E106" s="1075"/>
      <c r="F106" s="1350"/>
      <c r="G106" s="1262"/>
      <c r="H106" s="1256"/>
      <c r="I106" s="1256"/>
      <c r="J106" s="1256"/>
      <c r="K106" s="1035"/>
      <c r="L106" s="1035"/>
      <c r="M106" s="1035"/>
      <c r="N106" s="1035"/>
      <c r="O106" s="1054"/>
      <c r="P106" s="1039"/>
      <c r="Q106" s="1054"/>
      <c r="R106" s="1039"/>
    </row>
    <row r="107" spans="1:18" ht="12.75" customHeight="1">
      <c r="A107" s="1262"/>
      <c r="B107" s="1075"/>
      <c r="C107" s="1261"/>
      <c r="D107" s="1350"/>
      <c r="E107" s="1075"/>
      <c r="F107" s="1350"/>
      <c r="G107" s="1262"/>
      <c r="H107" s="1256"/>
      <c r="I107" s="1256"/>
      <c r="J107" s="1256"/>
      <c r="K107" s="1035"/>
      <c r="L107" s="1035"/>
      <c r="M107" s="1035"/>
      <c r="N107" s="1035"/>
      <c r="O107" s="1054"/>
      <c r="Q107" s="1054"/>
      <c r="R107" s="1039"/>
    </row>
    <row r="108" spans="1:18" ht="12.75" customHeight="1">
      <c r="A108" s="1262"/>
      <c r="B108" s="1075"/>
      <c r="C108" s="1261"/>
      <c r="D108" s="1349"/>
      <c r="E108" s="1075"/>
      <c r="F108" s="1349"/>
      <c r="G108" s="1349"/>
      <c r="H108" s="1054"/>
      <c r="I108" s="1054"/>
      <c r="J108" s="1054"/>
      <c r="K108" s="1035"/>
      <c r="L108" s="1035"/>
      <c r="M108" s="1035"/>
      <c r="N108" s="1035"/>
      <c r="O108" s="1054"/>
      <c r="Q108" s="1054"/>
      <c r="R108" s="1039"/>
    </row>
    <row r="109" spans="1:18" ht="12.75" customHeight="1">
      <c r="A109" s="1342"/>
      <c r="B109" s="1075"/>
      <c r="C109" s="1075"/>
      <c r="D109" s="1075"/>
      <c r="E109" s="1350"/>
      <c r="F109" s="1350"/>
      <c r="G109" s="1349"/>
      <c r="H109" s="1344"/>
      <c r="L109" s="1033"/>
      <c r="M109" s="1033"/>
      <c r="N109" s="1033"/>
      <c r="O109" s="1033"/>
      <c r="R109" s="1039"/>
    </row>
    <row r="110" spans="1:18" ht="12.75" customHeight="1">
      <c r="A110" s="1074"/>
      <c r="B110" s="1075"/>
      <c r="C110" s="1075"/>
      <c r="D110" s="1075"/>
      <c r="E110" s="1350"/>
      <c r="F110" s="1350"/>
      <c r="G110" s="1064"/>
      <c r="H110" s="1344"/>
      <c r="L110" s="1033"/>
      <c r="M110" s="1033"/>
      <c r="N110" s="1033"/>
      <c r="O110" s="1033"/>
      <c r="R110" s="1039"/>
    </row>
    <row r="111" spans="1:18" ht="12.75" customHeight="1">
      <c r="B111" s="1058"/>
      <c r="C111" s="1058"/>
      <c r="D111" s="1058"/>
      <c r="E111" s="1065"/>
      <c r="F111" s="1065"/>
      <c r="G111" s="1064"/>
      <c r="H111" s="1344"/>
      <c r="L111" s="1033"/>
      <c r="M111" s="1033"/>
      <c r="N111" s="1033"/>
      <c r="O111" s="1033"/>
      <c r="R111" s="1039"/>
    </row>
    <row r="112" spans="1:18" ht="12.75" customHeight="1">
      <c r="B112" s="1058"/>
      <c r="C112" s="1058"/>
      <c r="D112" s="1058"/>
      <c r="E112" s="1065"/>
      <c r="F112" s="1065"/>
      <c r="G112" s="1260"/>
      <c r="H112" s="1344"/>
      <c r="L112" s="1033"/>
      <c r="M112" s="1033"/>
      <c r="N112" s="1033"/>
      <c r="O112" s="1033"/>
      <c r="R112" s="1039"/>
    </row>
    <row r="113" spans="1:19" ht="11.25" customHeight="1">
      <c r="E113" s="1068"/>
      <c r="F113" s="1259"/>
      <c r="H113" s="1344"/>
      <c r="L113" s="1033"/>
      <c r="M113" s="1033"/>
      <c r="N113" s="1033"/>
      <c r="O113" s="1033"/>
      <c r="R113" s="1039"/>
    </row>
    <row r="114" spans="1:19" ht="11.25" customHeight="1">
      <c r="H114" s="1344"/>
      <c r="L114" s="1033"/>
      <c r="M114" s="1033"/>
      <c r="N114" s="1033"/>
      <c r="O114" s="1033"/>
      <c r="R114" s="1039"/>
    </row>
    <row r="115" spans="1:19" ht="11.25" customHeight="1">
      <c r="G115" s="1035"/>
      <c r="H115" s="1344"/>
      <c r="M115" s="1256"/>
      <c r="N115" s="1256"/>
      <c r="R115" s="1039"/>
      <c r="S115" s="1035"/>
    </row>
    <row r="116" spans="1:19" ht="12.75" customHeight="1">
      <c r="A116" s="1035"/>
      <c r="B116" s="1035"/>
      <c r="C116" s="1036"/>
      <c r="D116" s="1035"/>
      <c r="E116" s="1035"/>
      <c r="F116" s="1035"/>
      <c r="G116" s="1035"/>
      <c r="H116" s="1344"/>
      <c r="I116" s="1036"/>
      <c r="M116" s="1066"/>
      <c r="N116" s="1067"/>
      <c r="S116" s="1035"/>
    </row>
    <row r="117" spans="1:19" ht="12" customHeight="1">
      <c r="A117" s="1031"/>
      <c r="B117" s="1034"/>
      <c r="C117" s="1035"/>
      <c r="D117" s="1035"/>
      <c r="E117" s="1035"/>
      <c r="F117" s="1035"/>
      <c r="G117" s="1063"/>
      <c r="H117" s="1344"/>
      <c r="I117" s="1036"/>
      <c r="M117" s="1066"/>
      <c r="N117" s="1067"/>
      <c r="S117" s="1035"/>
    </row>
    <row r="118" spans="1:19" ht="12.75" customHeight="1">
      <c r="C118" s="1058"/>
      <c r="D118" s="1058"/>
      <c r="E118" s="1058"/>
      <c r="F118" s="1063"/>
      <c r="G118" s="1063"/>
      <c r="H118" s="1074"/>
      <c r="I118" s="1256"/>
      <c r="M118" s="1066"/>
      <c r="N118" s="1067"/>
      <c r="S118" s="1035"/>
    </row>
    <row r="119" spans="1:19" ht="12.75" customHeight="1">
      <c r="A119" s="1044"/>
      <c r="B119" s="1058"/>
      <c r="C119" s="1058"/>
      <c r="D119" s="1058"/>
      <c r="E119" s="1058"/>
      <c r="F119" s="1063"/>
      <c r="G119" s="1063"/>
      <c r="H119" s="1074"/>
      <c r="I119" s="1256"/>
      <c r="M119" s="1066"/>
      <c r="N119" s="1067"/>
      <c r="R119" s="1035"/>
      <c r="S119" s="1035"/>
    </row>
    <row r="120" spans="1:19" ht="12.75" customHeight="1">
      <c r="A120" s="1031"/>
      <c r="B120" s="1058"/>
      <c r="C120" s="1058"/>
      <c r="D120" s="1058"/>
      <c r="E120" s="1058"/>
      <c r="F120" s="1063"/>
      <c r="G120" s="1063"/>
      <c r="H120" s="1344"/>
      <c r="I120" s="1256"/>
      <c r="M120" s="1066"/>
      <c r="N120" s="1067"/>
      <c r="R120" s="1035"/>
      <c r="S120" s="1035"/>
    </row>
    <row r="121" spans="1:19" ht="12.75" customHeight="1">
      <c r="A121" s="1031"/>
      <c r="B121" s="1058"/>
      <c r="C121" s="1058"/>
      <c r="D121" s="1058"/>
      <c r="E121" s="1058"/>
      <c r="F121" s="1063"/>
      <c r="G121" s="1063"/>
      <c r="H121" s="1054"/>
      <c r="I121" s="1256"/>
      <c r="M121" s="1066"/>
      <c r="N121" s="1067"/>
      <c r="R121" s="1035"/>
      <c r="S121" s="1035"/>
    </row>
    <row r="122" spans="1:19" ht="12.75" customHeight="1">
      <c r="A122" s="1031"/>
      <c r="B122" s="1058"/>
      <c r="C122" s="1058"/>
      <c r="D122" s="1058"/>
      <c r="E122" s="1058"/>
      <c r="F122" s="1063"/>
      <c r="G122" s="1063"/>
      <c r="H122" s="1054"/>
      <c r="I122" s="1256"/>
      <c r="M122" s="1066"/>
      <c r="N122" s="1067"/>
      <c r="R122" s="1035"/>
      <c r="S122" s="1035"/>
    </row>
    <row r="123" spans="1:19" ht="12.75" customHeight="1">
      <c r="A123" s="1031"/>
      <c r="B123" s="1058"/>
      <c r="C123" s="1058"/>
      <c r="D123" s="1058"/>
      <c r="E123" s="1058"/>
      <c r="F123" s="1063"/>
      <c r="G123" s="1063"/>
      <c r="H123" s="1054"/>
      <c r="I123" s="1256"/>
      <c r="M123" s="1066"/>
      <c r="N123" s="1067"/>
      <c r="P123" s="1067"/>
      <c r="R123" s="1035"/>
      <c r="S123" s="1035"/>
    </row>
    <row r="124" spans="1:19" ht="12.75" customHeight="1">
      <c r="A124" s="1031"/>
      <c r="B124" s="1058"/>
      <c r="C124" s="1058"/>
      <c r="D124" s="1058"/>
      <c r="E124" s="1058"/>
      <c r="F124" s="1063"/>
      <c r="G124" s="1035"/>
      <c r="I124" s="1256"/>
      <c r="M124" s="1066"/>
      <c r="N124" s="1067"/>
      <c r="P124" s="1039"/>
      <c r="R124" s="1035"/>
    </row>
    <row r="125" spans="1:19" ht="12.75" customHeight="1">
      <c r="D125" s="1034"/>
      <c r="E125" s="1035"/>
      <c r="F125" s="1035"/>
      <c r="G125" s="1035"/>
      <c r="I125" s="1256"/>
      <c r="M125" s="1066"/>
      <c r="N125" s="1067"/>
      <c r="P125" s="1039"/>
      <c r="R125" s="1035"/>
      <c r="S125" s="1035"/>
    </row>
    <row r="126" spans="1:19" ht="12.75" customHeight="1">
      <c r="D126" s="1034"/>
      <c r="E126" s="1035"/>
      <c r="F126" s="1035"/>
      <c r="G126" s="1035"/>
      <c r="I126" s="1036"/>
      <c r="M126" s="1066"/>
      <c r="N126" s="1067"/>
      <c r="P126" s="1039"/>
      <c r="R126" s="1072"/>
      <c r="S126" s="1035"/>
    </row>
    <row r="127" spans="1:19" ht="12.75" customHeight="1">
      <c r="D127" s="1034"/>
      <c r="E127" s="1035"/>
      <c r="F127" s="1035"/>
      <c r="I127" s="1036"/>
      <c r="M127" s="1066"/>
      <c r="N127" s="1067"/>
      <c r="P127" s="1039"/>
      <c r="R127" s="1035"/>
      <c r="S127" s="1035"/>
    </row>
    <row r="128" spans="1:19" ht="12.75" customHeight="1">
      <c r="G128" s="1035"/>
      <c r="I128" s="1036"/>
      <c r="M128" s="1066"/>
      <c r="N128" s="1067"/>
      <c r="P128" s="1039"/>
      <c r="R128" s="1035"/>
      <c r="S128" s="1035"/>
    </row>
    <row r="129" spans="1:19" ht="12.75" customHeight="1">
      <c r="D129" s="1034"/>
      <c r="E129" s="1035"/>
      <c r="F129" s="1035"/>
      <c r="G129" s="1035"/>
      <c r="I129" s="1036"/>
      <c r="M129" s="1062"/>
      <c r="N129" s="1067"/>
      <c r="P129" s="1039"/>
      <c r="R129" s="1035"/>
      <c r="S129" s="1035"/>
    </row>
    <row r="130" spans="1:19" ht="12.75" customHeight="1">
      <c r="D130" s="1034"/>
      <c r="E130" s="1035"/>
      <c r="F130" s="1035"/>
      <c r="G130" s="1035"/>
      <c r="I130" s="1036"/>
      <c r="J130" s="1036"/>
      <c r="K130" s="1035"/>
      <c r="L130" s="1055"/>
      <c r="M130" s="1069"/>
      <c r="N130" s="1069"/>
      <c r="P130" s="1039"/>
      <c r="R130" s="1035"/>
      <c r="S130" s="1035"/>
    </row>
    <row r="131" spans="1:19" ht="12.75" customHeight="1">
      <c r="A131" s="1044"/>
      <c r="B131" s="1070"/>
      <c r="C131" s="1034"/>
      <c r="D131" s="1034"/>
      <c r="E131" s="1035"/>
      <c r="F131" s="1035"/>
      <c r="I131" s="1036"/>
      <c r="J131" s="1036"/>
      <c r="K131" s="1035"/>
      <c r="L131" s="1055"/>
      <c r="M131" s="1069"/>
      <c r="N131" s="1069"/>
      <c r="P131" s="1039"/>
      <c r="R131" s="1035"/>
      <c r="S131" s="1035"/>
    </row>
    <row r="132" spans="1:19" ht="12.75" customHeight="1">
      <c r="A132" s="1256"/>
      <c r="B132" s="1035"/>
      <c r="G132" s="1071"/>
      <c r="I132" s="1036"/>
      <c r="J132" s="1036"/>
      <c r="K132" s="1035"/>
      <c r="L132" s="1055"/>
      <c r="M132" s="1069"/>
      <c r="N132" s="1069"/>
      <c r="P132" s="1039"/>
      <c r="R132" s="1035"/>
      <c r="S132" s="1035"/>
    </row>
    <row r="133" spans="1:19" ht="12.75" customHeight="1">
      <c r="A133" s="1031"/>
      <c r="B133" s="1036"/>
      <c r="C133" s="1036"/>
      <c r="E133" s="1071"/>
      <c r="F133" s="1261"/>
      <c r="G133" s="1071"/>
      <c r="I133" s="1036"/>
      <c r="J133" s="1036"/>
      <c r="K133" s="1035"/>
      <c r="L133" s="1055"/>
      <c r="M133" s="1069"/>
      <c r="N133" s="1069"/>
      <c r="P133" s="1039"/>
      <c r="R133" s="1035"/>
      <c r="S133" s="1035"/>
    </row>
    <row r="134" spans="1:19" ht="12.75" customHeight="1">
      <c r="A134" s="1031"/>
      <c r="B134" s="2612"/>
      <c r="C134" s="2612"/>
      <c r="D134" s="2631"/>
      <c r="E134" s="1071"/>
      <c r="F134" s="1261"/>
      <c r="G134" s="2631"/>
      <c r="I134" s="1036"/>
      <c r="J134" s="1036"/>
      <c r="K134" s="1035"/>
      <c r="L134" s="1055"/>
      <c r="M134" s="1069"/>
      <c r="N134" s="1069"/>
      <c r="P134" s="1039"/>
      <c r="R134" s="1035"/>
      <c r="S134" s="1078"/>
    </row>
    <row r="135" spans="1:19" ht="12.75" customHeight="1">
      <c r="A135" s="1031"/>
      <c r="B135" s="2612"/>
      <c r="C135" s="2612"/>
      <c r="D135" s="2631"/>
      <c r="E135" s="2632"/>
      <c r="F135" s="2632"/>
      <c r="G135" s="2614"/>
      <c r="I135" s="1036"/>
      <c r="J135" s="1036"/>
      <c r="K135" s="1035"/>
      <c r="L135" s="1055"/>
      <c r="M135" s="1069"/>
      <c r="N135" s="1069"/>
      <c r="P135" s="1039"/>
      <c r="R135" s="1078"/>
      <c r="S135" s="1078"/>
    </row>
    <row r="136" spans="1:19" ht="12.75" customHeight="1">
      <c r="A136" s="1031"/>
      <c r="B136" s="2613"/>
      <c r="C136" s="2613"/>
      <c r="D136" s="2614"/>
      <c r="E136" s="2614"/>
      <c r="F136" s="2614"/>
      <c r="G136" s="2616"/>
      <c r="I136" s="1036"/>
      <c r="J136" s="1036"/>
      <c r="K136" s="1035"/>
      <c r="L136" s="1055"/>
      <c r="M136" s="1069"/>
      <c r="N136" s="1069"/>
      <c r="P136" s="1039"/>
      <c r="R136" s="1078"/>
      <c r="S136" s="1035"/>
    </row>
    <row r="137" spans="1:19" ht="12.75" customHeight="1">
      <c r="A137" s="1031"/>
      <c r="B137" s="2612"/>
      <c r="C137" s="2612"/>
      <c r="D137" s="2613"/>
      <c r="E137" s="2615"/>
      <c r="F137" s="2613"/>
      <c r="G137" s="2618"/>
      <c r="I137" s="1036"/>
      <c r="J137" s="1036"/>
      <c r="K137" s="1035"/>
      <c r="L137" s="1055"/>
      <c r="M137" s="1069"/>
      <c r="N137" s="1069"/>
      <c r="P137" s="1039"/>
      <c r="R137" s="1078"/>
    </row>
    <row r="138" spans="1:19" ht="12.75" customHeight="1">
      <c r="A138" s="1031"/>
      <c r="B138" s="2612"/>
      <c r="C138" s="2612"/>
      <c r="D138" s="2613"/>
      <c r="E138" s="2617"/>
      <c r="F138" s="2613"/>
      <c r="G138" s="2618"/>
      <c r="I138" s="1036"/>
      <c r="J138" s="1036"/>
      <c r="K138" s="1035"/>
      <c r="L138" s="1055"/>
      <c r="M138" s="1069"/>
      <c r="N138" s="1069"/>
      <c r="P138" s="1039"/>
      <c r="R138" s="1078"/>
    </row>
    <row r="139" spans="1:19" ht="12.75" customHeight="1">
      <c r="A139" s="1073"/>
      <c r="B139" s="2612"/>
      <c r="C139" s="2612"/>
      <c r="D139" s="2613"/>
      <c r="E139" s="2617"/>
      <c r="F139" s="2613"/>
      <c r="G139" s="2618"/>
      <c r="I139" s="1036"/>
      <c r="J139" s="1036"/>
      <c r="K139" s="1035"/>
      <c r="L139" s="1055"/>
      <c r="M139" s="1069"/>
      <c r="N139" s="1069"/>
      <c r="P139" s="1039"/>
      <c r="R139" s="1078"/>
    </row>
    <row r="140" spans="1:19" ht="12.75" customHeight="1">
      <c r="A140" s="1256"/>
      <c r="B140" s="2612"/>
      <c r="C140" s="2612"/>
      <c r="D140" s="2613"/>
      <c r="E140" s="2619"/>
      <c r="F140" s="2613"/>
      <c r="G140" s="2622"/>
      <c r="I140" s="1036"/>
      <c r="J140" s="1036"/>
      <c r="K140" s="1035"/>
      <c r="L140" s="1055"/>
      <c r="M140" s="1069"/>
      <c r="N140" s="1069"/>
      <c r="P140" s="1039"/>
      <c r="R140" s="1035"/>
    </row>
    <row r="141" spans="1:19" ht="12.75" customHeight="1">
      <c r="A141" s="1256"/>
      <c r="B141" s="2612"/>
      <c r="C141" s="2612"/>
      <c r="D141" s="2613"/>
      <c r="E141" s="2620"/>
      <c r="F141" s="2621"/>
      <c r="G141" s="2622"/>
      <c r="I141" s="1036"/>
      <c r="J141" s="1036"/>
      <c r="K141" s="1035"/>
      <c r="L141" s="1055"/>
      <c r="M141" s="1069"/>
      <c r="N141" s="1069"/>
      <c r="P141" s="1039"/>
      <c r="R141" s="1035"/>
    </row>
    <row r="142" spans="1:19" ht="12.75" customHeight="1">
      <c r="A142" s="1256"/>
      <c r="B142" s="2612"/>
      <c r="C142" s="2612"/>
      <c r="D142" s="2613"/>
      <c r="E142" s="2622"/>
      <c r="F142" s="2621"/>
      <c r="G142" s="2623"/>
      <c r="I142" s="1036"/>
      <c r="J142" s="1036"/>
      <c r="K142" s="1035"/>
      <c r="L142" s="1055"/>
      <c r="M142" s="1069"/>
      <c r="N142" s="1069"/>
      <c r="R142" s="1035"/>
    </row>
    <row r="143" spans="1:19" ht="12.75" customHeight="1">
      <c r="A143" s="1257"/>
      <c r="B143" s="2612"/>
      <c r="C143" s="2612"/>
      <c r="D143" s="2613"/>
      <c r="E143" s="2615"/>
      <c r="F143" s="2621"/>
      <c r="G143" s="1076"/>
      <c r="I143" s="1036"/>
      <c r="J143" s="1036"/>
      <c r="K143" s="1035"/>
      <c r="L143" s="1055"/>
      <c r="M143" s="1069"/>
      <c r="N143" s="1069"/>
    </row>
    <row r="144" spans="1:19" ht="12.75" customHeight="1">
      <c r="B144" s="1058"/>
      <c r="C144" s="1058"/>
      <c r="D144" s="1058"/>
      <c r="E144" s="1075"/>
      <c r="F144" s="1076"/>
      <c r="G144" s="1076"/>
      <c r="I144" s="1036"/>
      <c r="J144" s="1036"/>
      <c r="K144" s="1035"/>
      <c r="L144" s="1055"/>
      <c r="M144" s="1069"/>
      <c r="N144" s="1069"/>
    </row>
    <row r="145" spans="1:17" ht="12.75" customHeight="1">
      <c r="E145" s="1077"/>
      <c r="F145" s="1262"/>
      <c r="G145" s="1076"/>
      <c r="I145" s="1036"/>
      <c r="J145" s="1036"/>
      <c r="K145" s="1035"/>
      <c r="L145" s="1055"/>
      <c r="M145" s="1069"/>
      <c r="N145" s="1069"/>
    </row>
    <row r="146" spans="1:17" ht="12.75" customHeight="1">
      <c r="E146" s="1077"/>
      <c r="F146" s="1262"/>
      <c r="G146" s="1063"/>
      <c r="I146" s="1036"/>
      <c r="J146" s="1036"/>
      <c r="K146" s="1035"/>
      <c r="L146" s="1055"/>
      <c r="M146" s="1069"/>
      <c r="N146" s="1069"/>
    </row>
    <row r="147" spans="1:17" ht="12.75" customHeight="1">
      <c r="G147" s="1063"/>
      <c r="I147" s="1036"/>
      <c r="J147" s="1036"/>
      <c r="K147" s="1035"/>
      <c r="L147" s="1055"/>
      <c r="M147" s="1069"/>
      <c r="N147" s="1069"/>
    </row>
    <row r="148" spans="1:17" ht="12.75" customHeight="1">
      <c r="I148" s="1036"/>
      <c r="J148" s="1036"/>
      <c r="K148" s="1035"/>
      <c r="L148" s="1055"/>
      <c r="M148" s="1069"/>
      <c r="N148" s="1069"/>
    </row>
    <row r="149" spans="1:17">
      <c r="J149" s="1257"/>
      <c r="K149" s="1035"/>
      <c r="L149" s="1055"/>
      <c r="M149" s="1069"/>
      <c r="N149" s="1069"/>
    </row>
    <row r="150" spans="1:17">
      <c r="G150" s="1035"/>
      <c r="J150" s="1257"/>
      <c r="K150" s="1035"/>
      <c r="L150" s="1055"/>
      <c r="M150" s="1069"/>
      <c r="N150" s="1069"/>
    </row>
    <row r="151" spans="1:17">
      <c r="C151" s="1042"/>
      <c r="D151" s="1034"/>
      <c r="E151" s="1035"/>
      <c r="F151" s="1035"/>
      <c r="G151" s="1035"/>
      <c r="H151" s="1074"/>
    </row>
    <row r="152" spans="1:17">
      <c r="C152" s="1266"/>
      <c r="D152" s="1034"/>
      <c r="E152" s="1035"/>
      <c r="F152" s="1035"/>
      <c r="G152" s="1035"/>
      <c r="H152" s="1074"/>
      <c r="P152" s="1039"/>
    </row>
    <row r="153" spans="1:17">
      <c r="B153" s="1079"/>
      <c r="C153" s="1034"/>
      <c r="D153" s="1034"/>
      <c r="E153" s="1035"/>
      <c r="F153" s="1035"/>
      <c r="G153" s="1035"/>
      <c r="H153" s="1074"/>
      <c r="P153" s="1039"/>
    </row>
    <row r="154" spans="1:17">
      <c r="A154" s="1044"/>
      <c r="B154" s="1079"/>
      <c r="C154" s="1034"/>
      <c r="D154" s="1034"/>
      <c r="E154" s="1035"/>
      <c r="F154" s="1035"/>
      <c r="G154" s="1035"/>
      <c r="H154" s="1074"/>
      <c r="P154" s="1039"/>
    </row>
    <row r="155" spans="1:17">
      <c r="A155" s="1035"/>
      <c r="B155" s="1079"/>
      <c r="C155" s="1034"/>
      <c r="D155" s="1034"/>
      <c r="E155" s="1035"/>
      <c r="F155" s="1035"/>
      <c r="H155" s="1074"/>
      <c r="P155" s="1039"/>
    </row>
    <row r="156" spans="1:17">
      <c r="A156" s="1035"/>
      <c r="H156" s="1074"/>
      <c r="O156" s="1035"/>
      <c r="P156" s="1035"/>
      <c r="Q156" s="1035"/>
    </row>
    <row r="157" spans="1:17">
      <c r="A157" s="1035"/>
      <c r="O157" s="1035"/>
      <c r="P157" s="1035"/>
      <c r="Q157" s="1035"/>
    </row>
    <row r="158" spans="1:17">
      <c r="A158" s="1035"/>
      <c r="G158" s="1256"/>
      <c r="K158" s="1035"/>
      <c r="L158" s="1035"/>
      <c r="M158" s="1035"/>
      <c r="N158" s="1035"/>
      <c r="O158" s="1035"/>
      <c r="P158" s="1035"/>
      <c r="Q158" s="1035"/>
    </row>
    <row r="159" spans="1:17">
      <c r="B159" s="1256"/>
      <c r="C159" s="1256"/>
      <c r="D159" s="1256"/>
      <c r="E159" s="1256"/>
      <c r="F159" s="1256"/>
      <c r="G159" s="1256"/>
      <c r="I159" s="1036"/>
      <c r="J159" s="1036"/>
      <c r="K159" s="1035"/>
      <c r="M159" s="1035"/>
      <c r="N159" s="1035"/>
      <c r="O159" s="1035"/>
      <c r="P159" s="1035"/>
      <c r="Q159" s="1035"/>
    </row>
    <row r="160" spans="1:17">
      <c r="B160" s="1256"/>
      <c r="C160" s="1256"/>
      <c r="D160" s="1256"/>
      <c r="E160" s="1256"/>
      <c r="F160" s="1256"/>
      <c r="G160" s="1256"/>
      <c r="I160" s="1256"/>
      <c r="J160" s="1036"/>
      <c r="K160" s="1035"/>
      <c r="L160" s="1035"/>
      <c r="M160" s="1035"/>
      <c r="N160" s="1035"/>
      <c r="O160" s="1035"/>
      <c r="P160" s="1035"/>
      <c r="Q160" s="1035"/>
    </row>
    <row r="161" spans="1:17">
      <c r="B161" s="1256"/>
      <c r="C161" s="1256"/>
      <c r="D161" s="1256"/>
      <c r="E161" s="1256"/>
      <c r="F161" s="1256"/>
      <c r="G161" s="1256"/>
      <c r="I161" s="1256"/>
      <c r="J161" s="1036"/>
      <c r="K161" s="1035"/>
      <c r="L161" s="1035"/>
      <c r="M161" s="1035"/>
      <c r="N161" s="1035"/>
      <c r="O161" s="1035"/>
      <c r="P161" s="1035"/>
      <c r="Q161" s="1035"/>
    </row>
    <row r="162" spans="1:17">
      <c r="B162" s="1256"/>
      <c r="C162" s="1256"/>
      <c r="D162" s="1256"/>
      <c r="E162" s="1256"/>
      <c r="F162" s="1256"/>
      <c r="G162" s="1256"/>
      <c r="I162" s="1039"/>
      <c r="J162" s="1036"/>
      <c r="K162" s="1035"/>
      <c r="L162" s="1035"/>
      <c r="M162" s="1035"/>
      <c r="N162" s="1035"/>
      <c r="O162" s="1035"/>
      <c r="P162" s="1035"/>
      <c r="Q162" s="1035"/>
    </row>
    <row r="163" spans="1:17">
      <c r="B163" s="1256"/>
      <c r="C163" s="1256"/>
      <c r="D163" s="1256"/>
      <c r="E163" s="1256"/>
      <c r="F163" s="1256"/>
      <c r="G163" s="1256"/>
      <c r="I163" s="1039"/>
      <c r="J163" s="1036"/>
      <c r="K163" s="1035"/>
      <c r="L163" s="1035"/>
      <c r="M163" s="1035"/>
      <c r="N163" s="1035"/>
      <c r="O163" s="1035"/>
      <c r="P163" s="1035"/>
      <c r="Q163" s="1035"/>
    </row>
    <row r="164" spans="1:17">
      <c r="B164" s="1256"/>
      <c r="C164" s="1256"/>
      <c r="D164" s="1256"/>
      <c r="E164" s="1256"/>
      <c r="F164" s="1256"/>
      <c r="G164" s="1256"/>
      <c r="I164" s="1039"/>
      <c r="J164" s="1036"/>
      <c r="K164" s="1035"/>
      <c r="L164" s="1035"/>
      <c r="M164" s="1035"/>
      <c r="N164" s="1035"/>
      <c r="O164" s="1035"/>
      <c r="P164" s="1035"/>
      <c r="Q164" s="1035"/>
    </row>
    <row r="165" spans="1:17">
      <c r="A165" s="1256"/>
      <c r="B165" s="1256"/>
      <c r="C165" s="1256"/>
      <c r="D165" s="1256"/>
      <c r="E165" s="1256"/>
      <c r="F165" s="1256"/>
      <c r="G165" s="1256"/>
      <c r="I165" s="1039"/>
      <c r="J165" s="1036"/>
      <c r="K165" s="1035"/>
      <c r="L165" s="1035"/>
      <c r="M165" s="1035"/>
      <c r="N165" s="1035"/>
      <c r="O165" s="1035"/>
      <c r="P165" s="1035"/>
      <c r="Q165" s="1035"/>
    </row>
    <row r="166" spans="1:17">
      <c r="A166" s="1256"/>
      <c r="B166" s="1256"/>
      <c r="C166" s="1256"/>
      <c r="D166" s="1256"/>
      <c r="E166" s="1256"/>
      <c r="F166" s="1256"/>
      <c r="G166" s="1256"/>
      <c r="I166" s="1039"/>
      <c r="J166" s="1036"/>
      <c r="K166" s="1035"/>
      <c r="L166" s="1035"/>
      <c r="M166" s="1035"/>
      <c r="N166" s="1035"/>
      <c r="O166" s="1035"/>
      <c r="P166" s="1035"/>
      <c r="Q166" s="1035"/>
    </row>
    <row r="167" spans="1:17">
      <c r="A167" s="1256"/>
      <c r="B167" s="1256"/>
      <c r="C167" s="1256"/>
      <c r="D167" s="1256"/>
      <c r="E167" s="1256"/>
      <c r="F167" s="1256"/>
      <c r="G167" s="1256"/>
      <c r="I167" s="1039"/>
      <c r="J167" s="1036"/>
      <c r="K167" s="1035"/>
      <c r="L167" s="1035"/>
      <c r="M167" s="1035"/>
      <c r="N167" s="1035"/>
      <c r="O167" s="1035"/>
      <c r="P167" s="1035"/>
      <c r="Q167" s="1035"/>
    </row>
    <row r="168" spans="1:17">
      <c r="A168" s="1256"/>
      <c r="B168" s="1256"/>
      <c r="C168" s="1256"/>
      <c r="D168" s="1256"/>
      <c r="E168" s="1256"/>
      <c r="F168" s="1256"/>
      <c r="G168" s="1256"/>
      <c r="I168" s="1039"/>
      <c r="J168" s="1036"/>
      <c r="K168" s="1035"/>
      <c r="L168" s="1035"/>
      <c r="M168" s="1035"/>
      <c r="N168" s="1035"/>
      <c r="O168" s="1035"/>
      <c r="P168" s="1035"/>
      <c r="Q168" s="1035"/>
    </row>
    <row r="169" spans="1:17">
      <c r="A169" s="1256"/>
      <c r="B169" s="1256"/>
      <c r="C169" s="1256"/>
      <c r="D169" s="1256"/>
      <c r="E169" s="1256"/>
      <c r="F169" s="1256"/>
      <c r="G169" s="1256"/>
      <c r="I169" s="1039"/>
      <c r="J169" s="1036"/>
      <c r="K169" s="1035"/>
      <c r="L169" s="1035"/>
      <c r="M169" s="1035"/>
      <c r="N169" s="1035"/>
      <c r="O169" s="1035"/>
      <c r="P169" s="1035"/>
      <c r="Q169" s="1035"/>
    </row>
    <row r="170" spans="1:17">
      <c r="A170" s="1256"/>
      <c r="B170" s="1256"/>
      <c r="C170" s="1256"/>
      <c r="D170" s="1256"/>
      <c r="E170" s="1256"/>
      <c r="F170" s="1256"/>
      <c r="G170" s="1256"/>
      <c r="I170" s="1039"/>
      <c r="J170" s="1036"/>
      <c r="K170" s="1035"/>
      <c r="L170" s="1035"/>
      <c r="M170" s="1035"/>
      <c r="N170" s="1035"/>
      <c r="O170" s="1035"/>
      <c r="P170" s="1035"/>
      <c r="Q170" s="1035"/>
    </row>
    <row r="171" spans="1:17">
      <c r="A171" s="1256"/>
      <c r="B171" s="1256"/>
      <c r="C171" s="1256"/>
      <c r="D171" s="1256"/>
      <c r="E171" s="1256"/>
      <c r="F171" s="1256"/>
      <c r="G171" s="1256"/>
      <c r="I171" s="1039"/>
      <c r="J171" s="1036"/>
      <c r="K171" s="1035"/>
      <c r="L171" s="1035"/>
      <c r="M171" s="1035"/>
      <c r="N171" s="1035"/>
      <c r="O171" s="1035"/>
      <c r="P171" s="1035"/>
      <c r="Q171" s="1035"/>
    </row>
    <row r="172" spans="1:17">
      <c r="A172" s="1256"/>
      <c r="B172" s="1256"/>
      <c r="C172" s="1256"/>
      <c r="D172" s="1256"/>
      <c r="E172" s="1256"/>
      <c r="F172" s="1256"/>
      <c r="G172" s="1256"/>
      <c r="I172" s="1039"/>
      <c r="J172" s="1036"/>
      <c r="K172" s="1035"/>
      <c r="L172" s="1035"/>
      <c r="M172" s="1035"/>
      <c r="N172" s="1035"/>
      <c r="O172" s="1035"/>
      <c r="P172" s="1035"/>
      <c r="Q172" s="1035"/>
    </row>
    <row r="173" spans="1:17">
      <c r="A173" s="1256"/>
      <c r="B173" s="1256"/>
      <c r="C173" s="1256"/>
      <c r="D173" s="1256"/>
      <c r="E173" s="1256"/>
      <c r="F173" s="1256"/>
      <c r="G173" s="1256"/>
      <c r="I173" s="1039"/>
      <c r="J173" s="1036"/>
      <c r="K173" s="1035"/>
      <c r="L173" s="1035"/>
      <c r="M173" s="1035"/>
      <c r="N173" s="1035"/>
      <c r="O173" s="1035"/>
      <c r="P173" s="1035"/>
      <c r="Q173" s="1035"/>
    </row>
    <row r="174" spans="1:17">
      <c r="A174" s="1256"/>
      <c r="B174" s="1256"/>
      <c r="C174" s="1256"/>
      <c r="D174" s="1256"/>
      <c r="E174" s="1256"/>
      <c r="F174" s="1256"/>
      <c r="I174" s="1039"/>
      <c r="J174" s="1036"/>
      <c r="K174" s="1035"/>
      <c r="L174" s="1035"/>
      <c r="M174" s="1035"/>
      <c r="N174" s="1035"/>
      <c r="O174" s="1035"/>
      <c r="P174" s="1035"/>
      <c r="Q174" s="1035"/>
    </row>
    <row r="175" spans="1:17">
      <c r="A175" s="1256"/>
      <c r="I175" s="1256"/>
      <c r="J175" s="1036"/>
      <c r="K175" s="1035"/>
      <c r="L175" s="1035"/>
      <c r="M175" s="1035"/>
      <c r="N175" s="1035"/>
      <c r="O175" s="1035"/>
      <c r="P175" s="1035"/>
      <c r="Q175" s="1035"/>
    </row>
    <row r="176" spans="1:17">
      <c r="A176" s="1256"/>
      <c r="I176" s="1035"/>
      <c r="J176" s="1036"/>
      <c r="K176" s="1035"/>
      <c r="L176" s="1035"/>
      <c r="M176" s="1035"/>
      <c r="N176" s="1035"/>
      <c r="O176" s="1035"/>
      <c r="Q176" s="1035"/>
    </row>
    <row r="177" spans="1:17">
      <c r="A177" s="1256"/>
      <c r="G177" s="1256"/>
      <c r="I177" s="1036"/>
      <c r="J177" s="1036"/>
      <c r="K177" s="1035"/>
      <c r="L177" s="1035"/>
      <c r="M177" s="1035"/>
      <c r="N177" s="1035"/>
      <c r="O177" s="1035"/>
      <c r="P177" s="1035"/>
      <c r="Q177" s="1035"/>
    </row>
    <row r="178" spans="1:17">
      <c r="B178" s="1256"/>
      <c r="C178" s="1256"/>
      <c r="D178" s="1256"/>
      <c r="E178" s="1256"/>
      <c r="F178" s="1256"/>
      <c r="G178" s="1256"/>
      <c r="I178" s="1036"/>
      <c r="J178" s="1036"/>
      <c r="K178" s="1035"/>
      <c r="L178" s="1035"/>
      <c r="M178" s="1035"/>
      <c r="N178" s="1035"/>
      <c r="O178" s="1035"/>
      <c r="P178" s="1072"/>
      <c r="Q178" s="1035"/>
    </row>
    <row r="179" spans="1:17">
      <c r="B179" s="1256"/>
      <c r="C179" s="1256"/>
      <c r="D179" s="1256"/>
      <c r="E179" s="1256"/>
      <c r="F179" s="1256"/>
      <c r="G179" s="1256"/>
      <c r="I179" s="1036"/>
      <c r="J179" s="1036"/>
      <c r="K179" s="1035"/>
      <c r="L179" s="1035"/>
      <c r="M179" s="1035"/>
      <c r="N179" s="1035"/>
      <c r="O179" s="1035"/>
      <c r="P179" s="1035"/>
      <c r="Q179" s="1035"/>
    </row>
    <row r="180" spans="1:17">
      <c r="A180" s="1256"/>
      <c r="B180" s="1256"/>
      <c r="C180" s="1256"/>
      <c r="D180" s="1256"/>
      <c r="E180" s="1256"/>
      <c r="F180" s="1256"/>
      <c r="G180" s="1256"/>
      <c r="I180" s="1036"/>
      <c r="J180" s="1036"/>
      <c r="K180" s="1035"/>
      <c r="L180" s="1035"/>
      <c r="M180" s="1035"/>
      <c r="N180" s="1035"/>
      <c r="O180" s="1035"/>
      <c r="P180" s="1080"/>
      <c r="Q180" s="1035"/>
    </row>
    <row r="181" spans="1:17">
      <c r="A181" s="1256"/>
      <c r="B181" s="1256"/>
      <c r="C181" s="1256"/>
      <c r="D181" s="1256"/>
      <c r="E181" s="1256"/>
      <c r="F181" s="1256"/>
      <c r="G181" s="1256"/>
      <c r="I181" s="1036"/>
      <c r="J181" s="1036"/>
      <c r="K181" s="1035"/>
      <c r="L181" s="1035"/>
      <c r="M181" s="1035"/>
      <c r="N181" s="1035"/>
      <c r="O181" s="1035"/>
      <c r="P181" s="1035"/>
      <c r="Q181" s="1035"/>
    </row>
    <row r="182" spans="1:17">
      <c r="A182" s="1256"/>
      <c r="B182" s="1256"/>
      <c r="C182" s="1256"/>
      <c r="D182" s="1256"/>
      <c r="E182" s="1256"/>
      <c r="F182" s="1256"/>
      <c r="G182" s="1256"/>
      <c r="I182" s="1036"/>
      <c r="J182" s="1036"/>
      <c r="K182" s="1035"/>
      <c r="L182" s="1035"/>
      <c r="M182" s="1035"/>
      <c r="N182" s="1035"/>
      <c r="P182" s="1035"/>
    </row>
    <row r="183" spans="1:17">
      <c r="A183" s="1256"/>
      <c r="B183" s="1256"/>
      <c r="C183" s="1256"/>
      <c r="D183" s="1256"/>
      <c r="E183" s="1256"/>
      <c r="F183" s="1256"/>
      <c r="G183" s="1256"/>
      <c r="I183" s="1036"/>
      <c r="J183" s="1036"/>
      <c r="K183" s="1035"/>
      <c r="L183" s="1035"/>
      <c r="M183" s="1035"/>
      <c r="N183" s="1035"/>
      <c r="O183" s="1035"/>
      <c r="P183" s="1035"/>
      <c r="Q183" s="1035"/>
    </row>
    <row r="184" spans="1:17">
      <c r="A184" s="1256"/>
      <c r="B184" s="1256"/>
      <c r="C184" s="1256"/>
      <c r="D184" s="1256"/>
      <c r="E184" s="1256"/>
      <c r="F184" s="1256"/>
      <c r="G184" s="1256"/>
      <c r="I184" s="1036"/>
      <c r="J184" s="1036"/>
      <c r="K184" s="1035"/>
      <c r="L184" s="1035"/>
      <c r="M184" s="1035"/>
      <c r="N184" s="1035"/>
      <c r="O184" s="1035"/>
      <c r="P184" s="1035"/>
      <c r="Q184" s="1072"/>
    </row>
    <row r="185" spans="1:17">
      <c r="A185" s="1256"/>
      <c r="B185" s="1256"/>
      <c r="C185" s="1256"/>
      <c r="D185" s="1256"/>
      <c r="E185" s="1256"/>
      <c r="F185" s="1256"/>
      <c r="G185" s="1256"/>
      <c r="I185" s="1036"/>
      <c r="J185" s="1036"/>
      <c r="K185" s="1035"/>
      <c r="L185" s="1035"/>
      <c r="M185" s="1035"/>
      <c r="N185" s="1035"/>
      <c r="O185" s="1035"/>
      <c r="P185" s="1035"/>
      <c r="Q185" s="1035"/>
    </row>
    <row r="186" spans="1:17">
      <c r="A186" s="1256"/>
      <c r="B186" s="1256"/>
      <c r="C186" s="1256"/>
      <c r="D186" s="1256"/>
      <c r="E186" s="1256"/>
      <c r="F186" s="1256"/>
      <c r="G186" s="1256"/>
      <c r="I186" s="1036"/>
      <c r="J186" s="1036"/>
      <c r="K186" s="1035"/>
      <c r="L186" s="1081"/>
      <c r="O186" s="1035"/>
      <c r="P186" s="1035"/>
      <c r="Q186" s="1035"/>
    </row>
    <row r="187" spans="1:17">
      <c r="A187" s="1256"/>
      <c r="B187" s="1256"/>
      <c r="C187" s="1256"/>
      <c r="D187" s="1256"/>
      <c r="E187" s="1256"/>
      <c r="F187" s="1256"/>
      <c r="G187" s="1256"/>
      <c r="I187" s="1036"/>
      <c r="J187" s="1036"/>
      <c r="K187" s="1035"/>
      <c r="L187" s="1081"/>
      <c r="M187" s="1035"/>
      <c r="N187" s="1055"/>
      <c r="O187" s="1035"/>
      <c r="P187" s="1078"/>
      <c r="Q187" s="1035"/>
    </row>
    <row r="188" spans="1:17">
      <c r="A188" s="1256"/>
      <c r="B188" s="1256"/>
      <c r="C188" s="1256"/>
      <c r="D188" s="1256"/>
      <c r="E188" s="1256"/>
      <c r="F188" s="1256"/>
      <c r="G188" s="1256"/>
      <c r="I188" s="1035"/>
      <c r="J188" s="1035"/>
      <c r="K188" s="1081"/>
      <c r="L188" s="1256"/>
      <c r="M188" s="1256"/>
      <c r="N188" s="1256"/>
    </row>
    <row r="189" spans="1:17">
      <c r="A189" s="1256"/>
      <c r="B189" s="1256"/>
      <c r="C189" s="1256"/>
      <c r="D189" s="1256"/>
      <c r="E189" s="1256"/>
      <c r="F189" s="1256"/>
      <c r="G189" s="1256"/>
      <c r="I189" s="1035"/>
      <c r="J189" s="1035"/>
      <c r="K189" s="1081"/>
      <c r="L189" s="1256"/>
      <c r="M189" s="1256"/>
      <c r="N189" s="1256"/>
    </row>
    <row r="190" spans="1:17">
      <c r="A190" s="1256"/>
      <c r="B190" s="1256"/>
      <c r="C190" s="1256"/>
      <c r="D190" s="1256"/>
      <c r="E190" s="1256"/>
      <c r="F190" s="1256"/>
      <c r="I190" s="1035"/>
      <c r="J190" s="1035"/>
      <c r="K190" s="1082"/>
      <c r="L190" s="1256"/>
      <c r="M190" s="1256"/>
      <c r="N190" s="1256"/>
    </row>
    <row r="191" spans="1:17">
      <c r="A191" s="1256"/>
      <c r="I191" s="1035"/>
      <c r="J191" s="1035"/>
      <c r="K191" s="1035"/>
      <c r="L191" s="1256"/>
      <c r="M191" s="1256"/>
      <c r="N191" s="1256"/>
    </row>
    <row r="192" spans="1:17">
      <c r="A192" s="1256"/>
      <c r="I192" s="1035"/>
      <c r="J192" s="1035"/>
      <c r="K192" s="1035"/>
      <c r="L192" s="1256"/>
      <c r="M192" s="1256"/>
      <c r="N192" s="1256"/>
    </row>
    <row r="193" spans="1:14">
      <c r="A193" s="1256"/>
      <c r="G193" s="1256"/>
      <c r="I193" s="1035"/>
      <c r="J193" s="1035"/>
      <c r="K193" s="1035"/>
      <c r="L193" s="1256"/>
      <c r="M193" s="1256"/>
      <c r="N193" s="1256"/>
    </row>
    <row r="194" spans="1:14">
      <c r="B194" s="1256"/>
      <c r="C194" s="1256"/>
      <c r="D194" s="1256"/>
      <c r="E194" s="1256"/>
      <c r="F194" s="1256"/>
      <c r="G194" s="1256"/>
      <c r="I194" s="1035"/>
      <c r="J194" s="1035"/>
      <c r="L194" s="1256"/>
      <c r="M194" s="1256"/>
      <c r="N194" s="1256"/>
    </row>
    <row r="195" spans="1:14">
      <c r="B195" s="1256"/>
      <c r="C195" s="1256"/>
      <c r="D195" s="1256"/>
      <c r="E195" s="1256"/>
      <c r="F195" s="1256"/>
      <c r="G195" s="1256"/>
    </row>
    <row r="196" spans="1:14">
      <c r="B196" s="1256"/>
      <c r="C196" s="1256"/>
      <c r="D196" s="1256"/>
      <c r="E196" s="1256"/>
      <c r="F196" s="1256"/>
      <c r="G196" s="1256"/>
    </row>
    <row r="197" spans="1:14">
      <c r="A197" s="1256"/>
      <c r="B197" s="1256"/>
      <c r="C197" s="1256"/>
      <c r="D197" s="1256"/>
      <c r="E197" s="1256"/>
      <c r="F197" s="1256"/>
    </row>
    <row r="198" spans="1:14">
      <c r="A198" s="1256"/>
      <c r="J198" s="1256"/>
      <c r="K198" s="1256"/>
      <c r="L198" s="1256"/>
      <c r="M198" s="1256"/>
      <c r="N198" s="1256"/>
    </row>
    <row r="199" spans="1:14">
      <c r="A199" s="1256"/>
      <c r="J199" s="1256"/>
      <c r="K199" s="1256"/>
      <c r="L199" s="1256"/>
      <c r="M199" s="1256"/>
      <c r="N199" s="1256"/>
    </row>
    <row r="200" spans="1:14">
      <c r="A200" s="1256"/>
      <c r="I200" s="1256"/>
      <c r="J200" s="1256"/>
      <c r="K200" s="1256"/>
      <c r="L200" s="1256"/>
      <c r="M200" s="1256"/>
      <c r="N200" s="1256"/>
    </row>
    <row r="201" spans="1:14">
      <c r="I201" s="1256"/>
      <c r="J201" s="1256"/>
      <c r="K201" s="1256"/>
      <c r="L201" s="1256"/>
      <c r="M201" s="1256"/>
      <c r="N201" s="1256"/>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64:A68 A79 H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W55"/>
  <sheetViews>
    <sheetView showGridLines="0" zoomScale="78" zoomScaleNormal="100" zoomScaleSheetLayoutView="100" workbookViewId="0"/>
  </sheetViews>
  <sheetFormatPr defaultColWidth="8.90625" defaultRowHeight="15" customHeight="1"/>
  <cols>
    <col min="1" max="1" width="55.08984375" style="2490" customWidth="1"/>
    <col min="2" max="2" width="4.6328125" style="2490" customWidth="1"/>
    <col min="3" max="3" width="19" style="2491" customWidth="1"/>
    <col min="4" max="4" width="2.453125" style="2491" customWidth="1"/>
    <col min="5" max="5" width="19" style="2491" customWidth="1"/>
    <col min="6" max="6" width="2.81640625" style="2491" customWidth="1"/>
    <col min="7" max="7" width="19" style="2491" customWidth="1"/>
    <col min="8" max="8" width="3" style="2491" customWidth="1"/>
    <col min="9" max="9" width="19" style="2491" customWidth="1"/>
    <col min="10" max="10" width="2.6328125" style="2491" customWidth="1"/>
    <col min="11" max="11" width="19" style="2491" customWidth="1"/>
    <col min="12" max="12" width="2.453125" style="2491" customWidth="1"/>
    <col min="13" max="13" width="1.6328125" style="2492" customWidth="1"/>
    <col min="14" max="14" width="19" style="2492" customWidth="1"/>
    <col min="15" max="18" width="8.90625" style="2491"/>
    <col min="19" max="16384" width="8.90625" style="2490"/>
  </cols>
  <sheetData>
    <row r="1" spans="1:18" ht="15" customHeight="1">
      <c r="A1" s="1184" t="s">
        <v>1217</v>
      </c>
    </row>
    <row r="2" spans="1:18" ht="15" customHeight="1">
      <c r="A2" s="2493"/>
    </row>
    <row r="3" spans="1:18" ht="15" customHeight="1">
      <c r="N3" s="2644" t="s">
        <v>707</v>
      </c>
    </row>
    <row r="4" spans="1:18" ht="18" customHeight="1">
      <c r="A4" s="2494" t="s">
        <v>524</v>
      </c>
      <c r="B4" s="2495"/>
      <c r="C4" s="2495"/>
      <c r="D4" s="2495"/>
      <c r="E4" s="2495"/>
      <c r="F4" s="2495"/>
      <c r="G4" s="2495"/>
      <c r="H4" s="2495"/>
      <c r="I4" s="2495"/>
      <c r="J4" s="2495"/>
      <c r="K4" s="2495"/>
      <c r="L4" s="2495"/>
      <c r="M4" s="2646"/>
      <c r="N4" s="2646"/>
    </row>
    <row r="5" spans="1:18" ht="18" customHeight="1">
      <c r="A5" s="2494" t="s">
        <v>1113</v>
      </c>
      <c r="B5" s="2494"/>
      <c r="C5" s="2494"/>
      <c r="D5" s="3329"/>
      <c r="E5" s="3355"/>
      <c r="F5" s="3381"/>
      <c r="G5" s="3381"/>
      <c r="H5" s="3492"/>
      <c r="I5" s="3492"/>
      <c r="J5" s="3530"/>
      <c r="K5" s="3530"/>
      <c r="L5" s="2873"/>
      <c r="M5" s="2645"/>
      <c r="N5" s="2627"/>
    </row>
    <row r="6" spans="1:18" ht="18" customHeight="1">
      <c r="A6" s="3602" t="s">
        <v>1528</v>
      </c>
      <c r="B6" s="3603"/>
      <c r="C6" s="3603"/>
      <c r="D6" s="3603"/>
      <c r="E6" s="3603"/>
      <c r="F6" s="3603"/>
      <c r="G6" s="3603"/>
      <c r="H6" s="3603"/>
      <c r="I6" s="3603"/>
      <c r="J6" s="3603"/>
      <c r="K6" s="3603"/>
      <c r="L6" s="3603"/>
      <c r="M6" s="2645"/>
      <c r="N6" s="2627"/>
    </row>
    <row r="7" spans="1:18" ht="15" customHeight="1">
      <c r="A7" s="3604"/>
      <c r="B7" s="3604"/>
      <c r="C7" s="3604"/>
      <c r="D7" s="3604"/>
      <c r="E7" s="3604"/>
      <c r="F7" s="3604"/>
      <c r="G7" s="3604"/>
      <c r="H7" s="3604"/>
      <c r="I7" s="3604"/>
      <c r="J7" s="3604"/>
      <c r="K7" s="3604"/>
      <c r="L7" s="3604"/>
      <c r="M7" s="2647"/>
      <c r="N7" s="2647"/>
    </row>
    <row r="8" spans="1:18" ht="15" customHeight="1">
      <c r="A8" s="2498"/>
      <c r="B8" s="2499"/>
      <c r="C8" s="2500"/>
      <c r="D8" s="2500"/>
      <c r="E8" s="2500"/>
      <c r="F8" s="2500"/>
      <c r="G8" s="2500"/>
      <c r="H8" s="2500"/>
      <c r="I8" s="2500"/>
      <c r="J8" s="2500"/>
      <c r="K8" s="2500"/>
      <c r="L8" s="2496"/>
      <c r="M8" s="2648"/>
      <c r="N8" s="2501"/>
    </row>
    <row r="9" spans="1:18" s="2505" customFormat="1" ht="15" customHeight="1">
      <c r="A9" s="2502"/>
      <c r="B9" s="2502"/>
      <c r="C9" s="3356" t="s">
        <v>1591</v>
      </c>
      <c r="D9" s="3305"/>
      <c r="E9" s="3356" t="s">
        <v>1644</v>
      </c>
      <c r="F9" s="3356"/>
      <c r="G9" s="3356" t="s">
        <v>1079</v>
      </c>
      <c r="H9" s="3356"/>
      <c r="I9" s="3356" t="s">
        <v>1079</v>
      </c>
      <c r="J9" s="3356"/>
      <c r="K9" s="3356" t="s">
        <v>1079</v>
      </c>
      <c r="L9" s="2503"/>
      <c r="M9" s="2504"/>
      <c r="N9" s="2504"/>
      <c r="O9" s="2489"/>
      <c r="P9" s="2489"/>
      <c r="Q9" s="2489"/>
      <c r="R9" s="2489"/>
    </row>
    <row r="10" spans="1:18" ht="15" customHeight="1">
      <c r="A10" s="2506"/>
      <c r="B10" s="2506"/>
      <c r="C10" s="2507" t="s">
        <v>1592</v>
      </c>
      <c r="D10" s="2507"/>
      <c r="E10" s="2507" t="s">
        <v>1645</v>
      </c>
      <c r="F10" s="2507"/>
      <c r="G10" s="2507" t="s">
        <v>149</v>
      </c>
      <c r="H10" s="2507"/>
      <c r="I10" s="2507" t="s">
        <v>136</v>
      </c>
      <c r="J10" s="2507"/>
      <c r="K10" s="2507" t="s">
        <v>137</v>
      </c>
      <c r="L10" s="2508"/>
      <c r="M10" s="2497"/>
      <c r="N10" s="2507" t="s">
        <v>1531</v>
      </c>
    </row>
    <row r="11" spans="1:18" ht="15" customHeight="1">
      <c r="A11" s="2506"/>
      <c r="B11" s="2506"/>
      <c r="C11" s="2509"/>
      <c r="D11" s="2497"/>
      <c r="E11" s="2509"/>
      <c r="F11" s="2497"/>
      <c r="G11" s="2509"/>
      <c r="H11" s="2497"/>
      <c r="I11" s="3493"/>
      <c r="J11" s="2497"/>
      <c r="K11" s="3493"/>
      <c r="L11" s="2508"/>
      <c r="M11" s="2497"/>
      <c r="N11" s="2509"/>
    </row>
    <row r="12" spans="1:18" s="2505" customFormat="1" ht="15" customHeight="1">
      <c r="A12" s="2510" t="s">
        <v>499</v>
      </c>
      <c r="B12" s="2510"/>
      <c r="C12" s="2511">
        <v>270482263.5</v>
      </c>
      <c r="D12" s="2511"/>
      <c r="E12" s="2511">
        <f>C52</f>
        <v>304918267.37</v>
      </c>
      <c r="F12" s="2511"/>
      <c r="G12" s="2511">
        <f>E52</f>
        <v>318421774.32999998</v>
      </c>
      <c r="H12" s="2511"/>
      <c r="I12" s="2511">
        <f>G52</f>
        <v>318774917.31</v>
      </c>
      <c r="J12" s="2511"/>
      <c r="K12" s="2511">
        <f>I52</f>
        <v>282182751.69</v>
      </c>
      <c r="L12" s="2511"/>
      <c r="M12" s="2512"/>
      <c r="N12" s="2649">
        <f>+C12</f>
        <v>270482263.5</v>
      </c>
      <c r="O12" s="2489"/>
      <c r="P12" s="2489"/>
      <c r="Q12" s="2489"/>
      <c r="R12" s="2489"/>
    </row>
    <row r="13" spans="1:18" ht="15" customHeight="1">
      <c r="A13" s="2510"/>
      <c r="B13" s="2506"/>
      <c r="C13" s="2508"/>
      <c r="D13" s="2508"/>
      <c r="E13" s="2508"/>
      <c r="F13" s="2508"/>
      <c r="G13" s="2508"/>
      <c r="H13" s="2508"/>
      <c r="I13" s="2508"/>
      <c r="J13" s="2508"/>
      <c r="K13" s="2508"/>
      <c r="L13" s="2508"/>
      <c r="M13" s="2513"/>
      <c r="N13" s="2516"/>
    </row>
    <row r="14" spans="1:18" ht="15" customHeight="1">
      <c r="A14" s="2510" t="s">
        <v>15</v>
      </c>
      <c r="B14" s="2506"/>
      <c r="C14" s="2514"/>
      <c r="D14" s="2514"/>
      <c r="E14" s="2514"/>
      <c r="F14" s="2514"/>
      <c r="G14" s="2514"/>
      <c r="H14" s="2514"/>
      <c r="I14" s="2514"/>
      <c r="J14" s="2514"/>
      <c r="K14" s="2514"/>
      <c r="L14" s="2514"/>
      <c r="M14" s="2515"/>
      <c r="N14" s="2516"/>
    </row>
    <row r="15" spans="1:18" ht="15" customHeight="1">
      <c r="A15" s="2506" t="s">
        <v>708</v>
      </c>
      <c r="B15" s="2506"/>
      <c r="C15" s="2472">
        <v>763706269.23000002</v>
      </c>
      <c r="D15" s="2472"/>
      <c r="E15" s="2472">
        <v>799560327.62000012</v>
      </c>
      <c r="F15" s="2472"/>
      <c r="G15" s="2472">
        <v>232372197.11000001</v>
      </c>
      <c r="H15" s="2472"/>
      <c r="I15" s="2472">
        <v>235928314.99000001</v>
      </c>
      <c r="J15" s="2472"/>
      <c r="K15" s="2472">
        <v>240296219.19</v>
      </c>
      <c r="L15" s="2514"/>
      <c r="M15" s="2515"/>
      <c r="N15" s="2516">
        <f>SUM(C15:K15)</f>
        <v>2271863328.1399999</v>
      </c>
    </row>
    <row r="16" spans="1:18" ht="15" customHeight="1">
      <c r="A16" s="2506" t="s">
        <v>709</v>
      </c>
      <c r="B16" s="2506"/>
      <c r="C16" s="2472">
        <v>272043413.26999998</v>
      </c>
      <c r="D16" s="2472"/>
      <c r="E16" s="2472">
        <v>270257878.68000001</v>
      </c>
      <c r="F16" s="2472"/>
      <c r="G16" s="2472">
        <v>82924790.719999999</v>
      </c>
      <c r="H16" s="2472"/>
      <c r="I16" s="2472">
        <v>91573314.849999994</v>
      </c>
      <c r="J16" s="2472"/>
      <c r="K16" s="2472">
        <v>87272430.549999997</v>
      </c>
      <c r="L16" s="2514"/>
      <c r="M16" s="2515"/>
      <c r="N16" s="2516">
        <f t="shared" ref="N16:N20" si="0">SUM(C16:K16)</f>
        <v>804071828.07000005</v>
      </c>
    </row>
    <row r="17" spans="1:23" ht="15" customHeight="1">
      <c r="A17" s="2506" t="s">
        <v>710</v>
      </c>
      <c r="B17" s="2506"/>
      <c r="C17" s="2472">
        <v>25296971.02</v>
      </c>
      <c r="D17" s="2472"/>
      <c r="E17" s="2472">
        <v>24907802.559999999</v>
      </c>
      <c r="F17" s="2472"/>
      <c r="G17" s="2472">
        <v>8190614.9900000002</v>
      </c>
      <c r="H17" s="2472"/>
      <c r="I17" s="2472">
        <v>7300146.1699999999</v>
      </c>
      <c r="J17" s="2472"/>
      <c r="K17" s="2472">
        <v>9346582.0299999993</v>
      </c>
      <c r="L17" s="2514"/>
      <c r="M17" s="2515"/>
      <c r="N17" s="2516">
        <f t="shared" si="0"/>
        <v>75042116.769999996</v>
      </c>
    </row>
    <row r="18" spans="1:23" ht="15" customHeight="1">
      <c r="A18" s="2506" t="s">
        <v>711</v>
      </c>
      <c r="B18" s="2506"/>
      <c r="C18" s="2472">
        <v>89656125.280000001</v>
      </c>
      <c r="D18" s="2472"/>
      <c r="E18" s="2472">
        <v>87973550.219999999</v>
      </c>
      <c r="F18" s="2472"/>
      <c r="G18" s="2472">
        <v>29368102</v>
      </c>
      <c r="H18" s="2472"/>
      <c r="I18" s="2472">
        <v>28694116.989999998</v>
      </c>
      <c r="J18" s="2472"/>
      <c r="K18" s="2472">
        <v>32629304.43</v>
      </c>
      <c r="L18" s="2514"/>
      <c r="M18" s="2515"/>
      <c r="N18" s="2516">
        <f t="shared" si="0"/>
        <v>268321198.92000002</v>
      </c>
    </row>
    <row r="19" spans="1:23" s="2888" customFormat="1" ht="18" customHeight="1">
      <c r="A19" s="2889" t="s">
        <v>712</v>
      </c>
      <c r="B19" s="2506"/>
      <c r="C19" s="1610">
        <v>0</v>
      </c>
      <c r="D19" s="1610"/>
      <c r="E19" s="1610">
        <v>0</v>
      </c>
      <c r="F19" s="1610"/>
      <c r="G19" s="1610">
        <v>0</v>
      </c>
      <c r="H19" s="1610"/>
      <c r="I19" s="1610">
        <v>0</v>
      </c>
      <c r="J19" s="1610"/>
      <c r="K19" s="1610">
        <v>0</v>
      </c>
      <c r="L19" s="2514"/>
      <c r="M19" s="2515"/>
      <c r="N19" s="2516">
        <f t="shared" si="0"/>
        <v>0</v>
      </c>
      <c r="O19" s="2508"/>
      <c r="P19" s="2508"/>
      <c r="Q19" s="2508"/>
      <c r="R19" s="2508"/>
    </row>
    <row r="20" spans="1:23" ht="15" customHeight="1">
      <c r="A20" s="2506" t="s">
        <v>713</v>
      </c>
      <c r="B20" s="2506"/>
      <c r="C20" s="2472">
        <v>50263.22</v>
      </c>
      <c r="D20" s="2472"/>
      <c r="E20" s="2472">
        <v>45558.210000000006</v>
      </c>
      <c r="F20" s="2472"/>
      <c r="G20" s="2472">
        <v>10213.780000000001</v>
      </c>
      <c r="H20" s="2472"/>
      <c r="I20" s="2472">
        <v>11539.79</v>
      </c>
      <c r="J20" s="2472"/>
      <c r="K20" s="2472">
        <v>9689.09</v>
      </c>
      <c r="L20" s="2514"/>
      <c r="M20" s="2515"/>
      <c r="N20" s="2516">
        <f t="shared" si="0"/>
        <v>127264.09</v>
      </c>
    </row>
    <row r="21" spans="1:23" ht="15" customHeight="1">
      <c r="A21" s="2506" t="s">
        <v>714</v>
      </c>
      <c r="B21" s="2506"/>
      <c r="C21" s="2517">
        <v>-115989.64</v>
      </c>
      <c r="D21" s="2477"/>
      <c r="E21" s="2517">
        <v>-15738193.119999999</v>
      </c>
      <c r="F21" s="2477"/>
      <c r="G21" s="2517">
        <v>19049755.02</v>
      </c>
      <c r="H21" s="2477"/>
      <c r="I21" s="2517">
        <v>-3311245.87</v>
      </c>
      <c r="J21" s="2477"/>
      <c r="K21" s="2517">
        <v>2225671.36</v>
      </c>
      <c r="L21" s="2514"/>
      <c r="M21" s="2518"/>
      <c r="N21" s="2516">
        <f>SUM(C21:K21)</f>
        <v>2109997.7499999995</v>
      </c>
      <c r="O21" s="2492"/>
    </row>
    <row r="22" spans="1:23" s="2505" customFormat="1" ht="15.6">
      <c r="A22" s="2510" t="s">
        <v>156</v>
      </c>
      <c r="B22" s="2510"/>
      <c r="C22" s="2519">
        <v>1150637052.3800001</v>
      </c>
      <c r="D22" s="2523"/>
      <c r="E22" s="2519">
        <f>ROUND(SUM(E15:E21),2)</f>
        <v>1167006924.1700001</v>
      </c>
      <c r="F22" s="2523"/>
      <c r="G22" s="2519">
        <f>ROUND(SUM(G15:G21),2)</f>
        <v>371915673.62</v>
      </c>
      <c r="H22" s="2523"/>
      <c r="I22" s="2519">
        <f>ROUND(SUM(I15:I21),2)</f>
        <v>360196186.92000002</v>
      </c>
      <c r="J22" s="2523"/>
      <c r="K22" s="2519">
        <f>ROUND(SUM(K15:K21),2)</f>
        <v>371779896.64999998</v>
      </c>
      <c r="L22" s="2520"/>
      <c r="M22" s="2521"/>
      <c r="N22" s="2522">
        <f>ROUND(SUM(N15:N21),2)</f>
        <v>3421535733.7399998</v>
      </c>
      <c r="O22" s="2524"/>
      <c r="P22" s="2489"/>
      <c r="Q22" s="2489"/>
      <c r="R22" s="2489"/>
    </row>
    <row r="23" spans="1:23" ht="15" customHeight="1">
      <c r="A23" s="2506"/>
      <c r="B23" s="2506"/>
      <c r="C23" s="2514"/>
      <c r="D23" s="2514"/>
      <c r="E23" s="2514"/>
      <c r="F23" s="2514"/>
      <c r="G23" s="2514"/>
      <c r="H23" s="2514"/>
      <c r="I23" s="2514"/>
      <c r="J23" s="2514"/>
      <c r="K23" s="2514"/>
      <c r="L23" s="2514"/>
      <c r="M23" s="2515"/>
      <c r="N23" s="2516"/>
    </row>
    <row r="24" spans="1:23" ht="15" customHeight="1">
      <c r="A24" s="2510" t="s">
        <v>1174</v>
      </c>
      <c r="B24" s="2506"/>
      <c r="C24" s="2525"/>
      <c r="D24" s="2525"/>
      <c r="E24" s="2525"/>
      <c r="F24" s="2525"/>
      <c r="G24" s="2525"/>
      <c r="H24" s="2525"/>
      <c r="I24" s="2525"/>
      <c r="J24" s="2525"/>
      <c r="K24" s="2525"/>
      <c r="L24" s="2514"/>
      <c r="M24" s="2515"/>
      <c r="N24" s="2516"/>
    </row>
    <row r="25" spans="1:23" ht="15" customHeight="1">
      <c r="A25" s="2526" t="s">
        <v>715</v>
      </c>
      <c r="B25" s="2506"/>
      <c r="C25" s="2514">
        <v>0</v>
      </c>
      <c r="D25" s="2514"/>
      <c r="E25" s="2514">
        <v>0</v>
      </c>
      <c r="F25" s="2514"/>
      <c r="G25" s="2514">
        <v>0</v>
      </c>
      <c r="H25" s="2514"/>
      <c r="I25" s="2514">
        <v>0</v>
      </c>
      <c r="J25" s="2514"/>
      <c r="K25" s="2514">
        <v>-3000000</v>
      </c>
      <c r="L25" s="2514"/>
      <c r="M25" s="2515"/>
      <c r="N25" s="2516">
        <f>SUM(C25:K25)</f>
        <v>-3000000</v>
      </c>
    </row>
    <row r="26" spans="1:23" ht="15" customHeight="1">
      <c r="A26" s="2526" t="s">
        <v>716</v>
      </c>
      <c r="B26" s="2506"/>
      <c r="C26" s="2514">
        <v>0</v>
      </c>
      <c r="D26" s="2514"/>
      <c r="E26" s="2514">
        <v>0</v>
      </c>
      <c r="F26" s="2514"/>
      <c r="G26" s="2514">
        <v>0</v>
      </c>
      <c r="H26" s="2514"/>
      <c r="I26" s="2514">
        <v>0</v>
      </c>
      <c r="J26" s="2514"/>
      <c r="K26" s="2514">
        <v>-5288000</v>
      </c>
      <c r="L26" s="2514"/>
      <c r="M26" s="2515"/>
      <c r="N26" s="2516">
        <f>SUM(C26:K26)</f>
        <v>-5288000</v>
      </c>
    </row>
    <row r="27" spans="1:23" ht="15" customHeight="1">
      <c r="A27" s="2526" t="s">
        <v>717</v>
      </c>
      <c r="B27" s="2506"/>
      <c r="C27" s="2514">
        <v>0</v>
      </c>
      <c r="D27" s="2514"/>
      <c r="E27" s="2514">
        <v>0</v>
      </c>
      <c r="F27" s="2514"/>
      <c r="G27" s="2514">
        <v>0</v>
      </c>
      <c r="H27" s="2514"/>
      <c r="I27" s="2514">
        <v>0</v>
      </c>
      <c r="J27" s="2514"/>
      <c r="K27" s="2514">
        <v>0</v>
      </c>
      <c r="L27" s="2514"/>
      <c r="M27" s="2518"/>
      <c r="N27" s="2516">
        <f>SUM(C27:K27)</f>
        <v>0</v>
      </c>
    </row>
    <row r="28" spans="1:23" ht="15.6">
      <c r="A28" s="2495" t="s">
        <v>1233</v>
      </c>
      <c r="B28" s="2510"/>
      <c r="C28" s="2522">
        <v>0</v>
      </c>
      <c r="D28" s="2523"/>
      <c r="E28" s="3357">
        <f>ROUND(SUM(E25:E27),2)</f>
        <v>0</v>
      </c>
      <c r="F28" s="2523"/>
      <c r="G28" s="3357">
        <f>ROUND(SUM(G25:G27),2)</f>
        <v>0</v>
      </c>
      <c r="H28" s="2523"/>
      <c r="I28" s="3357">
        <f>ROUND(SUM(I25:I27),2)</f>
        <v>0</v>
      </c>
      <c r="J28" s="2523"/>
      <c r="K28" s="3357">
        <f>ROUND(SUM(K25:K27),2)</f>
        <v>-8288000</v>
      </c>
      <c r="L28" s="2520"/>
      <c r="M28" s="2521"/>
      <c r="N28" s="2522">
        <f>ROUND(SUM(N25:N27),2)</f>
        <v>-8288000</v>
      </c>
    </row>
    <row r="29" spans="1:23" ht="15" customHeight="1">
      <c r="A29" s="2506"/>
      <c r="B29" s="2506"/>
      <c r="C29" s="2514"/>
      <c r="D29" s="2514"/>
      <c r="E29" s="2514"/>
      <c r="F29" s="2514"/>
      <c r="G29" s="2514"/>
      <c r="H29" s="2514"/>
      <c r="I29" s="2514"/>
      <c r="J29" s="2514"/>
      <c r="K29" s="2514"/>
      <c r="L29" s="2514"/>
      <c r="M29" s="2515"/>
      <c r="N29" s="2516"/>
    </row>
    <row r="30" spans="1:23" ht="15" customHeight="1">
      <c r="A30" s="2510" t="s">
        <v>718</v>
      </c>
      <c r="B30" s="2510"/>
      <c r="C30" s="2520">
        <v>1150637052.3800001</v>
      </c>
      <c r="D30" s="2520"/>
      <c r="E30" s="2520">
        <f>ROUND(+E22+E28,2)</f>
        <v>1167006924.1700001</v>
      </c>
      <c r="F30" s="2520"/>
      <c r="G30" s="2520">
        <f>ROUND(+G22+G28,2)</f>
        <v>371915673.62</v>
      </c>
      <c r="H30" s="2520"/>
      <c r="I30" s="2520">
        <f>ROUND(+I22+I28,2)</f>
        <v>360196186.92000002</v>
      </c>
      <c r="J30" s="2520"/>
      <c r="K30" s="2520">
        <f>ROUND(+K22+K28,2)</f>
        <v>363491896.64999998</v>
      </c>
      <c r="L30" s="2520"/>
      <c r="M30" s="2527"/>
      <c r="N30" s="2523">
        <f>ROUND(+N22+N28,2)</f>
        <v>3413247733.7399998</v>
      </c>
    </row>
    <row r="31" spans="1:23" ht="15" customHeight="1">
      <c r="A31" s="2506"/>
      <c r="B31" s="2506"/>
      <c r="C31" s="2528"/>
      <c r="D31" s="2516"/>
      <c r="E31" s="2528"/>
      <c r="F31" s="2516"/>
      <c r="G31" s="2528"/>
      <c r="H31" s="2516"/>
      <c r="I31" s="3494"/>
      <c r="J31" s="2516"/>
      <c r="K31" s="3494"/>
      <c r="L31" s="2514"/>
      <c r="M31" s="2515"/>
      <c r="N31" s="2528"/>
      <c r="O31" s="2492"/>
      <c r="P31" s="2492"/>
      <c r="Q31" s="2492"/>
      <c r="R31" s="2492"/>
      <c r="S31" s="2529"/>
      <c r="T31" s="2529"/>
      <c r="U31" s="2529"/>
      <c r="V31" s="2529"/>
      <c r="W31" s="2529"/>
    </row>
    <row r="32" spans="1:23" ht="15" customHeight="1">
      <c r="A32" s="2510" t="s">
        <v>47</v>
      </c>
      <c r="B32" s="2506"/>
      <c r="C32" s="2516"/>
      <c r="D32" s="2516"/>
      <c r="E32" s="2516"/>
      <c r="F32" s="2516"/>
      <c r="G32" s="2516"/>
      <c r="H32" s="2516"/>
      <c r="I32" s="2516"/>
      <c r="J32" s="2516"/>
      <c r="K32" s="2516"/>
      <c r="L32" s="2516"/>
      <c r="M32" s="2515"/>
      <c r="N32" s="2516"/>
      <c r="O32" s="2492"/>
      <c r="P32" s="2492"/>
      <c r="Q32" s="2492"/>
      <c r="R32" s="2492"/>
      <c r="S32" s="2529"/>
      <c r="T32" s="2529"/>
      <c r="U32" s="2529"/>
      <c r="V32" s="2529"/>
      <c r="W32" s="2529"/>
    </row>
    <row r="33" spans="1:23" ht="15" customHeight="1">
      <c r="A33" s="2510" t="s">
        <v>1114</v>
      </c>
      <c r="B33" s="2506"/>
      <c r="C33" s="2516"/>
      <c r="D33" s="2516"/>
      <c r="E33" s="2516"/>
      <c r="F33" s="2516"/>
      <c r="G33" s="2516"/>
      <c r="H33" s="2516"/>
      <c r="I33" s="2516"/>
      <c r="J33" s="2516"/>
      <c r="K33" s="2516"/>
      <c r="L33" s="2516"/>
      <c r="M33" s="2515"/>
      <c r="N33" s="2516"/>
      <c r="O33" s="2492"/>
      <c r="P33" s="2492"/>
      <c r="Q33" s="2492"/>
      <c r="R33" s="2492"/>
      <c r="S33" s="2529"/>
      <c r="T33" s="2529"/>
      <c r="U33" s="2529"/>
      <c r="V33" s="2529"/>
      <c r="W33" s="2529"/>
    </row>
    <row r="34" spans="1:23" ht="15" customHeight="1">
      <c r="A34" s="2506" t="s">
        <v>719</v>
      </c>
      <c r="B34" s="2506"/>
      <c r="C34" s="2472">
        <v>0</v>
      </c>
      <c r="D34" s="2472"/>
      <c r="E34" s="2472">
        <v>0</v>
      </c>
      <c r="F34" s="2472"/>
      <c r="G34" s="2472">
        <v>0</v>
      </c>
      <c r="H34" s="2472"/>
      <c r="I34" s="2472">
        <v>0</v>
      </c>
      <c r="J34" s="2472"/>
      <c r="K34" s="2472">
        <v>0</v>
      </c>
      <c r="L34" s="2516"/>
      <c r="M34" s="2515"/>
      <c r="N34" s="2516">
        <f>SUM(C34:K34)</f>
        <v>0</v>
      </c>
      <c r="O34" s="2492"/>
      <c r="P34" s="2492"/>
      <c r="Q34" s="2492"/>
      <c r="R34" s="2492"/>
      <c r="S34" s="2529"/>
      <c r="T34" s="2529"/>
      <c r="U34" s="2529"/>
      <c r="V34" s="2529"/>
      <c r="W34" s="2529"/>
    </row>
    <row r="35" spans="1:23" ht="15" customHeight="1">
      <c r="A35" s="2526" t="s">
        <v>720</v>
      </c>
      <c r="B35" s="2506"/>
      <c r="C35" s="2472">
        <v>10665903</v>
      </c>
      <c r="D35" s="2472"/>
      <c r="E35" s="2472">
        <v>10706245</v>
      </c>
      <c r="F35" s="2472"/>
      <c r="G35" s="2472">
        <v>3502708</v>
      </c>
      <c r="H35" s="2472"/>
      <c r="I35" s="2472">
        <v>3322561</v>
      </c>
      <c r="J35" s="2472"/>
      <c r="K35" s="2472">
        <v>2899631.07</v>
      </c>
      <c r="L35" s="2516"/>
      <c r="M35" s="2515"/>
      <c r="N35" s="2516">
        <f>SUM(C35:K35)</f>
        <v>31097048.07</v>
      </c>
      <c r="O35" s="2492"/>
      <c r="P35" s="2492"/>
      <c r="Q35" s="2492"/>
      <c r="R35" s="2492"/>
      <c r="S35" s="2529"/>
      <c r="T35" s="2529"/>
      <c r="U35" s="2529"/>
      <c r="V35" s="2529"/>
      <c r="W35" s="2529"/>
    </row>
    <row r="36" spans="1:23" ht="15" customHeight="1">
      <c r="A36" s="2510" t="s">
        <v>721</v>
      </c>
      <c r="B36" s="2506"/>
      <c r="C36" s="2516"/>
      <c r="D36" s="2516"/>
      <c r="E36" s="2516"/>
      <c r="F36" s="2516"/>
      <c r="G36" s="2516"/>
      <c r="H36" s="2516"/>
      <c r="I36" s="2516"/>
      <c r="J36" s="2516"/>
      <c r="K36" s="2516"/>
      <c r="L36" s="2516"/>
      <c r="M36" s="2515"/>
      <c r="N36" s="2516"/>
      <c r="O36" s="2492"/>
      <c r="P36" s="2492"/>
      <c r="Q36" s="2492"/>
      <c r="R36" s="2492"/>
      <c r="S36" s="2529"/>
      <c r="T36" s="2529"/>
      <c r="U36" s="2529"/>
      <c r="V36" s="2529"/>
      <c r="W36" s="2529"/>
    </row>
    <row r="37" spans="1:23" ht="15" customHeight="1">
      <c r="A37" s="2461" t="s">
        <v>722</v>
      </c>
      <c r="B37" s="2506"/>
      <c r="C37" s="2530">
        <v>0</v>
      </c>
      <c r="D37" s="2530"/>
      <c r="E37" s="2530">
        <v>0</v>
      </c>
      <c r="F37" s="2530"/>
      <c r="G37" s="2530">
        <v>0</v>
      </c>
      <c r="H37" s="2530"/>
      <c r="I37" s="2530">
        <v>0</v>
      </c>
      <c r="J37" s="2530"/>
      <c r="K37" s="2530">
        <v>8288000</v>
      </c>
      <c r="L37" s="2516"/>
      <c r="M37" s="2515"/>
      <c r="N37" s="2516">
        <f>SUM(C37:K37)</f>
        <v>8288000</v>
      </c>
      <c r="O37" s="2492"/>
      <c r="P37" s="2492"/>
      <c r="Q37" s="2492"/>
      <c r="R37" s="2492"/>
      <c r="S37" s="2529"/>
      <c r="T37" s="2529"/>
      <c r="U37" s="2529"/>
      <c r="V37" s="2529"/>
      <c r="W37" s="2529"/>
    </row>
    <row r="38" spans="1:23" s="2505" customFormat="1" ht="15.6">
      <c r="A38" s="2510" t="s">
        <v>723</v>
      </c>
      <c r="B38" s="2510"/>
      <c r="C38" s="2522">
        <v>10665903</v>
      </c>
      <c r="D38" s="2523"/>
      <c r="E38" s="3357">
        <f>ROUND(SUM(E34:E37),2)</f>
        <v>10706245</v>
      </c>
      <c r="F38" s="2523"/>
      <c r="G38" s="3357">
        <f>ROUND(SUM(G34:G37),2)</f>
        <v>3502708</v>
      </c>
      <c r="H38" s="2523"/>
      <c r="I38" s="3357">
        <f>ROUND(SUM(I34:I37),2)</f>
        <v>3322561</v>
      </c>
      <c r="J38" s="2523"/>
      <c r="K38" s="3357">
        <f>ROUND(SUM(K34:K37),2)</f>
        <v>11187631.07</v>
      </c>
      <c r="L38" s="2520"/>
      <c r="M38" s="2521"/>
      <c r="N38" s="2522">
        <f>ROUND(SUM(N34:N37),2)</f>
        <v>39385048.07</v>
      </c>
      <c r="O38" s="2524"/>
      <c r="P38" s="2524"/>
      <c r="Q38" s="2524"/>
      <c r="R38" s="2524"/>
      <c r="S38" s="2531"/>
      <c r="T38" s="2531"/>
      <c r="U38" s="2531"/>
      <c r="V38" s="2531"/>
      <c r="W38" s="2531"/>
    </row>
    <row r="39" spans="1:23" ht="15" customHeight="1">
      <c r="A39" s="2506"/>
      <c r="B39" s="2506"/>
      <c r="C39" s="2514"/>
      <c r="D39" s="2514"/>
      <c r="E39" s="2514"/>
      <c r="F39" s="2514"/>
      <c r="G39" s="2514"/>
      <c r="H39" s="2514"/>
      <c r="I39" s="2514"/>
      <c r="J39" s="2514"/>
      <c r="K39" s="2514"/>
      <c r="L39" s="2514"/>
      <c r="M39" s="2515"/>
      <c r="N39" s="2516"/>
      <c r="O39" s="2492"/>
      <c r="P39" s="2492"/>
      <c r="Q39" s="2492"/>
      <c r="R39" s="2492"/>
      <c r="S39" s="2529"/>
      <c r="T39" s="2529"/>
      <c r="U39" s="2529"/>
      <c r="V39" s="2529"/>
      <c r="W39" s="2529"/>
    </row>
    <row r="40" spans="1:23" ht="15" customHeight="1">
      <c r="A40" s="2510" t="s">
        <v>1175</v>
      </c>
      <c r="B40" s="2506"/>
      <c r="C40" s="2514"/>
      <c r="D40" s="2514"/>
      <c r="E40" s="2514"/>
      <c r="F40" s="2514"/>
      <c r="G40" s="2514"/>
      <c r="H40" s="2514"/>
      <c r="I40" s="2514"/>
      <c r="J40" s="2514"/>
      <c r="K40" s="2514"/>
      <c r="L40" s="2514"/>
      <c r="M40" s="2515"/>
      <c r="N40" s="2516"/>
      <c r="O40" s="2492"/>
      <c r="P40" s="2492"/>
      <c r="Q40" s="2492"/>
      <c r="R40" s="2492"/>
      <c r="S40" s="2529"/>
      <c r="T40" s="2529"/>
      <c r="U40" s="2529"/>
      <c r="V40" s="2529"/>
      <c r="W40" s="2529"/>
    </row>
    <row r="41" spans="1:23" ht="15" customHeight="1">
      <c r="A41" s="2506" t="s">
        <v>719</v>
      </c>
      <c r="B41" s="2506"/>
      <c r="C41" s="2462">
        <v>0</v>
      </c>
      <c r="D41" s="2462"/>
      <c r="E41" s="2462">
        <v>0</v>
      </c>
      <c r="F41" s="2462"/>
      <c r="G41" s="2462">
        <v>0</v>
      </c>
      <c r="H41" s="2462"/>
      <c r="I41" s="2462">
        <v>0</v>
      </c>
      <c r="J41" s="2462"/>
      <c r="K41" s="2462">
        <v>0</v>
      </c>
      <c r="L41" s="2514"/>
      <c r="M41" s="2515"/>
      <c r="N41" s="2516">
        <f>SUM(C41:K41)</f>
        <v>0</v>
      </c>
      <c r="O41" s="2492"/>
      <c r="P41" s="2492"/>
      <c r="Q41" s="2492"/>
      <c r="R41" s="2492"/>
      <c r="S41" s="2529"/>
      <c r="T41" s="2529"/>
      <c r="U41" s="2529"/>
      <c r="V41" s="2529"/>
      <c r="W41" s="2529"/>
    </row>
    <row r="42" spans="1:23" ht="15" customHeight="1">
      <c r="A42" s="2506" t="s">
        <v>724</v>
      </c>
      <c r="B42" s="2506"/>
      <c r="C42" s="2514">
        <v>0</v>
      </c>
      <c r="D42" s="2514"/>
      <c r="E42" s="2514">
        <v>0</v>
      </c>
      <c r="F42" s="2514"/>
      <c r="G42" s="2514">
        <v>0</v>
      </c>
      <c r="H42" s="2514"/>
      <c r="I42" s="2514">
        <v>0</v>
      </c>
      <c r="J42" s="2514"/>
      <c r="K42" s="2514">
        <v>0</v>
      </c>
      <c r="L42" s="2514"/>
      <c r="M42" s="2515"/>
      <c r="N42" s="2516">
        <f t="shared" ref="N42:N45" si="1">SUM(C42:K42)</f>
        <v>0</v>
      </c>
      <c r="O42" s="2492"/>
      <c r="P42" s="2492"/>
      <c r="Q42" s="2492"/>
      <c r="R42" s="2492"/>
      <c r="S42" s="2529"/>
      <c r="T42" s="2529"/>
      <c r="U42" s="2529"/>
      <c r="V42" s="2529"/>
      <c r="W42" s="2529"/>
    </row>
    <row r="43" spans="1:23" ht="15" customHeight="1">
      <c r="A43" s="2510" t="s">
        <v>1176</v>
      </c>
      <c r="B43" s="2506"/>
      <c r="C43" s="2514"/>
      <c r="D43" s="2514"/>
      <c r="E43" s="2514"/>
      <c r="F43" s="2514"/>
      <c r="G43" s="2514"/>
      <c r="H43" s="2514"/>
      <c r="I43" s="2514"/>
      <c r="J43" s="2514"/>
      <c r="K43" s="2514"/>
      <c r="L43" s="2514"/>
      <c r="M43" s="2515"/>
      <c r="N43" s="2516">
        <f t="shared" si="1"/>
        <v>0</v>
      </c>
      <c r="O43" s="2492"/>
      <c r="P43" s="2492"/>
      <c r="Q43" s="2492"/>
      <c r="R43" s="2492"/>
      <c r="S43" s="2529"/>
      <c r="T43" s="2529"/>
      <c r="U43" s="2529"/>
      <c r="V43" s="2529"/>
      <c r="W43" s="2529"/>
    </row>
    <row r="44" spans="1:23" ht="15" customHeight="1">
      <c r="A44" s="2526" t="s">
        <v>722</v>
      </c>
      <c r="B44" s="2506"/>
      <c r="C44" s="2472">
        <v>-969904008.79999995</v>
      </c>
      <c r="D44" s="2472"/>
      <c r="E44" s="2472">
        <v>-838818138.76999998</v>
      </c>
      <c r="F44" s="2472"/>
      <c r="G44" s="2472">
        <v>-313100544.27999997</v>
      </c>
      <c r="H44" s="2472"/>
      <c r="I44" s="2472">
        <v>-342176728.13</v>
      </c>
      <c r="J44" s="2472"/>
      <c r="K44" s="2472">
        <v>-280666530.26999998</v>
      </c>
      <c r="L44" s="2514"/>
      <c r="M44" s="2515"/>
      <c r="N44" s="2516">
        <f t="shared" si="1"/>
        <v>-2744665950.25</v>
      </c>
      <c r="O44" s="2492"/>
      <c r="P44" s="2492"/>
      <c r="Q44" s="2492"/>
      <c r="R44" s="2492"/>
      <c r="S44" s="2529"/>
      <c r="T44" s="2529"/>
      <c r="U44" s="2529"/>
      <c r="V44" s="2529"/>
      <c r="W44" s="2529"/>
    </row>
    <row r="45" spans="1:23" ht="15" customHeight="1">
      <c r="A45" s="2506" t="s">
        <v>725</v>
      </c>
      <c r="B45" s="2506"/>
      <c r="C45" s="2472">
        <v>-152741057.90000001</v>
      </c>
      <c r="D45" s="2472"/>
      <c r="E45" s="2472">
        <v>-308834325.13999999</v>
      </c>
      <c r="F45" s="2472"/>
      <c r="G45" s="2472">
        <v>-63459667.039999999</v>
      </c>
      <c r="H45" s="2472"/>
      <c r="I45" s="2472">
        <v>-62453647.149999999</v>
      </c>
      <c r="J45" s="2472"/>
      <c r="K45" s="2472">
        <v>-62443716.030000001</v>
      </c>
      <c r="L45" s="2514"/>
      <c r="M45" s="2515"/>
      <c r="N45" s="2516">
        <f t="shared" si="1"/>
        <v>-649932413.25999999</v>
      </c>
      <c r="O45" s="2492"/>
      <c r="P45" s="2492"/>
      <c r="Q45" s="2492"/>
      <c r="R45" s="2492"/>
      <c r="S45" s="2529"/>
      <c r="T45" s="2529"/>
      <c r="U45" s="2529"/>
      <c r="V45" s="2529"/>
      <c r="W45" s="2529"/>
    </row>
    <row r="46" spans="1:23" ht="15" customHeight="1">
      <c r="A46" s="2506" t="s">
        <v>726</v>
      </c>
      <c r="B46" s="2506"/>
      <c r="C46" s="2532">
        <v>-4221884.8099999996</v>
      </c>
      <c r="D46" s="2516"/>
      <c r="E46" s="2472">
        <v>-16557198.300000001</v>
      </c>
      <c r="F46" s="2516"/>
      <c r="G46" s="2532">
        <v>1494972.68</v>
      </c>
      <c r="H46" s="2516"/>
      <c r="I46" s="2532">
        <v>4519461.74</v>
      </c>
      <c r="J46" s="2516"/>
      <c r="K46" s="2532">
        <v>535397.26</v>
      </c>
      <c r="L46" s="2514"/>
      <c r="M46" s="2515"/>
      <c r="N46" s="2516">
        <f>SUM(C46:K46)</f>
        <v>-14229251.43</v>
      </c>
      <c r="O46" s="2492"/>
      <c r="P46" s="2492"/>
      <c r="Q46" s="2492"/>
      <c r="R46" s="2492"/>
      <c r="S46" s="2529"/>
      <c r="T46" s="2529"/>
      <c r="U46" s="2529"/>
      <c r="V46" s="2529"/>
      <c r="W46" s="2529"/>
    </row>
    <row r="47" spans="1:23" ht="15.6">
      <c r="A47" s="2510" t="s">
        <v>727</v>
      </c>
      <c r="B47" s="2510"/>
      <c r="C47" s="2522">
        <v>-1126866951.51</v>
      </c>
      <c r="D47" s="2523"/>
      <c r="E47" s="3357">
        <f>ROUND(SUM(E41:E46),2)</f>
        <v>-1164209662.21</v>
      </c>
      <c r="F47" s="2523"/>
      <c r="G47" s="3357">
        <f>ROUND(SUM(G41:G46),2)</f>
        <v>-375065238.63999999</v>
      </c>
      <c r="H47" s="2523"/>
      <c r="I47" s="3357">
        <f>ROUND(SUM(I41:I46),2)</f>
        <v>-400110913.54000002</v>
      </c>
      <c r="J47" s="2523"/>
      <c r="K47" s="3357">
        <f>ROUND(SUM(K41:K46),2)</f>
        <v>-342574849.04000002</v>
      </c>
      <c r="L47" s="2520"/>
      <c r="M47" s="2521"/>
      <c r="N47" s="2522">
        <f>ROUND(SUM(N41:N46),2)</f>
        <v>-3408827614.9400001</v>
      </c>
      <c r="O47" s="2492"/>
      <c r="P47" s="2492"/>
      <c r="Q47" s="2492"/>
      <c r="R47" s="2492"/>
      <c r="S47" s="2529"/>
      <c r="T47" s="2529"/>
      <c r="U47" s="2529"/>
      <c r="V47" s="2529"/>
      <c r="W47" s="2529"/>
    </row>
    <row r="48" spans="1:23" ht="15" customHeight="1">
      <c r="A48" s="2506"/>
      <c r="B48" s="2506"/>
      <c r="C48" s="2514"/>
      <c r="D48" s="2514"/>
      <c r="E48" s="2514"/>
      <c r="F48" s="2514"/>
      <c r="G48" s="2514"/>
      <c r="H48" s="2514"/>
      <c r="I48" s="2514"/>
      <c r="J48" s="2514"/>
      <c r="K48" s="2514"/>
      <c r="L48" s="2514"/>
      <c r="M48" s="2515"/>
      <c r="N48" s="2516"/>
      <c r="O48" s="2492"/>
      <c r="P48" s="2492"/>
      <c r="Q48" s="2492"/>
      <c r="R48" s="2492"/>
      <c r="S48" s="2529"/>
      <c r="T48" s="2529"/>
      <c r="U48" s="2529"/>
      <c r="V48" s="2529"/>
      <c r="W48" s="2529"/>
    </row>
    <row r="49" spans="1:23" ht="15" customHeight="1">
      <c r="A49" s="2510" t="s">
        <v>728</v>
      </c>
      <c r="B49" s="2506"/>
      <c r="C49" s="2514"/>
      <c r="D49" s="2514"/>
      <c r="E49" s="2514"/>
      <c r="F49" s="2514"/>
      <c r="G49" s="2514"/>
      <c r="H49" s="2514"/>
      <c r="I49" s="2514"/>
      <c r="J49" s="2514"/>
      <c r="K49" s="2514"/>
      <c r="L49" s="2514"/>
      <c r="M49" s="2515"/>
      <c r="N49" s="2516"/>
      <c r="O49" s="2492"/>
      <c r="P49" s="2492"/>
      <c r="Q49" s="2492"/>
      <c r="R49" s="2492"/>
      <c r="S49" s="2529"/>
      <c r="T49" s="2529"/>
      <c r="U49" s="2529"/>
      <c r="V49" s="2529"/>
      <c r="W49" s="2529"/>
    </row>
    <row r="50" spans="1:23" ht="15" customHeight="1">
      <c r="A50" s="2510" t="s">
        <v>729</v>
      </c>
      <c r="B50" s="2506"/>
      <c r="C50" s="2519">
        <v>34436003.869999997</v>
      </c>
      <c r="D50" s="2523"/>
      <c r="E50" s="2519">
        <f>ROUND(+E30+E38+E47,2)</f>
        <v>13503506.960000001</v>
      </c>
      <c r="F50" s="2523"/>
      <c r="G50" s="2519">
        <f>ROUND(+G30+G38+G47,2)</f>
        <v>353142.98</v>
      </c>
      <c r="H50" s="2523"/>
      <c r="I50" s="2519">
        <f>ROUND(+I30+I38+I47,2)</f>
        <v>-36592165.619999997</v>
      </c>
      <c r="J50" s="2523"/>
      <c r="K50" s="2519">
        <f>ROUND(+K30+K38+K47,2)</f>
        <v>32104678.68</v>
      </c>
      <c r="L50" s="2523"/>
      <c r="M50" s="2527"/>
      <c r="N50" s="2519">
        <f>ROUND(+N30+N38+N47,2)</f>
        <v>43805166.869999997</v>
      </c>
      <c r="O50" s="2492"/>
      <c r="P50" s="2492"/>
      <c r="Q50" s="2492"/>
      <c r="R50" s="2492"/>
      <c r="S50" s="2529"/>
      <c r="T50" s="2529"/>
      <c r="U50" s="2529"/>
      <c r="V50" s="2529"/>
      <c r="W50" s="2529"/>
    </row>
    <row r="51" spans="1:23" ht="15" customHeight="1">
      <c r="A51" s="2506"/>
      <c r="B51" s="2506"/>
      <c r="C51" s="2508"/>
      <c r="D51" s="2508"/>
      <c r="E51" s="2508"/>
      <c r="F51" s="2508"/>
      <c r="G51" s="2508"/>
      <c r="H51" s="2508"/>
      <c r="I51" s="2508"/>
      <c r="J51" s="2508"/>
      <c r="K51" s="2508"/>
      <c r="L51" s="2497"/>
      <c r="M51" s="2533"/>
      <c r="N51" s="2516"/>
      <c r="O51" s="2492"/>
      <c r="P51" s="2492"/>
      <c r="Q51" s="2492"/>
      <c r="R51" s="2492"/>
      <c r="S51" s="2529"/>
      <c r="T51" s="2529"/>
      <c r="U51" s="2529"/>
      <c r="V51" s="2529"/>
      <c r="W51" s="2529"/>
    </row>
    <row r="52" spans="1:23" s="2505" customFormat="1" ht="21" customHeight="1" thickBot="1">
      <c r="A52" s="2510" t="s">
        <v>730</v>
      </c>
      <c r="B52" s="2510"/>
      <c r="C52" s="2511">
        <v>304918267.37</v>
      </c>
      <c r="D52" s="2511"/>
      <c r="E52" s="2649">
        <f>ROUND(E12+E50,2)</f>
        <v>318421774.32999998</v>
      </c>
      <c r="F52" s="2649"/>
      <c r="G52" s="2649">
        <f>ROUND(G12+G50,2)</f>
        <v>318774917.31</v>
      </c>
      <c r="H52" s="2649"/>
      <c r="I52" s="2649">
        <f>ROUND(I12+I50,2)</f>
        <v>282182751.69</v>
      </c>
      <c r="J52" s="2649"/>
      <c r="K52" s="2649">
        <f>ROUND(K12+K50,2)</f>
        <v>314287430.37</v>
      </c>
      <c r="L52" s="2511"/>
      <c r="M52" s="2534"/>
      <c r="N52" s="2649">
        <f>ROUND(N12+N50,2)</f>
        <v>314287430.37</v>
      </c>
      <c r="O52" s="2489"/>
      <c r="P52" s="2489"/>
      <c r="Q52" s="2489"/>
      <c r="R52" s="2489"/>
    </row>
    <row r="53" spans="1:23" ht="15" customHeight="1" thickTop="1">
      <c r="A53" s="2506" t="s">
        <v>16</v>
      </c>
      <c r="B53" s="2506"/>
      <c r="C53" s="2535"/>
      <c r="D53" s="2497"/>
      <c r="E53" s="2535"/>
      <c r="F53" s="2497"/>
      <c r="G53" s="2535"/>
      <c r="H53" s="2497"/>
      <c r="I53" s="2535"/>
      <c r="J53" s="2497"/>
      <c r="K53" s="2535"/>
      <c r="L53" s="2508"/>
      <c r="M53" s="2497"/>
      <c r="N53" s="2535"/>
    </row>
    <row r="54" spans="1:23" ht="15" customHeight="1">
      <c r="A54" s="2486" t="s">
        <v>731</v>
      </c>
    </row>
    <row r="55" spans="1:23" ht="15" customHeight="1">
      <c r="A55" s="2536"/>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L6"/>
    <mergeCell ref="A7:L7"/>
  </mergeCells>
  <printOptions horizontalCentered="1" verticalCentered="1"/>
  <pageMargins left="0.24" right="0.24" top="0.5" bottom="0.5" header="0.18" footer="0.25"/>
  <pageSetup scale="59" firstPageNumber="53" orientation="landscape" useFirstPageNumber="1" r:id="rId2"/>
  <headerFooter scaleWithDoc="0" alignWithMargins="0">
    <oddFooter>&amp;C&amp;8&amp;P</oddFooter>
  </headerFooter>
  <ignoredErrors>
    <ignoredError sqref="G9 I9 K9"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X62"/>
  <sheetViews>
    <sheetView showGridLines="0" zoomScale="90" zoomScaleNormal="80" workbookViewId="0"/>
  </sheetViews>
  <sheetFormatPr defaultColWidth="8.90625" defaultRowHeight="15"/>
  <cols>
    <col min="1" max="1" width="1.6328125" style="2433" customWidth="1"/>
    <col min="2" max="2" width="45.08984375" style="2433" customWidth="1"/>
    <col min="3" max="3" width="4.54296875" style="2434" customWidth="1"/>
    <col min="4" max="4" width="19" style="2435" customWidth="1"/>
    <col min="5" max="5" width="2.08984375" style="2435" customWidth="1"/>
    <col min="6" max="6" width="19" style="2435" customWidth="1"/>
    <col min="7" max="7" width="2.08984375" style="2435" customWidth="1"/>
    <col min="8" max="8" width="19" style="2435" customWidth="1"/>
    <col min="9" max="9" width="2.54296875" style="2435" customWidth="1"/>
    <col min="10" max="10" width="19" style="2435" customWidth="1"/>
    <col min="11" max="11" width="2.1796875" style="2435" customWidth="1"/>
    <col min="12" max="12" width="19" style="2435" customWidth="1"/>
    <col min="13" max="13" width="2.453125" style="2435" customWidth="1"/>
    <col min="14" max="14" width="2.1796875" style="2435" customWidth="1"/>
    <col min="15" max="15" width="19" style="2435" customWidth="1"/>
    <col min="16" max="17" width="8.90625" style="2434"/>
    <col min="18" max="18" width="24.1796875" style="2434" customWidth="1"/>
    <col min="19" max="20" width="8.90625" style="2434"/>
    <col min="21" max="16384" width="8.90625" style="2433"/>
  </cols>
  <sheetData>
    <row r="1" spans="1:45">
      <c r="B1" s="1184" t="s">
        <v>1217</v>
      </c>
    </row>
    <row r="3" spans="1:45" ht="17.399999999999999">
      <c r="O3" s="2650" t="s">
        <v>732</v>
      </c>
    </row>
    <row r="4" spans="1:45" ht="15.6">
      <c r="O4" s="2651"/>
    </row>
    <row r="5" spans="1:45" s="2438" customFormat="1" ht="18" customHeight="1">
      <c r="A5" s="2436"/>
      <c r="B5" s="2439" t="s">
        <v>524</v>
      </c>
      <c r="C5" s="2652"/>
      <c r="D5" s="2652"/>
      <c r="E5" s="2652"/>
      <c r="F5" s="2652"/>
      <c r="G5" s="2652"/>
      <c r="H5" s="2652"/>
      <c r="I5" s="2652"/>
      <c r="J5" s="2652"/>
      <c r="K5" s="2652"/>
      <c r="L5" s="2652"/>
      <c r="M5" s="2652"/>
      <c r="N5" s="2652"/>
      <c r="O5" s="2652"/>
      <c r="P5" s="2437"/>
      <c r="Q5" s="2437"/>
      <c r="R5" s="2437"/>
      <c r="S5" s="2437"/>
      <c r="T5" s="2437"/>
    </row>
    <row r="6" spans="1:45" s="2438" customFormat="1" ht="18" customHeight="1">
      <c r="A6" s="2436"/>
      <c r="B6" s="2439" t="s">
        <v>1253</v>
      </c>
      <c r="C6" s="2440"/>
      <c r="D6" s="2440"/>
      <c r="E6" s="2440"/>
      <c r="F6" s="2440"/>
      <c r="G6" s="2440"/>
      <c r="H6" s="2440"/>
      <c r="I6" s="2440"/>
      <c r="J6" s="2440"/>
      <c r="K6" s="2440"/>
      <c r="L6" s="2440"/>
      <c r="M6" s="2440"/>
      <c r="N6" s="2440"/>
      <c r="O6" s="2461"/>
      <c r="P6" s="2437"/>
      <c r="Q6" s="2437"/>
      <c r="R6" s="2437"/>
      <c r="S6" s="2437"/>
      <c r="T6" s="2437"/>
    </row>
    <row r="7" spans="1:45" s="2438" customFormat="1" ht="18" customHeight="1">
      <c r="A7" s="2436"/>
      <c r="B7" s="3605" t="s">
        <v>1528</v>
      </c>
      <c r="C7" s="3606"/>
      <c r="D7" s="3606"/>
      <c r="E7" s="3606"/>
      <c r="F7" s="3606"/>
      <c r="G7" s="3606"/>
      <c r="H7" s="3606"/>
      <c r="I7" s="3606"/>
      <c r="J7" s="3606"/>
      <c r="K7" s="3531"/>
      <c r="L7" s="3531"/>
      <c r="M7" s="3501"/>
      <c r="N7" s="3415"/>
      <c r="O7" s="2652"/>
      <c r="P7" s="2437"/>
      <c r="Q7" s="2437"/>
      <c r="R7" s="2437"/>
      <c r="S7" s="2437"/>
      <c r="T7" s="2437"/>
    </row>
    <row r="8" spans="1:45" s="2438" customFormat="1" ht="18" customHeight="1">
      <c r="A8" s="2436"/>
      <c r="B8" s="3607"/>
      <c r="C8" s="3608"/>
      <c r="D8" s="3608"/>
      <c r="E8" s="3608"/>
      <c r="F8" s="3608"/>
      <c r="G8" s="3608"/>
      <c r="H8" s="3608"/>
      <c r="I8" s="3608"/>
      <c r="J8" s="3608"/>
      <c r="K8" s="3532"/>
      <c r="L8" s="3532"/>
      <c r="M8" s="3502"/>
      <c r="N8" s="3416"/>
      <c r="O8" s="2653"/>
      <c r="P8" s="2441"/>
      <c r="Q8" s="2437"/>
      <c r="R8" s="2437"/>
      <c r="S8" s="2437"/>
      <c r="T8" s="2437"/>
    </row>
    <row r="9" spans="1:45" s="2438" customFormat="1" ht="18" customHeight="1">
      <c r="A9" s="2436"/>
      <c r="B9" s="2442"/>
      <c r="C9" s="2443"/>
      <c r="D9" s="2443"/>
      <c r="E9" s="2443"/>
      <c r="F9" s="2443"/>
      <c r="G9" s="2443"/>
      <c r="H9" s="2443"/>
      <c r="I9" s="2443"/>
      <c r="J9" s="2443"/>
      <c r="K9" s="2443"/>
      <c r="L9" s="2443"/>
      <c r="M9" s="2443"/>
      <c r="N9" s="2443"/>
      <c r="O9" s="2443"/>
      <c r="P9" s="2441"/>
      <c r="Q9" s="2437"/>
      <c r="R9" s="2437"/>
      <c r="S9" s="2437"/>
      <c r="T9" s="2437"/>
    </row>
    <row r="10" spans="1:45" s="2449" customFormat="1" ht="15.6">
      <c r="A10" s="2444"/>
      <c r="B10" s="2444"/>
      <c r="C10" s="2445"/>
      <c r="D10" s="3356" t="s">
        <v>1591</v>
      </c>
      <c r="E10" s="2446"/>
      <c r="F10" s="2446" t="s">
        <v>1644</v>
      </c>
      <c r="G10" s="2446"/>
      <c r="H10" s="2446">
        <v>2015</v>
      </c>
      <c r="I10" s="2446"/>
      <c r="J10" s="2446">
        <v>2015</v>
      </c>
      <c r="K10" s="2446"/>
      <c r="L10" s="2446">
        <v>2015</v>
      </c>
      <c r="M10" s="2446"/>
      <c r="N10" s="2446"/>
      <c r="O10" s="2447"/>
      <c r="P10" s="2448"/>
      <c r="Q10" s="2448"/>
      <c r="R10" s="2448"/>
      <c r="S10" s="2448"/>
      <c r="T10" s="2448"/>
    </row>
    <row r="11" spans="1:45" ht="15.6">
      <c r="A11" s="2450"/>
      <c r="B11" s="2450"/>
      <c r="C11" s="2451"/>
      <c r="D11" s="2452" t="s">
        <v>1592</v>
      </c>
      <c r="E11" s="3330"/>
      <c r="F11" s="2452" t="s">
        <v>1645</v>
      </c>
      <c r="G11" s="3330"/>
      <c r="H11" s="2452" t="s">
        <v>149</v>
      </c>
      <c r="I11" s="3330"/>
      <c r="J11" s="2452" t="s">
        <v>136</v>
      </c>
      <c r="K11" s="3330"/>
      <c r="L11" s="2452" t="s">
        <v>137</v>
      </c>
      <c r="M11" s="3330"/>
      <c r="N11" s="3330"/>
      <c r="O11" s="2453" t="s">
        <v>1531</v>
      </c>
    </row>
    <row r="12" spans="1:45">
      <c r="A12" s="2450"/>
      <c r="B12" s="2450"/>
      <c r="C12" s="2451"/>
      <c r="D12" s="2451"/>
      <c r="E12" s="2451"/>
      <c r="F12" s="2451"/>
      <c r="G12" s="2451"/>
      <c r="H12" s="2451"/>
      <c r="I12" s="2451"/>
      <c r="J12" s="2451"/>
      <c r="K12" s="2451"/>
      <c r="L12" s="2451"/>
      <c r="M12" s="2454"/>
      <c r="N12" s="2451"/>
      <c r="O12" s="2455"/>
    </row>
    <row r="13" spans="1:45" s="2449" customFormat="1" ht="15.6">
      <c r="A13" s="2456"/>
      <c r="B13" s="2456" t="s">
        <v>499</v>
      </c>
      <c r="C13" s="2445"/>
      <c r="D13" s="2457">
        <v>575.1</v>
      </c>
      <c r="E13" s="2457"/>
      <c r="F13" s="2457">
        <f>D49</f>
        <v>875.58</v>
      </c>
      <c r="G13" s="2457"/>
      <c r="H13" s="2457">
        <f>F49</f>
        <v>645.51</v>
      </c>
      <c r="I13" s="2457"/>
      <c r="J13" s="2457">
        <f>H49</f>
        <v>333.66</v>
      </c>
      <c r="K13" s="2457"/>
      <c r="L13" s="2457">
        <f>J49</f>
        <v>58503861</v>
      </c>
      <c r="M13" s="3504"/>
      <c r="N13" s="2457"/>
      <c r="O13" s="2458">
        <f>+D13</f>
        <v>575.1</v>
      </c>
      <c r="P13" s="2448"/>
      <c r="Q13" s="2448"/>
      <c r="R13" s="2448"/>
      <c r="S13" s="2448"/>
      <c r="T13" s="2448"/>
      <c r="U13" s="2459"/>
      <c r="V13" s="2459"/>
      <c r="W13" s="2459"/>
      <c r="X13" s="2459"/>
      <c r="Y13" s="2459"/>
      <c r="Z13" s="2459"/>
      <c r="AA13" s="2459"/>
      <c r="AB13" s="2459"/>
      <c r="AC13" s="2459"/>
      <c r="AD13" s="2459"/>
      <c r="AE13" s="2459"/>
      <c r="AF13" s="2460"/>
      <c r="AG13" s="2460"/>
      <c r="AH13" s="2460"/>
      <c r="AI13" s="2460"/>
      <c r="AJ13" s="2460"/>
      <c r="AK13" s="2460"/>
      <c r="AL13" s="2460"/>
      <c r="AM13" s="2460"/>
      <c r="AN13" s="2460"/>
      <c r="AO13" s="2460"/>
      <c r="AP13" s="2460"/>
      <c r="AQ13" s="2460"/>
      <c r="AR13" s="2460"/>
      <c r="AS13" s="2460"/>
    </row>
    <row r="14" spans="1:45" s="2449" customFormat="1" ht="15.6">
      <c r="A14" s="2456"/>
      <c r="B14" s="2456"/>
      <c r="C14" s="2445"/>
      <c r="D14" s="2457"/>
      <c r="E14" s="2457"/>
      <c r="F14" s="2457"/>
      <c r="G14" s="2457"/>
      <c r="H14" s="2457"/>
      <c r="I14" s="2457"/>
      <c r="J14" s="2457"/>
      <c r="K14" s="2457"/>
      <c r="L14" s="2457"/>
      <c r="M14" s="3504"/>
      <c r="N14" s="2457"/>
      <c r="O14" s="2458"/>
      <c r="P14" s="2448"/>
      <c r="Q14" s="2448"/>
      <c r="R14" s="2448"/>
      <c r="S14" s="2448"/>
      <c r="T14" s="2448"/>
      <c r="U14" s="2459"/>
      <c r="V14" s="2459"/>
      <c r="W14" s="2459"/>
      <c r="X14" s="2459"/>
      <c r="Y14" s="2459"/>
      <c r="Z14" s="2459"/>
      <c r="AA14" s="2459"/>
      <c r="AB14" s="2459"/>
      <c r="AC14" s="2459"/>
      <c r="AD14" s="2459"/>
      <c r="AE14" s="2459"/>
      <c r="AF14" s="2460"/>
      <c r="AG14" s="2460"/>
      <c r="AH14" s="2460"/>
      <c r="AI14" s="2460"/>
      <c r="AJ14" s="2460"/>
      <c r="AK14" s="2460"/>
      <c r="AL14" s="2460"/>
      <c r="AM14" s="2460"/>
      <c r="AN14" s="2460"/>
      <c r="AO14" s="2460"/>
      <c r="AP14" s="2460"/>
      <c r="AQ14" s="2460"/>
      <c r="AR14" s="2460"/>
      <c r="AS14" s="2460"/>
    </row>
    <row r="15" spans="1:45" ht="15.6">
      <c r="A15" s="2450"/>
      <c r="B15" s="2456" t="s">
        <v>15</v>
      </c>
      <c r="C15" s="2451"/>
      <c r="D15" s="2451"/>
      <c r="E15" s="2451"/>
      <c r="F15" s="2451"/>
      <c r="G15" s="2451"/>
      <c r="H15" s="2451"/>
      <c r="I15" s="2451"/>
      <c r="J15" s="2451"/>
      <c r="K15" s="2451"/>
      <c r="L15" s="2451"/>
      <c r="M15" s="3503"/>
      <c r="N15" s="2451"/>
      <c r="O15" s="2454"/>
    </row>
    <row r="16" spans="1:45">
      <c r="A16" s="2450"/>
      <c r="B16" s="2461" t="s">
        <v>713</v>
      </c>
      <c r="C16" s="2451"/>
      <c r="D16" s="2462">
        <v>1444.25</v>
      </c>
      <c r="E16" s="2462"/>
      <c r="F16" s="2462">
        <v>1788.93</v>
      </c>
      <c r="G16" s="2462"/>
      <c r="H16" s="2462">
        <v>333.66</v>
      </c>
      <c r="I16" s="2462"/>
      <c r="J16" s="2462">
        <v>633.4</v>
      </c>
      <c r="K16" s="2462"/>
      <c r="L16" s="2462">
        <v>165.31</v>
      </c>
      <c r="M16" s="3505"/>
      <c r="N16" s="2462">
        <v>1788.93</v>
      </c>
      <c r="O16" s="2463">
        <f>ROUND(SUM(D16:L16),2)</f>
        <v>4365.55</v>
      </c>
    </row>
    <row r="17" spans="1:25" s="2449" customFormat="1" ht="15.6">
      <c r="A17" s="2456"/>
      <c r="B17" s="2456" t="s">
        <v>156</v>
      </c>
      <c r="C17" s="2445"/>
      <c r="D17" s="2464">
        <v>1444.25</v>
      </c>
      <c r="E17" s="2465"/>
      <c r="F17" s="2464">
        <f>ROUND(SUM(F16:F16),2)</f>
        <v>1788.93</v>
      </c>
      <c r="G17" s="2465"/>
      <c r="H17" s="2464">
        <f>ROUND(SUM(H16:H16),2)</f>
        <v>333.66</v>
      </c>
      <c r="I17" s="2465"/>
      <c r="J17" s="3495">
        <f>ROUND(SUM(J16:J16),2)</f>
        <v>633.4</v>
      </c>
      <c r="K17" s="2465"/>
      <c r="L17" s="3495">
        <f>ROUND(SUM(L16:L16),2)</f>
        <v>165.31</v>
      </c>
      <c r="M17" s="3506"/>
      <c r="N17" s="2465"/>
      <c r="O17" s="2464">
        <f>ROUND(SUM(O16:O16),2)</f>
        <v>4365.55</v>
      </c>
      <c r="P17" s="2448"/>
      <c r="Q17" s="2448"/>
      <c r="R17" s="2448"/>
      <c r="S17" s="2448"/>
      <c r="T17" s="2448"/>
    </row>
    <row r="18" spans="1:25">
      <c r="A18" s="2450"/>
      <c r="B18" s="2450"/>
      <c r="C18" s="2451"/>
      <c r="D18" s="2462"/>
      <c r="E18" s="2462"/>
      <c r="F18" s="2462"/>
      <c r="G18" s="2462"/>
      <c r="H18" s="2462"/>
      <c r="I18" s="2462"/>
      <c r="J18" s="2462"/>
      <c r="K18" s="2462"/>
      <c r="L18" s="2462"/>
      <c r="M18" s="3505"/>
      <c r="N18" s="2462"/>
      <c r="O18" s="2466"/>
    </row>
    <row r="19" spans="1:25" ht="15.6">
      <c r="A19" s="2450"/>
      <c r="B19" s="2456" t="s">
        <v>1177</v>
      </c>
      <c r="C19" s="2451"/>
      <c r="D19" s="2462"/>
      <c r="E19" s="2462"/>
      <c r="F19" s="2462"/>
      <c r="G19" s="2462"/>
      <c r="H19" s="2462"/>
      <c r="I19" s="2462"/>
      <c r="J19" s="2462"/>
      <c r="K19" s="2462"/>
      <c r="L19" s="2462"/>
      <c r="M19" s="3505"/>
      <c r="N19" s="2462"/>
      <c r="O19" s="2463"/>
    </row>
    <row r="20" spans="1:25">
      <c r="A20" s="2450"/>
      <c r="B20" s="2461" t="s">
        <v>733</v>
      </c>
      <c r="C20" s="2451"/>
      <c r="D20" s="2462">
        <v>-153576647.58000001</v>
      </c>
      <c r="E20" s="2462"/>
      <c r="F20" s="2462">
        <v>-319857721</v>
      </c>
      <c r="G20" s="2462"/>
      <c r="H20" s="2462">
        <v>-61394734</v>
      </c>
      <c r="I20" s="2462"/>
      <c r="J20" s="2462">
        <v>0</v>
      </c>
      <c r="K20" s="2462"/>
      <c r="L20" s="2462">
        <v>-120056330.47</v>
      </c>
      <c r="M20" s="3505"/>
      <c r="N20" s="2462">
        <v>-319857721</v>
      </c>
      <c r="O20" s="2463">
        <f>ROUND(SUM(D20:L20),2)</f>
        <v>-654885433.04999995</v>
      </c>
    </row>
    <row r="21" spans="1:25">
      <c r="A21" s="2450"/>
      <c r="B21" s="2461" t="s">
        <v>734</v>
      </c>
      <c r="C21" s="2451"/>
      <c r="D21" s="2462">
        <v>0</v>
      </c>
      <c r="E21" s="2462"/>
      <c r="F21" s="2462">
        <v>0</v>
      </c>
      <c r="G21" s="2462"/>
      <c r="H21" s="2462">
        <v>0</v>
      </c>
      <c r="I21" s="2462"/>
      <c r="J21" s="2462">
        <v>0</v>
      </c>
      <c r="K21" s="2462"/>
      <c r="L21" s="2462">
        <v>0</v>
      </c>
      <c r="M21" s="3505"/>
      <c r="N21" s="2462"/>
      <c r="O21" s="2463">
        <f>ROUND(SUM(D21:L21),2)</f>
        <v>0</v>
      </c>
    </row>
    <row r="22" spans="1:25">
      <c r="A22" s="2450"/>
      <c r="B22" s="2461" t="s">
        <v>735</v>
      </c>
      <c r="C22" s="2451"/>
      <c r="D22" s="2462">
        <v>-2550705.4500000002</v>
      </c>
      <c r="E22" s="2462"/>
      <c r="F22" s="2462">
        <v>-2944491.34</v>
      </c>
      <c r="G22" s="2462"/>
      <c r="H22" s="2462">
        <v>-214744.46</v>
      </c>
      <c r="I22" s="2462"/>
      <c r="J22" s="2462">
        <v>0</v>
      </c>
      <c r="K22" s="2462"/>
      <c r="L22" s="2462">
        <v>0</v>
      </c>
      <c r="M22" s="3505"/>
      <c r="N22" s="2462">
        <v>-2944491.34</v>
      </c>
      <c r="O22" s="2463">
        <f>ROUND(SUM(D22:L22),2)</f>
        <v>-5709941.25</v>
      </c>
    </row>
    <row r="23" spans="1:25" s="2449" customFormat="1" ht="15.6">
      <c r="A23" s="2456"/>
      <c r="B23" s="2467" t="s">
        <v>1199</v>
      </c>
      <c r="C23" s="2445"/>
      <c r="D23" s="2468">
        <v>-156127353.03</v>
      </c>
      <c r="E23" s="2465"/>
      <c r="F23" s="2468">
        <f>ROUND(SUM(F19:F22),2)</f>
        <v>-322802212.33999997</v>
      </c>
      <c r="G23" s="2465"/>
      <c r="H23" s="2468">
        <f>ROUND(SUM(H19:H22),2)</f>
        <v>-61609478.460000001</v>
      </c>
      <c r="I23" s="2465"/>
      <c r="J23" s="3496">
        <f>ROUND(SUM(J19:J22),2)</f>
        <v>0</v>
      </c>
      <c r="K23" s="2465"/>
      <c r="L23" s="3496">
        <f>ROUND(SUM(L19:L22),2)</f>
        <v>-120056330.47</v>
      </c>
      <c r="M23" s="3506"/>
      <c r="N23" s="2465"/>
      <c r="O23" s="2468">
        <f>ROUND(SUM(O19:O22),2)</f>
        <v>-660595374.29999995</v>
      </c>
      <c r="P23" s="2448"/>
      <c r="Q23" s="2448"/>
      <c r="R23" s="2448"/>
      <c r="S23" s="2448"/>
      <c r="T23" s="2448"/>
    </row>
    <row r="24" spans="1:25">
      <c r="A24" s="2450"/>
      <c r="B24" s="2469"/>
      <c r="C24" s="2451"/>
      <c r="D24" s="2466"/>
      <c r="E24" s="2463"/>
      <c r="F24" s="2466"/>
      <c r="G24" s="2463"/>
      <c r="H24" s="2466"/>
      <c r="I24" s="2463"/>
      <c r="J24" s="3497"/>
      <c r="K24" s="2463"/>
      <c r="L24" s="3497"/>
      <c r="M24" s="3505"/>
      <c r="N24" s="2463"/>
      <c r="O24" s="2466"/>
    </row>
    <row r="25" spans="1:25" s="2449" customFormat="1" ht="15.6">
      <c r="A25" s="2456"/>
      <c r="B25" s="2456" t="s">
        <v>1567</v>
      </c>
      <c r="C25" s="2445"/>
      <c r="D25" s="2470">
        <v>-156125908.78</v>
      </c>
      <c r="E25" s="2470"/>
      <c r="F25" s="2470">
        <f>ROUND(+F17+F23,2)</f>
        <v>-322800423.41000003</v>
      </c>
      <c r="G25" s="2470"/>
      <c r="H25" s="2470">
        <f>ROUND(+H17+H23,2)</f>
        <v>-61609144.799999997</v>
      </c>
      <c r="I25" s="2470"/>
      <c r="J25" s="2470">
        <f>ROUND(+J17+J23,2)</f>
        <v>633.4</v>
      </c>
      <c r="K25" s="2470"/>
      <c r="L25" s="2470">
        <f>ROUND(+L17+L23,2)</f>
        <v>-120056165.16</v>
      </c>
      <c r="M25" s="3507"/>
      <c r="N25" s="2470"/>
      <c r="O25" s="2470">
        <f>ROUND(+O17+O23,2)</f>
        <v>-660591008.75</v>
      </c>
      <c r="P25" s="2448"/>
      <c r="Q25" s="2448"/>
      <c r="R25" s="2448"/>
      <c r="S25" s="2448"/>
      <c r="T25" s="2448"/>
    </row>
    <row r="26" spans="1:25">
      <c r="A26" s="2450"/>
      <c r="B26" s="2450"/>
      <c r="C26" s="2451"/>
      <c r="D26" s="2466"/>
      <c r="E26" s="2463"/>
      <c r="F26" s="2466"/>
      <c r="G26" s="2463"/>
      <c r="H26" s="2466"/>
      <c r="I26" s="2463"/>
      <c r="J26" s="3497"/>
      <c r="K26" s="2463"/>
      <c r="L26" s="3497"/>
      <c r="M26" s="3505"/>
      <c r="N26" s="2463"/>
      <c r="O26" s="2466"/>
      <c r="P26" s="2435"/>
      <c r="Q26" s="2435"/>
      <c r="R26" s="2435"/>
      <c r="S26" s="2435"/>
      <c r="T26" s="2435"/>
      <c r="U26" s="2471"/>
      <c r="V26" s="2471"/>
      <c r="W26" s="2471"/>
      <c r="X26" s="2471"/>
      <c r="Y26" s="2471"/>
    </row>
    <row r="27" spans="1:25" ht="15.6">
      <c r="A27" s="2450"/>
      <c r="B27" s="2456" t="s">
        <v>47</v>
      </c>
      <c r="C27" s="2451"/>
      <c r="D27" s="2462"/>
      <c r="E27" s="2462"/>
      <c r="F27" s="2462"/>
      <c r="G27" s="2462"/>
      <c r="H27" s="2462"/>
      <c r="I27" s="2462"/>
      <c r="J27" s="2462"/>
      <c r="K27" s="2462"/>
      <c r="L27" s="2462"/>
      <c r="M27" s="3505"/>
      <c r="N27" s="2462"/>
      <c r="O27" s="2463"/>
      <c r="P27" s="2435"/>
      <c r="Q27" s="2435"/>
      <c r="R27" s="2435"/>
      <c r="S27" s="2435"/>
      <c r="T27" s="2435"/>
      <c r="U27" s="2471"/>
      <c r="V27" s="2471"/>
      <c r="W27" s="2471"/>
      <c r="X27" s="2471"/>
      <c r="Y27" s="2471"/>
    </row>
    <row r="28" spans="1:25" ht="15.6">
      <c r="A28" s="2450"/>
      <c r="B28" s="2456" t="s">
        <v>1114</v>
      </c>
      <c r="C28" s="2451"/>
      <c r="D28" s="2462"/>
      <c r="E28" s="2462"/>
      <c r="F28" s="2462"/>
      <c r="G28" s="2462"/>
      <c r="H28" s="2462"/>
      <c r="I28" s="2462"/>
      <c r="J28" s="2462"/>
      <c r="K28" s="2462"/>
      <c r="L28" s="2462"/>
      <c r="M28" s="3505"/>
      <c r="N28" s="2462"/>
      <c r="O28" s="2463"/>
      <c r="P28" s="2435"/>
      <c r="Q28" s="2435"/>
      <c r="R28" s="2435"/>
      <c r="S28" s="2435"/>
      <c r="T28" s="2435"/>
      <c r="U28" s="2471"/>
      <c r="V28" s="2471"/>
      <c r="W28" s="2471"/>
      <c r="X28" s="2471"/>
      <c r="Y28" s="2471"/>
    </row>
    <row r="29" spans="1:25">
      <c r="A29" s="2450"/>
      <c r="B29" s="2461" t="s">
        <v>736</v>
      </c>
      <c r="C29" s="2451"/>
      <c r="D29" s="2462">
        <v>0</v>
      </c>
      <c r="E29" s="2462"/>
      <c r="F29" s="2462">
        <v>0</v>
      </c>
      <c r="G29" s="2462"/>
      <c r="H29" s="2462">
        <v>0</v>
      </c>
      <c r="I29" s="2462"/>
      <c r="J29" s="2462">
        <v>0</v>
      </c>
      <c r="K29" s="2462"/>
      <c r="L29" s="2462">
        <v>0</v>
      </c>
      <c r="M29" s="3505"/>
      <c r="N29" s="2462"/>
      <c r="O29" s="2463">
        <f>ROUND(SUM(D29:L29),2)</f>
        <v>0</v>
      </c>
      <c r="P29" s="2435"/>
      <c r="Q29" s="2435"/>
      <c r="R29" s="2435"/>
      <c r="S29" s="2435"/>
      <c r="T29" s="2435"/>
      <c r="U29" s="2471"/>
      <c r="V29" s="2471"/>
      <c r="W29" s="2471"/>
      <c r="X29" s="2471"/>
      <c r="Y29" s="2471"/>
    </row>
    <row r="30" spans="1:25">
      <c r="A30" s="2450"/>
      <c r="B30" s="2461" t="s">
        <v>724</v>
      </c>
      <c r="C30" s="2451"/>
      <c r="D30" s="2462">
        <v>0</v>
      </c>
      <c r="E30" s="2462"/>
      <c r="F30" s="2462">
        <v>0</v>
      </c>
      <c r="G30" s="2462"/>
      <c r="H30" s="2462">
        <v>0</v>
      </c>
      <c r="I30" s="2462"/>
      <c r="J30" s="2462">
        <v>0</v>
      </c>
      <c r="K30" s="2462"/>
      <c r="L30" s="2462">
        <v>0</v>
      </c>
      <c r="M30" s="3505"/>
      <c r="N30" s="2462"/>
      <c r="O30" s="2463">
        <f t="shared" ref="O30:O35" si="0">ROUND(SUM(D30:L30),2)</f>
        <v>0</v>
      </c>
      <c r="P30" s="2435"/>
      <c r="Q30" s="2435"/>
      <c r="R30" s="2435"/>
      <c r="S30" s="2435"/>
      <c r="T30" s="2435"/>
      <c r="U30" s="2471"/>
      <c r="V30" s="2471"/>
      <c r="W30" s="2471"/>
      <c r="X30" s="2471"/>
      <c r="Y30" s="2471"/>
    </row>
    <row r="31" spans="1:25" ht="15.6">
      <c r="A31" s="2450"/>
      <c r="B31" s="2456" t="s">
        <v>721</v>
      </c>
      <c r="C31" s="2451"/>
      <c r="D31" s="2462"/>
      <c r="E31" s="2462"/>
      <c r="F31" s="2462"/>
      <c r="G31" s="2462"/>
      <c r="H31" s="2462"/>
      <c r="I31" s="2462"/>
      <c r="J31" s="2462"/>
      <c r="K31" s="2462"/>
      <c r="L31" s="2462"/>
      <c r="M31" s="3505"/>
      <c r="N31" s="2462"/>
      <c r="O31" s="2463">
        <f t="shared" si="0"/>
        <v>0</v>
      </c>
      <c r="P31" s="2435"/>
      <c r="Q31" s="2435"/>
      <c r="R31" s="2435"/>
      <c r="S31" s="2435"/>
      <c r="T31" s="2435"/>
      <c r="U31" s="2471"/>
      <c r="V31" s="2471"/>
      <c r="W31" s="2471"/>
      <c r="X31" s="2471"/>
      <c r="Y31" s="2471"/>
    </row>
    <row r="32" spans="1:25">
      <c r="A32" s="2450"/>
      <c r="B32" s="2461" t="s">
        <v>737</v>
      </c>
      <c r="C32" s="2451"/>
      <c r="D32" s="2472">
        <v>76370528.950000003</v>
      </c>
      <c r="E32" s="2472"/>
      <c r="F32" s="2462">
        <v>154417162.58000001</v>
      </c>
      <c r="G32" s="2472"/>
      <c r="H32" s="2472">
        <v>31729833.52</v>
      </c>
      <c r="I32" s="2472"/>
      <c r="J32" s="2472">
        <v>31226823.579999998</v>
      </c>
      <c r="K32" s="2472"/>
      <c r="L32" s="2472">
        <v>31221858.02</v>
      </c>
      <c r="M32" s="3508"/>
      <c r="N32" s="2462">
        <v>154417162.58000001</v>
      </c>
      <c r="O32" s="2463">
        <f t="shared" si="0"/>
        <v>324966206.64999998</v>
      </c>
      <c r="P32" s="2435"/>
      <c r="Q32" s="2435"/>
      <c r="R32" s="2435"/>
      <c r="S32" s="2435"/>
      <c r="T32" s="2435"/>
      <c r="U32" s="2471"/>
      <c r="V32" s="2471"/>
      <c r="W32" s="2471"/>
      <c r="X32" s="2471"/>
      <c r="Y32" s="2471"/>
    </row>
    <row r="33" spans="1:25">
      <c r="A33" s="2450"/>
      <c r="B33" s="2461" t="s">
        <v>738</v>
      </c>
      <c r="C33" s="2451"/>
      <c r="D33" s="2472">
        <v>3386295.13</v>
      </c>
      <c r="E33" s="2472"/>
      <c r="F33" s="2462">
        <v>14987269.739999998</v>
      </c>
      <c r="G33" s="2472"/>
      <c r="H33" s="2472">
        <v>-1850188.58</v>
      </c>
      <c r="I33" s="2472"/>
      <c r="J33" s="2472">
        <v>-3931934.39</v>
      </c>
      <c r="K33" s="2472"/>
      <c r="L33" s="2472">
        <v>-890613.16</v>
      </c>
      <c r="M33" s="3508"/>
      <c r="N33" s="2462">
        <v>14987269.739999998</v>
      </c>
      <c r="O33" s="2463">
        <f t="shared" si="0"/>
        <v>11700828.74</v>
      </c>
      <c r="P33" s="2435"/>
      <c r="Q33" s="2435"/>
      <c r="R33" s="2435"/>
      <c r="S33" s="2435"/>
      <c r="T33" s="2435"/>
      <c r="U33" s="2471"/>
      <c r="V33" s="2471"/>
      <c r="W33" s="2471"/>
      <c r="X33" s="2471"/>
      <c r="Y33" s="2471"/>
    </row>
    <row r="34" spans="1:25">
      <c r="A34" s="2450"/>
      <c r="B34" s="2461" t="s">
        <v>739</v>
      </c>
      <c r="C34" s="2451"/>
      <c r="D34" s="2472">
        <v>0</v>
      </c>
      <c r="E34" s="2472"/>
      <c r="F34" s="2462">
        <v>-1019382.54</v>
      </c>
      <c r="G34" s="2472"/>
      <c r="H34" s="2472">
        <v>0</v>
      </c>
      <c r="I34" s="2472"/>
      <c r="J34" s="2472">
        <v>-18485.16</v>
      </c>
      <c r="K34" s="2472"/>
      <c r="L34" s="2472">
        <v>0</v>
      </c>
      <c r="M34" s="3508"/>
      <c r="N34" s="2462">
        <v>-1019382.54</v>
      </c>
      <c r="O34" s="2463">
        <f t="shared" si="0"/>
        <v>-1037867.7</v>
      </c>
      <c r="P34" s="2435"/>
      <c r="Q34" s="2435"/>
      <c r="R34" s="2435"/>
      <c r="S34" s="2435"/>
      <c r="T34" s="2435"/>
      <c r="U34" s="2471"/>
      <c r="V34" s="2471"/>
      <c r="W34" s="2471"/>
      <c r="X34" s="2471"/>
      <c r="Y34" s="2471"/>
    </row>
    <row r="35" spans="1:25">
      <c r="A35" s="2450"/>
      <c r="B35" s="2461" t="s">
        <v>740</v>
      </c>
      <c r="C35" s="2451"/>
      <c r="D35" s="2472">
        <v>76370528.950000003</v>
      </c>
      <c r="E35" s="2472"/>
      <c r="F35" s="2462">
        <v>154417162.56</v>
      </c>
      <c r="G35" s="2472"/>
      <c r="H35" s="2472">
        <v>31729833.52</v>
      </c>
      <c r="I35" s="2472"/>
      <c r="J35" s="2472">
        <v>31226823.57</v>
      </c>
      <c r="K35" s="2472"/>
      <c r="L35" s="2472">
        <v>31221858.010000002</v>
      </c>
      <c r="M35" s="3508"/>
      <c r="N35" s="2462">
        <v>154417162.56</v>
      </c>
      <c r="O35" s="2463">
        <f t="shared" si="0"/>
        <v>324966206.61000001</v>
      </c>
      <c r="P35" s="2435"/>
      <c r="Q35" s="2435"/>
      <c r="R35" s="2435"/>
      <c r="S35" s="2435"/>
      <c r="T35" s="2435"/>
      <c r="U35" s="2471"/>
      <c r="V35" s="2471"/>
      <c r="W35" s="2471"/>
      <c r="X35" s="2471"/>
      <c r="Y35" s="2471"/>
    </row>
    <row r="36" spans="1:25">
      <c r="A36" s="2450"/>
      <c r="B36" s="2461" t="s">
        <v>735</v>
      </c>
      <c r="C36" s="2451"/>
      <c r="D36" s="2473">
        <v>0</v>
      </c>
      <c r="E36" s="2472"/>
      <c r="F36" s="2473">
        <v>0</v>
      </c>
      <c r="G36" s="2472"/>
      <c r="H36" s="2473">
        <v>0</v>
      </c>
      <c r="I36" s="2472"/>
      <c r="J36" s="2473">
        <v>0</v>
      </c>
      <c r="K36" s="2472"/>
      <c r="L36" s="2473">
        <v>0</v>
      </c>
      <c r="M36" s="3508"/>
      <c r="N36" s="2472"/>
      <c r="O36" s="2463">
        <f>ROUND(SUM(D36:L36),2)</f>
        <v>0</v>
      </c>
      <c r="P36" s="2435"/>
      <c r="Q36" s="2435"/>
      <c r="R36" s="2435"/>
      <c r="S36" s="2435"/>
      <c r="T36" s="2435"/>
      <c r="U36" s="2471"/>
      <c r="V36" s="2471"/>
      <c r="W36" s="2471"/>
      <c r="X36" s="2471"/>
      <c r="Y36" s="2471"/>
    </row>
    <row r="37" spans="1:25" s="2449" customFormat="1" ht="15.6">
      <c r="A37" s="2456"/>
      <c r="B37" s="2456" t="s">
        <v>723</v>
      </c>
      <c r="C37" s="2445"/>
      <c r="D37" s="2474">
        <v>156127353.03</v>
      </c>
      <c r="E37" s="2465"/>
      <c r="F37" s="2474">
        <f>ROUND(SUM(F29:F36),2)</f>
        <v>322802212.33999997</v>
      </c>
      <c r="G37" s="2465"/>
      <c r="H37" s="2474">
        <f>ROUND(SUM(H29:H36),2)</f>
        <v>61609478.460000001</v>
      </c>
      <c r="I37" s="2465"/>
      <c r="J37" s="3498">
        <f>ROUND(SUM(J29:J36),2)</f>
        <v>58503227.600000001</v>
      </c>
      <c r="K37" s="2465"/>
      <c r="L37" s="3498">
        <f>ROUND(SUM(L29:L36),2)</f>
        <v>61553102.869999997</v>
      </c>
      <c r="M37" s="3506"/>
      <c r="N37" s="2465"/>
      <c r="O37" s="2474">
        <f>ROUND(SUM(O29:O36),2)</f>
        <v>660595374.29999995</v>
      </c>
      <c r="P37" s="2475"/>
      <c r="Q37" s="2475"/>
      <c r="R37" s="2475"/>
      <c r="S37" s="2475"/>
      <c r="T37" s="2475"/>
      <c r="U37" s="2476"/>
      <c r="V37" s="2476"/>
      <c r="W37" s="2476"/>
      <c r="X37" s="2476"/>
      <c r="Y37" s="2476"/>
    </row>
    <row r="38" spans="1:25">
      <c r="A38" s="2450"/>
      <c r="B38" s="2450"/>
      <c r="C38" s="2451"/>
      <c r="D38" s="2462"/>
      <c r="E38" s="2462"/>
      <c r="F38" s="2462"/>
      <c r="G38" s="2462"/>
      <c r="H38" s="2462"/>
      <c r="I38" s="2462"/>
      <c r="J38" s="2462"/>
      <c r="K38" s="2462"/>
      <c r="L38" s="2462"/>
      <c r="M38" s="3505"/>
      <c r="N38" s="2462"/>
      <c r="O38" s="2463"/>
      <c r="P38" s="2435"/>
      <c r="Q38" s="2435"/>
      <c r="R38" s="2435"/>
      <c r="S38" s="2435"/>
      <c r="T38" s="2435"/>
      <c r="U38" s="2471"/>
      <c r="V38" s="2471"/>
      <c r="W38" s="2471"/>
      <c r="X38" s="2471"/>
      <c r="Y38" s="2471"/>
    </row>
    <row r="39" spans="1:25" ht="15.6">
      <c r="A39" s="2450"/>
      <c r="B39" s="2456" t="s">
        <v>1175</v>
      </c>
      <c r="C39" s="2451"/>
      <c r="D39" s="2462"/>
      <c r="E39" s="2462"/>
      <c r="F39" s="2462"/>
      <c r="G39" s="2462"/>
      <c r="H39" s="2462"/>
      <c r="I39" s="2462"/>
      <c r="J39" s="2462"/>
      <c r="K39" s="2462"/>
      <c r="L39" s="2462"/>
      <c r="M39" s="3505"/>
      <c r="N39" s="2462"/>
      <c r="O39" s="2463"/>
      <c r="P39" s="2435"/>
      <c r="Q39" s="2435"/>
      <c r="R39" s="2435"/>
      <c r="S39" s="2435"/>
      <c r="T39" s="2435"/>
      <c r="U39" s="2471"/>
      <c r="V39" s="2471"/>
      <c r="W39" s="2471"/>
      <c r="X39" s="2471"/>
      <c r="Y39" s="2471"/>
    </row>
    <row r="40" spans="1:25">
      <c r="A40" s="2450"/>
      <c r="B40" s="2450" t="s">
        <v>736</v>
      </c>
      <c r="C40" s="2451"/>
      <c r="D40" s="2477">
        <v>0</v>
      </c>
      <c r="E40" s="2477"/>
      <c r="F40" s="2477">
        <v>0</v>
      </c>
      <c r="G40" s="2477"/>
      <c r="H40" s="2477">
        <v>0</v>
      </c>
      <c r="I40" s="2477"/>
      <c r="J40" s="2477">
        <v>0</v>
      </c>
      <c r="K40" s="2477"/>
      <c r="L40" s="2477">
        <v>0</v>
      </c>
      <c r="M40" s="3509"/>
      <c r="N40" s="2477"/>
      <c r="O40" s="2463">
        <f>ROUND(SUM(D40:L40),2)</f>
        <v>0</v>
      </c>
      <c r="P40" s="2435"/>
      <c r="Q40" s="2435"/>
      <c r="R40" s="2435"/>
      <c r="S40" s="2435"/>
      <c r="T40" s="2435"/>
      <c r="U40" s="2471"/>
      <c r="V40" s="2471"/>
      <c r="W40" s="2471"/>
      <c r="X40" s="2471"/>
      <c r="Y40" s="2471"/>
    </row>
    <row r="41" spans="1:25">
      <c r="A41" s="2450"/>
      <c r="B41" s="2450" t="s">
        <v>724</v>
      </c>
      <c r="C41" s="2451"/>
      <c r="D41" s="2463">
        <v>0</v>
      </c>
      <c r="E41" s="2463"/>
      <c r="F41" s="2463">
        <v>0</v>
      </c>
      <c r="G41" s="2463"/>
      <c r="H41" s="2463">
        <v>0</v>
      </c>
      <c r="I41" s="2463"/>
      <c r="J41" s="2463">
        <v>0</v>
      </c>
      <c r="K41" s="2463"/>
      <c r="L41" s="2463">
        <v>0</v>
      </c>
      <c r="M41" s="3505"/>
      <c r="N41" s="2463"/>
      <c r="O41" s="2463">
        <f>ROUND(SUM(D41:L41),2)</f>
        <v>0</v>
      </c>
      <c r="P41" s="2435"/>
      <c r="Q41" s="2435"/>
      <c r="R41" s="2435"/>
      <c r="S41" s="2435"/>
      <c r="T41" s="2435"/>
      <c r="U41" s="2471"/>
      <c r="V41" s="2471"/>
      <c r="W41" s="2471"/>
      <c r="X41" s="2471"/>
      <c r="Y41" s="2471"/>
    </row>
    <row r="42" spans="1:25" ht="15.6">
      <c r="A42" s="2450"/>
      <c r="B42" s="2456" t="s">
        <v>1176</v>
      </c>
      <c r="C42" s="2451"/>
      <c r="D42" s="2462"/>
      <c r="E42" s="2462"/>
      <c r="F42" s="2462"/>
      <c r="G42" s="2462"/>
      <c r="H42" s="2462"/>
      <c r="I42" s="2462"/>
      <c r="J42" s="2462"/>
      <c r="K42" s="2462"/>
      <c r="L42" s="2462"/>
      <c r="M42" s="3505"/>
      <c r="N42" s="2462"/>
      <c r="O42" s="2478"/>
      <c r="P42" s="2435"/>
      <c r="Q42" s="2435"/>
      <c r="R42" s="2435"/>
      <c r="S42" s="2435"/>
      <c r="T42" s="2435"/>
      <c r="U42" s="2471"/>
      <c r="V42" s="2471"/>
      <c r="W42" s="2471"/>
      <c r="X42" s="2471"/>
      <c r="Y42" s="2471"/>
    </row>
    <row r="43" spans="1:25">
      <c r="A43" s="2450"/>
      <c r="B43" s="2461" t="s">
        <v>741</v>
      </c>
      <c r="C43" s="2451"/>
      <c r="D43" s="2479">
        <v>-1143.77</v>
      </c>
      <c r="E43" s="2463"/>
      <c r="F43" s="2462">
        <v>-2019</v>
      </c>
      <c r="G43" s="2463"/>
      <c r="H43" s="2479">
        <v>-645.51</v>
      </c>
      <c r="I43" s="2463"/>
      <c r="J43" s="2479">
        <v>-333.66</v>
      </c>
      <c r="K43" s="2463"/>
      <c r="L43" s="2479">
        <v>-633.4</v>
      </c>
      <c r="M43" s="3505"/>
      <c r="N43" s="2462">
        <v>-2019</v>
      </c>
      <c r="O43" s="2463">
        <f>ROUND(SUM(D43:L43),2)</f>
        <v>-4775.34</v>
      </c>
      <c r="P43" s="2435"/>
      <c r="Q43" s="2435"/>
      <c r="R43" s="2435"/>
      <c r="S43" s="2435"/>
      <c r="T43" s="2435"/>
      <c r="U43" s="2471"/>
      <c r="V43" s="2471"/>
      <c r="W43" s="2471"/>
      <c r="X43" s="2471"/>
      <c r="Y43" s="2471"/>
    </row>
    <row r="44" spans="1:25" s="2449" customFormat="1" ht="15.6">
      <c r="A44" s="2456"/>
      <c r="B44" s="2456" t="s">
        <v>727</v>
      </c>
      <c r="C44" s="2445"/>
      <c r="D44" s="2474">
        <v>-1143.77</v>
      </c>
      <c r="E44" s="2465"/>
      <c r="F44" s="2474">
        <f>ROUND(SUM(F40:F43),2)</f>
        <v>-2019</v>
      </c>
      <c r="G44" s="2465"/>
      <c r="H44" s="2474">
        <f>ROUND(SUM(H40:H43),2)</f>
        <v>-645.51</v>
      </c>
      <c r="I44" s="2465"/>
      <c r="J44" s="3498">
        <f>ROUND(SUM(J40:J43),2)</f>
        <v>-333.66</v>
      </c>
      <c r="K44" s="2465"/>
      <c r="L44" s="3498">
        <f>ROUND(SUM(L40:L43),2)</f>
        <v>-633.4</v>
      </c>
      <c r="M44" s="3506"/>
      <c r="N44" s="2465"/>
      <c r="O44" s="2474">
        <f>ROUND(SUM(O40:O43),2)</f>
        <v>-4775.34</v>
      </c>
      <c r="P44" s="2475"/>
      <c r="Q44" s="2475"/>
      <c r="R44" s="2475"/>
      <c r="S44" s="2475"/>
      <c r="T44" s="2475"/>
      <c r="U44" s="2476"/>
      <c r="V44" s="2476"/>
      <c r="W44" s="2476"/>
      <c r="X44" s="2476"/>
      <c r="Y44" s="2476"/>
    </row>
    <row r="45" spans="1:25">
      <c r="A45" s="2450"/>
      <c r="B45" s="2450"/>
      <c r="C45" s="2451"/>
      <c r="D45" s="2462"/>
      <c r="E45" s="2462"/>
      <c r="F45" s="2462"/>
      <c r="G45" s="2462"/>
      <c r="H45" s="2462"/>
      <c r="I45" s="2462"/>
      <c r="J45" s="2462"/>
      <c r="K45" s="2462"/>
      <c r="L45" s="2462"/>
      <c r="M45" s="3505"/>
      <c r="N45" s="2462"/>
      <c r="O45" s="2463"/>
      <c r="P45" s="2435"/>
      <c r="Q45" s="2435"/>
      <c r="R45" s="2435"/>
      <c r="S45" s="2435"/>
      <c r="T45" s="2435"/>
      <c r="U45" s="2471"/>
      <c r="V45" s="2471"/>
      <c r="W45" s="2471"/>
      <c r="X45" s="2471"/>
      <c r="Y45" s="2471"/>
    </row>
    <row r="46" spans="1:25" ht="15.6">
      <c r="A46" s="2450"/>
      <c r="B46" s="2456" t="s">
        <v>742</v>
      </c>
      <c r="C46" s="2451"/>
      <c r="D46" s="2462"/>
      <c r="E46" s="2462"/>
      <c r="F46" s="2462"/>
      <c r="G46" s="2462"/>
      <c r="H46" s="2462"/>
      <c r="I46" s="2462"/>
      <c r="J46" s="2462"/>
      <c r="K46" s="2462"/>
      <c r="L46" s="2462"/>
      <c r="M46" s="3505"/>
      <c r="N46" s="2462"/>
      <c r="O46" s="2463"/>
      <c r="P46" s="2435"/>
      <c r="Q46" s="2435"/>
      <c r="R46" s="2435"/>
      <c r="S46" s="2435"/>
      <c r="T46" s="2435"/>
      <c r="U46" s="2471"/>
      <c r="V46" s="2471"/>
      <c r="W46" s="2471"/>
      <c r="X46" s="2471"/>
      <c r="Y46" s="2471"/>
    </row>
    <row r="47" spans="1:25" ht="15.6">
      <c r="A47" s="2450"/>
      <c r="B47" s="2456" t="s">
        <v>743</v>
      </c>
      <c r="C47" s="2451"/>
      <c r="D47" s="2480">
        <v>300.48</v>
      </c>
      <c r="E47" s="2470"/>
      <c r="F47" s="2480">
        <f>ROUND(+F25+F37+F44,2)</f>
        <v>-230.07</v>
      </c>
      <c r="G47" s="2470"/>
      <c r="H47" s="2480">
        <f>ROUND(+H25+H37+H44,2)</f>
        <v>-311.85000000000002</v>
      </c>
      <c r="I47" s="2470"/>
      <c r="J47" s="2480">
        <f>ROUND(+J25+J37+J44,2)</f>
        <v>58503527.340000004</v>
      </c>
      <c r="K47" s="2470"/>
      <c r="L47" s="2480">
        <f>ROUND(+L25+L37+L44,2)</f>
        <v>-58503695.689999998</v>
      </c>
      <c r="M47" s="3507"/>
      <c r="N47" s="2470"/>
      <c r="O47" s="2480">
        <f>ROUND(+O25+O37+O44,2)</f>
        <v>-409.79</v>
      </c>
      <c r="P47" s="2435"/>
      <c r="Q47" s="2435"/>
      <c r="R47" s="2435"/>
      <c r="S47" s="2435"/>
      <c r="T47" s="2435"/>
      <c r="U47" s="2471"/>
      <c r="V47" s="2471"/>
      <c r="W47" s="2471"/>
      <c r="X47" s="2471"/>
      <c r="Y47" s="2471"/>
    </row>
    <row r="48" spans="1:25">
      <c r="A48" s="2450"/>
      <c r="B48" s="2450"/>
      <c r="C48" s="2451"/>
      <c r="D48" s="2451"/>
      <c r="E48" s="2451"/>
      <c r="F48" s="2451"/>
      <c r="G48" s="2451"/>
      <c r="H48" s="2451"/>
      <c r="I48" s="2451"/>
      <c r="J48" s="2451"/>
      <c r="K48" s="2451"/>
      <c r="L48" s="2451"/>
      <c r="M48" s="3503"/>
      <c r="N48" s="2451"/>
      <c r="O48" s="2481"/>
      <c r="P48" s="2435"/>
      <c r="Q48" s="2435"/>
      <c r="R48" s="2435"/>
      <c r="S48" s="2435"/>
      <c r="T48" s="2435"/>
      <c r="U48" s="2471"/>
      <c r="V48" s="2471"/>
      <c r="W48" s="2471"/>
      <c r="X48" s="2471"/>
      <c r="Y48" s="2471"/>
    </row>
    <row r="49" spans="1:50" s="2449" customFormat="1" ht="16.2" thickBot="1">
      <c r="A49" s="2456"/>
      <c r="B49" s="2456" t="s">
        <v>730</v>
      </c>
      <c r="C49" s="2482"/>
      <c r="D49" s="2483">
        <v>875.58</v>
      </c>
      <c r="E49" s="2484"/>
      <c r="F49" s="2483">
        <f>ROUND(F13+F47,2)</f>
        <v>645.51</v>
      </c>
      <c r="G49" s="2484"/>
      <c r="H49" s="2483">
        <f>ROUND(H13+H47,2)</f>
        <v>333.66</v>
      </c>
      <c r="I49" s="2484"/>
      <c r="J49" s="3499">
        <f>ROUND(J13+J47,2)</f>
        <v>58503861</v>
      </c>
      <c r="K49" s="2484"/>
      <c r="L49" s="3499">
        <f>ROUND(L13+L47,2)</f>
        <v>165.31</v>
      </c>
      <c r="M49" s="3510"/>
      <c r="N49" s="2484"/>
      <c r="O49" s="2483">
        <f>ROUND(O13+O47,2)</f>
        <v>165.31</v>
      </c>
      <c r="P49" s="2448"/>
      <c r="Q49" s="2448"/>
      <c r="R49" s="2448"/>
      <c r="S49" s="2448"/>
      <c r="T49" s="2448"/>
      <c r="U49" s="2485"/>
      <c r="V49" s="2485"/>
      <c r="W49" s="2485"/>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row>
    <row r="50" spans="1:50" ht="15.6" thickTop="1">
      <c r="A50" s="2450"/>
      <c r="B50" s="2450" t="s">
        <v>16</v>
      </c>
      <c r="C50" s="2451"/>
      <c r="D50" s="2451"/>
      <c r="E50" s="2451"/>
      <c r="F50" s="2451"/>
      <c r="G50" s="2451"/>
      <c r="H50" s="2451"/>
      <c r="I50" s="2451"/>
      <c r="J50" s="2451"/>
      <c r="K50" s="2451"/>
      <c r="L50" s="2451"/>
      <c r="M50" s="2451"/>
      <c r="N50" s="2451"/>
      <c r="O50" s="2451"/>
    </row>
    <row r="51" spans="1:50">
      <c r="B51" s="2486" t="s">
        <v>731</v>
      </c>
    </row>
    <row r="52" spans="1:50">
      <c r="B52" s="2487"/>
    </row>
    <row r="60" spans="1:50" ht="15.6">
      <c r="B60" s="2488"/>
      <c r="C60" s="2489"/>
      <c r="D60" s="2489"/>
      <c r="E60" s="2489"/>
      <c r="F60" s="2489"/>
      <c r="G60" s="2489"/>
      <c r="H60" s="2489"/>
      <c r="I60" s="2489"/>
      <c r="J60" s="2489"/>
      <c r="K60" s="2489"/>
      <c r="L60" s="2489"/>
      <c r="M60" s="2489"/>
      <c r="N60" s="2489"/>
    </row>
    <row r="62" spans="1:50" ht="15.6">
      <c r="B62" s="2490"/>
      <c r="C62" s="2448"/>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J7"/>
    <mergeCell ref="B8:J8"/>
  </mergeCells>
  <printOptions horizontalCentered="1" verticalCentered="1"/>
  <pageMargins left="0.24" right="0.24" top="0.5" bottom="0.5" header="0.18" footer="0.25"/>
  <pageSetup scale="63" firstPageNumber="54"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showOutlineSymbols="0" zoomScale="68" zoomScaleNormal="70" workbookViewId="0"/>
  </sheetViews>
  <sheetFormatPr defaultColWidth="8.90625" defaultRowHeight="13.2"/>
  <cols>
    <col min="1" max="1" width="51.90625" style="776" customWidth="1"/>
    <col min="2" max="2" width="1.6328125" style="776" customWidth="1"/>
    <col min="3" max="3" width="10.90625" style="776" customWidth="1"/>
    <col min="4" max="4" width="1.6328125" style="776" customWidth="1"/>
    <col min="5" max="5" width="10.90625" style="776" customWidth="1"/>
    <col min="6" max="6" width="1.6328125" style="776" customWidth="1"/>
    <col min="7" max="7" width="10.90625" style="776" customWidth="1"/>
    <col min="8" max="8" width="1.6328125" style="776" customWidth="1"/>
    <col min="9" max="9" width="10.90625" style="776" customWidth="1"/>
    <col min="10" max="10" width="1.6328125" style="776" customWidth="1"/>
    <col min="11" max="11" width="10.90625" style="776" customWidth="1"/>
    <col min="12" max="12" width="1.6328125" style="776" customWidth="1"/>
    <col min="13" max="13" width="14.90625" style="776" bestFit="1" customWidth="1"/>
    <col min="14" max="14" width="1.6328125" style="776" customWidth="1"/>
    <col min="15" max="15" width="10.90625" style="776" customWidth="1"/>
    <col min="16" max="16" width="1.6328125" style="776" customWidth="1"/>
    <col min="17" max="17" width="13.54296875" style="776" bestFit="1" customWidth="1"/>
    <col min="18" max="18" width="1.6328125" style="776" customWidth="1"/>
    <col min="19" max="19" width="13.54296875" style="776" bestFit="1" customWidth="1"/>
    <col min="20" max="20" width="1.6328125" style="776" customWidth="1"/>
    <col min="21" max="21" width="11" style="776" customWidth="1"/>
    <col min="22" max="22" width="1.6328125" style="776" customWidth="1"/>
    <col min="23" max="23" width="10.90625" style="776" customWidth="1"/>
    <col min="24" max="24" width="1.6328125" style="776" customWidth="1"/>
    <col min="25" max="25" width="10.90625" style="776" customWidth="1"/>
    <col min="26" max="26" width="1.6328125" style="776" customWidth="1"/>
    <col min="27" max="27" width="14.1796875" style="783" customWidth="1"/>
    <col min="28" max="28" width="3.6328125" style="776" customWidth="1"/>
    <col min="29" max="29" width="5.6328125" style="776" customWidth="1"/>
    <col min="30" max="30" width="10.36328125" style="776" customWidth="1"/>
    <col min="31" max="31" width="2.6328125" style="776" customWidth="1"/>
    <col min="32" max="16384" width="8.90625" style="776"/>
  </cols>
  <sheetData>
    <row r="1" spans="1:29" ht="15">
      <c r="A1" s="1184" t="s">
        <v>1217</v>
      </c>
    </row>
    <row r="2" spans="1:29" ht="21">
      <c r="A2" s="773"/>
      <c r="B2" s="2424"/>
      <c r="C2" s="2424"/>
      <c r="D2" s="2424"/>
      <c r="E2" s="2424"/>
      <c r="F2" s="2424"/>
      <c r="G2" s="2424"/>
      <c r="H2" s="2424"/>
      <c r="I2" s="2424"/>
      <c r="J2" s="2424"/>
      <c r="K2" s="2424"/>
      <c r="L2" s="774"/>
      <c r="M2" s="774"/>
      <c r="N2" s="2424"/>
      <c r="O2" s="2424"/>
      <c r="P2" s="2424"/>
      <c r="Q2" s="2424"/>
      <c r="R2" s="2424"/>
      <c r="S2" s="2424"/>
      <c r="T2" s="2424"/>
      <c r="U2" s="2424"/>
      <c r="V2" s="2424"/>
      <c r="W2" s="2424"/>
      <c r="X2" s="2424"/>
      <c r="Y2" s="2424"/>
      <c r="Z2" s="2424"/>
      <c r="AA2" s="2425"/>
      <c r="AB2" s="2424"/>
      <c r="AC2" s="775"/>
    </row>
    <row r="3" spans="1:29" ht="15">
      <c r="A3"/>
      <c r="B3" s="1195"/>
      <c r="C3" s="1195"/>
      <c r="D3" s="1195"/>
      <c r="E3" s="1195"/>
      <c r="F3" s="1195"/>
      <c r="G3" s="1195"/>
      <c r="H3" s="1195"/>
      <c r="I3" s="1195"/>
      <c r="J3" s="1195"/>
      <c r="K3" s="1195"/>
      <c r="L3"/>
      <c r="M3" s="1195"/>
      <c r="N3" s="1195"/>
      <c r="O3" s="1195"/>
      <c r="P3" s="1195"/>
      <c r="Q3" s="1195"/>
      <c r="R3" s="1195"/>
      <c r="S3" s="1195"/>
      <c r="T3" s="1195"/>
      <c r="U3" s="1195"/>
      <c r="V3" s="1195"/>
      <c r="W3" s="1195"/>
      <c r="X3" s="1195"/>
      <c r="Y3" s="1195"/>
      <c r="Z3" s="1195"/>
      <c r="AA3" s="776"/>
      <c r="AB3" s="2424"/>
      <c r="AC3" s="775"/>
    </row>
    <row r="4" spans="1:29" ht="21">
      <c r="A4" s="1203" t="s">
        <v>0</v>
      </c>
      <c r="B4" s="1195"/>
      <c r="C4" s="1195"/>
      <c r="D4" s="1195"/>
      <c r="E4" s="1195"/>
      <c r="F4" s="1195"/>
      <c r="G4" s="1195"/>
      <c r="H4" s="1195"/>
      <c r="I4" s="1195"/>
      <c r="J4" s="1195"/>
      <c r="K4" s="1195"/>
      <c r="L4"/>
      <c r="M4" s="1195"/>
      <c r="N4" s="1195"/>
      <c r="O4" s="1195"/>
      <c r="P4" s="1195"/>
      <c r="Q4" s="1195"/>
      <c r="R4" s="1195"/>
      <c r="S4" s="1195"/>
      <c r="T4" s="1195"/>
      <c r="U4" s="1195"/>
      <c r="V4" s="1195"/>
      <c r="W4" s="1195"/>
      <c r="X4" s="1195"/>
      <c r="Y4" s="1195"/>
      <c r="Z4" s="1195"/>
      <c r="AA4" s="2426" t="s">
        <v>744</v>
      </c>
      <c r="AB4" s="2424"/>
      <c r="AC4" s="775"/>
    </row>
    <row r="5" spans="1:29" s="775" customFormat="1" ht="17.399999999999999">
      <c r="A5" s="1203" t="s">
        <v>745</v>
      </c>
      <c r="B5" s="1196"/>
      <c r="C5" s="1196"/>
      <c r="D5" s="1196"/>
      <c r="E5" s="1196"/>
      <c r="F5" s="1196"/>
      <c r="G5" s="1196"/>
      <c r="H5" s="1196"/>
      <c r="I5" s="1196"/>
      <c r="J5" s="1195"/>
      <c r="K5" s="1195"/>
      <c r="L5" s="1195"/>
      <c r="M5" s="1195"/>
      <c r="N5" s="1195"/>
      <c r="O5" s="1195"/>
      <c r="P5" s="1195"/>
      <c r="Q5" s="1195"/>
      <c r="R5" s="1195"/>
      <c r="S5" s="1195"/>
      <c r="T5" s="1195"/>
      <c r="U5" s="1195"/>
      <c r="V5" s="1195"/>
      <c r="W5" s="1195"/>
      <c r="X5" s="1195"/>
      <c r="Y5" s="1195"/>
      <c r="Z5" s="1195"/>
      <c r="AA5" s="1195"/>
      <c r="AB5" s="2424"/>
    </row>
    <row r="6" spans="1:29" s="775" customFormat="1" ht="17.399999999999999">
      <c r="A6" s="432" t="s">
        <v>1522</v>
      </c>
      <c r="B6" s="1196"/>
      <c r="C6" s="1196"/>
      <c r="D6" s="1196"/>
      <c r="E6" s="1196"/>
      <c r="F6" s="1196"/>
      <c r="G6" s="1196"/>
      <c r="H6" s="1196"/>
      <c r="I6" s="1196"/>
      <c r="J6" s="1195"/>
      <c r="K6" s="1195"/>
      <c r="L6" s="1195"/>
      <c r="M6" s="1195"/>
      <c r="N6" s="1195"/>
      <c r="O6" s="1195"/>
      <c r="P6" s="1195"/>
      <c r="Q6" s="1195"/>
      <c r="R6" s="1195"/>
      <c r="S6" s="1195"/>
      <c r="T6" s="1195"/>
      <c r="U6" s="1195"/>
      <c r="V6" s="1195"/>
      <c r="W6" s="1195"/>
      <c r="X6" s="1195"/>
      <c r="Y6" s="1195"/>
      <c r="Z6" s="1195"/>
      <c r="AA6" s="1195"/>
      <c r="AB6" s="2424"/>
    </row>
    <row r="7" spans="1:29" s="775" customFormat="1" ht="17.399999999999999">
      <c r="A7" s="1203" t="s">
        <v>1107</v>
      </c>
      <c r="B7" s="1197"/>
      <c r="C7" s="1197"/>
      <c r="D7" s="1197"/>
      <c r="E7" s="1197"/>
      <c r="F7" s="1197"/>
      <c r="G7" s="1197"/>
      <c r="H7" s="1197"/>
      <c r="I7" s="1197"/>
      <c r="J7"/>
      <c r="K7"/>
      <c r="L7"/>
      <c r="M7"/>
      <c r="N7"/>
      <c r="O7"/>
      <c r="P7"/>
      <c r="Q7"/>
      <c r="R7" s="1195"/>
      <c r="S7" s="1195"/>
      <c r="T7" s="1195"/>
      <c r="U7" s="1195"/>
      <c r="V7" s="1195"/>
      <c r="W7" s="1195"/>
      <c r="X7" s="1195"/>
      <c r="Y7" s="1195"/>
      <c r="Z7" s="1195"/>
      <c r="AA7"/>
      <c r="AB7" s="2424"/>
    </row>
    <row r="8" spans="1:29" s="775" customFormat="1" ht="15.6">
      <c r="A8" s="1198"/>
      <c r="B8" s="1197"/>
      <c r="C8" s="1552"/>
      <c r="D8" s="1552"/>
      <c r="E8" s="1552"/>
      <c r="F8" s="1552"/>
      <c r="G8" s="1552"/>
      <c r="H8" s="1552"/>
      <c r="I8" s="1552"/>
      <c r="J8" s="1265"/>
      <c r="K8" s="1265"/>
      <c r="L8" s="1265"/>
      <c r="M8" s="1265"/>
      <c r="N8" s="1265"/>
      <c r="O8" s="1265"/>
      <c r="P8" s="1265"/>
      <c r="Q8" s="1265"/>
      <c r="R8" s="1265"/>
      <c r="S8" s="1265"/>
      <c r="T8" s="1265"/>
      <c r="U8" s="1265"/>
      <c r="V8" s="1265"/>
      <c r="W8" s="1265"/>
      <c r="X8" s="1265"/>
      <c r="Y8" s="1265"/>
      <c r="Z8" s="1265"/>
      <c r="AA8" s="1265"/>
      <c r="AB8" s="2424"/>
    </row>
    <row r="9" spans="1:29" s="775" customFormat="1" ht="15.6">
      <c r="A9" s="1195"/>
      <c r="B9" s="119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2424"/>
    </row>
    <row r="10" spans="1:29" s="775" customFormat="1" ht="17.399999999999999">
      <c r="A10" s="1195"/>
      <c r="B10" s="1264"/>
      <c r="C10" s="1553">
        <v>2015</v>
      </c>
      <c r="D10" s="1553">
        <v>2015</v>
      </c>
      <c r="E10" s="1553">
        <v>2015</v>
      </c>
      <c r="F10" s="1553">
        <v>2015</v>
      </c>
      <c r="G10" s="1553">
        <v>2015</v>
      </c>
      <c r="H10" s="1553">
        <v>2015</v>
      </c>
      <c r="I10" s="1553">
        <v>2015</v>
      </c>
      <c r="J10" s="1553">
        <v>2015</v>
      </c>
      <c r="K10" s="1553">
        <v>2015</v>
      </c>
      <c r="L10" s="1553">
        <v>2015</v>
      </c>
      <c r="M10" s="1553">
        <v>2015</v>
      </c>
      <c r="N10" s="1553">
        <v>2015</v>
      </c>
      <c r="O10" s="1553">
        <v>2015</v>
      </c>
      <c r="P10" s="1553">
        <v>2015</v>
      </c>
      <c r="Q10" s="1553">
        <v>2015</v>
      </c>
      <c r="R10" s="1553">
        <v>2015</v>
      </c>
      <c r="S10" s="1553">
        <v>2015</v>
      </c>
      <c r="T10" s="1553"/>
      <c r="U10" s="1553">
        <v>2016</v>
      </c>
      <c r="V10" s="1553"/>
      <c r="W10" s="1553">
        <v>2016</v>
      </c>
      <c r="X10" s="1553"/>
      <c r="Y10" s="1553">
        <v>2016</v>
      </c>
      <c r="Z10" s="1203"/>
      <c r="AA10" s="1554" t="s">
        <v>1538</v>
      </c>
      <c r="AB10" s="2427"/>
    </row>
    <row r="11" spans="1:29" s="775" customFormat="1" ht="17.399999999999999">
      <c r="A11" s="1195"/>
      <c r="B11" s="1264"/>
      <c r="C11" s="1555" t="s">
        <v>129</v>
      </c>
      <c r="D11" s="1554"/>
      <c r="E11" s="1555" t="s">
        <v>130</v>
      </c>
      <c r="F11" s="1554"/>
      <c r="G11" s="1555" t="s">
        <v>131</v>
      </c>
      <c r="H11" s="1554"/>
      <c r="I11" s="1555" t="s">
        <v>132</v>
      </c>
      <c r="J11" s="1554"/>
      <c r="K11" s="1555" t="s">
        <v>133</v>
      </c>
      <c r="L11" s="1554"/>
      <c r="M11" s="1555" t="s">
        <v>148</v>
      </c>
      <c r="N11" s="1554"/>
      <c r="O11" s="1555" t="s">
        <v>149</v>
      </c>
      <c r="P11" s="1554"/>
      <c r="Q11" s="1555" t="s">
        <v>136</v>
      </c>
      <c r="R11" s="1554"/>
      <c r="S11" s="1555" t="s">
        <v>137</v>
      </c>
      <c r="T11" s="1554"/>
      <c r="U11" s="1555" t="s">
        <v>138</v>
      </c>
      <c r="V11" s="1554"/>
      <c r="W11" s="1555" t="s">
        <v>139</v>
      </c>
      <c r="X11" s="1554"/>
      <c r="Y11" s="1555" t="s">
        <v>192</v>
      </c>
      <c r="Z11" s="1203"/>
      <c r="AA11" s="1555" t="s">
        <v>746</v>
      </c>
      <c r="AB11" s="2424"/>
    </row>
    <row r="12" spans="1:29" s="775" customFormat="1" ht="17.399999999999999">
      <c r="A12"/>
      <c r="B12" s="1264"/>
      <c r="C12" s="1264"/>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2428"/>
      <c r="AC12" s="2429"/>
    </row>
    <row r="13" spans="1:29" s="778" customFormat="1" ht="17.399999999999999">
      <c r="A13" s="1265" t="s">
        <v>747</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2428"/>
      <c r="AC13" s="777"/>
    </row>
    <row r="14" spans="1:29" s="778" customFormat="1" ht="17.399999999999999">
      <c r="A14" s="1195" t="s">
        <v>748</v>
      </c>
      <c r="B14" s="1264"/>
      <c r="C14" s="1614">
        <v>0</v>
      </c>
      <c r="D14" s="1614"/>
      <c r="E14" s="1614">
        <v>0</v>
      </c>
      <c r="F14" s="1614"/>
      <c r="G14" s="1615">
        <v>0</v>
      </c>
      <c r="H14" s="1614"/>
      <c r="I14" s="1615">
        <v>0</v>
      </c>
      <c r="J14" s="1616"/>
      <c r="K14" s="1615">
        <v>0</v>
      </c>
      <c r="L14" s="1614"/>
      <c r="M14" s="1615">
        <v>0</v>
      </c>
      <c r="N14" s="1616"/>
      <c r="O14" s="1615">
        <v>0</v>
      </c>
      <c r="P14" s="1616"/>
      <c r="Q14" s="1615">
        <v>44</v>
      </c>
      <c r="R14" s="1616"/>
      <c r="S14" s="1615">
        <v>0</v>
      </c>
      <c r="T14" s="1616"/>
      <c r="U14" s="1615"/>
      <c r="V14" s="1616"/>
      <c r="W14" s="1615"/>
      <c r="X14" s="1616"/>
      <c r="Y14" s="1615"/>
      <c r="Z14" s="1264"/>
      <c r="AA14" s="1628">
        <f>ROUND(SUM(C14:Z14),0)</f>
        <v>44</v>
      </c>
      <c r="AB14" s="2428"/>
      <c r="AC14" s="777"/>
    </row>
    <row r="15" spans="1:29" s="778" customFormat="1" ht="17.399999999999999">
      <c r="A15" s="1195" t="s">
        <v>749</v>
      </c>
      <c r="B15" s="1264"/>
      <c r="C15" s="1617">
        <v>8242</v>
      </c>
      <c r="D15" s="1618"/>
      <c r="E15" s="1618">
        <v>0</v>
      </c>
      <c r="F15" s="1618"/>
      <c r="G15" s="1617">
        <v>9944</v>
      </c>
      <c r="H15" s="1618"/>
      <c r="I15" s="1617">
        <v>306</v>
      </c>
      <c r="J15" s="1619"/>
      <c r="K15" s="1617">
        <v>1013</v>
      </c>
      <c r="L15" s="1618"/>
      <c r="M15" s="1617">
        <v>0</v>
      </c>
      <c r="N15" s="1619"/>
      <c r="O15" s="1617">
        <v>0</v>
      </c>
      <c r="P15" s="1619"/>
      <c r="Q15" s="1620">
        <v>1673</v>
      </c>
      <c r="R15" s="1619"/>
      <c r="S15" s="1620">
        <v>2026</v>
      </c>
      <c r="T15" s="1619"/>
      <c r="U15" s="1620"/>
      <c r="V15" s="1619"/>
      <c r="W15" s="1620"/>
      <c r="X15" s="1619"/>
      <c r="Y15" s="1620"/>
      <c r="Z15" s="1264"/>
      <c r="AA15" s="1627">
        <f t="shared" ref="AA15:AA29" si="0">ROUND(SUM(C15:Z15),0)</f>
        <v>23204</v>
      </c>
      <c r="AB15" s="2428"/>
      <c r="AC15" s="777"/>
    </row>
    <row r="16" spans="1:29" s="778" customFormat="1" ht="17.399999999999999">
      <c r="A16" s="1195" t="s">
        <v>750</v>
      </c>
      <c r="B16" s="1264"/>
      <c r="C16" s="1617">
        <v>0</v>
      </c>
      <c r="D16" s="1618"/>
      <c r="E16" s="1618">
        <v>3</v>
      </c>
      <c r="F16" s="1618"/>
      <c r="G16" s="1617">
        <v>10</v>
      </c>
      <c r="H16" s="1618"/>
      <c r="I16" s="1617">
        <v>0</v>
      </c>
      <c r="J16" s="1619"/>
      <c r="K16" s="1617">
        <v>1</v>
      </c>
      <c r="L16" s="1618"/>
      <c r="M16" s="1617">
        <v>0</v>
      </c>
      <c r="N16" s="1619"/>
      <c r="O16" s="1617">
        <v>0</v>
      </c>
      <c r="P16" s="1619"/>
      <c r="Q16" s="1620">
        <v>1</v>
      </c>
      <c r="R16" s="1619"/>
      <c r="S16" s="1620">
        <v>0</v>
      </c>
      <c r="T16" s="1619"/>
      <c r="U16" s="1620"/>
      <c r="V16" s="1619"/>
      <c r="W16" s="1620"/>
      <c r="X16" s="1619"/>
      <c r="Y16" s="1620"/>
      <c r="Z16" s="1264"/>
      <c r="AA16" s="1627">
        <f t="shared" si="0"/>
        <v>15</v>
      </c>
      <c r="AB16" s="2430"/>
      <c r="AC16" s="777"/>
    </row>
    <row r="17" spans="1:29" s="778" customFormat="1" ht="17.399999999999999">
      <c r="A17" s="1195" t="s">
        <v>1262</v>
      </c>
      <c r="B17" s="1264"/>
      <c r="C17" s="1621">
        <v>175</v>
      </c>
      <c r="D17" s="1618"/>
      <c r="E17" s="1620">
        <v>2</v>
      </c>
      <c r="F17" s="1618"/>
      <c r="G17" s="1617">
        <v>45</v>
      </c>
      <c r="H17" s="1618"/>
      <c r="I17" s="1617">
        <v>0</v>
      </c>
      <c r="J17" s="1619"/>
      <c r="K17" s="1617">
        <v>0</v>
      </c>
      <c r="L17" s="1618"/>
      <c r="M17" s="1617">
        <v>0</v>
      </c>
      <c r="N17" s="1619"/>
      <c r="O17" s="1620">
        <v>0</v>
      </c>
      <c r="P17" s="1619"/>
      <c r="Q17" s="1620">
        <v>0</v>
      </c>
      <c r="R17" s="1619"/>
      <c r="S17" s="1620">
        <v>0</v>
      </c>
      <c r="T17" s="1619"/>
      <c r="U17" s="1620"/>
      <c r="V17" s="1619"/>
      <c r="W17" s="1620"/>
      <c r="X17" s="1619"/>
      <c r="Y17" s="1620"/>
      <c r="Z17" s="1264"/>
      <c r="AA17" s="1627">
        <f t="shared" si="0"/>
        <v>222</v>
      </c>
      <c r="AB17" s="2430"/>
      <c r="AC17" s="777"/>
    </row>
    <row r="18" spans="1:29" s="778" customFormat="1" ht="17.399999999999999">
      <c r="A18" s="1195" t="s">
        <v>751</v>
      </c>
      <c r="B18" s="1264"/>
      <c r="C18" s="1618"/>
      <c r="D18" s="1618"/>
      <c r="E18" s="1622"/>
      <c r="F18" s="1618"/>
      <c r="G18" s="1623"/>
      <c r="H18" s="1618"/>
      <c r="I18" s="1623"/>
      <c r="J18" s="1619"/>
      <c r="K18" s="1623"/>
      <c r="L18" s="1618"/>
      <c r="M18" s="1623"/>
      <c r="N18" s="1619"/>
      <c r="O18" s="1623"/>
      <c r="P18" s="1619"/>
      <c r="Q18" s="1622"/>
      <c r="R18" s="1619"/>
      <c r="S18" s="1622"/>
      <c r="T18" s="1619"/>
      <c r="U18" s="1622"/>
      <c r="V18" s="1619"/>
      <c r="W18" s="1622"/>
      <c r="X18" s="1619"/>
      <c r="Y18" s="1622"/>
      <c r="Z18" s="1264"/>
      <c r="AA18" s="1627"/>
      <c r="AB18" s="2430"/>
      <c r="AC18" s="777"/>
    </row>
    <row r="19" spans="1:29" s="778" customFormat="1" ht="17.399999999999999">
      <c r="A19" s="1195" t="s">
        <v>1272</v>
      </c>
      <c r="B19" s="1264"/>
      <c r="C19" s="1617">
        <v>414</v>
      </c>
      <c r="D19" s="1618"/>
      <c r="E19" s="1618">
        <v>325</v>
      </c>
      <c r="F19" s="1618"/>
      <c r="G19" s="1617">
        <v>379</v>
      </c>
      <c r="H19" s="1618"/>
      <c r="I19" s="1617">
        <v>288</v>
      </c>
      <c r="J19" s="1619"/>
      <c r="K19" s="1617">
        <v>1015</v>
      </c>
      <c r="L19" s="1618"/>
      <c r="M19" s="1617">
        <v>270</v>
      </c>
      <c r="N19" s="1619"/>
      <c r="O19" s="1617">
        <v>55</v>
      </c>
      <c r="P19" s="1619"/>
      <c r="Q19" s="1620">
        <v>642</v>
      </c>
      <c r="R19" s="1619"/>
      <c r="S19" s="1620">
        <v>164</v>
      </c>
      <c r="T19" s="1619"/>
      <c r="U19" s="1620"/>
      <c r="V19" s="1619"/>
      <c r="W19" s="1620"/>
      <c r="X19" s="1619"/>
      <c r="Y19" s="1620"/>
      <c r="Z19" s="1264"/>
      <c r="AA19" s="1627">
        <f t="shared" si="0"/>
        <v>3552</v>
      </c>
      <c r="AB19" s="2430"/>
      <c r="AC19" s="777"/>
    </row>
    <row r="20" spans="1:29" s="778" customFormat="1" ht="17.399999999999999">
      <c r="A20" s="1195" t="s">
        <v>752</v>
      </c>
      <c r="B20" s="1264"/>
      <c r="C20" s="1617">
        <v>0</v>
      </c>
      <c r="D20" s="1618"/>
      <c r="E20" s="1618">
        <v>0</v>
      </c>
      <c r="F20" s="1618"/>
      <c r="G20" s="1620">
        <v>0</v>
      </c>
      <c r="H20" s="1618"/>
      <c r="I20" s="1620">
        <v>0</v>
      </c>
      <c r="J20" s="1619"/>
      <c r="K20" s="1620">
        <v>0</v>
      </c>
      <c r="L20" s="1618"/>
      <c r="M20" s="1620">
        <v>0</v>
      </c>
      <c r="N20" s="1619"/>
      <c r="O20" s="1620">
        <v>0</v>
      </c>
      <c r="P20" s="1619"/>
      <c r="Q20" s="1620">
        <v>840</v>
      </c>
      <c r="R20" s="1619"/>
      <c r="S20" s="1620">
        <v>0</v>
      </c>
      <c r="T20" s="1619"/>
      <c r="U20" s="1620"/>
      <c r="V20" s="1619"/>
      <c r="W20" s="1620"/>
      <c r="X20" s="1619"/>
      <c r="Y20" s="1620"/>
      <c r="Z20" s="1264"/>
      <c r="AA20" s="1627">
        <f t="shared" si="0"/>
        <v>840</v>
      </c>
      <c r="AB20" s="2430"/>
      <c r="AC20" s="777"/>
    </row>
    <row r="21" spans="1:29" s="778" customFormat="1" ht="17.399999999999999">
      <c r="A21" s="1195" t="s">
        <v>753</v>
      </c>
      <c r="B21" s="1264"/>
      <c r="C21" s="1617">
        <v>0</v>
      </c>
      <c r="D21" s="1618"/>
      <c r="E21" s="1618">
        <v>0</v>
      </c>
      <c r="F21" s="1618"/>
      <c r="G21" s="1620">
        <v>0</v>
      </c>
      <c r="H21" s="1618"/>
      <c r="I21" s="1617">
        <v>0</v>
      </c>
      <c r="J21" s="1619"/>
      <c r="K21" s="1620">
        <v>0</v>
      </c>
      <c r="L21" s="1618"/>
      <c r="M21" s="1620">
        <v>0</v>
      </c>
      <c r="N21" s="1619"/>
      <c r="O21" s="1620">
        <v>0</v>
      </c>
      <c r="P21" s="1619"/>
      <c r="Q21" s="1620">
        <v>0</v>
      </c>
      <c r="R21" s="1619"/>
      <c r="S21" s="1620">
        <v>0</v>
      </c>
      <c r="T21" s="1619"/>
      <c r="U21" s="1620"/>
      <c r="V21" s="1619"/>
      <c r="W21" s="1620"/>
      <c r="X21" s="1619"/>
      <c r="Y21" s="1620"/>
      <c r="Z21" s="1264"/>
      <c r="AA21" s="1627">
        <f t="shared" si="0"/>
        <v>0</v>
      </c>
      <c r="AB21" s="2430"/>
      <c r="AC21" s="777"/>
    </row>
    <row r="22" spans="1:29" s="778" customFormat="1" ht="17.399999999999999">
      <c r="A22" s="1195" t="s">
        <v>754</v>
      </c>
      <c r="B22" s="1264"/>
      <c r="C22" s="1617">
        <v>26448</v>
      </c>
      <c r="D22" s="1618"/>
      <c r="E22" s="1618">
        <v>4466</v>
      </c>
      <c r="F22" s="1618"/>
      <c r="G22" s="1617">
        <v>30982</v>
      </c>
      <c r="H22" s="1618"/>
      <c r="I22" s="1617">
        <v>21399</v>
      </c>
      <c r="J22" s="1619"/>
      <c r="K22" s="1617">
        <v>21276</v>
      </c>
      <c r="L22" s="1618"/>
      <c r="M22" s="1617">
        <v>19466</v>
      </c>
      <c r="N22" s="1619"/>
      <c r="O22" s="1617">
        <v>10686</v>
      </c>
      <c r="P22" s="1619"/>
      <c r="Q22" s="1620">
        <v>42864</v>
      </c>
      <c r="R22" s="1619"/>
      <c r="S22" s="1620">
        <v>58463</v>
      </c>
      <c r="T22" s="1619"/>
      <c r="U22" s="1620"/>
      <c r="V22" s="1619"/>
      <c r="W22" s="1620"/>
      <c r="X22" s="1619"/>
      <c r="Y22" s="1620"/>
      <c r="Z22" s="1264"/>
      <c r="AA22" s="1627">
        <f t="shared" si="0"/>
        <v>236050</v>
      </c>
      <c r="AB22" s="2430"/>
      <c r="AC22" s="777"/>
    </row>
    <row r="23" spans="1:29" s="778" customFormat="1" ht="17.399999999999999">
      <c r="A23" s="1195" t="s">
        <v>755</v>
      </c>
      <c r="B23" s="1264"/>
      <c r="C23" s="1617">
        <v>2403</v>
      </c>
      <c r="D23" s="1618"/>
      <c r="E23" s="1618">
        <v>1286</v>
      </c>
      <c r="F23" s="1618"/>
      <c r="G23" s="1617">
        <v>2860</v>
      </c>
      <c r="H23" s="1618"/>
      <c r="I23" s="1617">
        <v>1947</v>
      </c>
      <c r="J23" s="1619"/>
      <c r="K23" s="1617">
        <v>2172</v>
      </c>
      <c r="L23" s="1618"/>
      <c r="M23" s="1617">
        <v>2323</v>
      </c>
      <c r="N23" s="1619"/>
      <c r="O23" s="1617">
        <v>1325</v>
      </c>
      <c r="P23" s="1619"/>
      <c r="Q23" s="1620">
        <v>2729</v>
      </c>
      <c r="R23" s="1619"/>
      <c r="S23" s="1620">
        <v>3937</v>
      </c>
      <c r="T23" s="1619"/>
      <c r="U23" s="1620"/>
      <c r="V23" s="1619"/>
      <c r="W23" s="1620"/>
      <c r="X23" s="1619"/>
      <c r="Y23" s="1620"/>
      <c r="Z23" s="1264"/>
      <c r="AA23" s="1627">
        <f t="shared" si="0"/>
        <v>20982</v>
      </c>
      <c r="AB23" s="2430"/>
      <c r="AC23" s="777"/>
    </row>
    <row r="24" spans="1:29" s="778" customFormat="1" ht="17.399999999999999">
      <c r="A24" s="1195" t="s">
        <v>756</v>
      </c>
      <c r="B24" s="1264"/>
      <c r="C24" s="1623">
        <v>3892</v>
      </c>
      <c r="D24" s="1618"/>
      <c r="E24" s="1618">
        <v>5459</v>
      </c>
      <c r="F24" s="1618"/>
      <c r="G24" s="1617">
        <v>5340</v>
      </c>
      <c r="H24" s="1618"/>
      <c r="I24" s="1617">
        <v>7400</v>
      </c>
      <c r="J24" s="1619"/>
      <c r="K24" s="1617">
        <v>2058</v>
      </c>
      <c r="L24" s="1618"/>
      <c r="M24" s="1617">
        <v>328</v>
      </c>
      <c r="N24" s="1619"/>
      <c r="O24" s="1617">
        <v>63</v>
      </c>
      <c r="P24" s="1619"/>
      <c r="Q24" s="1620">
        <v>1749</v>
      </c>
      <c r="R24" s="1619"/>
      <c r="S24" s="1620">
        <v>56</v>
      </c>
      <c r="T24" s="1619"/>
      <c r="U24" s="1620"/>
      <c r="V24" s="1619"/>
      <c r="W24" s="1620"/>
      <c r="X24" s="1619"/>
      <c r="Y24" s="1620"/>
      <c r="Z24" s="1264"/>
      <c r="AA24" s="1627">
        <f t="shared" si="0"/>
        <v>26345</v>
      </c>
      <c r="AB24" s="2430"/>
      <c r="AC24" s="777"/>
    </row>
    <row r="25" spans="1:29" s="778" customFormat="1" ht="17.399999999999999">
      <c r="A25" s="1195" t="s">
        <v>757</v>
      </c>
      <c r="B25" s="1264"/>
      <c r="C25" s="1618">
        <v>4831</v>
      </c>
      <c r="D25" s="1618"/>
      <c r="E25" s="1618">
        <v>1796</v>
      </c>
      <c r="F25" s="1618"/>
      <c r="G25" s="1617">
        <v>3971</v>
      </c>
      <c r="H25" s="1618"/>
      <c r="I25" s="1617">
        <v>3481</v>
      </c>
      <c r="J25" s="1619"/>
      <c r="K25" s="1617">
        <v>1697</v>
      </c>
      <c r="L25" s="1618"/>
      <c r="M25" s="1617">
        <v>7485</v>
      </c>
      <c r="N25" s="1619"/>
      <c r="O25" s="1617">
        <v>2598</v>
      </c>
      <c r="P25" s="1619"/>
      <c r="Q25" s="1620">
        <v>6105</v>
      </c>
      <c r="R25" s="1619"/>
      <c r="S25" s="1620">
        <v>4316</v>
      </c>
      <c r="T25" s="1619"/>
      <c r="U25" s="1620"/>
      <c r="V25" s="1619"/>
      <c r="W25" s="1620"/>
      <c r="X25" s="1619"/>
      <c r="Y25" s="1620"/>
      <c r="Z25" s="1264"/>
      <c r="AA25" s="1627">
        <f t="shared" si="0"/>
        <v>36280</v>
      </c>
      <c r="AB25" s="2430"/>
      <c r="AC25" s="777"/>
    </row>
    <row r="26" spans="1:29" s="778" customFormat="1" ht="17.399999999999999">
      <c r="A26" s="1195" t="s">
        <v>758</v>
      </c>
      <c r="B26" s="1264"/>
      <c r="C26" s="1617">
        <v>7792</v>
      </c>
      <c r="D26" s="1618"/>
      <c r="E26" s="1618">
        <v>3356</v>
      </c>
      <c r="F26" s="1618"/>
      <c r="G26" s="1617">
        <v>14319</v>
      </c>
      <c r="H26" s="1618"/>
      <c r="I26" s="1617">
        <v>6519</v>
      </c>
      <c r="J26" s="1619"/>
      <c r="K26" s="1617">
        <v>8497</v>
      </c>
      <c r="L26" s="1618"/>
      <c r="M26" s="1617">
        <v>4798</v>
      </c>
      <c r="N26" s="1619"/>
      <c r="O26" s="1617">
        <v>4331</v>
      </c>
      <c r="P26" s="1619"/>
      <c r="Q26" s="1620">
        <v>7961</v>
      </c>
      <c r="R26" s="1619"/>
      <c r="S26" s="1620">
        <v>30250</v>
      </c>
      <c r="T26" s="1619"/>
      <c r="U26" s="1620"/>
      <c r="V26" s="1619"/>
      <c r="W26" s="1620"/>
      <c r="X26" s="1619"/>
      <c r="Y26" s="1620"/>
      <c r="Z26" s="1264"/>
      <c r="AA26" s="1627">
        <f t="shared" si="0"/>
        <v>87823</v>
      </c>
      <c r="AB26" s="2430"/>
      <c r="AC26" s="777"/>
    </row>
    <row r="27" spans="1:29" s="778" customFormat="1" ht="17.399999999999999">
      <c r="A27" s="1195" t="s">
        <v>759</v>
      </c>
      <c r="B27" s="1264"/>
      <c r="C27" s="1623">
        <v>1634</v>
      </c>
      <c r="D27" s="1618"/>
      <c r="E27" s="1618">
        <v>813</v>
      </c>
      <c r="F27" s="1618"/>
      <c r="G27" s="1617">
        <v>1576</v>
      </c>
      <c r="H27" s="1618"/>
      <c r="I27" s="1617">
        <v>2756</v>
      </c>
      <c r="J27" s="1619"/>
      <c r="K27" s="1617">
        <v>1062</v>
      </c>
      <c r="L27" s="1618"/>
      <c r="M27" s="1617">
        <v>1055</v>
      </c>
      <c r="N27" s="1619"/>
      <c r="O27" s="1617">
        <v>719</v>
      </c>
      <c r="P27" s="1619"/>
      <c r="Q27" s="1620">
        <v>1455</v>
      </c>
      <c r="R27" s="1619"/>
      <c r="S27" s="1620">
        <v>1129</v>
      </c>
      <c r="T27" s="1619"/>
      <c r="U27" s="1620"/>
      <c r="V27" s="1619"/>
      <c r="W27" s="1620"/>
      <c r="X27" s="1619"/>
      <c r="Y27" s="1620"/>
      <c r="Z27" s="1264"/>
      <c r="AA27" s="1627">
        <f t="shared" si="0"/>
        <v>12199</v>
      </c>
      <c r="AB27" s="2430"/>
      <c r="AC27" s="777"/>
    </row>
    <row r="28" spans="1:29" s="778" customFormat="1" ht="17.399999999999999">
      <c r="A28" s="1195" t="s">
        <v>1118</v>
      </c>
      <c r="B28" s="1264"/>
      <c r="C28" s="1621">
        <v>297</v>
      </c>
      <c r="D28" s="1618"/>
      <c r="E28" s="1621">
        <v>47</v>
      </c>
      <c r="F28" s="1618"/>
      <c r="G28" s="1617">
        <v>400</v>
      </c>
      <c r="H28" s="1618"/>
      <c r="I28" s="1617">
        <v>221</v>
      </c>
      <c r="J28" s="1619"/>
      <c r="K28" s="1617">
        <v>233</v>
      </c>
      <c r="L28" s="1618"/>
      <c r="M28" s="1617">
        <v>136</v>
      </c>
      <c r="N28" s="1619"/>
      <c r="O28" s="1617">
        <v>614</v>
      </c>
      <c r="P28" s="1619"/>
      <c r="Q28" s="1620">
        <v>214</v>
      </c>
      <c r="R28" s="1619"/>
      <c r="S28" s="1620">
        <v>575</v>
      </c>
      <c r="T28" s="1619"/>
      <c r="U28" s="1620"/>
      <c r="V28" s="1619"/>
      <c r="W28" s="1620"/>
      <c r="X28" s="1619"/>
      <c r="Y28" s="1620"/>
      <c r="Z28" s="1264"/>
      <c r="AA28" s="2867">
        <f>ROUND(SUM(C28:Z28),0)</f>
        <v>2737</v>
      </c>
      <c r="AB28" s="2430"/>
      <c r="AC28" s="777"/>
    </row>
    <row r="29" spans="1:29" s="778" customFormat="1" ht="17.399999999999999">
      <c r="A29" s="1195" t="s">
        <v>760</v>
      </c>
      <c r="B29" s="1264"/>
      <c r="C29" s="1618">
        <v>21</v>
      </c>
      <c r="D29" s="1618"/>
      <c r="E29" s="1618">
        <v>204</v>
      </c>
      <c r="F29" s="1618"/>
      <c r="G29" s="1624">
        <v>1262</v>
      </c>
      <c r="H29" s="1618"/>
      <c r="I29" s="1624">
        <v>412</v>
      </c>
      <c r="J29" s="1619"/>
      <c r="K29" s="1624">
        <v>202</v>
      </c>
      <c r="L29" s="1618"/>
      <c r="M29" s="1624">
        <v>357</v>
      </c>
      <c r="N29" s="1619"/>
      <c r="O29" s="1624">
        <v>226</v>
      </c>
      <c r="P29" s="1619"/>
      <c r="Q29" s="1625">
        <v>336</v>
      </c>
      <c r="R29" s="1619"/>
      <c r="S29" s="1625">
        <v>833</v>
      </c>
      <c r="T29" s="1619"/>
      <c r="U29" s="1625"/>
      <c r="V29" s="1619"/>
      <c r="W29" s="1625"/>
      <c r="X29" s="1619"/>
      <c r="Y29" s="1625"/>
      <c r="Z29" s="1264"/>
      <c r="AA29" s="1627">
        <f t="shared" si="0"/>
        <v>3853</v>
      </c>
      <c r="AB29" s="2430"/>
      <c r="AC29" s="777"/>
    </row>
    <row r="30" spans="1:29" s="778" customFormat="1" ht="17.399999999999999">
      <c r="A30" s="1265" t="s">
        <v>1117</v>
      </c>
      <c r="B30" s="1264"/>
      <c r="C30" s="1629">
        <f>ROUND(SUM(C14:C29),0)</f>
        <v>56149</v>
      </c>
      <c r="D30" s="1195"/>
      <c r="E30" s="1629">
        <f>ROUND(SUM(E14:E29),0)</f>
        <v>17757</v>
      </c>
      <c r="F30" s="1195"/>
      <c r="G30" s="1629">
        <f>ROUND(SUM(G14:G29),0)</f>
        <v>71088</v>
      </c>
      <c r="H30" s="1195"/>
      <c r="I30" s="1629">
        <f>ROUND(SUM(I14:I29),0)</f>
        <v>44729</v>
      </c>
      <c r="J30" s="1195"/>
      <c r="K30" s="1629">
        <f>ROUND(SUM(K14:K29),0)</f>
        <v>39226</v>
      </c>
      <c r="L30" s="1195"/>
      <c r="M30" s="1629">
        <f>ROUND(SUM(M14:M29),0)</f>
        <v>36218</v>
      </c>
      <c r="N30" s="1195"/>
      <c r="O30" s="1629">
        <f>ROUND(SUM(O14:O29),0)</f>
        <v>20617</v>
      </c>
      <c r="P30" s="1195"/>
      <c r="Q30" s="1629">
        <f>ROUND(SUM(Q14:Q29),0)</f>
        <v>66613</v>
      </c>
      <c r="R30" s="1195"/>
      <c r="S30" s="1629">
        <f>ROUND(SUM(S14:S29),0)</f>
        <v>101749</v>
      </c>
      <c r="T30" s="1195"/>
      <c r="U30" s="1629">
        <f>ROUND(SUM(U14:U29),0)</f>
        <v>0</v>
      </c>
      <c r="V30" s="1195"/>
      <c r="W30" s="1629">
        <f>ROUND(SUM(W14:W29),0)</f>
        <v>0</v>
      </c>
      <c r="X30" s="1195"/>
      <c r="Y30" s="1629">
        <f>ROUND(SUM(Y14:Y29),0)</f>
        <v>0</v>
      </c>
      <c r="Z30" s="1195"/>
      <c r="AA30" s="1629">
        <f>ROUND(SUM(AA14:AA29),0)</f>
        <v>454146</v>
      </c>
      <c r="AB30" s="2430"/>
      <c r="AC30" s="777"/>
    </row>
    <row r="31" spans="1:29" s="778" customFormat="1" ht="17.399999999999999">
      <c r="A31"/>
      <c r="B31" s="1264"/>
      <c r="C31" s="1264"/>
      <c r="D31" s="1264"/>
      <c r="E31" s="1264"/>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195"/>
      <c r="AB31" s="2430"/>
      <c r="AC31" s="777"/>
    </row>
    <row r="32" spans="1:29" s="778" customFormat="1" ht="17.399999999999999">
      <c r="A32" s="1195"/>
      <c r="B32" s="1264"/>
      <c r="C32" s="1264"/>
      <c r="D32" s="1264"/>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195"/>
      <c r="AB32" s="2430"/>
      <c r="AC32" s="777"/>
    </row>
    <row r="33" spans="1:29" s="778" customFormat="1" ht="17.399999999999999">
      <c r="A33" s="1265" t="s">
        <v>761</v>
      </c>
      <c r="B33" s="1264"/>
      <c r="C33" s="1264"/>
      <c r="D33" s="1264"/>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195"/>
      <c r="AB33" s="2430"/>
      <c r="AC33" s="777"/>
    </row>
    <row r="34" spans="1:29" s="778" customFormat="1" ht="17.399999999999999">
      <c r="A34" s="1195" t="s">
        <v>751</v>
      </c>
      <c r="B34" s="1264"/>
      <c r="C34" s="126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195"/>
      <c r="AB34" s="2430"/>
      <c r="AC34" s="777"/>
    </row>
    <row r="35" spans="1:29" s="778" customFormat="1" ht="17.399999999999999">
      <c r="A35" s="1195" t="s">
        <v>762</v>
      </c>
      <c r="B35" s="1264"/>
      <c r="C35" s="1620">
        <v>0</v>
      </c>
      <c r="D35" s="1618"/>
      <c r="E35" s="1620">
        <v>0</v>
      </c>
      <c r="F35" s="1618"/>
      <c r="G35" s="1620">
        <v>0</v>
      </c>
      <c r="H35" s="1618"/>
      <c r="I35" s="1620">
        <v>0</v>
      </c>
      <c r="J35" s="1619"/>
      <c r="K35" s="1620">
        <v>0</v>
      </c>
      <c r="L35" s="1618"/>
      <c r="M35" s="1620">
        <v>0</v>
      </c>
      <c r="N35" s="1619"/>
      <c r="O35" s="1620">
        <v>0</v>
      </c>
      <c r="P35" s="1619"/>
      <c r="Q35" s="1620">
        <v>0</v>
      </c>
      <c r="R35" s="1619"/>
      <c r="S35" s="1620">
        <v>0</v>
      </c>
      <c r="T35" s="1619"/>
      <c r="U35" s="1620"/>
      <c r="V35" s="1619"/>
      <c r="W35" s="1620"/>
      <c r="X35" s="1619"/>
      <c r="Y35" s="1620"/>
      <c r="Z35" s="1264"/>
      <c r="AA35" s="1627">
        <f>ROUND(SUM(C35:Z35),0)</f>
        <v>0</v>
      </c>
      <c r="AB35" s="2430"/>
      <c r="AC35" s="777"/>
    </row>
    <row r="36" spans="1:29" s="778" customFormat="1" ht="17.399999999999999">
      <c r="A36" s="1195" t="s">
        <v>1504</v>
      </c>
      <c r="B36" s="1264"/>
      <c r="C36" s="1618">
        <v>0</v>
      </c>
      <c r="D36" s="1618"/>
      <c r="E36" s="1620">
        <v>2033</v>
      </c>
      <c r="F36" s="1618"/>
      <c r="G36" s="1620">
        <v>19</v>
      </c>
      <c r="H36" s="1618"/>
      <c r="I36" s="1617">
        <v>0</v>
      </c>
      <c r="J36" s="1619"/>
      <c r="K36" s="1620">
        <v>150</v>
      </c>
      <c r="L36" s="1618"/>
      <c r="M36" s="1617">
        <v>8</v>
      </c>
      <c r="N36" s="1619"/>
      <c r="O36" s="1617">
        <v>0</v>
      </c>
      <c r="P36" s="1619"/>
      <c r="Q36" s="1620">
        <v>9</v>
      </c>
      <c r="R36" s="1619"/>
      <c r="S36" s="1620">
        <v>28</v>
      </c>
      <c r="T36" s="1619"/>
      <c r="U36" s="1620"/>
      <c r="V36" s="1619"/>
      <c r="W36" s="1620"/>
      <c r="X36" s="1619"/>
      <c r="Y36" s="1620"/>
      <c r="Z36" s="1264"/>
      <c r="AA36" s="1627">
        <f>ROUND(SUM(C36:Z36),0)</f>
        <v>2247</v>
      </c>
      <c r="AB36" s="2430"/>
      <c r="AC36" s="777"/>
    </row>
    <row r="37" spans="1:29" s="778" customFormat="1" ht="17.399999999999999">
      <c r="A37" s="1195" t="s">
        <v>763</v>
      </c>
      <c r="B37" s="1264"/>
      <c r="C37" s="1620">
        <v>0</v>
      </c>
      <c r="D37" s="1618"/>
      <c r="E37" s="1620">
        <v>0</v>
      </c>
      <c r="F37" s="1618"/>
      <c r="G37" s="1620">
        <v>0</v>
      </c>
      <c r="H37" s="1618"/>
      <c r="I37" s="1620">
        <v>0</v>
      </c>
      <c r="J37" s="1619"/>
      <c r="K37" s="1620">
        <v>0</v>
      </c>
      <c r="L37" s="1618"/>
      <c r="M37" s="1620">
        <v>0</v>
      </c>
      <c r="N37" s="1619"/>
      <c r="O37" s="1620">
        <v>0</v>
      </c>
      <c r="P37" s="1619"/>
      <c r="Q37" s="1620">
        <v>0</v>
      </c>
      <c r="R37" s="1619"/>
      <c r="S37" s="1620">
        <v>0</v>
      </c>
      <c r="T37" s="1619"/>
      <c r="U37" s="1620"/>
      <c r="V37" s="1619"/>
      <c r="W37" s="1620"/>
      <c r="X37" s="1619"/>
      <c r="Y37" s="1620"/>
      <c r="Z37" s="1264"/>
      <c r="AA37" s="1627">
        <f>ROUND(SUM(C37:Z37),0)</f>
        <v>0</v>
      </c>
      <c r="AB37" s="2430"/>
      <c r="AC37" s="777"/>
    </row>
    <row r="38" spans="1:29" s="778" customFormat="1" ht="17.399999999999999">
      <c r="A38" s="1195" t="s">
        <v>1262</v>
      </c>
      <c r="B38" s="1264"/>
      <c r="C38" s="1620">
        <v>0</v>
      </c>
      <c r="D38" s="1618"/>
      <c r="E38" s="1620">
        <v>0</v>
      </c>
      <c r="F38" s="1623"/>
      <c r="G38" s="1620">
        <v>0</v>
      </c>
      <c r="H38" s="1623"/>
      <c r="I38" s="1620">
        <v>0</v>
      </c>
      <c r="J38" s="1626"/>
      <c r="K38" s="1620">
        <v>0</v>
      </c>
      <c r="L38" s="1623"/>
      <c r="M38" s="1617">
        <v>0</v>
      </c>
      <c r="N38" s="1626"/>
      <c r="O38" s="1620">
        <v>0</v>
      </c>
      <c r="P38" s="1626"/>
      <c r="Q38" s="1620">
        <v>0</v>
      </c>
      <c r="R38" s="1626"/>
      <c r="S38" s="1620">
        <v>0</v>
      </c>
      <c r="T38" s="1626"/>
      <c r="U38" s="1620"/>
      <c r="V38" s="1626"/>
      <c r="W38" s="1620"/>
      <c r="X38" s="1626"/>
      <c r="Y38" s="1620"/>
      <c r="Z38" s="1264"/>
      <c r="AA38" s="1627">
        <f>ROUND(SUM(C38:Z38),0)</f>
        <v>0</v>
      </c>
      <c r="AB38" s="2430"/>
      <c r="AC38" s="777"/>
    </row>
    <row r="39" spans="1:29" s="775" customFormat="1" ht="17.399999999999999">
      <c r="A39" s="1195" t="s">
        <v>764</v>
      </c>
      <c r="B39" s="1264"/>
      <c r="C39" s="1625">
        <v>0</v>
      </c>
      <c r="D39" s="1618"/>
      <c r="E39" s="1625">
        <v>10467</v>
      </c>
      <c r="F39" s="1618"/>
      <c r="G39" s="1625">
        <v>0</v>
      </c>
      <c r="H39" s="1618"/>
      <c r="I39" s="1620">
        <v>0</v>
      </c>
      <c r="J39" s="1619"/>
      <c r="K39" s="1620">
        <v>0</v>
      </c>
      <c r="L39" s="1618"/>
      <c r="M39" s="1620">
        <v>0</v>
      </c>
      <c r="N39" s="1619"/>
      <c r="O39" s="1620">
        <v>0</v>
      </c>
      <c r="P39" s="1619"/>
      <c r="Q39" s="1625">
        <v>0</v>
      </c>
      <c r="R39" s="1619"/>
      <c r="S39" s="1625">
        <v>0</v>
      </c>
      <c r="T39" s="1619"/>
      <c r="U39" s="1625"/>
      <c r="V39" s="1619"/>
      <c r="W39" s="1625"/>
      <c r="X39" s="1619"/>
      <c r="Y39" s="1625"/>
      <c r="Z39" s="1264"/>
      <c r="AA39" s="1627">
        <f>ROUND(SUM(C39:Z39),0)</f>
        <v>10467</v>
      </c>
      <c r="AB39" s="2431"/>
      <c r="AC39" s="779"/>
    </row>
    <row r="40" spans="1:29" s="775" customFormat="1" ht="17.399999999999999">
      <c r="A40" s="1265" t="s">
        <v>1116</v>
      </c>
      <c r="B40" s="1264"/>
      <c r="C40" s="1629">
        <f>ROUND(SUM(C35:C39),0)</f>
        <v>0</v>
      </c>
      <c r="D40" s="1195"/>
      <c r="E40" s="1629">
        <f>ROUND(SUM(E35:E39),0)</f>
        <v>12500</v>
      </c>
      <c r="F40" s="1195"/>
      <c r="G40" s="1629">
        <f>ROUND(SUM(G35:G39),0)</f>
        <v>19</v>
      </c>
      <c r="H40" s="1195"/>
      <c r="I40" s="1629">
        <f>ROUND(SUM(I35:I39),0)</f>
        <v>0</v>
      </c>
      <c r="J40" s="1195"/>
      <c r="K40" s="1629">
        <f>ROUND(SUM(K35:K39),0)</f>
        <v>150</v>
      </c>
      <c r="L40" s="1195"/>
      <c r="M40" s="1629">
        <f>ROUND(SUM(M35:M39),0)</f>
        <v>8</v>
      </c>
      <c r="N40" s="1195"/>
      <c r="O40" s="1629">
        <f>ROUND(SUM(O35:O39),0)</f>
        <v>0</v>
      </c>
      <c r="P40" s="1195"/>
      <c r="Q40" s="1629">
        <f>ROUND(SUM(Q35:Q39),0)</f>
        <v>9</v>
      </c>
      <c r="R40" s="1195"/>
      <c r="S40" s="1629">
        <f>ROUND(SUM(S35:S39),0)</f>
        <v>28</v>
      </c>
      <c r="T40" s="1195"/>
      <c r="U40" s="1629">
        <f>ROUND(SUM(U35:U39),0)</f>
        <v>0</v>
      </c>
      <c r="V40" s="1195"/>
      <c r="W40" s="1629">
        <f>ROUND(SUM(W35:W39),0)</f>
        <v>0</v>
      </c>
      <c r="X40" s="1195"/>
      <c r="Y40" s="1629">
        <f>ROUND(SUM(Y35:Y39),0)</f>
        <v>0</v>
      </c>
      <c r="Z40" s="1195"/>
      <c r="AA40" s="1629">
        <f>ROUND(SUM(AA35:AA39),0)</f>
        <v>12714</v>
      </c>
      <c r="AB40" s="2431"/>
      <c r="AC40" s="779"/>
    </row>
    <row r="41" spans="1:29" ht="17.399999999999999">
      <c r="A41" s="1195"/>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195"/>
      <c r="AB41" s="2431"/>
      <c r="AC41" s="780"/>
    </row>
    <row r="42" spans="1:29" ht="17.399999999999999">
      <c r="A42" s="1195"/>
      <c r="B42" s="1264"/>
      <c r="C42" s="1264"/>
      <c r="D42" s="1264"/>
      <c r="E42" s="1264"/>
      <c r="F42" s="1264"/>
      <c r="G42" s="1264"/>
      <c r="H42" s="1264"/>
      <c r="I42" s="1264"/>
      <c r="J42" s="1264"/>
      <c r="K42" s="1264"/>
      <c r="L42" s="1264"/>
      <c r="M42" s="1264"/>
      <c r="N42" s="1264"/>
      <c r="O42" s="1264"/>
      <c r="P42" s="1264"/>
      <c r="Q42" s="1264"/>
      <c r="R42" s="1264"/>
      <c r="S42" s="1840"/>
      <c r="T42" s="1264"/>
      <c r="U42" s="1264"/>
      <c r="V42" s="1264"/>
      <c r="W42" s="1264"/>
      <c r="X42" s="1264"/>
      <c r="Y42" s="1264"/>
      <c r="Z42" s="1264"/>
      <c r="AA42" s="1195"/>
    </row>
    <row r="43" spans="1:29" s="782" customFormat="1" ht="18" thickBot="1">
      <c r="A43" s="1265" t="s">
        <v>1115</v>
      </c>
      <c r="B43" s="1264"/>
      <c r="C43" s="1839">
        <f>ROUND(C30+C40,0)</f>
        <v>56149</v>
      </c>
      <c r="D43" s="1195"/>
      <c r="E43" s="1839">
        <f>ROUND(E30+E40,0)</f>
        <v>30257</v>
      </c>
      <c r="F43" s="1195"/>
      <c r="G43" s="1839">
        <f>ROUND(G30+G40,0)</f>
        <v>71107</v>
      </c>
      <c r="H43" s="1195"/>
      <c r="I43" s="1839">
        <f>ROUND(I30+I40,0)</f>
        <v>44729</v>
      </c>
      <c r="J43" s="1195"/>
      <c r="K43" s="1839">
        <f>ROUND(K30+K40,0)</f>
        <v>39376</v>
      </c>
      <c r="L43" s="1195"/>
      <c r="M43" s="1839">
        <f>ROUND(M30+M40,0)</f>
        <v>36226</v>
      </c>
      <c r="N43" s="1195"/>
      <c r="O43" s="1839">
        <f>ROUND(O30+O40,0)</f>
        <v>20617</v>
      </c>
      <c r="P43" s="1195"/>
      <c r="Q43" s="1839">
        <f>ROUND(Q30+Q40,0)</f>
        <v>66622</v>
      </c>
      <c r="R43" s="1195"/>
      <c r="S43" s="1839">
        <f>ROUND(S30+S40,0)</f>
        <v>101777</v>
      </c>
      <c r="T43" s="1195"/>
      <c r="U43" s="1839">
        <f>ROUND(U30+U40,0)</f>
        <v>0</v>
      </c>
      <c r="V43" s="1195"/>
      <c r="W43" s="1839">
        <f>ROUND(W30+W40,0)</f>
        <v>0</v>
      </c>
      <c r="X43" s="1195"/>
      <c r="Y43" s="1839">
        <f>ROUND(Y30+Y40,0)</f>
        <v>0</v>
      </c>
      <c r="Z43" s="1195"/>
      <c r="AA43" s="1839">
        <f>ROUND(AA30+AA40,0)</f>
        <v>466860</v>
      </c>
    </row>
    <row r="44" spans="1:29" ht="15.6" thickTop="1">
      <c r="A44" s="2432"/>
      <c r="C44" s="783"/>
      <c r="D44" s="783"/>
      <c r="E44" s="783"/>
      <c r="F44" s="783"/>
      <c r="G44" s="783"/>
      <c r="H44" s="783"/>
      <c r="I44" s="783"/>
      <c r="J44" s="783"/>
      <c r="K44" s="783"/>
      <c r="L44" s="783"/>
      <c r="M44" s="783"/>
      <c r="N44" s="783"/>
      <c r="O44" s="783"/>
      <c r="P44" s="783"/>
      <c r="Q44" s="783"/>
      <c r="R44" s="783"/>
      <c r="S44" s="783"/>
      <c r="T44" s="783"/>
      <c r="U44" s="783"/>
      <c r="V44" s="783"/>
      <c r="W44" s="783"/>
      <c r="X44" s="783"/>
      <c r="Y44" s="784"/>
      <c r="AA44" s="781"/>
    </row>
    <row r="45" spans="1:29" ht="13.8" thickBot="1"/>
    <row r="46" spans="1:29" ht="20.100000000000001" customHeight="1">
      <c r="A46" s="3609" t="s">
        <v>765</v>
      </c>
      <c r="B46" s="3610"/>
      <c r="C46" s="3610"/>
      <c r="D46" s="3610"/>
      <c r="E46" s="3610"/>
      <c r="F46" s="3610"/>
      <c r="G46" s="3610"/>
      <c r="H46" s="3610"/>
      <c r="I46" s="3610"/>
      <c r="J46" s="3610"/>
      <c r="K46" s="3610"/>
      <c r="L46" s="3610"/>
      <c r="M46" s="3610"/>
      <c r="N46" s="3610"/>
      <c r="O46" s="3610"/>
      <c r="P46" s="3610"/>
      <c r="Q46" s="3610"/>
      <c r="R46" s="3610"/>
      <c r="S46" s="3610"/>
      <c r="T46" s="3610"/>
      <c r="U46" s="3610"/>
      <c r="V46" s="3610"/>
      <c r="W46" s="3610"/>
      <c r="X46" s="3610"/>
      <c r="Y46" s="3610"/>
      <c r="Z46" s="3610"/>
      <c r="AA46" s="3611"/>
    </row>
    <row r="47" spans="1:29" ht="20.100000000000001" customHeight="1">
      <c r="A47" s="3612"/>
      <c r="B47" s="3613"/>
      <c r="C47" s="3613"/>
      <c r="D47" s="3613"/>
      <c r="E47" s="3613"/>
      <c r="F47" s="3613"/>
      <c r="G47" s="3613"/>
      <c r="H47" s="3613"/>
      <c r="I47" s="3613"/>
      <c r="J47" s="3613"/>
      <c r="K47" s="3613"/>
      <c r="L47" s="3613"/>
      <c r="M47" s="3613"/>
      <c r="N47" s="3613"/>
      <c r="O47" s="3613"/>
      <c r="P47" s="3613"/>
      <c r="Q47" s="3613"/>
      <c r="R47" s="3613"/>
      <c r="S47" s="3613"/>
      <c r="T47" s="3613"/>
      <c r="U47" s="3613"/>
      <c r="V47" s="3613"/>
      <c r="W47" s="3613"/>
      <c r="X47" s="3613"/>
      <c r="Y47" s="3613"/>
      <c r="Z47" s="3613"/>
      <c r="AA47" s="3614"/>
    </row>
    <row r="48" spans="1:29" ht="20.100000000000001" customHeight="1">
      <c r="A48" s="3612"/>
      <c r="B48" s="3613"/>
      <c r="C48" s="3613"/>
      <c r="D48" s="3613"/>
      <c r="E48" s="3613"/>
      <c r="F48" s="3613"/>
      <c r="G48" s="3613"/>
      <c r="H48" s="3613"/>
      <c r="I48" s="3613"/>
      <c r="J48" s="3613"/>
      <c r="K48" s="3613"/>
      <c r="L48" s="3613"/>
      <c r="M48" s="3613"/>
      <c r="N48" s="3613"/>
      <c r="O48" s="3613"/>
      <c r="P48" s="3613"/>
      <c r="Q48" s="3613"/>
      <c r="R48" s="3613"/>
      <c r="S48" s="3613"/>
      <c r="T48" s="3613"/>
      <c r="U48" s="3613"/>
      <c r="V48" s="3613"/>
      <c r="W48" s="3613"/>
      <c r="X48" s="3613"/>
      <c r="Y48" s="3613"/>
      <c r="Z48" s="3613"/>
      <c r="AA48" s="3614"/>
    </row>
    <row r="49" spans="1:27" ht="20.100000000000001" customHeight="1" thickBot="1">
      <c r="A49" s="3615"/>
      <c r="B49" s="3616"/>
      <c r="C49" s="3616"/>
      <c r="D49" s="3616"/>
      <c r="E49" s="3616"/>
      <c r="F49" s="3616"/>
      <c r="G49" s="3616"/>
      <c r="H49" s="3616"/>
      <c r="I49" s="3616"/>
      <c r="J49" s="3616"/>
      <c r="K49" s="3616"/>
      <c r="L49" s="3616"/>
      <c r="M49" s="3616"/>
      <c r="N49" s="3616"/>
      <c r="O49" s="3616"/>
      <c r="P49" s="3616"/>
      <c r="Q49" s="3616"/>
      <c r="R49" s="3616"/>
      <c r="S49" s="3616"/>
      <c r="T49" s="3616"/>
      <c r="U49" s="3616"/>
      <c r="V49" s="3616"/>
      <c r="W49" s="3616"/>
      <c r="X49" s="3616"/>
      <c r="Y49" s="3616"/>
      <c r="Z49" s="3616"/>
      <c r="AA49" s="361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5" orientation="landscape" useFirstPageNumber="1" r:id="rId2"/>
  <headerFooter scaleWithDoc="0" alignWithMargins="0">
    <oddFooter>&amp;C&amp;8&amp;P</oddFooter>
  </headerFooter>
  <ignoredErrors>
    <ignoredError sqref="AA14:AA27 AA31:AA43 A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5"/>
  <sheetViews>
    <sheetView showGridLines="0" zoomScale="70" zoomScaleNormal="70" zoomScaleSheetLayoutView="70" workbookViewId="0"/>
  </sheetViews>
  <sheetFormatPr defaultRowHeight="14.4"/>
  <cols>
    <col min="1" max="1" width="8.90625" style="2408" customWidth="1"/>
    <col min="2" max="2" width="10.1796875" style="2408" customWidth="1"/>
    <col min="3" max="3" width="2.1796875" style="2421" customWidth="1"/>
    <col min="4" max="4" width="50.453125" style="2408" customWidth="1"/>
    <col min="5" max="5" width="8.90625" style="2421" customWidth="1"/>
    <col min="6" max="6" width="2.08984375" style="1326" customWidth="1"/>
    <col min="7" max="7" width="23.90625" style="2408" customWidth="1"/>
    <col min="8" max="8" width="2.08984375" style="2421" customWidth="1"/>
    <col min="9" max="9" width="23.90625" style="2408" customWidth="1"/>
    <col min="10" max="10" width="2.08984375" style="2421" customWidth="1"/>
    <col min="11" max="11" width="23.90625" style="2408" customWidth="1"/>
    <col min="12" max="12" width="2.08984375" style="2421" customWidth="1"/>
    <col min="13" max="13" width="20.1796875" style="2408" customWidth="1"/>
    <col min="14" max="14" width="2.08984375" style="2421" customWidth="1"/>
    <col min="15" max="15" width="23.90625" style="2408" customWidth="1"/>
    <col min="16" max="16" width="6" style="2408" customWidth="1"/>
    <col min="17" max="255" width="8.90625" style="2408"/>
    <col min="256" max="257" width="8.90625" style="2408" customWidth="1"/>
    <col min="258" max="258" width="10.1796875" style="2408" customWidth="1"/>
    <col min="259" max="259" width="2.1796875" style="2408" customWidth="1"/>
    <col min="260" max="260" width="50.453125" style="2408" customWidth="1"/>
    <col min="261" max="261" width="8.90625" style="2408"/>
    <col min="262" max="262" width="2.08984375" style="2408" customWidth="1"/>
    <col min="263" max="263" width="23.90625" style="2408" customWidth="1"/>
    <col min="264" max="264" width="2.08984375" style="2408" customWidth="1"/>
    <col min="265" max="265" width="23.90625" style="2408" customWidth="1"/>
    <col min="266" max="266" width="2.08984375" style="2408" customWidth="1"/>
    <col min="267" max="267" width="23.90625" style="2408" customWidth="1"/>
    <col min="268" max="268" width="2.08984375" style="2408" customWidth="1"/>
    <col min="269" max="269" width="23.90625" style="2408" customWidth="1"/>
    <col min="270" max="270" width="2.08984375" style="2408" customWidth="1"/>
    <col min="271" max="271" width="23.90625" style="2408" customWidth="1"/>
    <col min="272" max="272" width="2.81640625" style="2408" bestFit="1" customWidth="1"/>
    <col min="273" max="511" width="8.90625" style="2408"/>
    <col min="512" max="513" width="8.90625" style="2408" customWidth="1"/>
    <col min="514" max="514" width="10.1796875" style="2408" customWidth="1"/>
    <col min="515" max="515" width="2.1796875" style="2408" customWidth="1"/>
    <col min="516" max="516" width="50.453125" style="2408" customWidth="1"/>
    <col min="517" max="517" width="8.90625" style="2408"/>
    <col min="518" max="518" width="2.08984375" style="2408" customWidth="1"/>
    <col min="519" max="519" width="23.90625" style="2408" customWidth="1"/>
    <col min="520" max="520" width="2.08984375" style="2408" customWidth="1"/>
    <col min="521" max="521" width="23.90625" style="2408" customWidth="1"/>
    <col min="522" max="522" width="2.08984375" style="2408" customWidth="1"/>
    <col min="523" max="523" width="23.90625" style="2408" customWidth="1"/>
    <col min="524" max="524" width="2.08984375" style="2408" customWidth="1"/>
    <col min="525" max="525" width="23.90625" style="2408" customWidth="1"/>
    <col min="526" max="526" width="2.08984375" style="2408" customWidth="1"/>
    <col min="527" max="527" width="23.90625" style="2408" customWidth="1"/>
    <col min="528" max="528" width="2.81640625" style="2408" bestFit="1" customWidth="1"/>
    <col min="529" max="767" width="8.90625" style="2408"/>
    <col min="768" max="769" width="8.90625" style="2408" customWidth="1"/>
    <col min="770" max="770" width="10.1796875" style="2408" customWidth="1"/>
    <col min="771" max="771" width="2.1796875" style="2408" customWidth="1"/>
    <col min="772" max="772" width="50.453125" style="2408" customWidth="1"/>
    <col min="773" max="773" width="8.90625" style="2408"/>
    <col min="774" max="774" width="2.08984375" style="2408" customWidth="1"/>
    <col min="775" max="775" width="23.90625" style="2408" customWidth="1"/>
    <col min="776" max="776" width="2.08984375" style="2408" customWidth="1"/>
    <col min="777" max="777" width="23.90625" style="2408" customWidth="1"/>
    <col min="778" max="778" width="2.08984375" style="2408" customWidth="1"/>
    <col min="779" max="779" width="23.90625" style="2408" customWidth="1"/>
    <col min="780" max="780" width="2.08984375" style="2408" customWidth="1"/>
    <col min="781" max="781" width="23.90625" style="2408" customWidth="1"/>
    <col min="782" max="782" width="2.08984375" style="2408" customWidth="1"/>
    <col min="783" max="783" width="23.90625" style="2408" customWidth="1"/>
    <col min="784" max="784" width="2.81640625" style="2408" bestFit="1" customWidth="1"/>
    <col min="785" max="1023" width="8.90625" style="2408"/>
    <col min="1024" max="1025" width="8.90625" style="2408" customWidth="1"/>
    <col min="1026" max="1026" width="10.1796875" style="2408" customWidth="1"/>
    <col min="1027" max="1027" width="2.1796875" style="2408" customWidth="1"/>
    <col min="1028" max="1028" width="50.453125" style="2408" customWidth="1"/>
    <col min="1029" max="1029" width="8.90625" style="2408"/>
    <col min="1030" max="1030" width="2.08984375" style="2408" customWidth="1"/>
    <col min="1031" max="1031" width="23.90625" style="2408" customWidth="1"/>
    <col min="1032" max="1032" width="2.08984375" style="2408" customWidth="1"/>
    <col min="1033" max="1033" width="23.90625" style="2408" customWidth="1"/>
    <col min="1034" max="1034" width="2.08984375" style="2408" customWidth="1"/>
    <col min="1035" max="1035" width="23.90625" style="2408" customWidth="1"/>
    <col min="1036" max="1036" width="2.08984375" style="2408" customWidth="1"/>
    <col min="1037" max="1037" width="23.90625" style="2408" customWidth="1"/>
    <col min="1038" max="1038" width="2.08984375" style="2408" customWidth="1"/>
    <col min="1039" max="1039" width="23.90625" style="2408" customWidth="1"/>
    <col min="1040" max="1040" width="2.81640625" style="2408" bestFit="1" customWidth="1"/>
    <col min="1041" max="1279" width="8.90625" style="2408"/>
    <col min="1280" max="1281" width="8.90625" style="2408" customWidth="1"/>
    <col min="1282" max="1282" width="10.1796875" style="2408" customWidth="1"/>
    <col min="1283" max="1283" width="2.1796875" style="2408" customWidth="1"/>
    <col min="1284" max="1284" width="50.453125" style="2408" customWidth="1"/>
    <col min="1285" max="1285" width="8.90625" style="2408"/>
    <col min="1286" max="1286" width="2.08984375" style="2408" customWidth="1"/>
    <col min="1287" max="1287" width="23.90625" style="2408" customWidth="1"/>
    <col min="1288" max="1288" width="2.08984375" style="2408" customWidth="1"/>
    <col min="1289" max="1289" width="23.90625" style="2408" customWidth="1"/>
    <col min="1290" max="1290" width="2.08984375" style="2408" customWidth="1"/>
    <col min="1291" max="1291" width="23.90625" style="2408" customWidth="1"/>
    <col min="1292" max="1292" width="2.08984375" style="2408" customWidth="1"/>
    <col min="1293" max="1293" width="23.90625" style="2408" customWidth="1"/>
    <col min="1294" max="1294" width="2.08984375" style="2408" customWidth="1"/>
    <col min="1295" max="1295" width="23.90625" style="2408" customWidth="1"/>
    <col min="1296" max="1296" width="2.81640625" style="2408" bestFit="1" customWidth="1"/>
    <col min="1297" max="1535" width="8.90625" style="2408"/>
    <col min="1536" max="1537" width="8.90625" style="2408" customWidth="1"/>
    <col min="1538" max="1538" width="10.1796875" style="2408" customWidth="1"/>
    <col min="1539" max="1539" width="2.1796875" style="2408" customWidth="1"/>
    <col min="1540" max="1540" width="50.453125" style="2408" customWidth="1"/>
    <col min="1541" max="1541" width="8.90625" style="2408"/>
    <col min="1542" max="1542" width="2.08984375" style="2408" customWidth="1"/>
    <col min="1543" max="1543" width="23.90625" style="2408" customWidth="1"/>
    <col min="1544" max="1544" width="2.08984375" style="2408" customWidth="1"/>
    <col min="1545" max="1545" width="23.90625" style="2408" customWidth="1"/>
    <col min="1546" max="1546" width="2.08984375" style="2408" customWidth="1"/>
    <col min="1547" max="1547" width="23.90625" style="2408" customWidth="1"/>
    <col min="1548" max="1548" width="2.08984375" style="2408" customWidth="1"/>
    <col min="1549" max="1549" width="23.90625" style="2408" customWidth="1"/>
    <col min="1550" max="1550" width="2.08984375" style="2408" customWidth="1"/>
    <col min="1551" max="1551" width="23.90625" style="2408" customWidth="1"/>
    <col min="1552" max="1552" width="2.81640625" style="2408" bestFit="1" customWidth="1"/>
    <col min="1553" max="1791" width="8.90625" style="2408"/>
    <col min="1792" max="1793" width="8.90625" style="2408" customWidth="1"/>
    <col min="1794" max="1794" width="10.1796875" style="2408" customWidth="1"/>
    <col min="1795" max="1795" width="2.1796875" style="2408" customWidth="1"/>
    <col min="1796" max="1796" width="50.453125" style="2408" customWidth="1"/>
    <col min="1797" max="1797" width="8.90625" style="2408"/>
    <col min="1798" max="1798" width="2.08984375" style="2408" customWidth="1"/>
    <col min="1799" max="1799" width="23.90625" style="2408" customWidth="1"/>
    <col min="1800" max="1800" width="2.08984375" style="2408" customWidth="1"/>
    <col min="1801" max="1801" width="23.90625" style="2408" customWidth="1"/>
    <col min="1802" max="1802" width="2.08984375" style="2408" customWidth="1"/>
    <col min="1803" max="1803" width="23.90625" style="2408" customWidth="1"/>
    <col min="1804" max="1804" width="2.08984375" style="2408" customWidth="1"/>
    <col min="1805" max="1805" width="23.90625" style="2408" customWidth="1"/>
    <col min="1806" max="1806" width="2.08984375" style="2408" customWidth="1"/>
    <col min="1807" max="1807" width="23.90625" style="2408" customWidth="1"/>
    <col min="1808" max="1808" width="2.81640625" style="2408" bestFit="1" customWidth="1"/>
    <col min="1809" max="2047" width="8.90625" style="2408"/>
    <col min="2048" max="2049" width="8.90625" style="2408" customWidth="1"/>
    <col min="2050" max="2050" width="10.1796875" style="2408" customWidth="1"/>
    <col min="2051" max="2051" width="2.1796875" style="2408" customWidth="1"/>
    <col min="2052" max="2052" width="50.453125" style="2408" customWidth="1"/>
    <col min="2053" max="2053" width="8.90625" style="2408"/>
    <col min="2054" max="2054" width="2.08984375" style="2408" customWidth="1"/>
    <col min="2055" max="2055" width="23.90625" style="2408" customWidth="1"/>
    <col min="2056" max="2056" width="2.08984375" style="2408" customWidth="1"/>
    <col min="2057" max="2057" width="23.90625" style="2408" customWidth="1"/>
    <col min="2058" max="2058" width="2.08984375" style="2408" customWidth="1"/>
    <col min="2059" max="2059" width="23.90625" style="2408" customWidth="1"/>
    <col min="2060" max="2060" width="2.08984375" style="2408" customWidth="1"/>
    <col min="2061" max="2061" width="23.90625" style="2408" customWidth="1"/>
    <col min="2062" max="2062" width="2.08984375" style="2408" customWidth="1"/>
    <col min="2063" max="2063" width="23.90625" style="2408" customWidth="1"/>
    <col min="2064" max="2064" width="2.81640625" style="2408" bestFit="1" customWidth="1"/>
    <col min="2065" max="2303" width="8.90625" style="2408"/>
    <col min="2304" max="2305" width="8.90625" style="2408" customWidth="1"/>
    <col min="2306" max="2306" width="10.1796875" style="2408" customWidth="1"/>
    <col min="2307" max="2307" width="2.1796875" style="2408" customWidth="1"/>
    <col min="2308" max="2308" width="50.453125" style="2408" customWidth="1"/>
    <col min="2309" max="2309" width="8.90625" style="2408"/>
    <col min="2310" max="2310" width="2.08984375" style="2408" customWidth="1"/>
    <col min="2311" max="2311" width="23.90625" style="2408" customWidth="1"/>
    <col min="2312" max="2312" width="2.08984375" style="2408" customWidth="1"/>
    <col min="2313" max="2313" width="23.90625" style="2408" customWidth="1"/>
    <col min="2314" max="2314" width="2.08984375" style="2408" customWidth="1"/>
    <col min="2315" max="2315" width="23.90625" style="2408" customWidth="1"/>
    <col min="2316" max="2316" width="2.08984375" style="2408" customWidth="1"/>
    <col min="2317" max="2317" width="23.90625" style="2408" customWidth="1"/>
    <col min="2318" max="2318" width="2.08984375" style="2408" customWidth="1"/>
    <col min="2319" max="2319" width="23.90625" style="2408" customWidth="1"/>
    <col min="2320" max="2320" width="2.81640625" style="2408" bestFit="1" customWidth="1"/>
    <col min="2321" max="2559" width="8.90625" style="2408"/>
    <col min="2560" max="2561" width="8.90625" style="2408" customWidth="1"/>
    <col min="2562" max="2562" width="10.1796875" style="2408" customWidth="1"/>
    <col min="2563" max="2563" width="2.1796875" style="2408" customWidth="1"/>
    <col min="2564" max="2564" width="50.453125" style="2408" customWidth="1"/>
    <col min="2565" max="2565" width="8.90625" style="2408"/>
    <col min="2566" max="2566" width="2.08984375" style="2408" customWidth="1"/>
    <col min="2567" max="2567" width="23.90625" style="2408" customWidth="1"/>
    <col min="2568" max="2568" width="2.08984375" style="2408" customWidth="1"/>
    <col min="2569" max="2569" width="23.90625" style="2408" customWidth="1"/>
    <col min="2570" max="2570" width="2.08984375" style="2408" customWidth="1"/>
    <col min="2571" max="2571" width="23.90625" style="2408" customWidth="1"/>
    <col min="2572" max="2572" width="2.08984375" style="2408" customWidth="1"/>
    <col min="2573" max="2573" width="23.90625" style="2408" customWidth="1"/>
    <col min="2574" max="2574" width="2.08984375" style="2408" customWidth="1"/>
    <col min="2575" max="2575" width="23.90625" style="2408" customWidth="1"/>
    <col min="2576" max="2576" width="2.81640625" style="2408" bestFit="1" customWidth="1"/>
    <col min="2577" max="2815" width="8.90625" style="2408"/>
    <col min="2816" max="2817" width="8.90625" style="2408" customWidth="1"/>
    <col min="2818" max="2818" width="10.1796875" style="2408" customWidth="1"/>
    <col min="2819" max="2819" width="2.1796875" style="2408" customWidth="1"/>
    <col min="2820" max="2820" width="50.453125" style="2408" customWidth="1"/>
    <col min="2821" max="2821" width="8.90625" style="2408"/>
    <col min="2822" max="2822" width="2.08984375" style="2408" customWidth="1"/>
    <col min="2823" max="2823" width="23.90625" style="2408" customWidth="1"/>
    <col min="2824" max="2824" width="2.08984375" style="2408" customWidth="1"/>
    <col min="2825" max="2825" width="23.90625" style="2408" customWidth="1"/>
    <col min="2826" max="2826" width="2.08984375" style="2408" customWidth="1"/>
    <col min="2827" max="2827" width="23.90625" style="2408" customWidth="1"/>
    <col min="2828" max="2828" width="2.08984375" style="2408" customWidth="1"/>
    <col min="2829" max="2829" width="23.90625" style="2408" customWidth="1"/>
    <col min="2830" max="2830" width="2.08984375" style="2408" customWidth="1"/>
    <col min="2831" max="2831" width="23.90625" style="2408" customWidth="1"/>
    <col min="2832" max="2832" width="2.81640625" style="2408" bestFit="1" customWidth="1"/>
    <col min="2833" max="3071" width="8.90625" style="2408"/>
    <col min="3072" max="3073" width="8.90625" style="2408" customWidth="1"/>
    <col min="3074" max="3074" width="10.1796875" style="2408" customWidth="1"/>
    <col min="3075" max="3075" width="2.1796875" style="2408" customWidth="1"/>
    <col min="3076" max="3076" width="50.453125" style="2408" customWidth="1"/>
    <col min="3077" max="3077" width="8.90625" style="2408"/>
    <col min="3078" max="3078" width="2.08984375" style="2408" customWidth="1"/>
    <col min="3079" max="3079" width="23.90625" style="2408" customWidth="1"/>
    <col min="3080" max="3080" width="2.08984375" style="2408" customWidth="1"/>
    <col min="3081" max="3081" width="23.90625" style="2408" customWidth="1"/>
    <col min="3082" max="3082" width="2.08984375" style="2408" customWidth="1"/>
    <col min="3083" max="3083" width="23.90625" style="2408" customWidth="1"/>
    <col min="3084" max="3084" width="2.08984375" style="2408" customWidth="1"/>
    <col min="3085" max="3085" width="23.90625" style="2408" customWidth="1"/>
    <col min="3086" max="3086" width="2.08984375" style="2408" customWidth="1"/>
    <col min="3087" max="3087" width="23.90625" style="2408" customWidth="1"/>
    <col min="3088" max="3088" width="2.81640625" style="2408" bestFit="1" customWidth="1"/>
    <col min="3089" max="3327" width="8.90625" style="2408"/>
    <col min="3328" max="3329" width="8.90625" style="2408" customWidth="1"/>
    <col min="3330" max="3330" width="10.1796875" style="2408" customWidth="1"/>
    <col min="3331" max="3331" width="2.1796875" style="2408" customWidth="1"/>
    <col min="3332" max="3332" width="50.453125" style="2408" customWidth="1"/>
    <col min="3333" max="3333" width="8.90625" style="2408"/>
    <col min="3334" max="3334" width="2.08984375" style="2408" customWidth="1"/>
    <col min="3335" max="3335" width="23.90625" style="2408" customWidth="1"/>
    <col min="3336" max="3336" width="2.08984375" style="2408" customWidth="1"/>
    <col min="3337" max="3337" width="23.90625" style="2408" customWidth="1"/>
    <col min="3338" max="3338" width="2.08984375" style="2408" customWidth="1"/>
    <col min="3339" max="3339" width="23.90625" style="2408" customWidth="1"/>
    <col min="3340" max="3340" width="2.08984375" style="2408" customWidth="1"/>
    <col min="3341" max="3341" width="23.90625" style="2408" customWidth="1"/>
    <col min="3342" max="3342" width="2.08984375" style="2408" customWidth="1"/>
    <col min="3343" max="3343" width="23.90625" style="2408" customWidth="1"/>
    <col min="3344" max="3344" width="2.81640625" style="2408" bestFit="1" customWidth="1"/>
    <col min="3345" max="3583" width="8.90625" style="2408"/>
    <col min="3584" max="3585" width="8.90625" style="2408" customWidth="1"/>
    <col min="3586" max="3586" width="10.1796875" style="2408" customWidth="1"/>
    <col min="3587" max="3587" width="2.1796875" style="2408" customWidth="1"/>
    <col min="3588" max="3588" width="50.453125" style="2408" customWidth="1"/>
    <col min="3589" max="3589" width="8.90625" style="2408"/>
    <col min="3590" max="3590" width="2.08984375" style="2408" customWidth="1"/>
    <col min="3591" max="3591" width="23.90625" style="2408" customWidth="1"/>
    <col min="3592" max="3592" width="2.08984375" style="2408" customWidth="1"/>
    <col min="3593" max="3593" width="23.90625" style="2408" customWidth="1"/>
    <col min="3594" max="3594" width="2.08984375" style="2408" customWidth="1"/>
    <col min="3595" max="3595" width="23.90625" style="2408" customWidth="1"/>
    <col min="3596" max="3596" width="2.08984375" style="2408" customWidth="1"/>
    <col min="3597" max="3597" width="23.90625" style="2408" customWidth="1"/>
    <col min="3598" max="3598" width="2.08984375" style="2408" customWidth="1"/>
    <col min="3599" max="3599" width="23.90625" style="2408" customWidth="1"/>
    <col min="3600" max="3600" width="2.81640625" style="2408" bestFit="1" customWidth="1"/>
    <col min="3601" max="3839" width="8.90625" style="2408"/>
    <col min="3840" max="3841" width="8.90625" style="2408" customWidth="1"/>
    <col min="3842" max="3842" width="10.1796875" style="2408" customWidth="1"/>
    <col min="3843" max="3843" width="2.1796875" style="2408" customWidth="1"/>
    <col min="3844" max="3844" width="50.453125" style="2408" customWidth="1"/>
    <col min="3845" max="3845" width="8.90625" style="2408"/>
    <col min="3846" max="3846" width="2.08984375" style="2408" customWidth="1"/>
    <col min="3847" max="3847" width="23.90625" style="2408" customWidth="1"/>
    <col min="3848" max="3848" width="2.08984375" style="2408" customWidth="1"/>
    <col min="3849" max="3849" width="23.90625" style="2408" customWidth="1"/>
    <col min="3850" max="3850" width="2.08984375" style="2408" customWidth="1"/>
    <col min="3851" max="3851" width="23.90625" style="2408" customWidth="1"/>
    <col min="3852" max="3852" width="2.08984375" style="2408" customWidth="1"/>
    <col min="3853" max="3853" width="23.90625" style="2408" customWidth="1"/>
    <col min="3854" max="3854" width="2.08984375" style="2408" customWidth="1"/>
    <col min="3855" max="3855" width="23.90625" style="2408" customWidth="1"/>
    <col min="3856" max="3856" width="2.81640625" style="2408" bestFit="1" customWidth="1"/>
    <col min="3857" max="4095" width="8.90625" style="2408"/>
    <col min="4096" max="4097" width="8.90625" style="2408" customWidth="1"/>
    <col min="4098" max="4098" width="10.1796875" style="2408" customWidth="1"/>
    <col min="4099" max="4099" width="2.1796875" style="2408" customWidth="1"/>
    <col min="4100" max="4100" width="50.453125" style="2408" customWidth="1"/>
    <col min="4101" max="4101" width="8.90625" style="2408"/>
    <col min="4102" max="4102" width="2.08984375" style="2408" customWidth="1"/>
    <col min="4103" max="4103" width="23.90625" style="2408" customWidth="1"/>
    <col min="4104" max="4104" width="2.08984375" style="2408" customWidth="1"/>
    <col min="4105" max="4105" width="23.90625" style="2408" customWidth="1"/>
    <col min="4106" max="4106" width="2.08984375" style="2408" customWidth="1"/>
    <col min="4107" max="4107" width="23.90625" style="2408" customWidth="1"/>
    <col min="4108" max="4108" width="2.08984375" style="2408" customWidth="1"/>
    <col min="4109" max="4109" width="23.90625" style="2408" customWidth="1"/>
    <col min="4110" max="4110" width="2.08984375" style="2408" customWidth="1"/>
    <col min="4111" max="4111" width="23.90625" style="2408" customWidth="1"/>
    <col min="4112" max="4112" width="2.81640625" style="2408" bestFit="1" customWidth="1"/>
    <col min="4113" max="4351" width="8.90625" style="2408"/>
    <col min="4352" max="4353" width="8.90625" style="2408" customWidth="1"/>
    <col min="4354" max="4354" width="10.1796875" style="2408" customWidth="1"/>
    <col min="4355" max="4355" width="2.1796875" style="2408" customWidth="1"/>
    <col min="4356" max="4356" width="50.453125" style="2408" customWidth="1"/>
    <col min="4357" max="4357" width="8.90625" style="2408"/>
    <col min="4358" max="4358" width="2.08984375" style="2408" customWidth="1"/>
    <col min="4359" max="4359" width="23.90625" style="2408" customWidth="1"/>
    <col min="4360" max="4360" width="2.08984375" style="2408" customWidth="1"/>
    <col min="4361" max="4361" width="23.90625" style="2408" customWidth="1"/>
    <col min="4362" max="4362" width="2.08984375" style="2408" customWidth="1"/>
    <col min="4363" max="4363" width="23.90625" style="2408" customWidth="1"/>
    <col min="4364" max="4364" width="2.08984375" style="2408" customWidth="1"/>
    <col min="4365" max="4365" width="23.90625" style="2408" customWidth="1"/>
    <col min="4366" max="4366" width="2.08984375" style="2408" customWidth="1"/>
    <col min="4367" max="4367" width="23.90625" style="2408" customWidth="1"/>
    <col min="4368" max="4368" width="2.81640625" style="2408" bestFit="1" customWidth="1"/>
    <col min="4369" max="4607" width="8.90625" style="2408"/>
    <col min="4608" max="4609" width="8.90625" style="2408" customWidth="1"/>
    <col min="4610" max="4610" width="10.1796875" style="2408" customWidth="1"/>
    <col min="4611" max="4611" width="2.1796875" style="2408" customWidth="1"/>
    <col min="4612" max="4612" width="50.453125" style="2408" customWidth="1"/>
    <col min="4613" max="4613" width="8.90625" style="2408"/>
    <col min="4614" max="4614" width="2.08984375" style="2408" customWidth="1"/>
    <col min="4615" max="4615" width="23.90625" style="2408" customWidth="1"/>
    <col min="4616" max="4616" width="2.08984375" style="2408" customWidth="1"/>
    <col min="4617" max="4617" width="23.90625" style="2408" customWidth="1"/>
    <col min="4618" max="4618" width="2.08984375" style="2408" customWidth="1"/>
    <col min="4619" max="4619" width="23.90625" style="2408" customWidth="1"/>
    <col min="4620" max="4620" width="2.08984375" style="2408" customWidth="1"/>
    <col min="4621" max="4621" width="23.90625" style="2408" customWidth="1"/>
    <col min="4622" max="4622" width="2.08984375" style="2408" customWidth="1"/>
    <col min="4623" max="4623" width="23.90625" style="2408" customWidth="1"/>
    <col min="4624" max="4624" width="2.81640625" style="2408" bestFit="1" customWidth="1"/>
    <col min="4625" max="4863" width="8.90625" style="2408"/>
    <col min="4864" max="4865" width="8.90625" style="2408" customWidth="1"/>
    <col min="4866" max="4866" width="10.1796875" style="2408" customWidth="1"/>
    <col min="4867" max="4867" width="2.1796875" style="2408" customWidth="1"/>
    <col min="4868" max="4868" width="50.453125" style="2408" customWidth="1"/>
    <col min="4869" max="4869" width="8.90625" style="2408"/>
    <col min="4870" max="4870" width="2.08984375" style="2408" customWidth="1"/>
    <col min="4871" max="4871" width="23.90625" style="2408" customWidth="1"/>
    <col min="4872" max="4872" width="2.08984375" style="2408" customWidth="1"/>
    <col min="4873" max="4873" width="23.90625" style="2408" customWidth="1"/>
    <col min="4874" max="4874" width="2.08984375" style="2408" customWidth="1"/>
    <col min="4875" max="4875" width="23.90625" style="2408" customWidth="1"/>
    <col min="4876" max="4876" width="2.08984375" style="2408" customWidth="1"/>
    <col min="4877" max="4877" width="23.90625" style="2408" customWidth="1"/>
    <col min="4878" max="4878" width="2.08984375" style="2408" customWidth="1"/>
    <col min="4879" max="4879" width="23.90625" style="2408" customWidth="1"/>
    <col min="4880" max="4880" width="2.81640625" style="2408" bestFit="1" customWidth="1"/>
    <col min="4881" max="5119" width="8.90625" style="2408"/>
    <col min="5120" max="5121" width="8.90625" style="2408" customWidth="1"/>
    <col min="5122" max="5122" width="10.1796875" style="2408" customWidth="1"/>
    <col min="5123" max="5123" width="2.1796875" style="2408" customWidth="1"/>
    <col min="5124" max="5124" width="50.453125" style="2408" customWidth="1"/>
    <col min="5125" max="5125" width="8.90625" style="2408"/>
    <col min="5126" max="5126" width="2.08984375" style="2408" customWidth="1"/>
    <col min="5127" max="5127" width="23.90625" style="2408" customWidth="1"/>
    <col min="5128" max="5128" width="2.08984375" style="2408" customWidth="1"/>
    <col min="5129" max="5129" width="23.90625" style="2408" customWidth="1"/>
    <col min="5130" max="5130" width="2.08984375" style="2408" customWidth="1"/>
    <col min="5131" max="5131" width="23.90625" style="2408" customWidth="1"/>
    <col min="5132" max="5132" width="2.08984375" style="2408" customWidth="1"/>
    <col min="5133" max="5133" width="23.90625" style="2408" customWidth="1"/>
    <col min="5134" max="5134" width="2.08984375" style="2408" customWidth="1"/>
    <col min="5135" max="5135" width="23.90625" style="2408" customWidth="1"/>
    <col min="5136" max="5136" width="2.81640625" style="2408" bestFit="1" customWidth="1"/>
    <col min="5137" max="5375" width="8.90625" style="2408"/>
    <col min="5376" max="5377" width="8.90625" style="2408" customWidth="1"/>
    <col min="5378" max="5378" width="10.1796875" style="2408" customWidth="1"/>
    <col min="5379" max="5379" width="2.1796875" style="2408" customWidth="1"/>
    <col min="5380" max="5380" width="50.453125" style="2408" customWidth="1"/>
    <col min="5381" max="5381" width="8.90625" style="2408"/>
    <col min="5382" max="5382" width="2.08984375" style="2408" customWidth="1"/>
    <col min="5383" max="5383" width="23.90625" style="2408" customWidth="1"/>
    <col min="5384" max="5384" width="2.08984375" style="2408" customWidth="1"/>
    <col min="5385" max="5385" width="23.90625" style="2408" customWidth="1"/>
    <col min="5386" max="5386" width="2.08984375" style="2408" customWidth="1"/>
    <col min="5387" max="5387" width="23.90625" style="2408" customWidth="1"/>
    <col min="5388" max="5388" width="2.08984375" style="2408" customWidth="1"/>
    <col min="5389" max="5389" width="23.90625" style="2408" customWidth="1"/>
    <col min="5390" max="5390" width="2.08984375" style="2408" customWidth="1"/>
    <col min="5391" max="5391" width="23.90625" style="2408" customWidth="1"/>
    <col min="5392" max="5392" width="2.81640625" style="2408" bestFit="1" customWidth="1"/>
    <col min="5393" max="5631" width="8.90625" style="2408"/>
    <col min="5632" max="5633" width="8.90625" style="2408" customWidth="1"/>
    <col min="5634" max="5634" width="10.1796875" style="2408" customWidth="1"/>
    <col min="5635" max="5635" width="2.1796875" style="2408" customWidth="1"/>
    <col min="5636" max="5636" width="50.453125" style="2408" customWidth="1"/>
    <col min="5637" max="5637" width="8.90625" style="2408"/>
    <col min="5638" max="5638" width="2.08984375" style="2408" customWidth="1"/>
    <col min="5639" max="5639" width="23.90625" style="2408" customWidth="1"/>
    <col min="5640" max="5640" width="2.08984375" style="2408" customWidth="1"/>
    <col min="5641" max="5641" width="23.90625" style="2408" customWidth="1"/>
    <col min="5642" max="5642" width="2.08984375" style="2408" customWidth="1"/>
    <col min="5643" max="5643" width="23.90625" style="2408" customWidth="1"/>
    <col min="5644" max="5644" width="2.08984375" style="2408" customWidth="1"/>
    <col min="5645" max="5645" width="23.90625" style="2408" customWidth="1"/>
    <col min="5646" max="5646" width="2.08984375" style="2408" customWidth="1"/>
    <col min="5647" max="5647" width="23.90625" style="2408" customWidth="1"/>
    <col min="5648" max="5648" width="2.81640625" style="2408" bestFit="1" customWidth="1"/>
    <col min="5649" max="5887" width="8.90625" style="2408"/>
    <col min="5888" max="5889" width="8.90625" style="2408" customWidth="1"/>
    <col min="5890" max="5890" width="10.1796875" style="2408" customWidth="1"/>
    <col min="5891" max="5891" width="2.1796875" style="2408" customWidth="1"/>
    <col min="5892" max="5892" width="50.453125" style="2408" customWidth="1"/>
    <col min="5893" max="5893" width="8.90625" style="2408"/>
    <col min="5894" max="5894" width="2.08984375" style="2408" customWidth="1"/>
    <col min="5895" max="5895" width="23.90625" style="2408" customWidth="1"/>
    <col min="5896" max="5896" width="2.08984375" style="2408" customWidth="1"/>
    <col min="5897" max="5897" width="23.90625" style="2408" customWidth="1"/>
    <col min="5898" max="5898" width="2.08984375" style="2408" customWidth="1"/>
    <col min="5899" max="5899" width="23.90625" style="2408" customWidth="1"/>
    <col min="5900" max="5900" width="2.08984375" style="2408" customWidth="1"/>
    <col min="5901" max="5901" width="23.90625" style="2408" customWidth="1"/>
    <col min="5902" max="5902" width="2.08984375" style="2408" customWidth="1"/>
    <col min="5903" max="5903" width="23.90625" style="2408" customWidth="1"/>
    <col min="5904" max="5904" width="2.81640625" style="2408" bestFit="1" customWidth="1"/>
    <col min="5905" max="6143" width="8.90625" style="2408"/>
    <col min="6144" max="6145" width="8.90625" style="2408" customWidth="1"/>
    <col min="6146" max="6146" width="10.1796875" style="2408" customWidth="1"/>
    <col min="6147" max="6147" width="2.1796875" style="2408" customWidth="1"/>
    <col min="6148" max="6148" width="50.453125" style="2408" customWidth="1"/>
    <col min="6149" max="6149" width="8.90625" style="2408"/>
    <col min="6150" max="6150" width="2.08984375" style="2408" customWidth="1"/>
    <col min="6151" max="6151" width="23.90625" style="2408" customWidth="1"/>
    <col min="6152" max="6152" width="2.08984375" style="2408" customWidth="1"/>
    <col min="6153" max="6153" width="23.90625" style="2408" customWidth="1"/>
    <col min="6154" max="6154" width="2.08984375" style="2408" customWidth="1"/>
    <col min="6155" max="6155" width="23.90625" style="2408" customWidth="1"/>
    <col min="6156" max="6156" width="2.08984375" style="2408" customWidth="1"/>
    <col min="6157" max="6157" width="23.90625" style="2408" customWidth="1"/>
    <col min="6158" max="6158" width="2.08984375" style="2408" customWidth="1"/>
    <col min="6159" max="6159" width="23.90625" style="2408" customWidth="1"/>
    <col min="6160" max="6160" width="2.81640625" style="2408" bestFit="1" customWidth="1"/>
    <col min="6161" max="6399" width="8.90625" style="2408"/>
    <col min="6400" max="6401" width="8.90625" style="2408" customWidth="1"/>
    <col min="6402" max="6402" width="10.1796875" style="2408" customWidth="1"/>
    <col min="6403" max="6403" width="2.1796875" style="2408" customWidth="1"/>
    <col min="6404" max="6404" width="50.453125" style="2408" customWidth="1"/>
    <col min="6405" max="6405" width="8.90625" style="2408"/>
    <col min="6406" max="6406" width="2.08984375" style="2408" customWidth="1"/>
    <col min="6407" max="6407" width="23.90625" style="2408" customWidth="1"/>
    <col min="6408" max="6408" width="2.08984375" style="2408" customWidth="1"/>
    <col min="6409" max="6409" width="23.90625" style="2408" customWidth="1"/>
    <col min="6410" max="6410" width="2.08984375" style="2408" customWidth="1"/>
    <col min="6411" max="6411" width="23.90625" style="2408" customWidth="1"/>
    <col min="6412" max="6412" width="2.08984375" style="2408" customWidth="1"/>
    <col min="6413" max="6413" width="23.90625" style="2408" customWidth="1"/>
    <col min="6414" max="6414" width="2.08984375" style="2408" customWidth="1"/>
    <col min="6415" max="6415" width="23.90625" style="2408" customWidth="1"/>
    <col min="6416" max="6416" width="2.81640625" style="2408" bestFit="1" customWidth="1"/>
    <col min="6417" max="6655" width="8.90625" style="2408"/>
    <col min="6656" max="6657" width="8.90625" style="2408" customWidth="1"/>
    <col min="6658" max="6658" width="10.1796875" style="2408" customWidth="1"/>
    <col min="6659" max="6659" width="2.1796875" style="2408" customWidth="1"/>
    <col min="6660" max="6660" width="50.453125" style="2408" customWidth="1"/>
    <col min="6661" max="6661" width="8.90625" style="2408"/>
    <col min="6662" max="6662" width="2.08984375" style="2408" customWidth="1"/>
    <col min="6663" max="6663" width="23.90625" style="2408" customWidth="1"/>
    <col min="6664" max="6664" width="2.08984375" style="2408" customWidth="1"/>
    <col min="6665" max="6665" width="23.90625" style="2408" customWidth="1"/>
    <col min="6666" max="6666" width="2.08984375" style="2408" customWidth="1"/>
    <col min="6667" max="6667" width="23.90625" style="2408" customWidth="1"/>
    <col min="6668" max="6668" width="2.08984375" style="2408" customWidth="1"/>
    <col min="6669" max="6669" width="23.90625" style="2408" customWidth="1"/>
    <col min="6670" max="6670" width="2.08984375" style="2408" customWidth="1"/>
    <col min="6671" max="6671" width="23.90625" style="2408" customWidth="1"/>
    <col min="6672" max="6672" width="2.81640625" style="2408" bestFit="1" customWidth="1"/>
    <col min="6673" max="6911" width="8.90625" style="2408"/>
    <col min="6912" max="6913" width="8.90625" style="2408" customWidth="1"/>
    <col min="6914" max="6914" width="10.1796875" style="2408" customWidth="1"/>
    <col min="6915" max="6915" width="2.1796875" style="2408" customWidth="1"/>
    <col min="6916" max="6916" width="50.453125" style="2408" customWidth="1"/>
    <col min="6917" max="6917" width="8.90625" style="2408"/>
    <col min="6918" max="6918" width="2.08984375" style="2408" customWidth="1"/>
    <col min="6919" max="6919" width="23.90625" style="2408" customWidth="1"/>
    <col min="6920" max="6920" width="2.08984375" style="2408" customWidth="1"/>
    <col min="6921" max="6921" width="23.90625" style="2408" customWidth="1"/>
    <col min="6922" max="6922" width="2.08984375" style="2408" customWidth="1"/>
    <col min="6923" max="6923" width="23.90625" style="2408" customWidth="1"/>
    <col min="6924" max="6924" width="2.08984375" style="2408" customWidth="1"/>
    <col min="6925" max="6925" width="23.90625" style="2408" customWidth="1"/>
    <col min="6926" max="6926" width="2.08984375" style="2408" customWidth="1"/>
    <col min="6927" max="6927" width="23.90625" style="2408" customWidth="1"/>
    <col min="6928" max="6928" width="2.81640625" style="2408" bestFit="1" customWidth="1"/>
    <col min="6929" max="7167" width="8.90625" style="2408"/>
    <col min="7168" max="7169" width="8.90625" style="2408" customWidth="1"/>
    <col min="7170" max="7170" width="10.1796875" style="2408" customWidth="1"/>
    <col min="7171" max="7171" width="2.1796875" style="2408" customWidth="1"/>
    <col min="7172" max="7172" width="50.453125" style="2408" customWidth="1"/>
    <col min="7173" max="7173" width="8.90625" style="2408"/>
    <col min="7174" max="7174" width="2.08984375" style="2408" customWidth="1"/>
    <col min="7175" max="7175" width="23.90625" style="2408" customWidth="1"/>
    <col min="7176" max="7176" width="2.08984375" style="2408" customWidth="1"/>
    <col min="7177" max="7177" width="23.90625" style="2408" customWidth="1"/>
    <col min="7178" max="7178" width="2.08984375" style="2408" customWidth="1"/>
    <col min="7179" max="7179" width="23.90625" style="2408" customWidth="1"/>
    <col min="7180" max="7180" width="2.08984375" style="2408" customWidth="1"/>
    <col min="7181" max="7181" width="23.90625" style="2408" customWidth="1"/>
    <col min="7182" max="7182" width="2.08984375" style="2408" customWidth="1"/>
    <col min="7183" max="7183" width="23.90625" style="2408" customWidth="1"/>
    <col min="7184" max="7184" width="2.81640625" style="2408" bestFit="1" customWidth="1"/>
    <col min="7185" max="7423" width="8.90625" style="2408"/>
    <col min="7424" max="7425" width="8.90625" style="2408" customWidth="1"/>
    <col min="7426" max="7426" width="10.1796875" style="2408" customWidth="1"/>
    <col min="7427" max="7427" width="2.1796875" style="2408" customWidth="1"/>
    <col min="7428" max="7428" width="50.453125" style="2408" customWidth="1"/>
    <col min="7429" max="7429" width="8.90625" style="2408"/>
    <col min="7430" max="7430" width="2.08984375" style="2408" customWidth="1"/>
    <col min="7431" max="7431" width="23.90625" style="2408" customWidth="1"/>
    <col min="7432" max="7432" width="2.08984375" style="2408" customWidth="1"/>
    <col min="7433" max="7433" width="23.90625" style="2408" customWidth="1"/>
    <col min="7434" max="7434" width="2.08984375" style="2408" customWidth="1"/>
    <col min="7435" max="7435" width="23.90625" style="2408" customWidth="1"/>
    <col min="7436" max="7436" width="2.08984375" style="2408" customWidth="1"/>
    <col min="7437" max="7437" width="23.90625" style="2408" customWidth="1"/>
    <col min="7438" max="7438" width="2.08984375" style="2408" customWidth="1"/>
    <col min="7439" max="7439" width="23.90625" style="2408" customWidth="1"/>
    <col min="7440" max="7440" width="2.81640625" style="2408" bestFit="1" customWidth="1"/>
    <col min="7441" max="7679" width="8.90625" style="2408"/>
    <col min="7680" max="7681" width="8.90625" style="2408" customWidth="1"/>
    <col min="7682" max="7682" width="10.1796875" style="2408" customWidth="1"/>
    <col min="7683" max="7683" width="2.1796875" style="2408" customWidth="1"/>
    <col min="7684" max="7684" width="50.453125" style="2408" customWidth="1"/>
    <col min="7685" max="7685" width="8.90625" style="2408"/>
    <col min="7686" max="7686" width="2.08984375" style="2408" customWidth="1"/>
    <col min="7687" max="7687" width="23.90625" style="2408" customWidth="1"/>
    <col min="7688" max="7688" width="2.08984375" style="2408" customWidth="1"/>
    <col min="7689" max="7689" width="23.90625" style="2408" customWidth="1"/>
    <col min="7690" max="7690" width="2.08984375" style="2408" customWidth="1"/>
    <col min="7691" max="7691" width="23.90625" style="2408" customWidth="1"/>
    <col min="7692" max="7692" width="2.08984375" style="2408" customWidth="1"/>
    <col min="7693" max="7693" width="23.90625" style="2408" customWidth="1"/>
    <col min="7694" max="7694" width="2.08984375" style="2408" customWidth="1"/>
    <col min="7695" max="7695" width="23.90625" style="2408" customWidth="1"/>
    <col min="7696" max="7696" width="2.81640625" style="2408" bestFit="1" customWidth="1"/>
    <col min="7697" max="7935" width="8.90625" style="2408"/>
    <col min="7936" max="7937" width="8.90625" style="2408" customWidth="1"/>
    <col min="7938" max="7938" width="10.1796875" style="2408" customWidth="1"/>
    <col min="7939" max="7939" width="2.1796875" style="2408" customWidth="1"/>
    <col min="7940" max="7940" width="50.453125" style="2408" customWidth="1"/>
    <col min="7941" max="7941" width="8.90625" style="2408"/>
    <col min="7942" max="7942" width="2.08984375" style="2408" customWidth="1"/>
    <col min="7943" max="7943" width="23.90625" style="2408" customWidth="1"/>
    <col min="7944" max="7944" width="2.08984375" style="2408" customWidth="1"/>
    <col min="7945" max="7945" width="23.90625" style="2408" customWidth="1"/>
    <col min="7946" max="7946" width="2.08984375" style="2408" customWidth="1"/>
    <col min="7947" max="7947" width="23.90625" style="2408" customWidth="1"/>
    <col min="7948" max="7948" width="2.08984375" style="2408" customWidth="1"/>
    <col min="7949" max="7949" width="23.90625" style="2408" customWidth="1"/>
    <col min="7950" max="7950" width="2.08984375" style="2408" customWidth="1"/>
    <col min="7951" max="7951" width="23.90625" style="2408" customWidth="1"/>
    <col min="7952" max="7952" width="2.81640625" style="2408" bestFit="1" customWidth="1"/>
    <col min="7953" max="8191" width="8.90625" style="2408"/>
    <col min="8192" max="8193" width="8.90625" style="2408" customWidth="1"/>
    <col min="8194" max="8194" width="10.1796875" style="2408" customWidth="1"/>
    <col min="8195" max="8195" width="2.1796875" style="2408" customWidth="1"/>
    <col min="8196" max="8196" width="50.453125" style="2408" customWidth="1"/>
    <col min="8197" max="8197" width="8.90625" style="2408"/>
    <col min="8198" max="8198" width="2.08984375" style="2408" customWidth="1"/>
    <col min="8199" max="8199" width="23.90625" style="2408" customWidth="1"/>
    <col min="8200" max="8200" width="2.08984375" style="2408" customWidth="1"/>
    <col min="8201" max="8201" width="23.90625" style="2408" customWidth="1"/>
    <col min="8202" max="8202" width="2.08984375" style="2408" customWidth="1"/>
    <col min="8203" max="8203" width="23.90625" style="2408" customWidth="1"/>
    <col min="8204" max="8204" width="2.08984375" style="2408" customWidth="1"/>
    <col min="8205" max="8205" width="23.90625" style="2408" customWidth="1"/>
    <col min="8206" max="8206" width="2.08984375" style="2408" customWidth="1"/>
    <col min="8207" max="8207" width="23.90625" style="2408" customWidth="1"/>
    <col min="8208" max="8208" width="2.81640625" style="2408" bestFit="1" customWidth="1"/>
    <col min="8209" max="8447" width="8.90625" style="2408"/>
    <col min="8448" max="8449" width="8.90625" style="2408" customWidth="1"/>
    <col min="8450" max="8450" width="10.1796875" style="2408" customWidth="1"/>
    <col min="8451" max="8451" width="2.1796875" style="2408" customWidth="1"/>
    <col min="8452" max="8452" width="50.453125" style="2408" customWidth="1"/>
    <col min="8453" max="8453" width="8.90625" style="2408"/>
    <col min="8454" max="8454" width="2.08984375" style="2408" customWidth="1"/>
    <col min="8455" max="8455" width="23.90625" style="2408" customWidth="1"/>
    <col min="8456" max="8456" width="2.08984375" style="2408" customWidth="1"/>
    <col min="8457" max="8457" width="23.90625" style="2408" customWidth="1"/>
    <col min="8458" max="8458" width="2.08984375" style="2408" customWidth="1"/>
    <col min="8459" max="8459" width="23.90625" style="2408" customWidth="1"/>
    <col min="8460" max="8460" width="2.08984375" style="2408" customWidth="1"/>
    <col min="8461" max="8461" width="23.90625" style="2408" customWidth="1"/>
    <col min="8462" max="8462" width="2.08984375" style="2408" customWidth="1"/>
    <col min="8463" max="8463" width="23.90625" style="2408" customWidth="1"/>
    <col min="8464" max="8464" width="2.81640625" style="2408" bestFit="1" customWidth="1"/>
    <col min="8465" max="8703" width="8.90625" style="2408"/>
    <col min="8704" max="8705" width="8.90625" style="2408" customWidth="1"/>
    <col min="8706" max="8706" width="10.1796875" style="2408" customWidth="1"/>
    <col min="8707" max="8707" width="2.1796875" style="2408" customWidth="1"/>
    <col min="8708" max="8708" width="50.453125" style="2408" customWidth="1"/>
    <col min="8709" max="8709" width="8.90625" style="2408"/>
    <col min="8710" max="8710" width="2.08984375" style="2408" customWidth="1"/>
    <col min="8711" max="8711" width="23.90625" style="2408" customWidth="1"/>
    <col min="8712" max="8712" width="2.08984375" style="2408" customWidth="1"/>
    <col min="8713" max="8713" width="23.90625" style="2408" customWidth="1"/>
    <col min="8714" max="8714" width="2.08984375" style="2408" customWidth="1"/>
    <col min="8715" max="8715" width="23.90625" style="2408" customWidth="1"/>
    <col min="8716" max="8716" width="2.08984375" style="2408" customWidth="1"/>
    <col min="8717" max="8717" width="23.90625" style="2408" customWidth="1"/>
    <col min="8718" max="8718" width="2.08984375" style="2408" customWidth="1"/>
    <col min="8719" max="8719" width="23.90625" style="2408" customWidth="1"/>
    <col min="8720" max="8720" width="2.81640625" style="2408" bestFit="1" customWidth="1"/>
    <col min="8721" max="8959" width="8.90625" style="2408"/>
    <col min="8960" max="8961" width="8.90625" style="2408" customWidth="1"/>
    <col min="8962" max="8962" width="10.1796875" style="2408" customWidth="1"/>
    <col min="8963" max="8963" width="2.1796875" style="2408" customWidth="1"/>
    <col min="8964" max="8964" width="50.453125" style="2408" customWidth="1"/>
    <col min="8965" max="8965" width="8.90625" style="2408"/>
    <col min="8966" max="8966" width="2.08984375" style="2408" customWidth="1"/>
    <col min="8967" max="8967" width="23.90625" style="2408" customWidth="1"/>
    <col min="8968" max="8968" width="2.08984375" style="2408" customWidth="1"/>
    <col min="8969" max="8969" width="23.90625" style="2408" customWidth="1"/>
    <col min="8970" max="8970" width="2.08984375" style="2408" customWidth="1"/>
    <col min="8971" max="8971" width="23.90625" style="2408" customWidth="1"/>
    <col min="8972" max="8972" width="2.08984375" style="2408" customWidth="1"/>
    <col min="8973" max="8973" width="23.90625" style="2408" customWidth="1"/>
    <col min="8974" max="8974" width="2.08984375" style="2408" customWidth="1"/>
    <col min="8975" max="8975" width="23.90625" style="2408" customWidth="1"/>
    <col min="8976" max="8976" width="2.81640625" style="2408" bestFit="1" customWidth="1"/>
    <col min="8977" max="9215" width="8.90625" style="2408"/>
    <col min="9216" max="9217" width="8.90625" style="2408" customWidth="1"/>
    <col min="9218" max="9218" width="10.1796875" style="2408" customWidth="1"/>
    <col min="9219" max="9219" width="2.1796875" style="2408" customWidth="1"/>
    <col min="9220" max="9220" width="50.453125" style="2408" customWidth="1"/>
    <col min="9221" max="9221" width="8.90625" style="2408"/>
    <col min="9222" max="9222" width="2.08984375" style="2408" customWidth="1"/>
    <col min="9223" max="9223" width="23.90625" style="2408" customWidth="1"/>
    <col min="9224" max="9224" width="2.08984375" style="2408" customWidth="1"/>
    <col min="9225" max="9225" width="23.90625" style="2408" customWidth="1"/>
    <col min="9226" max="9226" width="2.08984375" style="2408" customWidth="1"/>
    <col min="9227" max="9227" width="23.90625" style="2408" customWidth="1"/>
    <col min="9228" max="9228" width="2.08984375" style="2408" customWidth="1"/>
    <col min="9229" max="9229" width="23.90625" style="2408" customWidth="1"/>
    <col min="9230" max="9230" width="2.08984375" style="2408" customWidth="1"/>
    <col min="9231" max="9231" width="23.90625" style="2408" customWidth="1"/>
    <col min="9232" max="9232" width="2.81640625" style="2408" bestFit="1" customWidth="1"/>
    <col min="9233" max="9471" width="8.90625" style="2408"/>
    <col min="9472" max="9473" width="8.90625" style="2408" customWidth="1"/>
    <col min="9474" max="9474" width="10.1796875" style="2408" customWidth="1"/>
    <col min="9475" max="9475" width="2.1796875" style="2408" customWidth="1"/>
    <col min="9476" max="9476" width="50.453125" style="2408" customWidth="1"/>
    <col min="9477" max="9477" width="8.90625" style="2408"/>
    <col min="9478" max="9478" width="2.08984375" style="2408" customWidth="1"/>
    <col min="9479" max="9479" width="23.90625" style="2408" customWidth="1"/>
    <col min="9480" max="9480" width="2.08984375" style="2408" customWidth="1"/>
    <col min="9481" max="9481" width="23.90625" style="2408" customWidth="1"/>
    <col min="9482" max="9482" width="2.08984375" style="2408" customWidth="1"/>
    <col min="9483" max="9483" width="23.90625" style="2408" customWidth="1"/>
    <col min="9484" max="9484" width="2.08984375" style="2408" customWidth="1"/>
    <col min="9485" max="9485" width="23.90625" style="2408" customWidth="1"/>
    <col min="9486" max="9486" width="2.08984375" style="2408" customWidth="1"/>
    <col min="9487" max="9487" width="23.90625" style="2408" customWidth="1"/>
    <col min="9488" max="9488" width="2.81640625" style="2408" bestFit="1" customWidth="1"/>
    <col min="9489" max="9727" width="8.90625" style="2408"/>
    <col min="9728" max="9729" width="8.90625" style="2408" customWidth="1"/>
    <col min="9730" max="9730" width="10.1796875" style="2408" customWidth="1"/>
    <col min="9731" max="9731" width="2.1796875" style="2408" customWidth="1"/>
    <col min="9732" max="9732" width="50.453125" style="2408" customWidth="1"/>
    <col min="9733" max="9733" width="8.90625" style="2408"/>
    <col min="9734" max="9734" width="2.08984375" style="2408" customWidth="1"/>
    <col min="9735" max="9735" width="23.90625" style="2408" customWidth="1"/>
    <col min="9736" max="9736" width="2.08984375" style="2408" customWidth="1"/>
    <col min="9737" max="9737" width="23.90625" style="2408" customWidth="1"/>
    <col min="9738" max="9738" width="2.08984375" style="2408" customWidth="1"/>
    <col min="9739" max="9739" width="23.90625" style="2408" customWidth="1"/>
    <col min="9740" max="9740" width="2.08984375" style="2408" customWidth="1"/>
    <col min="9741" max="9741" width="23.90625" style="2408" customWidth="1"/>
    <col min="9742" max="9742" width="2.08984375" style="2408" customWidth="1"/>
    <col min="9743" max="9743" width="23.90625" style="2408" customWidth="1"/>
    <col min="9744" max="9744" width="2.81640625" style="2408" bestFit="1" customWidth="1"/>
    <col min="9745" max="9983" width="8.90625" style="2408"/>
    <col min="9984" max="9985" width="8.90625" style="2408" customWidth="1"/>
    <col min="9986" max="9986" width="10.1796875" style="2408" customWidth="1"/>
    <col min="9987" max="9987" width="2.1796875" style="2408" customWidth="1"/>
    <col min="9988" max="9988" width="50.453125" style="2408" customWidth="1"/>
    <col min="9989" max="9989" width="8.90625" style="2408"/>
    <col min="9990" max="9990" width="2.08984375" style="2408" customWidth="1"/>
    <col min="9991" max="9991" width="23.90625" style="2408" customWidth="1"/>
    <col min="9992" max="9992" width="2.08984375" style="2408" customWidth="1"/>
    <col min="9993" max="9993" width="23.90625" style="2408" customWidth="1"/>
    <col min="9994" max="9994" width="2.08984375" style="2408" customWidth="1"/>
    <col min="9995" max="9995" width="23.90625" style="2408" customWidth="1"/>
    <col min="9996" max="9996" width="2.08984375" style="2408" customWidth="1"/>
    <col min="9997" max="9997" width="23.90625" style="2408" customWidth="1"/>
    <col min="9998" max="9998" width="2.08984375" style="2408" customWidth="1"/>
    <col min="9999" max="9999" width="23.90625" style="2408" customWidth="1"/>
    <col min="10000" max="10000" width="2.81640625" style="2408" bestFit="1" customWidth="1"/>
    <col min="10001" max="10239" width="8.90625" style="2408"/>
    <col min="10240" max="10241" width="8.90625" style="2408" customWidth="1"/>
    <col min="10242" max="10242" width="10.1796875" style="2408" customWidth="1"/>
    <col min="10243" max="10243" width="2.1796875" style="2408" customWidth="1"/>
    <col min="10244" max="10244" width="50.453125" style="2408" customWidth="1"/>
    <col min="10245" max="10245" width="8.90625" style="2408"/>
    <col min="10246" max="10246" width="2.08984375" style="2408" customWidth="1"/>
    <col min="10247" max="10247" width="23.90625" style="2408" customWidth="1"/>
    <col min="10248" max="10248" width="2.08984375" style="2408" customWidth="1"/>
    <col min="10249" max="10249" width="23.90625" style="2408" customWidth="1"/>
    <col min="10250" max="10250" width="2.08984375" style="2408" customWidth="1"/>
    <col min="10251" max="10251" width="23.90625" style="2408" customWidth="1"/>
    <col min="10252" max="10252" width="2.08984375" style="2408" customWidth="1"/>
    <col min="10253" max="10253" width="23.90625" style="2408" customWidth="1"/>
    <col min="10254" max="10254" width="2.08984375" style="2408" customWidth="1"/>
    <col min="10255" max="10255" width="23.90625" style="2408" customWidth="1"/>
    <col min="10256" max="10256" width="2.81640625" style="2408" bestFit="1" customWidth="1"/>
    <col min="10257" max="10495" width="8.90625" style="2408"/>
    <col min="10496" max="10497" width="8.90625" style="2408" customWidth="1"/>
    <col min="10498" max="10498" width="10.1796875" style="2408" customWidth="1"/>
    <col min="10499" max="10499" width="2.1796875" style="2408" customWidth="1"/>
    <col min="10500" max="10500" width="50.453125" style="2408" customWidth="1"/>
    <col min="10501" max="10501" width="8.90625" style="2408"/>
    <col min="10502" max="10502" width="2.08984375" style="2408" customWidth="1"/>
    <col min="10503" max="10503" width="23.90625" style="2408" customWidth="1"/>
    <col min="10504" max="10504" width="2.08984375" style="2408" customWidth="1"/>
    <col min="10505" max="10505" width="23.90625" style="2408" customWidth="1"/>
    <col min="10506" max="10506" width="2.08984375" style="2408" customWidth="1"/>
    <col min="10507" max="10507" width="23.90625" style="2408" customWidth="1"/>
    <col min="10508" max="10508" width="2.08984375" style="2408" customWidth="1"/>
    <col min="10509" max="10509" width="23.90625" style="2408" customWidth="1"/>
    <col min="10510" max="10510" width="2.08984375" style="2408" customWidth="1"/>
    <col min="10511" max="10511" width="23.90625" style="2408" customWidth="1"/>
    <col min="10512" max="10512" width="2.81640625" style="2408" bestFit="1" customWidth="1"/>
    <col min="10513" max="10751" width="8.90625" style="2408"/>
    <col min="10752" max="10753" width="8.90625" style="2408" customWidth="1"/>
    <col min="10754" max="10754" width="10.1796875" style="2408" customWidth="1"/>
    <col min="10755" max="10755" width="2.1796875" style="2408" customWidth="1"/>
    <col min="10756" max="10756" width="50.453125" style="2408" customWidth="1"/>
    <col min="10757" max="10757" width="8.90625" style="2408"/>
    <col min="10758" max="10758" width="2.08984375" style="2408" customWidth="1"/>
    <col min="10759" max="10759" width="23.90625" style="2408" customWidth="1"/>
    <col min="10760" max="10760" width="2.08984375" style="2408" customWidth="1"/>
    <col min="10761" max="10761" width="23.90625" style="2408" customWidth="1"/>
    <col min="10762" max="10762" width="2.08984375" style="2408" customWidth="1"/>
    <col min="10763" max="10763" width="23.90625" style="2408" customWidth="1"/>
    <col min="10764" max="10764" width="2.08984375" style="2408" customWidth="1"/>
    <col min="10765" max="10765" width="23.90625" style="2408" customWidth="1"/>
    <col min="10766" max="10766" width="2.08984375" style="2408" customWidth="1"/>
    <col min="10767" max="10767" width="23.90625" style="2408" customWidth="1"/>
    <col min="10768" max="10768" width="2.81640625" style="2408" bestFit="1" customWidth="1"/>
    <col min="10769" max="11007" width="8.90625" style="2408"/>
    <col min="11008" max="11009" width="8.90625" style="2408" customWidth="1"/>
    <col min="11010" max="11010" width="10.1796875" style="2408" customWidth="1"/>
    <col min="11011" max="11011" width="2.1796875" style="2408" customWidth="1"/>
    <col min="11012" max="11012" width="50.453125" style="2408" customWidth="1"/>
    <col min="11013" max="11013" width="8.90625" style="2408"/>
    <col min="11014" max="11014" width="2.08984375" style="2408" customWidth="1"/>
    <col min="11015" max="11015" width="23.90625" style="2408" customWidth="1"/>
    <col min="11016" max="11016" width="2.08984375" style="2408" customWidth="1"/>
    <col min="11017" max="11017" width="23.90625" style="2408" customWidth="1"/>
    <col min="11018" max="11018" width="2.08984375" style="2408" customWidth="1"/>
    <col min="11019" max="11019" width="23.90625" style="2408" customWidth="1"/>
    <col min="11020" max="11020" width="2.08984375" style="2408" customWidth="1"/>
    <col min="11021" max="11021" width="23.90625" style="2408" customWidth="1"/>
    <col min="11022" max="11022" width="2.08984375" style="2408" customWidth="1"/>
    <col min="11023" max="11023" width="23.90625" style="2408" customWidth="1"/>
    <col min="11024" max="11024" width="2.81640625" style="2408" bestFit="1" customWidth="1"/>
    <col min="11025" max="11263" width="8.90625" style="2408"/>
    <col min="11264" max="11265" width="8.90625" style="2408" customWidth="1"/>
    <col min="11266" max="11266" width="10.1796875" style="2408" customWidth="1"/>
    <col min="11267" max="11267" width="2.1796875" style="2408" customWidth="1"/>
    <col min="11268" max="11268" width="50.453125" style="2408" customWidth="1"/>
    <col min="11269" max="11269" width="8.90625" style="2408"/>
    <col min="11270" max="11270" width="2.08984375" style="2408" customWidth="1"/>
    <col min="11271" max="11271" width="23.90625" style="2408" customWidth="1"/>
    <col min="11272" max="11272" width="2.08984375" style="2408" customWidth="1"/>
    <col min="11273" max="11273" width="23.90625" style="2408" customWidth="1"/>
    <col min="11274" max="11274" width="2.08984375" style="2408" customWidth="1"/>
    <col min="11275" max="11275" width="23.90625" style="2408" customWidth="1"/>
    <col min="11276" max="11276" width="2.08984375" style="2408" customWidth="1"/>
    <col min="11277" max="11277" width="23.90625" style="2408" customWidth="1"/>
    <col min="11278" max="11278" width="2.08984375" style="2408" customWidth="1"/>
    <col min="11279" max="11279" width="23.90625" style="2408" customWidth="1"/>
    <col min="11280" max="11280" width="2.81640625" style="2408" bestFit="1" customWidth="1"/>
    <col min="11281" max="11519" width="8.90625" style="2408"/>
    <col min="11520" max="11521" width="8.90625" style="2408" customWidth="1"/>
    <col min="11522" max="11522" width="10.1796875" style="2408" customWidth="1"/>
    <col min="11523" max="11523" width="2.1796875" style="2408" customWidth="1"/>
    <col min="11524" max="11524" width="50.453125" style="2408" customWidth="1"/>
    <col min="11525" max="11525" width="8.90625" style="2408"/>
    <col min="11526" max="11526" width="2.08984375" style="2408" customWidth="1"/>
    <col min="11527" max="11527" width="23.90625" style="2408" customWidth="1"/>
    <col min="11528" max="11528" width="2.08984375" style="2408" customWidth="1"/>
    <col min="11529" max="11529" width="23.90625" style="2408" customWidth="1"/>
    <col min="11530" max="11530" width="2.08984375" style="2408" customWidth="1"/>
    <col min="11531" max="11531" width="23.90625" style="2408" customWidth="1"/>
    <col min="11532" max="11532" width="2.08984375" style="2408" customWidth="1"/>
    <col min="11533" max="11533" width="23.90625" style="2408" customWidth="1"/>
    <col min="11534" max="11534" width="2.08984375" style="2408" customWidth="1"/>
    <col min="11535" max="11535" width="23.90625" style="2408" customWidth="1"/>
    <col min="11536" max="11536" width="2.81640625" style="2408" bestFit="1" customWidth="1"/>
    <col min="11537" max="11775" width="8.90625" style="2408"/>
    <col min="11776" max="11777" width="8.90625" style="2408" customWidth="1"/>
    <col min="11778" max="11778" width="10.1796875" style="2408" customWidth="1"/>
    <col min="11779" max="11779" width="2.1796875" style="2408" customWidth="1"/>
    <col min="11780" max="11780" width="50.453125" style="2408" customWidth="1"/>
    <col min="11781" max="11781" width="8.90625" style="2408"/>
    <col min="11782" max="11782" width="2.08984375" style="2408" customWidth="1"/>
    <col min="11783" max="11783" width="23.90625" style="2408" customWidth="1"/>
    <col min="11784" max="11784" width="2.08984375" style="2408" customWidth="1"/>
    <col min="11785" max="11785" width="23.90625" style="2408" customWidth="1"/>
    <col min="11786" max="11786" width="2.08984375" style="2408" customWidth="1"/>
    <col min="11787" max="11787" width="23.90625" style="2408" customWidth="1"/>
    <col min="11788" max="11788" width="2.08984375" style="2408" customWidth="1"/>
    <col min="11789" max="11789" width="23.90625" style="2408" customWidth="1"/>
    <col min="11790" max="11790" width="2.08984375" style="2408" customWidth="1"/>
    <col min="11791" max="11791" width="23.90625" style="2408" customWidth="1"/>
    <col min="11792" max="11792" width="2.81640625" style="2408" bestFit="1" customWidth="1"/>
    <col min="11793" max="12031" width="8.90625" style="2408"/>
    <col min="12032" max="12033" width="8.90625" style="2408" customWidth="1"/>
    <col min="12034" max="12034" width="10.1796875" style="2408" customWidth="1"/>
    <col min="12035" max="12035" width="2.1796875" style="2408" customWidth="1"/>
    <col min="12036" max="12036" width="50.453125" style="2408" customWidth="1"/>
    <col min="12037" max="12037" width="8.90625" style="2408"/>
    <col min="12038" max="12038" width="2.08984375" style="2408" customWidth="1"/>
    <col min="12039" max="12039" width="23.90625" style="2408" customWidth="1"/>
    <col min="12040" max="12040" width="2.08984375" style="2408" customWidth="1"/>
    <col min="12041" max="12041" width="23.90625" style="2408" customWidth="1"/>
    <col min="12042" max="12042" width="2.08984375" style="2408" customWidth="1"/>
    <col min="12043" max="12043" width="23.90625" style="2408" customWidth="1"/>
    <col min="12044" max="12044" width="2.08984375" style="2408" customWidth="1"/>
    <col min="12045" max="12045" width="23.90625" style="2408" customWidth="1"/>
    <col min="12046" max="12046" width="2.08984375" style="2408" customWidth="1"/>
    <col min="12047" max="12047" width="23.90625" style="2408" customWidth="1"/>
    <col min="12048" max="12048" width="2.81640625" style="2408" bestFit="1" customWidth="1"/>
    <col min="12049" max="12287" width="8.90625" style="2408"/>
    <col min="12288" max="12289" width="8.90625" style="2408" customWidth="1"/>
    <col min="12290" max="12290" width="10.1796875" style="2408" customWidth="1"/>
    <col min="12291" max="12291" width="2.1796875" style="2408" customWidth="1"/>
    <col min="12292" max="12292" width="50.453125" style="2408" customWidth="1"/>
    <col min="12293" max="12293" width="8.90625" style="2408"/>
    <col min="12294" max="12294" width="2.08984375" style="2408" customWidth="1"/>
    <col min="12295" max="12295" width="23.90625" style="2408" customWidth="1"/>
    <col min="12296" max="12296" width="2.08984375" style="2408" customWidth="1"/>
    <col min="12297" max="12297" width="23.90625" style="2408" customWidth="1"/>
    <col min="12298" max="12298" width="2.08984375" style="2408" customWidth="1"/>
    <col min="12299" max="12299" width="23.90625" style="2408" customWidth="1"/>
    <col min="12300" max="12300" width="2.08984375" style="2408" customWidth="1"/>
    <col min="12301" max="12301" width="23.90625" style="2408" customWidth="1"/>
    <col min="12302" max="12302" width="2.08984375" style="2408" customWidth="1"/>
    <col min="12303" max="12303" width="23.90625" style="2408" customWidth="1"/>
    <col min="12304" max="12304" width="2.81640625" style="2408" bestFit="1" customWidth="1"/>
    <col min="12305" max="12543" width="8.90625" style="2408"/>
    <col min="12544" max="12545" width="8.90625" style="2408" customWidth="1"/>
    <col min="12546" max="12546" width="10.1796875" style="2408" customWidth="1"/>
    <col min="12547" max="12547" width="2.1796875" style="2408" customWidth="1"/>
    <col min="12548" max="12548" width="50.453125" style="2408" customWidth="1"/>
    <col min="12549" max="12549" width="8.90625" style="2408"/>
    <col min="12550" max="12550" width="2.08984375" style="2408" customWidth="1"/>
    <col min="12551" max="12551" width="23.90625" style="2408" customWidth="1"/>
    <col min="12552" max="12552" width="2.08984375" style="2408" customWidth="1"/>
    <col min="12553" max="12553" width="23.90625" style="2408" customWidth="1"/>
    <col min="12554" max="12554" width="2.08984375" style="2408" customWidth="1"/>
    <col min="12555" max="12555" width="23.90625" style="2408" customWidth="1"/>
    <col min="12556" max="12556" width="2.08984375" style="2408" customWidth="1"/>
    <col min="12557" max="12557" width="23.90625" style="2408" customWidth="1"/>
    <col min="12558" max="12558" width="2.08984375" style="2408" customWidth="1"/>
    <col min="12559" max="12559" width="23.90625" style="2408" customWidth="1"/>
    <col min="12560" max="12560" width="2.81640625" style="2408" bestFit="1" customWidth="1"/>
    <col min="12561" max="12799" width="8.90625" style="2408"/>
    <col min="12800" max="12801" width="8.90625" style="2408" customWidth="1"/>
    <col min="12802" max="12802" width="10.1796875" style="2408" customWidth="1"/>
    <col min="12803" max="12803" width="2.1796875" style="2408" customWidth="1"/>
    <col min="12804" max="12804" width="50.453125" style="2408" customWidth="1"/>
    <col min="12805" max="12805" width="8.90625" style="2408"/>
    <col min="12806" max="12806" width="2.08984375" style="2408" customWidth="1"/>
    <col min="12807" max="12807" width="23.90625" style="2408" customWidth="1"/>
    <col min="12808" max="12808" width="2.08984375" style="2408" customWidth="1"/>
    <col min="12809" max="12809" width="23.90625" style="2408" customWidth="1"/>
    <col min="12810" max="12810" width="2.08984375" style="2408" customWidth="1"/>
    <col min="12811" max="12811" width="23.90625" style="2408" customWidth="1"/>
    <col min="12812" max="12812" width="2.08984375" style="2408" customWidth="1"/>
    <col min="12813" max="12813" width="23.90625" style="2408" customWidth="1"/>
    <col min="12814" max="12814" width="2.08984375" style="2408" customWidth="1"/>
    <col min="12815" max="12815" width="23.90625" style="2408" customWidth="1"/>
    <col min="12816" max="12816" width="2.81640625" style="2408" bestFit="1" customWidth="1"/>
    <col min="12817" max="13055" width="8.90625" style="2408"/>
    <col min="13056" max="13057" width="8.90625" style="2408" customWidth="1"/>
    <col min="13058" max="13058" width="10.1796875" style="2408" customWidth="1"/>
    <col min="13059" max="13059" width="2.1796875" style="2408" customWidth="1"/>
    <col min="13060" max="13060" width="50.453125" style="2408" customWidth="1"/>
    <col min="13061" max="13061" width="8.90625" style="2408"/>
    <col min="13062" max="13062" width="2.08984375" style="2408" customWidth="1"/>
    <col min="13063" max="13063" width="23.90625" style="2408" customWidth="1"/>
    <col min="13064" max="13064" width="2.08984375" style="2408" customWidth="1"/>
    <col min="13065" max="13065" width="23.90625" style="2408" customWidth="1"/>
    <col min="13066" max="13066" width="2.08984375" style="2408" customWidth="1"/>
    <col min="13067" max="13067" width="23.90625" style="2408" customWidth="1"/>
    <col min="13068" max="13068" width="2.08984375" style="2408" customWidth="1"/>
    <col min="13069" max="13069" width="23.90625" style="2408" customWidth="1"/>
    <col min="13070" max="13070" width="2.08984375" style="2408" customWidth="1"/>
    <col min="13071" max="13071" width="23.90625" style="2408" customWidth="1"/>
    <col min="13072" max="13072" width="2.81640625" style="2408" bestFit="1" customWidth="1"/>
    <col min="13073" max="13311" width="8.90625" style="2408"/>
    <col min="13312" max="13313" width="8.90625" style="2408" customWidth="1"/>
    <col min="13314" max="13314" width="10.1796875" style="2408" customWidth="1"/>
    <col min="13315" max="13315" width="2.1796875" style="2408" customWidth="1"/>
    <col min="13316" max="13316" width="50.453125" style="2408" customWidth="1"/>
    <col min="13317" max="13317" width="8.90625" style="2408"/>
    <col min="13318" max="13318" width="2.08984375" style="2408" customWidth="1"/>
    <col min="13319" max="13319" width="23.90625" style="2408" customWidth="1"/>
    <col min="13320" max="13320" width="2.08984375" style="2408" customWidth="1"/>
    <col min="13321" max="13321" width="23.90625" style="2408" customWidth="1"/>
    <col min="13322" max="13322" width="2.08984375" style="2408" customWidth="1"/>
    <col min="13323" max="13323" width="23.90625" style="2408" customWidth="1"/>
    <col min="13324" max="13324" width="2.08984375" style="2408" customWidth="1"/>
    <col min="13325" max="13325" width="23.90625" style="2408" customWidth="1"/>
    <col min="13326" max="13326" width="2.08984375" style="2408" customWidth="1"/>
    <col min="13327" max="13327" width="23.90625" style="2408" customWidth="1"/>
    <col min="13328" max="13328" width="2.81640625" style="2408" bestFit="1" customWidth="1"/>
    <col min="13329" max="13567" width="8.90625" style="2408"/>
    <col min="13568" max="13569" width="8.90625" style="2408" customWidth="1"/>
    <col min="13570" max="13570" width="10.1796875" style="2408" customWidth="1"/>
    <col min="13571" max="13571" width="2.1796875" style="2408" customWidth="1"/>
    <col min="13572" max="13572" width="50.453125" style="2408" customWidth="1"/>
    <col min="13573" max="13573" width="8.90625" style="2408"/>
    <col min="13574" max="13574" width="2.08984375" style="2408" customWidth="1"/>
    <col min="13575" max="13575" width="23.90625" style="2408" customWidth="1"/>
    <col min="13576" max="13576" width="2.08984375" style="2408" customWidth="1"/>
    <col min="13577" max="13577" width="23.90625" style="2408" customWidth="1"/>
    <col min="13578" max="13578" width="2.08984375" style="2408" customWidth="1"/>
    <col min="13579" max="13579" width="23.90625" style="2408" customWidth="1"/>
    <col min="13580" max="13580" width="2.08984375" style="2408" customWidth="1"/>
    <col min="13581" max="13581" width="23.90625" style="2408" customWidth="1"/>
    <col min="13582" max="13582" width="2.08984375" style="2408" customWidth="1"/>
    <col min="13583" max="13583" width="23.90625" style="2408" customWidth="1"/>
    <col min="13584" max="13584" width="2.81640625" style="2408" bestFit="1" customWidth="1"/>
    <col min="13585" max="13823" width="8.90625" style="2408"/>
    <col min="13824" max="13825" width="8.90625" style="2408" customWidth="1"/>
    <col min="13826" max="13826" width="10.1796875" style="2408" customWidth="1"/>
    <col min="13827" max="13827" width="2.1796875" style="2408" customWidth="1"/>
    <col min="13828" max="13828" width="50.453125" style="2408" customWidth="1"/>
    <col min="13829" max="13829" width="8.90625" style="2408"/>
    <col min="13830" max="13830" width="2.08984375" style="2408" customWidth="1"/>
    <col min="13831" max="13831" width="23.90625" style="2408" customWidth="1"/>
    <col min="13832" max="13832" width="2.08984375" style="2408" customWidth="1"/>
    <col min="13833" max="13833" width="23.90625" style="2408" customWidth="1"/>
    <col min="13834" max="13834" width="2.08984375" style="2408" customWidth="1"/>
    <col min="13835" max="13835" width="23.90625" style="2408" customWidth="1"/>
    <col min="13836" max="13836" width="2.08984375" style="2408" customWidth="1"/>
    <col min="13837" max="13837" width="23.90625" style="2408" customWidth="1"/>
    <col min="13838" max="13838" width="2.08984375" style="2408" customWidth="1"/>
    <col min="13839" max="13839" width="23.90625" style="2408" customWidth="1"/>
    <col min="13840" max="13840" width="2.81640625" style="2408" bestFit="1" customWidth="1"/>
    <col min="13841" max="14079" width="8.90625" style="2408"/>
    <col min="14080" max="14081" width="8.90625" style="2408" customWidth="1"/>
    <col min="14082" max="14082" width="10.1796875" style="2408" customWidth="1"/>
    <col min="14083" max="14083" width="2.1796875" style="2408" customWidth="1"/>
    <col min="14084" max="14084" width="50.453125" style="2408" customWidth="1"/>
    <col min="14085" max="14085" width="8.90625" style="2408"/>
    <col min="14086" max="14086" width="2.08984375" style="2408" customWidth="1"/>
    <col min="14087" max="14087" width="23.90625" style="2408" customWidth="1"/>
    <col min="14088" max="14088" width="2.08984375" style="2408" customWidth="1"/>
    <col min="14089" max="14089" width="23.90625" style="2408" customWidth="1"/>
    <col min="14090" max="14090" width="2.08984375" style="2408" customWidth="1"/>
    <col min="14091" max="14091" width="23.90625" style="2408" customWidth="1"/>
    <col min="14092" max="14092" width="2.08984375" style="2408" customWidth="1"/>
    <col min="14093" max="14093" width="23.90625" style="2408" customWidth="1"/>
    <col min="14094" max="14094" width="2.08984375" style="2408" customWidth="1"/>
    <col min="14095" max="14095" width="23.90625" style="2408" customWidth="1"/>
    <col min="14096" max="14096" width="2.81640625" style="2408" bestFit="1" customWidth="1"/>
    <col min="14097" max="14335" width="8.90625" style="2408"/>
    <col min="14336" max="14337" width="8.90625" style="2408" customWidth="1"/>
    <col min="14338" max="14338" width="10.1796875" style="2408" customWidth="1"/>
    <col min="14339" max="14339" width="2.1796875" style="2408" customWidth="1"/>
    <col min="14340" max="14340" width="50.453125" style="2408" customWidth="1"/>
    <col min="14341" max="14341" width="8.90625" style="2408"/>
    <col min="14342" max="14342" width="2.08984375" style="2408" customWidth="1"/>
    <col min="14343" max="14343" width="23.90625" style="2408" customWidth="1"/>
    <col min="14344" max="14344" width="2.08984375" style="2408" customWidth="1"/>
    <col min="14345" max="14345" width="23.90625" style="2408" customWidth="1"/>
    <col min="14346" max="14346" width="2.08984375" style="2408" customWidth="1"/>
    <col min="14347" max="14347" width="23.90625" style="2408" customWidth="1"/>
    <col min="14348" max="14348" width="2.08984375" style="2408" customWidth="1"/>
    <col min="14349" max="14349" width="23.90625" style="2408" customWidth="1"/>
    <col min="14350" max="14350" width="2.08984375" style="2408" customWidth="1"/>
    <col min="14351" max="14351" width="23.90625" style="2408" customWidth="1"/>
    <col min="14352" max="14352" width="2.81640625" style="2408" bestFit="1" customWidth="1"/>
    <col min="14353" max="14591" width="8.90625" style="2408"/>
    <col min="14592" max="14593" width="8.90625" style="2408" customWidth="1"/>
    <col min="14594" max="14594" width="10.1796875" style="2408" customWidth="1"/>
    <col min="14595" max="14595" width="2.1796875" style="2408" customWidth="1"/>
    <col min="14596" max="14596" width="50.453125" style="2408" customWidth="1"/>
    <col min="14597" max="14597" width="8.90625" style="2408"/>
    <col min="14598" max="14598" width="2.08984375" style="2408" customWidth="1"/>
    <col min="14599" max="14599" width="23.90625" style="2408" customWidth="1"/>
    <col min="14600" max="14600" width="2.08984375" style="2408" customWidth="1"/>
    <col min="14601" max="14601" width="23.90625" style="2408" customWidth="1"/>
    <col min="14602" max="14602" width="2.08984375" style="2408" customWidth="1"/>
    <col min="14603" max="14603" width="23.90625" style="2408" customWidth="1"/>
    <col min="14604" max="14604" width="2.08984375" style="2408" customWidth="1"/>
    <col min="14605" max="14605" width="23.90625" style="2408" customWidth="1"/>
    <col min="14606" max="14606" width="2.08984375" style="2408" customWidth="1"/>
    <col min="14607" max="14607" width="23.90625" style="2408" customWidth="1"/>
    <col min="14608" max="14608" width="2.81640625" style="2408" bestFit="1" customWidth="1"/>
    <col min="14609" max="14847" width="8.90625" style="2408"/>
    <col min="14848" max="14849" width="8.90625" style="2408" customWidth="1"/>
    <col min="14850" max="14850" width="10.1796875" style="2408" customWidth="1"/>
    <col min="14851" max="14851" width="2.1796875" style="2408" customWidth="1"/>
    <col min="14852" max="14852" width="50.453125" style="2408" customWidth="1"/>
    <col min="14853" max="14853" width="8.90625" style="2408"/>
    <col min="14854" max="14854" width="2.08984375" style="2408" customWidth="1"/>
    <col min="14855" max="14855" width="23.90625" style="2408" customWidth="1"/>
    <col min="14856" max="14856" width="2.08984375" style="2408" customWidth="1"/>
    <col min="14857" max="14857" width="23.90625" style="2408" customWidth="1"/>
    <col min="14858" max="14858" width="2.08984375" style="2408" customWidth="1"/>
    <col min="14859" max="14859" width="23.90625" style="2408" customWidth="1"/>
    <col min="14860" max="14860" width="2.08984375" style="2408" customWidth="1"/>
    <col min="14861" max="14861" width="23.90625" style="2408" customWidth="1"/>
    <col min="14862" max="14862" width="2.08984375" style="2408" customWidth="1"/>
    <col min="14863" max="14863" width="23.90625" style="2408" customWidth="1"/>
    <col min="14864" max="14864" width="2.81640625" style="2408" bestFit="1" customWidth="1"/>
    <col min="14865" max="15103" width="8.90625" style="2408"/>
    <col min="15104" max="15105" width="8.90625" style="2408" customWidth="1"/>
    <col min="15106" max="15106" width="10.1796875" style="2408" customWidth="1"/>
    <col min="15107" max="15107" width="2.1796875" style="2408" customWidth="1"/>
    <col min="15108" max="15108" width="50.453125" style="2408" customWidth="1"/>
    <col min="15109" max="15109" width="8.90625" style="2408"/>
    <col min="15110" max="15110" width="2.08984375" style="2408" customWidth="1"/>
    <col min="15111" max="15111" width="23.90625" style="2408" customWidth="1"/>
    <col min="15112" max="15112" width="2.08984375" style="2408" customWidth="1"/>
    <col min="15113" max="15113" width="23.90625" style="2408" customWidth="1"/>
    <col min="15114" max="15114" width="2.08984375" style="2408" customWidth="1"/>
    <col min="15115" max="15115" width="23.90625" style="2408" customWidth="1"/>
    <col min="15116" max="15116" width="2.08984375" style="2408" customWidth="1"/>
    <col min="15117" max="15117" width="23.90625" style="2408" customWidth="1"/>
    <col min="15118" max="15118" width="2.08984375" style="2408" customWidth="1"/>
    <col min="15119" max="15119" width="23.90625" style="2408" customWidth="1"/>
    <col min="15120" max="15120" width="2.81640625" style="2408" bestFit="1" customWidth="1"/>
    <col min="15121" max="15359" width="8.90625" style="2408"/>
    <col min="15360" max="15361" width="8.90625" style="2408" customWidth="1"/>
    <col min="15362" max="15362" width="10.1796875" style="2408" customWidth="1"/>
    <col min="15363" max="15363" width="2.1796875" style="2408" customWidth="1"/>
    <col min="15364" max="15364" width="50.453125" style="2408" customWidth="1"/>
    <col min="15365" max="15365" width="8.90625" style="2408"/>
    <col min="15366" max="15366" width="2.08984375" style="2408" customWidth="1"/>
    <col min="15367" max="15367" width="23.90625" style="2408" customWidth="1"/>
    <col min="15368" max="15368" width="2.08984375" style="2408" customWidth="1"/>
    <col min="15369" max="15369" width="23.90625" style="2408" customWidth="1"/>
    <col min="15370" max="15370" width="2.08984375" style="2408" customWidth="1"/>
    <col min="15371" max="15371" width="23.90625" style="2408" customWidth="1"/>
    <col min="15372" max="15372" width="2.08984375" style="2408" customWidth="1"/>
    <col min="15373" max="15373" width="23.90625" style="2408" customWidth="1"/>
    <col min="15374" max="15374" width="2.08984375" style="2408" customWidth="1"/>
    <col min="15375" max="15375" width="23.90625" style="2408" customWidth="1"/>
    <col min="15376" max="15376" width="2.81640625" style="2408" bestFit="1" customWidth="1"/>
    <col min="15377" max="15615" width="8.90625" style="2408"/>
    <col min="15616" max="15617" width="8.90625" style="2408" customWidth="1"/>
    <col min="15618" max="15618" width="10.1796875" style="2408" customWidth="1"/>
    <col min="15619" max="15619" width="2.1796875" style="2408" customWidth="1"/>
    <col min="15620" max="15620" width="50.453125" style="2408" customWidth="1"/>
    <col min="15621" max="15621" width="8.90625" style="2408"/>
    <col min="15622" max="15622" width="2.08984375" style="2408" customWidth="1"/>
    <col min="15623" max="15623" width="23.90625" style="2408" customWidth="1"/>
    <col min="15624" max="15624" width="2.08984375" style="2408" customWidth="1"/>
    <col min="15625" max="15625" width="23.90625" style="2408" customWidth="1"/>
    <col min="15626" max="15626" width="2.08984375" style="2408" customWidth="1"/>
    <col min="15627" max="15627" width="23.90625" style="2408" customWidth="1"/>
    <col min="15628" max="15628" width="2.08984375" style="2408" customWidth="1"/>
    <col min="15629" max="15629" width="23.90625" style="2408" customWidth="1"/>
    <col min="15630" max="15630" width="2.08984375" style="2408" customWidth="1"/>
    <col min="15631" max="15631" width="23.90625" style="2408" customWidth="1"/>
    <col min="15632" max="15632" width="2.81640625" style="2408" bestFit="1" customWidth="1"/>
    <col min="15633" max="15871" width="8.90625" style="2408"/>
    <col min="15872" max="15873" width="8.90625" style="2408" customWidth="1"/>
    <col min="15874" max="15874" width="10.1796875" style="2408" customWidth="1"/>
    <col min="15875" max="15875" width="2.1796875" style="2408" customWidth="1"/>
    <col min="15876" max="15876" width="50.453125" style="2408" customWidth="1"/>
    <col min="15877" max="15877" width="8.90625" style="2408"/>
    <col min="15878" max="15878" width="2.08984375" style="2408" customWidth="1"/>
    <col min="15879" max="15879" width="23.90625" style="2408" customWidth="1"/>
    <col min="15880" max="15880" width="2.08984375" style="2408" customWidth="1"/>
    <col min="15881" max="15881" width="23.90625" style="2408" customWidth="1"/>
    <col min="15882" max="15882" width="2.08984375" style="2408" customWidth="1"/>
    <col min="15883" max="15883" width="23.90625" style="2408" customWidth="1"/>
    <col min="15884" max="15884" width="2.08984375" style="2408" customWidth="1"/>
    <col min="15885" max="15885" width="23.90625" style="2408" customWidth="1"/>
    <col min="15886" max="15886" width="2.08984375" style="2408" customWidth="1"/>
    <col min="15887" max="15887" width="23.90625" style="2408" customWidth="1"/>
    <col min="15888" max="15888" width="2.81640625" style="2408" bestFit="1" customWidth="1"/>
    <col min="15889" max="16127" width="8.90625" style="2408"/>
    <col min="16128" max="16129" width="8.90625" style="2408" customWidth="1"/>
    <col min="16130" max="16130" width="10.1796875" style="2408" customWidth="1"/>
    <col min="16131" max="16131" width="2.1796875" style="2408" customWidth="1"/>
    <col min="16132" max="16132" width="50.453125" style="2408" customWidth="1"/>
    <col min="16133" max="16133" width="8.90625" style="2408"/>
    <col min="16134" max="16134" width="2.08984375" style="2408" customWidth="1"/>
    <col min="16135" max="16135" width="23.90625" style="2408" customWidth="1"/>
    <col min="16136" max="16136" width="2.08984375" style="2408" customWidth="1"/>
    <col min="16137" max="16137" width="23.90625" style="2408" customWidth="1"/>
    <col min="16138" max="16138" width="2.08984375" style="2408" customWidth="1"/>
    <col min="16139" max="16139" width="23.90625" style="2408" customWidth="1"/>
    <col min="16140" max="16140" width="2.08984375" style="2408" customWidth="1"/>
    <col min="16141" max="16141" width="23.90625" style="2408" customWidth="1"/>
    <col min="16142" max="16142" width="2.08984375" style="2408" customWidth="1"/>
    <col min="16143" max="16143" width="23.90625" style="2408" customWidth="1"/>
    <col min="16144" max="16144" width="2.81640625" style="2408" bestFit="1" customWidth="1"/>
    <col min="16145" max="16384" width="8.90625" style="2408"/>
  </cols>
  <sheetData>
    <row r="1" spans="2:16" ht="15.6">
      <c r="B1" s="1876"/>
      <c r="C1" s="2406"/>
      <c r="D1" s="1184" t="s">
        <v>1217</v>
      </c>
      <c r="E1" s="2406"/>
      <c r="F1" s="2407"/>
      <c r="G1" s="1876"/>
      <c r="H1" s="2406"/>
      <c r="I1" s="1876"/>
      <c r="J1" s="2406"/>
      <c r="K1" s="1876"/>
      <c r="L1" s="2406"/>
      <c r="M1" s="1876"/>
      <c r="N1" s="2406"/>
      <c r="P1" s="1291"/>
    </row>
    <row r="2" spans="2:16" ht="15.6">
      <c r="B2" s="1876"/>
      <c r="C2" s="2406"/>
      <c r="D2" s="1876"/>
      <c r="E2" s="2406"/>
      <c r="F2" s="2407"/>
      <c r="G2" s="1876"/>
      <c r="H2" s="2406"/>
      <c r="I2" s="1876"/>
      <c r="J2" s="2406"/>
      <c r="K2" s="1876"/>
      <c r="L2" s="2406"/>
      <c r="M2" s="1876"/>
      <c r="N2" s="2406"/>
      <c r="O2" s="2654" t="s">
        <v>766</v>
      </c>
      <c r="P2" s="1291"/>
    </row>
    <row r="3" spans="2:16" ht="15.6">
      <c r="B3" s="1876"/>
      <c r="C3" s="2406"/>
      <c r="D3" s="1876"/>
      <c r="E3" s="2406"/>
      <c r="F3" s="2407"/>
      <c r="G3" s="1876"/>
      <c r="H3" s="2406"/>
      <c r="I3" s="1876"/>
      <c r="J3" s="2406"/>
      <c r="K3" s="1876"/>
      <c r="L3" s="2406"/>
      <c r="M3" s="1876"/>
      <c r="N3" s="2406"/>
      <c r="O3" s="1292"/>
      <c r="P3" s="1293"/>
    </row>
    <row r="4" spans="2:16" ht="17.399999999999999">
      <c r="B4" s="1211"/>
      <c r="C4" s="1294"/>
      <c r="D4" s="1217" t="s">
        <v>0</v>
      </c>
      <c r="E4" s="1294"/>
      <c r="F4" s="1294"/>
      <c r="G4"/>
      <c r="H4" s="1295"/>
      <c r="I4"/>
      <c r="J4" s="1295"/>
      <c r="K4"/>
      <c r="L4" s="1295"/>
      <c r="M4" s="1213"/>
      <c r="N4" s="1213"/>
      <c r="O4" s="2655"/>
      <c r="P4" s="1296"/>
    </row>
    <row r="5" spans="2:16" ht="17.399999999999999">
      <c r="B5" s="1211"/>
      <c r="C5" s="1294"/>
      <c r="D5" s="1217" t="s">
        <v>1085</v>
      </c>
      <c r="E5" s="1294"/>
      <c r="F5" s="1294"/>
      <c r="G5"/>
      <c r="H5" s="1295"/>
      <c r="I5"/>
      <c r="J5" s="1295"/>
      <c r="K5"/>
      <c r="L5" s="1295"/>
      <c r="M5" s="1214"/>
      <c r="N5" s="1214"/>
      <c r="O5" s="1214"/>
      <c r="P5" s="1297"/>
    </row>
    <row r="6" spans="2:16" ht="15.6">
      <c r="B6" s="1211"/>
      <c r="C6" s="1294"/>
      <c r="D6" s="1212"/>
      <c r="E6" s="1294"/>
      <c r="F6" s="1294"/>
      <c r="G6"/>
      <c r="H6" s="1295"/>
      <c r="I6"/>
      <c r="J6" s="1295"/>
      <c r="K6"/>
      <c r="L6" s="1295"/>
      <c r="M6" s="1215"/>
      <c r="N6" s="1215"/>
      <c r="O6" s="1215"/>
      <c r="P6" s="1298"/>
    </row>
    <row r="7" spans="2:16" ht="15.6">
      <c r="B7" s="1211"/>
      <c r="C7" s="1299"/>
      <c r="D7" s="1210"/>
      <c r="E7" s="1300"/>
      <c r="F7" s="1300"/>
      <c r="G7"/>
      <c r="H7" s="1295"/>
      <c r="I7"/>
      <c r="J7" s="1295"/>
      <c r="K7"/>
      <c r="L7" s="1295"/>
      <c r="M7" s="1216"/>
      <c r="N7" s="1216"/>
      <c r="O7" s="1216"/>
      <c r="P7" s="1301"/>
    </row>
    <row r="8" spans="2:16" s="981" customFormat="1" ht="16.2" thickBot="1">
      <c r="B8" s="1218" t="s">
        <v>767</v>
      </c>
      <c r="C8" s="1650"/>
      <c r="D8" s="1219" t="s">
        <v>768</v>
      </c>
      <c r="E8" s="1219"/>
      <c r="F8" s="1219"/>
      <c r="G8" s="2409">
        <v>42277</v>
      </c>
      <c r="H8" s="1651"/>
      <c r="I8" s="2409">
        <v>42308</v>
      </c>
      <c r="J8" s="1651"/>
      <c r="K8" s="2409">
        <v>42338</v>
      </c>
      <c r="L8" s="1651"/>
      <c r="M8" s="1651" t="s">
        <v>769</v>
      </c>
      <c r="N8" s="1652"/>
      <c r="O8" s="2409">
        <v>42369</v>
      </c>
      <c r="P8" s="1303"/>
    </row>
    <row r="9" spans="2:16" s="981" customFormat="1" ht="15.6">
      <c r="B9" s="1405"/>
      <c r="C9" s="1305"/>
      <c r="D9" s="1220" t="s">
        <v>151</v>
      </c>
      <c r="E9" s="1302"/>
      <c r="F9" s="1302"/>
      <c r="G9" s="1654"/>
      <c r="H9" s="1653"/>
      <c r="I9" s="1654"/>
      <c r="J9" s="1653"/>
      <c r="K9" s="1654"/>
      <c r="L9" s="1653"/>
      <c r="M9" s="1654"/>
      <c r="N9" s="1654"/>
      <c r="O9" s="1654"/>
      <c r="P9" s="1307"/>
    </row>
    <row r="10" spans="2:16" s="981" customFormat="1" ht="15.6">
      <c r="B10" s="2857">
        <v>10050</v>
      </c>
      <c r="C10" s="1405"/>
      <c r="D10" s="1222" t="s">
        <v>1218</v>
      </c>
      <c r="E10"/>
      <c r="F10" s="1655"/>
      <c r="G10" s="2410">
        <v>0</v>
      </c>
      <c r="H10" s="1656"/>
      <c r="I10" s="2410">
        <v>0</v>
      </c>
      <c r="J10" s="1656"/>
      <c r="K10" s="2410">
        <v>0</v>
      </c>
      <c r="L10" s="1656"/>
      <c r="M10" s="2410">
        <v>0</v>
      </c>
      <c r="N10" s="1656"/>
      <c r="O10" s="2410">
        <v>0</v>
      </c>
      <c r="P10" s="1308" t="s">
        <v>1081</v>
      </c>
    </row>
    <row r="11" spans="2:16" s="981" customFormat="1" ht="16.2" thickBot="1">
      <c r="B11" s="1224"/>
      <c r="C11" s="1305"/>
      <c r="D11" s="1225" t="s">
        <v>770</v>
      </c>
      <c r="E11" s="1302"/>
      <c r="F11" s="1302"/>
      <c r="G11" s="3306">
        <f>ROUND(SUM(G10),2)</f>
        <v>0</v>
      </c>
      <c r="H11" s="2861"/>
      <c r="I11" s="3306">
        <f>ROUND(SUM(I10),2)</f>
        <v>0</v>
      </c>
      <c r="J11" s="2861"/>
      <c r="K11" s="3306">
        <f>ROUND(SUM(K10),2)</f>
        <v>0</v>
      </c>
      <c r="L11" s="2861"/>
      <c r="M11" s="2860">
        <f>ROUND(SUM(M10),2)</f>
        <v>0</v>
      </c>
      <c r="N11" s="2861"/>
      <c r="O11" s="3306">
        <f>ROUND(SUM(O10),2)</f>
        <v>0</v>
      </c>
      <c r="P11" s="1308"/>
    </row>
    <row r="12" spans="2:16" s="981" customFormat="1" ht="16.2" thickTop="1">
      <c r="B12" s="1224"/>
      <c r="C12" s="1309"/>
      <c r="D12" s="1227"/>
      <c r="E12" s="1247"/>
      <c r="F12" s="1247"/>
      <c r="G12" s="1246"/>
      <c r="H12" s="1657"/>
      <c r="I12" s="1246"/>
      <c r="J12" s="1657"/>
      <c r="K12" s="1246"/>
      <c r="L12" s="1657"/>
      <c r="M12" s="1246"/>
      <c r="N12" s="1246"/>
      <c r="O12" s="1246"/>
      <c r="P12" s="1239"/>
    </row>
    <row r="13" spans="2:16" s="981" customFormat="1" ht="15.6">
      <c r="B13" s="1224"/>
      <c r="C13" s="1305"/>
      <c r="D13" s="1220" t="s">
        <v>771</v>
      </c>
      <c r="E13" s="1302"/>
      <c r="F13" s="1302"/>
      <c r="G13" s="1659"/>
      <c r="H13" s="1658"/>
      <c r="I13" s="1659"/>
      <c r="J13" s="1658"/>
      <c r="K13" s="1659"/>
      <c r="L13" s="1658"/>
      <c r="M13" s="1659"/>
      <c r="N13" s="1659"/>
      <c r="O13" s="1659"/>
      <c r="P13" s="1239"/>
    </row>
    <row r="14" spans="2:16" s="981" customFormat="1" ht="15.6">
      <c r="B14" s="2857">
        <v>30051</v>
      </c>
      <c r="C14" s="1876"/>
      <c r="D14" s="1222" t="s">
        <v>772</v>
      </c>
      <c r="E14" s="1876"/>
      <c r="F14" s="1877">
        <v>227042324.13</v>
      </c>
      <c r="G14" s="3411">
        <v>548908573.19000006</v>
      </c>
      <c r="H14" s="1877"/>
      <c r="I14" s="3411">
        <v>265213292.15000001</v>
      </c>
      <c r="J14" s="1877"/>
      <c r="K14" s="3307">
        <v>280957842.41000003</v>
      </c>
      <c r="L14" s="1877"/>
      <c r="M14" s="2411">
        <f>ROUND(SUM(O14)-SUM(K14),2)</f>
        <v>100660620.92</v>
      </c>
      <c r="N14" s="1877"/>
      <c r="O14" s="3307">
        <v>381618463.32999998</v>
      </c>
      <c r="P14" s="1308"/>
    </row>
    <row r="15" spans="2:16" s="981" customFormat="1" ht="15.6">
      <c r="B15" s="2857">
        <v>30101</v>
      </c>
      <c r="C15" s="1876"/>
      <c r="D15" s="1222" t="s">
        <v>773</v>
      </c>
      <c r="E15" s="1876"/>
      <c r="F15" s="1877">
        <v>0</v>
      </c>
      <c r="G15" s="3411">
        <v>0</v>
      </c>
      <c r="H15" s="1877"/>
      <c r="I15" s="1310">
        <v>0</v>
      </c>
      <c r="J15" s="1877"/>
      <c r="K15" s="3307">
        <v>0</v>
      </c>
      <c r="L15" s="1877"/>
      <c r="M15" s="2411">
        <f t="shared" ref="M15:M78" si="0">ROUND(SUM(O15)-SUM(K15),2)</f>
        <v>0</v>
      </c>
      <c r="N15" s="1877"/>
      <c r="O15" s="3307">
        <v>0</v>
      </c>
      <c r="P15" s="1239"/>
    </row>
    <row r="16" spans="2:16" s="981" customFormat="1" ht="15.6">
      <c r="B16" s="2857">
        <v>30102</v>
      </c>
      <c r="C16" s="1876"/>
      <c r="D16" s="1222" t="s">
        <v>774</v>
      </c>
      <c r="E16" s="1876"/>
      <c r="F16" s="1877">
        <v>0</v>
      </c>
      <c r="G16" s="3411">
        <v>0</v>
      </c>
      <c r="H16" s="1877"/>
      <c r="I16" s="1310">
        <v>0</v>
      </c>
      <c r="J16" s="1877"/>
      <c r="K16" s="3307">
        <v>0</v>
      </c>
      <c r="L16" s="1877"/>
      <c r="M16" s="2411">
        <f t="shared" si="0"/>
        <v>0</v>
      </c>
      <c r="N16" s="1877"/>
      <c r="O16" s="3307">
        <v>0</v>
      </c>
      <c r="P16" s="1239"/>
    </row>
    <row r="17" spans="2:16" s="981" customFormat="1" ht="15.6">
      <c r="B17" s="2857">
        <v>30103</v>
      </c>
      <c r="C17" s="1876"/>
      <c r="D17" s="1222" t="s">
        <v>775</v>
      </c>
      <c r="E17" s="1876"/>
      <c r="F17" s="1877">
        <v>0</v>
      </c>
      <c r="G17" s="3411">
        <v>0</v>
      </c>
      <c r="H17" s="1877"/>
      <c r="I17" s="1310">
        <v>0</v>
      </c>
      <c r="J17" s="1877"/>
      <c r="K17" s="3307">
        <v>0</v>
      </c>
      <c r="L17" s="1877"/>
      <c r="M17" s="2411">
        <f t="shared" si="0"/>
        <v>0</v>
      </c>
      <c r="N17" s="1877"/>
      <c r="O17" s="3307">
        <v>0</v>
      </c>
      <c r="P17" s="1239"/>
    </row>
    <row r="18" spans="2:16" s="981" customFormat="1" ht="15.6">
      <c r="B18" s="2857">
        <v>30104</v>
      </c>
      <c r="C18" s="1876"/>
      <c r="D18" s="1222" t="s">
        <v>776</v>
      </c>
      <c r="E18" s="1876"/>
      <c r="F18" s="1877">
        <v>140390.18</v>
      </c>
      <c r="G18" s="3411">
        <v>14665310.630000001</v>
      </c>
      <c r="H18" s="1877"/>
      <c r="I18" s="3411">
        <v>11798880.77</v>
      </c>
      <c r="J18" s="1877"/>
      <c r="K18" s="3307">
        <v>11798880.77</v>
      </c>
      <c r="L18" s="1877"/>
      <c r="M18" s="2411">
        <f t="shared" si="0"/>
        <v>-11798880.77</v>
      </c>
      <c r="N18" s="1877"/>
      <c r="O18" s="3307">
        <v>0</v>
      </c>
      <c r="P18" s="1239"/>
    </row>
    <row r="19" spans="2:16" s="981" customFormat="1" ht="15.6">
      <c r="B19" s="2857">
        <v>30105</v>
      </c>
      <c r="C19" s="1876"/>
      <c r="D19" s="1222" t="s">
        <v>777</v>
      </c>
      <c r="E19" s="1876"/>
      <c r="F19" s="1877">
        <v>0</v>
      </c>
      <c r="G19" s="3411">
        <v>0</v>
      </c>
      <c r="H19" s="1877"/>
      <c r="I19" s="1310">
        <v>0</v>
      </c>
      <c r="J19" s="1877"/>
      <c r="K19" s="3307">
        <v>0</v>
      </c>
      <c r="L19" s="1877"/>
      <c r="M19" s="2411">
        <f t="shared" si="0"/>
        <v>0</v>
      </c>
      <c r="N19" s="1877"/>
      <c r="O19" s="3307">
        <v>0</v>
      </c>
      <c r="P19" s="1239"/>
    </row>
    <row r="20" spans="2:16" s="981" customFormat="1" ht="15.6">
      <c r="B20" s="2857">
        <v>30106</v>
      </c>
      <c r="C20" s="1876"/>
      <c r="D20" s="1222" t="s">
        <v>1285</v>
      </c>
      <c r="E20" s="1876"/>
      <c r="F20" s="1877">
        <v>0</v>
      </c>
      <c r="G20" s="3411">
        <v>0</v>
      </c>
      <c r="H20" s="1877"/>
      <c r="I20" s="1310">
        <v>0</v>
      </c>
      <c r="J20" s="1877"/>
      <c r="K20" s="3307">
        <v>0</v>
      </c>
      <c r="L20" s="1877"/>
      <c r="M20" s="2411">
        <f t="shared" si="0"/>
        <v>0</v>
      </c>
      <c r="N20" s="1877"/>
      <c r="O20" s="3307">
        <v>0</v>
      </c>
      <c r="P20" s="1239"/>
    </row>
    <row r="21" spans="2:16" s="981" customFormat="1" ht="15.6">
      <c r="B21" s="2857">
        <v>30107</v>
      </c>
      <c r="C21" s="1876"/>
      <c r="D21" s="1222" t="s">
        <v>778</v>
      </c>
      <c r="E21" s="1876"/>
      <c r="F21" s="1877">
        <v>0</v>
      </c>
      <c r="G21" s="3411">
        <v>0</v>
      </c>
      <c r="H21" s="1877"/>
      <c r="I21" s="1310">
        <v>0</v>
      </c>
      <c r="J21" s="1877"/>
      <c r="K21" s="3307">
        <v>0</v>
      </c>
      <c r="L21" s="1877"/>
      <c r="M21" s="2411">
        <f t="shared" si="0"/>
        <v>0</v>
      </c>
      <c r="N21" s="1877"/>
      <c r="O21" s="3307">
        <v>0</v>
      </c>
      <c r="P21" s="1239"/>
    </row>
    <row r="22" spans="2:16" s="981" customFormat="1" ht="15.6">
      <c r="B22" s="2857">
        <v>30108</v>
      </c>
      <c r="C22" s="1876"/>
      <c r="D22" s="1222" t="s">
        <v>1286</v>
      </c>
      <c r="E22" s="1876"/>
      <c r="F22" s="1877">
        <v>0</v>
      </c>
      <c r="G22" s="3411">
        <v>0</v>
      </c>
      <c r="H22" s="1877"/>
      <c r="I22" s="1310">
        <v>0</v>
      </c>
      <c r="J22" s="1877"/>
      <c r="K22" s="3307">
        <v>0</v>
      </c>
      <c r="L22" s="1877"/>
      <c r="M22" s="2411">
        <f t="shared" si="0"/>
        <v>0</v>
      </c>
      <c r="N22" s="1877"/>
      <c r="O22" s="3307">
        <v>0</v>
      </c>
      <c r="P22" s="1239"/>
    </row>
    <row r="23" spans="2:16" s="981" customFormat="1" ht="15.6">
      <c r="B23" s="2857">
        <v>30109</v>
      </c>
      <c r="C23" s="1876"/>
      <c r="D23" s="1222" t="s">
        <v>779</v>
      </c>
      <c r="E23" s="1876"/>
      <c r="F23" s="1877">
        <v>0</v>
      </c>
      <c r="G23" s="3411">
        <v>0</v>
      </c>
      <c r="H23" s="1877"/>
      <c r="I23" s="1310">
        <v>0</v>
      </c>
      <c r="J23" s="1877"/>
      <c r="K23" s="3307">
        <v>0</v>
      </c>
      <c r="L23" s="1877"/>
      <c r="M23" s="2411">
        <f t="shared" si="0"/>
        <v>0</v>
      </c>
      <c r="N23" s="1877"/>
      <c r="O23" s="3307">
        <v>0</v>
      </c>
      <c r="P23" s="1239"/>
    </row>
    <row r="24" spans="2:16" s="981" customFormat="1" ht="15.6">
      <c r="B24" s="2857">
        <v>30110</v>
      </c>
      <c r="C24" s="1876"/>
      <c r="D24" s="1222" t="s">
        <v>780</v>
      </c>
      <c r="E24" s="1876"/>
      <c r="F24" s="1877">
        <v>0</v>
      </c>
      <c r="G24" s="3411">
        <v>0</v>
      </c>
      <c r="H24" s="1877"/>
      <c r="I24" s="1310">
        <v>0</v>
      </c>
      <c r="J24" s="1877"/>
      <c r="K24" s="3307">
        <v>0</v>
      </c>
      <c r="L24" s="1877"/>
      <c r="M24" s="2411">
        <f t="shared" si="0"/>
        <v>0</v>
      </c>
      <c r="N24" s="1877"/>
      <c r="O24" s="3307">
        <v>0</v>
      </c>
      <c r="P24" s="1239"/>
    </row>
    <row r="25" spans="2:16" s="981" customFormat="1" ht="15.6">
      <c r="B25" s="2857">
        <v>30111</v>
      </c>
      <c r="C25" s="1876"/>
      <c r="D25" s="1222" t="s">
        <v>781</v>
      </c>
      <c r="E25" s="1876"/>
      <c r="F25" s="1877">
        <v>0</v>
      </c>
      <c r="G25" s="3411">
        <v>0</v>
      </c>
      <c r="H25" s="1877"/>
      <c r="I25" s="1310">
        <v>0</v>
      </c>
      <c r="J25" s="1877"/>
      <c r="K25" s="3307">
        <v>0</v>
      </c>
      <c r="L25" s="1877"/>
      <c r="M25" s="2411">
        <f t="shared" si="0"/>
        <v>0</v>
      </c>
      <c r="N25" s="1877"/>
      <c r="O25" s="3307">
        <v>0</v>
      </c>
      <c r="P25" s="1239"/>
    </row>
    <row r="26" spans="2:16" s="981" customFormat="1" ht="15.6">
      <c r="B26" s="2857">
        <v>30112</v>
      </c>
      <c r="C26" s="1876"/>
      <c r="D26" s="1222" t="s">
        <v>782</v>
      </c>
      <c r="E26" s="1876"/>
      <c r="F26" s="1877">
        <v>0</v>
      </c>
      <c r="G26" s="3411">
        <v>0</v>
      </c>
      <c r="H26" s="1877"/>
      <c r="I26" s="1310">
        <v>0</v>
      </c>
      <c r="J26" s="1877"/>
      <c r="K26" s="3307">
        <v>0</v>
      </c>
      <c r="L26" s="1877"/>
      <c r="M26" s="2411">
        <f t="shared" si="0"/>
        <v>0</v>
      </c>
      <c r="N26" s="1877"/>
      <c r="O26" s="3307">
        <v>0</v>
      </c>
      <c r="P26" s="1239"/>
    </row>
    <row r="27" spans="2:16" s="981" customFormat="1" ht="15.6">
      <c r="B27" s="2857">
        <v>30113</v>
      </c>
      <c r="C27" s="1876"/>
      <c r="D27" s="1222" t="s">
        <v>783</v>
      </c>
      <c r="E27" s="1876"/>
      <c r="F27" s="1877">
        <v>0</v>
      </c>
      <c r="G27" s="3411">
        <v>0</v>
      </c>
      <c r="H27" s="1877"/>
      <c r="I27" s="1310">
        <v>0</v>
      </c>
      <c r="J27" s="1877"/>
      <c r="K27" s="3307">
        <v>0</v>
      </c>
      <c r="L27" s="1877"/>
      <c r="M27" s="2411">
        <f t="shared" si="0"/>
        <v>0</v>
      </c>
      <c r="N27" s="1877"/>
      <c r="O27" s="3307">
        <v>0</v>
      </c>
      <c r="P27" s="1239"/>
    </row>
    <row r="28" spans="2:16" s="981" customFormat="1" ht="15.6">
      <c r="B28" s="2857">
        <v>30114</v>
      </c>
      <c r="C28" s="1876"/>
      <c r="D28" s="1222" t="s">
        <v>784</v>
      </c>
      <c r="E28" s="1876"/>
      <c r="F28" s="1877">
        <v>0</v>
      </c>
      <c r="G28" s="3411">
        <v>0</v>
      </c>
      <c r="H28" s="1877"/>
      <c r="I28" s="1310">
        <v>0</v>
      </c>
      <c r="J28" s="1877"/>
      <c r="K28" s="3307">
        <v>0</v>
      </c>
      <c r="L28" s="1877"/>
      <c r="M28" s="2411">
        <f t="shared" si="0"/>
        <v>0</v>
      </c>
      <c r="N28" s="1877"/>
      <c r="O28" s="3307">
        <v>0</v>
      </c>
      <c r="P28" s="1239"/>
    </row>
    <row r="29" spans="2:16" s="981" customFormat="1" ht="15.6">
      <c r="B29" s="2857">
        <v>30115</v>
      </c>
      <c r="C29" s="1876"/>
      <c r="D29" s="1222" t="s">
        <v>785</v>
      </c>
      <c r="E29" s="1876"/>
      <c r="F29" s="1877">
        <v>0</v>
      </c>
      <c r="G29" s="3411">
        <v>0</v>
      </c>
      <c r="H29" s="1877"/>
      <c r="I29" s="1310">
        <v>0</v>
      </c>
      <c r="J29" s="1877"/>
      <c r="K29" s="3307">
        <v>0</v>
      </c>
      <c r="L29" s="1877"/>
      <c r="M29" s="2411">
        <f t="shared" si="0"/>
        <v>0</v>
      </c>
      <c r="N29" s="1877"/>
      <c r="O29" s="3307">
        <v>0</v>
      </c>
      <c r="P29" s="1239"/>
    </row>
    <row r="30" spans="2:16" s="981" customFormat="1" ht="15.6">
      <c r="B30" s="2857">
        <v>30116</v>
      </c>
      <c r="C30" s="1876"/>
      <c r="D30" s="1222" t="s">
        <v>786</v>
      </c>
      <c r="E30" s="1876"/>
      <c r="F30" s="1877">
        <v>0</v>
      </c>
      <c r="G30" s="3411">
        <v>0</v>
      </c>
      <c r="H30" s="1877"/>
      <c r="I30" s="1310">
        <v>0</v>
      </c>
      <c r="J30" s="1877"/>
      <c r="K30" s="3307">
        <v>0</v>
      </c>
      <c r="L30" s="1877"/>
      <c r="M30" s="2411">
        <f t="shared" si="0"/>
        <v>0</v>
      </c>
      <c r="N30" s="1877"/>
      <c r="O30" s="3307">
        <v>0</v>
      </c>
      <c r="P30" s="1239"/>
    </row>
    <row r="31" spans="2:16" s="981" customFormat="1" ht="15.6">
      <c r="B31" s="2857">
        <v>30117</v>
      </c>
      <c r="C31" s="1876"/>
      <c r="D31" s="1222" t="s">
        <v>787</v>
      </c>
      <c r="E31" s="1876"/>
      <c r="F31" s="1877">
        <v>0</v>
      </c>
      <c r="G31" s="3411">
        <v>0</v>
      </c>
      <c r="H31" s="1877"/>
      <c r="I31" s="1310">
        <v>0</v>
      </c>
      <c r="J31" s="1877"/>
      <c r="K31" s="3307">
        <v>0</v>
      </c>
      <c r="L31" s="1877"/>
      <c r="M31" s="2411">
        <f t="shared" si="0"/>
        <v>0</v>
      </c>
      <c r="N31" s="1877"/>
      <c r="O31" s="3307">
        <v>0</v>
      </c>
      <c r="P31" s="1239"/>
    </row>
    <row r="32" spans="2:16" s="981" customFormat="1" ht="15.6">
      <c r="B32" s="2857">
        <v>30118</v>
      </c>
      <c r="C32" s="1876"/>
      <c r="D32" s="1222" t="s">
        <v>788</v>
      </c>
      <c r="E32" s="1876"/>
      <c r="F32" s="1877">
        <v>0</v>
      </c>
      <c r="G32" s="3411">
        <v>0</v>
      </c>
      <c r="H32" s="1877"/>
      <c r="I32" s="1310">
        <v>0</v>
      </c>
      <c r="J32" s="1877"/>
      <c r="K32" s="3307">
        <v>0</v>
      </c>
      <c r="L32" s="1877"/>
      <c r="M32" s="2411">
        <f t="shared" si="0"/>
        <v>0</v>
      </c>
      <c r="N32" s="1877"/>
      <c r="O32" s="3307">
        <v>0</v>
      </c>
      <c r="P32" s="1239"/>
    </row>
    <row r="33" spans="2:16" s="981" customFormat="1" ht="15.6">
      <c r="B33" s="2857">
        <v>30119</v>
      </c>
      <c r="C33" s="1876"/>
      <c r="D33" s="1222" t="s">
        <v>789</v>
      </c>
      <c r="E33" s="1876"/>
      <c r="F33" s="1877">
        <v>0</v>
      </c>
      <c r="G33" s="3411">
        <v>0</v>
      </c>
      <c r="H33" s="1877"/>
      <c r="I33" s="1310">
        <v>0</v>
      </c>
      <c r="J33" s="1877"/>
      <c r="K33" s="3307">
        <v>0</v>
      </c>
      <c r="L33" s="1877"/>
      <c r="M33" s="2411">
        <f t="shared" si="0"/>
        <v>0</v>
      </c>
      <c r="N33" s="1877"/>
      <c r="O33" s="3307">
        <v>0</v>
      </c>
      <c r="P33" s="1239"/>
    </row>
    <row r="34" spans="2:16" s="981" customFormat="1" ht="15.6">
      <c r="B34" s="2857">
        <v>30120</v>
      </c>
      <c r="C34" s="1876"/>
      <c r="D34" s="1222" t="s">
        <v>790</v>
      </c>
      <c r="E34" s="1876"/>
      <c r="F34" s="1877">
        <v>0</v>
      </c>
      <c r="G34" s="3411">
        <v>0</v>
      </c>
      <c r="H34" s="1877"/>
      <c r="I34" s="1310">
        <v>0</v>
      </c>
      <c r="J34" s="1877"/>
      <c r="K34" s="3307">
        <v>0</v>
      </c>
      <c r="L34" s="1877"/>
      <c r="M34" s="2411">
        <f t="shared" si="0"/>
        <v>0</v>
      </c>
      <c r="N34" s="1877"/>
      <c r="O34" s="3307">
        <v>0</v>
      </c>
      <c r="P34" s="1239"/>
    </row>
    <row r="35" spans="2:16" s="981" customFormat="1" ht="15.6">
      <c r="B35" s="2857">
        <v>30121</v>
      </c>
      <c r="C35" s="1876"/>
      <c r="D35" s="1222" t="s">
        <v>791</v>
      </c>
      <c r="E35" s="1876"/>
      <c r="F35" s="1877">
        <v>0</v>
      </c>
      <c r="G35" s="3411">
        <v>0</v>
      </c>
      <c r="H35" s="1877"/>
      <c r="I35" s="1310">
        <v>0</v>
      </c>
      <c r="J35" s="1877"/>
      <c r="K35" s="3307">
        <v>0</v>
      </c>
      <c r="L35" s="1877"/>
      <c r="M35" s="2411">
        <f t="shared" si="0"/>
        <v>0</v>
      </c>
      <c r="N35" s="1877"/>
      <c r="O35" s="3307">
        <v>0</v>
      </c>
      <c r="P35" s="1239"/>
    </row>
    <row r="36" spans="2:16" s="981" customFormat="1" ht="15.6">
      <c r="B36" s="2857">
        <v>30122</v>
      </c>
      <c r="C36" s="1876"/>
      <c r="D36" s="1222" t="s">
        <v>792</v>
      </c>
      <c r="E36" s="1876"/>
      <c r="F36" s="1877">
        <v>0</v>
      </c>
      <c r="G36" s="3411">
        <v>0</v>
      </c>
      <c r="H36" s="1877"/>
      <c r="I36" s="1310">
        <v>0</v>
      </c>
      <c r="J36" s="1877"/>
      <c r="K36" s="3307">
        <v>0</v>
      </c>
      <c r="L36" s="1877"/>
      <c r="M36" s="2411">
        <f t="shared" si="0"/>
        <v>0</v>
      </c>
      <c r="N36" s="1877"/>
      <c r="O36" s="3307">
        <v>0</v>
      </c>
      <c r="P36" s="1239"/>
    </row>
    <row r="37" spans="2:16" s="981" customFormat="1" ht="15.6">
      <c r="B37" s="2857">
        <v>30123</v>
      </c>
      <c r="C37" s="1876"/>
      <c r="D37" s="1222" t="s">
        <v>793</v>
      </c>
      <c r="E37" s="1876"/>
      <c r="F37" s="1877">
        <v>0</v>
      </c>
      <c r="G37" s="3411">
        <v>0</v>
      </c>
      <c r="H37" s="1877"/>
      <c r="I37" s="1310">
        <v>0</v>
      </c>
      <c r="J37" s="1877"/>
      <c r="K37" s="3307">
        <v>0</v>
      </c>
      <c r="L37" s="1877"/>
      <c r="M37" s="2411">
        <f t="shared" si="0"/>
        <v>0</v>
      </c>
      <c r="N37" s="1877"/>
      <c r="O37" s="3307">
        <v>0</v>
      </c>
      <c r="P37" s="1239"/>
    </row>
    <row r="38" spans="2:16" s="981" customFormat="1" ht="15.6">
      <c r="B38" s="2857">
        <v>30124</v>
      </c>
      <c r="C38" s="1876"/>
      <c r="D38" s="1222" t="s">
        <v>794</v>
      </c>
      <c r="E38" s="1876"/>
      <c r="F38" s="1877">
        <v>0</v>
      </c>
      <c r="G38" s="3411">
        <v>0</v>
      </c>
      <c r="H38" s="1877"/>
      <c r="I38" s="1310">
        <v>0</v>
      </c>
      <c r="J38" s="1877"/>
      <c r="K38" s="3307">
        <v>0</v>
      </c>
      <c r="L38" s="1877"/>
      <c r="M38" s="2411">
        <f t="shared" si="0"/>
        <v>0</v>
      </c>
      <c r="N38" s="1877"/>
      <c r="O38" s="3307">
        <v>0</v>
      </c>
      <c r="P38" s="1239"/>
    </row>
    <row r="39" spans="2:16" s="981" customFormat="1" ht="15.6">
      <c r="B39" s="2857">
        <v>30125</v>
      </c>
      <c r="C39" s="1876"/>
      <c r="D39" s="1222" t="s">
        <v>795</v>
      </c>
      <c r="E39" s="1876"/>
      <c r="F39" s="1877">
        <v>0</v>
      </c>
      <c r="G39" s="3411">
        <v>0</v>
      </c>
      <c r="H39" s="1877"/>
      <c r="I39" s="1310">
        <v>0</v>
      </c>
      <c r="J39" s="1877"/>
      <c r="K39" s="3307">
        <v>0</v>
      </c>
      <c r="L39" s="1877"/>
      <c r="M39" s="2411">
        <f t="shared" si="0"/>
        <v>0</v>
      </c>
      <c r="N39" s="1877"/>
      <c r="O39" s="3307">
        <v>0</v>
      </c>
      <c r="P39" s="1239"/>
    </row>
    <row r="40" spans="2:16" s="981" customFormat="1" ht="15.6">
      <c r="B40" s="2857">
        <v>30126</v>
      </c>
      <c r="C40" s="1876"/>
      <c r="D40" s="1222" t="s">
        <v>796</v>
      </c>
      <c r="E40" s="1876"/>
      <c r="F40" s="1877">
        <v>0</v>
      </c>
      <c r="G40" s="3411">
        <v>0</v>
      </c>
      <c r="H40" s="1877"/>
      <c r="I40" s="1310">
        <v>0</v>
      </c>
      <c r="J40" s="1877"/>
      <c r="K40" s="3307">
        <v>0</v>
      </c>
      <c r="L40" s="1877"/>
      <c r="M40" s="2411">
        <f t="shared" si="0"/>
        <v>0</v>
      </c>
      <c r="N40" s="1877"/>
      <c r="O40" s="3307">
        <v>0</v>
      </c>
      <c r="P40" s="1239"/>
    </row>
    <row r="41" spans="2:16" s="981" customFormat="1" ht="15.6">
      <c r="B41" s="2857">
        <v>30127</v>
      </c>
      <c r="C41" s="1876"/>
      <c r="D41" s="1222" t="s">
        <v>797</v>
      </c>
      <c r="E41" s="1876"/>
      <c r="F41" s="1877">
        <v>0</v>
      </c>
      <c r="G41" s="3411">
        <v>0</v>
      </c>
      <c r="H41" s="1877"/>
      <c r="I41" s="1310">
        <v>0</v>
      </c>
      <c r="J41" s="1877"/>
      <c r="K41" s="3307">
        <v>0</v>
      </c>
      <c r="L41" s="1877"/>
      <c r="M41" s="2411">
        <f t="shared" si="0"/>
        <v>0</v>
      </c>
      <c r="N41" s="1877"/>
      <c r="O41" s="3307">
        <v>0</v>
      </c>
      <c r="P41" s="1239"/>
    </row>
    <row r="42" spans="2:16" s="981" customFormat="1" ht="15.6">
      <c r="B42" s="2857">
        <v>30128</v>
      </c>
      <c r="C42" s="1876"/>
      <c r="D42" s="1222" t="s">
        <v>798</v>
      </c>
      <c r="E42" s="1876"/>
      <c r="F42" s="1877">
        <v>0</v>
      </c>
      <c r="G42" s="3411">
        <v>0</v>
      </c>
      <c r="H42" s="1877"/>
      <c r="I42" s="1310">
        <v>0</v>
      </c>
      <c r="J42" s="1877"/>
      <c r="K42" s="3307">
        <v>0</v>
      </c>
      <c r="L42" s="1877"/>
      <c r="M42" s="2411">
        <f t="shared" si="0"/>
        <v>0</v>
      </c>
      <c r="N42" s="1877"/>
      <c r="O42" s="3307">
        <v>0</v>
      </c>
      <c r="P42" s="1239"/>
    </row>
    <row r="43" spans="2:16" s="981" customFormat="1" ht="15.6">
      <c r="B43" s="2857">
        <v>30129</v>
      </c>
      <c r="C43" s="1876"/>
      <c r="D43" s="1222" t="s">
        <v>799</v>
      </c>
      <c r="E43" s="1876"/>
      <c r="F43" s="1877">
        <v>0</v>
      </c>
      <c r="G43" s="3411">
        <v>0</v>
      </c>
      <c r="H43" s="1877"/>
      <c r="I43" s="1310">
        <v>0</v>
      </c>
      <c r="J43" s="1877"/>
      <c r="K43" s="3307">
        <v>0</v>
      </c>
      <c r="L43" s="1877"/>
      <c r="M43" s="2411">
        <f t="shared" si="0"/>
        <v>0</v>
      </c>
      <c r="N43" s="1877"/>
      <c r="O43" s="3307">
        <v>0</v>
      </c>
      <c r="P43" s="1239"/>
    </row>
    <row r="44" spans="2:16" s="981" customFormat="1" ht="15.6">
      <c r="B44" s="2857">
        <v>30130</v>
      </c>
      <c r="C44" s="1876"/>
      <c r="D44" s="1222" t="s">
        <v>800</v>
      </c>
      <c r="E44" s="1876"/>
      <c r="F44" s="1877">
        <v>0</v>
      </c>
      <c r="G44" s="3411">
        <v>0</v>
      </c>
      <c r="H44" s="1877"/>
      <c r="I44" s="1310">
        <v>0</v>
      </c>
      <c r="J44" s="1877"/>
      <c r="K44" s="3307">
        <v>0</v>
      </c>
      <c r="L44" s="1877"/>
      <c r="M44" s="2411">
        <f t="shared" si="0"/>
        <v>0</v>
      </c>
      <c r="N44" s="1877"/>
      <c r="O44" s="3307">
        <v>0</v>
      </c>
      <c r="P44" s="1239"/>
    </row>
    <row r="45" spans="2:16" s="981" customFormat="1" ht="15.6">
      <c r="B45" s="2857">
        <v>30131</v>
      </c>
      <c r="C45" s="1876"/>
      <c r="D45" s="1222" t="s">
        <v>801</v>
      </c>
      <c r="E45" s="1876"/>
      <c r="F45" s="1877">
        <v>0</v>
      </c>
      <c r="G45" s="3411">
        <v>0</v>
      </c>
      <c r="H45" s="1877"/>
      <c r="I45" s="1310">
        <v>0</v>
      </c>
      <c r="J45" s="1877"/>
      <c r="K45" s="3307">
        <v>0</v>
      </c>
      <c r="L45" s="1877"/>
      <c r="M45" s="2411">
        <f t="shared" si="0"/>
        <v>0</v>
      </c>
      <c r="N45" s="1877"/>
      <c r="O45" s="3307">
        <v>0</v>
      </c>
      <c r="P45" s="1239"/>
    </row>
    <row r="46" spans="2:16" s="981" customFormat="1" ht="15.6">
      <c r="B46" s="2857">
        <v>30132</v>
      </c>
      <c r="C46" s="1876"/>
      <c r="D46" s="1222" t="s">
        <v>802</v>
      </c>
      <c r="E46" s="1876"/>
      <c r="F46" s="1877">
        <v>0</v>
      </c>
      <c r="G46" s="3411">
        <v>0</v>
      </c>
      <c r="H46" s="1877"/>
      <c r="I46" s="1310">
        <v>0</v>
      </c>
      <c r="J46" s="1877"/>
      <c r="K46" s="3307">
        <v>0</v>
      </c>
      <c r="L46" s="1877"/>
      <c r="M46" s="2411">
        <f t="shared" si="0"/>
        <v>0</v>
      </c>
      <c r="N46" s="1877"/>
      <c r="O46" s="3307">
        <v>0</v>
      </c>
      <c r="P46" s="1239"/>
    </row>
    <row r="47" spans="2:16" s="981" customFormat="1" ht="15.6">
      <c r="B47" s="2857">
        <v>30133</v>
      </c>
      <c r="C47" s="1876"/>
      <c r="D47" s="1222" t="s">
        <v>803</v>
      </c>
      <c r="E47" s="1876"/>
      <c r="F47" s="1877">
        <v>0</v>
      </c>
      <c r="G47" s="3411">
        <v>0</v>
      </c>
      <c r="H47" s="1877"/>
      <c r="I47" s="1310">
        <v>0</v>
      </c>
      <c r="J47" s="1877"/>
      <c r="K47" s="3307">
        <v>0</v>
      </c>
      <c r="L47" s="1877"/>
      <c r="M47" s="2411">
        <f t="shared" si="0"/>
        <v>0</v>
      </c>
      <c r="N47" s="1877"/>
      <c r="O47" s="3307">
        <v>0</v>
      </c>
      <c r="P47" s="1239"/>
    </row>
    <row r="48" spans="2:16" s="981" customFormat="1" ht="15.6">
      <c r="B48" s="2857">
        <v>30134</v>
      </c>
      <c r="C48" s="1876"/>
      <c r="D48" s="1222" t="s">
        <v>804</v>
      </c>
      <c r="E48" s="1876"/>
      <c r="F48" s="1877">
        <v>0</v>
      </c>
      <c r="G48" s="3411">
        <v>0</v>
      </c>
      <c r="H48" s="1877"/>
      <c r="I48" s="1310">
        <v>0</v>
      </c>
      <c r="J48" s="1877"/>
      <c r="K48" s="3307">
        <v>0</v>
      </c>
      <c r="L48" s="1877"/>
      <c r="M48" s="2411">
        <f t="shared" si="0"/>
        <v>0</v>
      </c>
      <c r="N48" s="1877"/>
      <c r="O48" s="3307">
        <v>0</v>
      </c>
      <c r="P48" s="1239"/>
    </row>
    <row r="49" spans="2:16" s="981" customFormat="1" ht="15.6">
      <c r="B49" s="2857">
        <v>30135</v>
      </c>
      <c r="C49" s="1876"/>
      <c r="D49" s="1222" t="s">
        <v>805</v>
      </c>
      <c r="E49" s="1876"/>
      <c r="F49" s="1877">
        <v>0</v>
      </c>
      <c r="G49" s="3411">
        <v>0</v>
      </c>
      <c r="H49" s="1877"/>
      <c r="I49" s="1310">
        <v>0</v>
      </c>
      <c r="J49" s="1877"/>
      <c r="K49" s="3307">
        <v>0</v>
      </c>
      <c r="L49" s="1877"/>
      <c r="M49" s="2411">
        <f t="shared" si="0"/>
        <v>0</v>
      </c>
      <c r="N49" s="1877"/>
      <c r="O49" s="3307">
        <v>0</v>
      </c>
      <c r="P49" s="1239"/>
    </row>
    <row r="50" spans="2:16" s="981" customFormat="1" ht="15.6">
      <c r="B50" s="2857">
        <v>30136</v>
      </c>
      <c r="C50" s="1876"/>
      <c r="D50" s="1222" t="s">
        <v>806</v>
      </c>
      <c r="E50" s="1876"/>
      <c r="F50" s="1877">
        <v>0</v>
      </c>
      <c r="G50" s="3411">
        <v>0</v>
      </c>
      <c r="H50" s="1877"/>
      <c r="I50" s="1310">
        <v>0</v>
      </c>
      <c r="J50" s="1877"/>
      <c r="K50" s="3307">
        <v>0</v>
      </c>
      <c r="L50" s="1877"/>
      <c r="M50" s="2411">
        <f t="shared" si="0"/>
        <v>0</v>
      </c>
      <c r="N50" s="1877"/>
      <c r="O50" s="3307">
        <v>0</v>
      </c>
      <c r="P50" s="1239"/>
    </row>
    <row r="51" spans="2:16" s="981" customFormat="1" ht="15.6">
      <c r="B51" s="2857">
        <v>30137</v>
      </c>
      <c r="C51" s="1876"/>
      <c r="D51" s="1222" t="s">
        <v>807</v>
      </c>
      <c r="E51" s="1876"/>
      <c r="F51" s="1877">
        <v>2867.69</v>
      </c>
      <c r="G51" s="3411">
        <v>0</v>
      </c>
      <c r="H51" s="1877"/>
      <c r="I51" s="1310">
        <v>0</v>
      </c>
      <c r="J51" s="1877"/>
      <c r="K51" s="3307">
        <v>0</v>
      </c>
      <c r="L51" s="1877"/>
      <c r="M51" s="2411">
        <f t="shared" si="0"/>
        <v>0</v>
      </c>
      <c r="N51" s="1877"/>
      <c r="O51" s="3307">
        <v>0</v>
      </c>
      <c r="P51" s="1239"/>
    </row>
    <row r="52" spans="2:16" s="981" customFormat="1" ht="15.6">
      <c r="B52" s="2857">
        <v>30138</v>
      </c>
      <c r="C52" s="1876"/>
      <c r="D52" s="1222" t="s">
        <v>808</v>
      </c>
      <c r="E52" s="1876"/>
      <c r="F52" s="1877">
        <v>0</v>
      </c>
      <c r="G52" s="3411">
        <v>0</v>
      </c>
      <c r="H52" s="1877"/>
      <c r="I52" s="1310">
        <v>0</v>
      </c>
      <c r="J52" s="1877"/>
      <c r="K52" s="3307">
        <v>0</v>
      </c>
      <c r="L52" s="1877"/>
      <c r="M52" s="2411">
        <f t="shared" si="0"/>
        <v>0</v>
      </c>
      <c r="N52" s="1877"/>
      <c r="O52" s="3307">
        <v>0</v>
      </c>
      <c r="P52" s="1239"/>
    </row>
    <row r="53" spans="2:16" s="981" customFormat="1" ht="15.6">
      <c r="B53" s="2857">
        <v>30139</v>
      </c>
      <c r="C53" s="1876"/>
      <c r="D53" s="1222" t="s">
        <v>809</v>
      </c>
      <c r="E53" s="1876"/>
      <c r="F53" s="1877">
        <v>0</v>
      </c>
      <c r="G53" s="3411">
        <v>0</v>
      </c>
      <c r="H53" s="1877"/>
      <c r="I53" s="1310">
        <v>0</v>
      </c>
      <c r="J53" s="1877"/>
      <c r="K53" s="3307">
        <v>0</v>
      </c>
      <c r="L53" s="1877"/>
      <c r="M53" s="2411">
        <f t="shared" si="0"/>
        <v>0</v>
      </c>
      <c r="N53" s="1877"/>
      <c r="O53" s="3307">
        <v>0</v>
      </c>
      <c r="P53" s="1239"/>
    </row>
    <row r="54" spans="2:16" s="981" customFormat="1" ht="15.6">
      <c r="B54" s="2857">
        <v>30140</v>
      </c>
      <c r="C54" s="1876"/>
      <c r="D54" s="1222" t="s">
        <v>810</v>
      </c>
      <c r="E54" s="1876"/>
      <c r="F54" s="1877">
        <v>0</v>
      </c>
      <c r="G54" s="3411">
        <v>0</v>
      </c>
      <c r="H54" s="1877"/>
      <c r="I54" s="1310">
        <v>0</v>
      </c>
      <c r="J54" s="1877"/>
      <c r="K54" s="3307">
        <v>0</v>
      </c>
      <c r="L54" s="1877"/>
      <c r="M54" s="2411">
        <f t="shared" si="0"/>
        <v>0</v>
      </c>
      <c r="N54" s="1877"/>
      <c r="O54" s="3307">
        <v>0</v>
      </c>
      <c r="P54" s="1239"/>
    </row>
    <row r="55" spans="2:16" s="981" customFormat="1" ht="15.6">
      <c r="B55" s="2857">
        <v>30141</v>
      </c>
      <c r="C55" s="1876"/>
      <c r="D55" s="1222" t="s">
        <v>811</v>
      </c>
      <c r="E55" s="1876"/>
      <c r="F55" s="1877">
        <v>0</v>
      </c>
      <c r="G55" s="3411">
        <v>0</v>
      </c>
      <c r="H55" s="1877"/>
      <c r="I55" s="1310">
        <v>0</v>
      </c>
      <c r="J55" s="1877"/>
      <c r="K55" s="3307">
        <v>0</v>
      </c>
      <c r="L55" s="1877"/>
      <c r="M55" s="2411">
        <f t="shared" si="0"/>
        <v>0</v>
      </c>
      <c r="N55" s="1877"/>
      <c r="O55" s="3307">
        <v>0</v>
      </c>
      <c r="P55" s="1239"/>
    </row>
    <row r="56" spans="2:16" s="981" customFormat="1" ht="15.6">
      <c r="B56" s="2857">
        <v>30142</v>
      </c>
      <c r="C56" s="1876"/>
      <c r="D56" s="1222" t="s">
        <v>812</v>
      </c>
      <c r="E56" s="1876"/>
      <c r="F56" s="1877">
        <v>0</v>
      </c>
      <c r="G56" s="3411">
        <v>0</v>
      </c>
      <c r="H56" s="1877"/>
      <c r="I56" s="1310">
        <v>0</v>
      </c>
      <c r="J56" s="1877"/>
      <c r="K56" s="3307">
        <v>0</v>
      </c>
      <c r="L56" s="1877"/>
      <c r="M56" s="2411">
        <f t="shared" si="0"/>
        <v>0</v>
      </c>
      <c r="N56" s="1877"/>
      <c r="O56" s="3307">
        <v>0</v>
      </c>
      <c r="P56" s="1239"/>
    </row>
    <row r="57" spans="2:16" s="981" customFormat="1" ht="15.6">
      <c r="B57" s="2857">
        <v>30143</v>
      </c>
      <c r="C57" s="1876"/>
      <c r="D57" s="1222" t="s">
        <v>813</v>
      </c>
      <c r="E57" s="1876"/>
      <c r="F57" s="1877">
        <v>0</v>
      </c>
      <c r="G57" s="3411">
        <v>0</v>
      </c>
      <c r="H57" s="1877"/>
      <c r="I57" s="1310">
        <v>0</v>
      </c>
      <c r="J57" s="1877"/>
      <c r="K57" s="3307">
        <v>0</v>
      </c>
      <c r="L57" s="1877"/>
      <c r="M57" s="2411">
        <f t="shared" si="0"/>
        <v>0</v>
      </c>
      <c r="N57" s="1877"/>
      <c r="O57" s="3307">
        <v>0</v>
      </c>
      <c r="P57" s="1239"/>
    </row>
    <row r="58" spans="2:16" s="981" customFormat="1" ht="15.6">
      <c r="B58" s="2857">
        <v>30144</v>
      </c>
      <c r="C58" s="1876"/>
      <c r="D58" s="1222" t="s">
        <v>814</v>
      </c>
      <c r="E58" s="1876"/>
      <c r="F58" s="1877">
        <v>0</v>
      </c>
      <c r="G58" s="3411">
        <v>0</v>
      </c>
      <c r="H58" s="1877"/>
      <c r="I58" s="1310">
        <v>0</v>
      </c>
      <c r="J58" s="1877"/>
      <c r="K58" s="3307">
        <v>0</v>
      </c>
      <c r="L58" s="1877"/>
      <c r="M58" s="2411">
        <f t="shared" si="0"/>
        <v>0</v>
      </c>
      <c r="N58" s="1877"/>
      <c r="O58" s="3307">
        <v>0</v>
      </c>
      <c r="P58" s="1239"/>
    </row>
    <row r="59" spans="2:16" s="981" customFormat="1" ht="15.6">
      <c r="B59" s="2857">
        <v>30145</v>
      </c>
      <c r="C59" s="1876"/>
      <c r="D59" s="1222" t="s">
        <v>815</v>
      </c>
      <c r="E59" s="1876"/>
      <c r="F59" s="1877">
        <v>0</v>
      </c>
      <c r="G59" s="3411">
        <v>0</v>
      </c>
      <c r="H59" s="1877"/>
      <c r="I59" s="1310">
        <v>0</v>
      </c>
      <c r="J59" s="1877"/>
      <c r="K59" s="3307">
        <v>0</v>
      </c>
      <c r="L59" s="1877"/>
      <c r="M59" s="2411">
        <f t="shared" si="0"/>
        <v>0</v>
      </c>
      <c r="N59" s="1877"/>
      <c r="O59" s="3307">
        <v>0</v>
      </c>
      <c r="P59" s="1239"/>
    </row>
    <row r="60" spans="2:16" s="981" customFormat="1" ht="15.6">
      <c r="B60" s="2857">
        <v>30146</v>
      </c>
      <c r="C60" s="1876"/>
      <c r="D60" s="1222" t="s">
        <v>816</v>
      </c>
      <c r="E60" s="1876"/>
      <c r="F60" s="1877">
        <v>0</v>
      </c>
      <c r="G60" s="3411">
        <v>0</v>
      </c>
      <c r="H60" s="1877"/>
      <c r="I60" s="1310">
        <v>0</v>
      </c>
      <c r="J60" s="1877"/>
      <c r="K60" s="3307">
        <v>0</v>
      </c>
      <c r="L60" s="1877"/>
      <c r="M60" s="2411">
        <f t="shared" si="0"/>
        <v>0</v>
      </c>
      <c r="N60" s="1877"/>
      <c r="O60" s="3307">
        <v>0</v>
      </c>
      <c r="P60" s="1239"/>
    </row>
    <row r="61" spans="2:16" s="981" customFormat="1" ht="15.6">
      <c r="B61" s="2857">
        <v>30147</v>
      </c>
      <c r="C61" s="1876"/>
      <c r="D61" s="1222" t="s">
        <v>817</v>
      </c>
      <c r="E61" s="1876"/>
      <c r="F61" s="1877">
        <v>0</v>
      </c>
      <c r="G61" s="3411">
        <v>0</v>
      </c>
      <c r="H61" s="1877"/>
      <c r="I61" s="1310">
        <v>0</v>
      </c>
      <c r="J61" s="1877"/>
      <c r="K61" s="3307">
        <v>0</v>
      </c>
      <c r="L61" s="1877"/>
      <c r="M61" s="2411">
        <f t="shared" si="0"/>
        <v>0</v>
      </c>
      <c r="N61" s="1877"/>
      <c r="O61" s="3307">
        <v>0</v>
      </c>
      <c r="P61" s="1239"/>
    </row>
    <row r="62" spans="2:16" s="981" customFormat="1" ht="15.6">
      <c r="B62" s="2857">
        <v>30148</v>
      </c>
      <c r="C62" s="1876"/>
      <c r="D62" s="1222" t="s">
        <v>818</v>
      </c>
      <c r="E62" s="1876"/>
      <c r="F62" s="1877">
        <v>0</v>
      </c>
      <c r="G62" s="3411">
        <v>0</v>
      </c>
      <c r="H62" s="1877"/>
      <c r="I62" s="1310">
        <v>0</v>
      </c>
      <c r="J62" s="1877"/>
      <c r="K62" s="3307">
        <v>0</v>
      </c>
      <c r="L62" s="1877"/>
      <c r="M62" s="2411">
        <f t="shared" si="0"/>
        <v>0</v>
      </c>
      <c r="N62" s="1877"/>
      <c r="O62" s="3307">
        <v>0</v>
      </c>
      <c r="P62" s="1239"/>
    </row>
    <row r="63" spans="2:16" s="981" customFormat="1" ht="15.6">
      <c r="B63" s="2857">
        <v>30149</v>
      </c>
      <c r="C63" s="1876"/>
      <c r="D63" s="1222" t="s">
        <v>819</v>
      </c>
      <c r="E63" s="1876"/>
      <c r="F63" s="1877">
        <v>0</v>
      </c>
      <c r="G63" s="3411">
        <v>0</v>
      </c>
      <c r="H63" s="1877"/>
      <c r="I63" s="1310">
        <v>0</v>
      </c>
      <c r="J63" s="1877"/>
      <c r="K63" s="3307">
        <v>0</v>
      </c>
      <c r="L63" s="1877"/>
      <c r="M63" s="2411">
        <f t="shared" si="0"/>
        <v>0</v>
      </c>
      <c r="N63" s="1877"/>
      <c r="O63" s="3307">
        <v>0</v>
      </c>
      <c r="P63" s="1239"/>
    </row>
    <row r="64" spans="2:16" s="981" customFormat="1" ht="15.6">
      <c r="B64" s="2857">
        <v>30150</v>
      </c>
      <c r="C64" s="1876"/>
      <c r="D64" s="1222" t="s">
        <v>820</v>
      </c>
      <c r="E64" s="1876"/>
      <c r="F64" s="1877">
        <v>0</v>
      </c>
      <c r="G64" s="3411">
        <v>0</v>
      </c>
      <c r="H64" s="1877"/>
      <c r="I64" s="1310">
        <v>0</v>
      </c>
      <c r="J64" s="1877"/>
      <c r="K64" s="3307">
        <v>0</v>
      </c>
      <c r="L64" s="1877"/>
      <c r="M64" s="2411">
        <f t="shared" si="0"/>
        <v>0</v>
      </c>
      <c r="N64" s="1877"/>
      <c r="O64" s="3307">
        <v>0</v>
      </c>
      <c r="P64" s="1239"/>
    </row>
    <row r="65" spans="2:16" s="981" customFormat="1" ht="15.6">
      <c r="B65" s="2857">
        <v>30151</v>
      </c>
      <c r="C65" s="1876"/>
      <c r="D65" s="1222" t="s">
        <v>821</v>
      </c>
      <c r="E65" s="1876"/>
      <c r="F65" s="1877">
        <v>0</v>
      </c>
      <c r="G65" s="3411">
        <v>0</v>
      </c>
      <c r="H65" s="1877"/>
      <c r="I65" s="1310">
        <v>0</v>
      </c>
      <c r="J65" s="1877"/>
      <c r="K65" s="3307">
        <v>0</v>
      </c>
      <c r="L65" s="1877"/>
      <c r="M65" s="2411">
        <f t="shared" si="0"/>
        <v>0</v>
      </c>
      <c r="N65" s="1877"/>
      <c r="O65" s="3307">
        <v>0</v>
      </c>
      <c r="P65" s="1239"/>
    </row>
    <row r="66" spans="2:16" s="981" customFormat="1" ht="15.6">
      <c r="B66" s="2857">
        <v>30152</v>
      </c>
      <c r="C66" s="1876"/>
      <c r="D66" s="1222" t="s">
        <v>822</v>
      </c>
      <c r="E66" s="1876"/>
      <c r="F66" s="1877">
        <v>0</v>
      </c>
      <c r="G66" s="3411">
        <v>0</v>
      </c>
      <c r="H66" s="1877"/>
      <c r="I66" s="1310">
        <v>0</v>
      </c>
      <c r="J66" s="1877"/>
      <c r="K66" s="3307">
        <v>0</v>
      </c>
      <c r="L66" s="1877"/>
      <c r="M66" s="2411">
        <f t="shared" si="0"/>
        <v>0</v>
      </c>
      <c r="N66" s="1877"/>
      <c r="O66" s="3307">
        <v>0</v>
      </c>
      <c r="P66" s="1239"/>
    </row>
    <row r="67" spans="2:16" s="981" customFormat="1" ht="15.6">
      <c r="B67" s="2857">
        <v>30153</v>
      </c>
      <c r="C67" s="1876"/>
      <c r="D67" s="1222" t="s">
        <v>823</v>
      </c>
      <c r="E67" s="1876"/>
      <c r="F67" s="1877">
        <v>0</v>
      </c>
      <c r="G67" s="3411">
        <v>0</v>
      </c>
      <c r="H67" s="1877"/>
      <c r="I67" s="1310">
        <v>0</v>
      </c>
      <c r="J67" s="1877"/>
      <c r="K67" s="3307">
        <v>0</v>
      </c>
      <c r="L67" s="1877"/>
      <c r="M67" s="2411">
        <f t="shared" si="0"/>
        <v>0</v>
      </c>
      <c r="N67" s="1877"/>
      <c r="O67" s="3307">
        <v>0</v>
      </c>
      <c r="P67" s="1239"/>
    </row>
    <row r="68" spans="2:16" s="981" customFormat="1" ht="15.6">
      <c r="B68" s="2857">
        <v>30154</v>
      </c>
      <c r="C68" s="1876"/>
      <c r="D68" s="1222" t="s">
        <v>824</v>
      </c>
      <c r="E68" s="1876"/>
      <c r="F68" s="1877">
        <v>0</v>
      </c>
      <c r="G68" s="3411">
        <v>0</v>
      </c>
      <c r="H68" s="1877"/>
      <c r="I68" s="1310">
        <v>0</v>
      </c>
      <c r="J68" s="1877"/>
      <c r="K68" s="3307">
        <v>0</v>
      </c>
      <c r="L68" s="1877"/>
      <c r="M68" s="2411">
        <f t="shared" si="0"/>
        <v>0</v>
      </c>
      <c r="N68" s="1877"/>
      <c r="O68" s="3307">
        <v>0</v>
      </c>
      <c r="P68" s="1239"/>
    </row>
    <row r="69" spans="2:16" s="981" customFormat="1" ht="15.6">
      <c r="B69" s="2857">
        <v>30351</v>
      </c>
      <c r="C69" s="1876"/>
      <c r="D69" s="1222" t="s">
        <v>825</v>
      </c>
      <c r="E69" s="1876"/>
      <c r="F69" s="1877">
        <v>72792259.140000001</v>
      </c>
      <c r="G69" s="3411">
        <v>50786961.920000002</v>
      </c>
      <c r="H69" s="1877"/>
      <c r="I69" s="3411">
        <v>48116544.310000002</v>
      </c>
      <c r="J69" s="1877"/>
      <c r="K69" s="3307">
        <v>46053723.990000002</v>
      </c>
      <c r="L69" s="1877"/>
      <c r="M69" s="2411">
        <f t="shared" si="0"/>
        <v>4056799.61</v>
      </c>
      <c r="N69" s="1877"/>
      <c r="O69" s="3307">
        <v>50110523.600000001</v>
      </c>
      <c r="P69" s="1239"/>
    </row>
    <row r="70" spans="2:16" s="981" customFormat="1" ht="15.6">
      <c r="B70" s="2857">
        <v>30501</v>
      </c>
      <c r="C70" s="1876"/>
      <c r="D70" s="1222" t="s">
        <v>826</v>
      </c>
      <c r="E70" s="1876"/>
      <c r="F70" s="1877">
        <v>169.29</v>
      </c>
      <c r="G70" s="3411">
        <v>0</v>
      </c>
      <c r="H70" s="1877"/>
      <c r="I70" s="1310">
        <v>0</v>
      </c>
      <c r="J70" s="1877"/>
      <c r="K70" s="3307">
        <v>0</v>
      </c>
      <c r="L70" s="1877"/>
      <c r="M70" s="2411">
        <f t="shared" si="0"/>
        <v>0</v>
      </c>
      <c r="N70" s="1877"/>
      <c r="O70" s="3307">
        <v>0</v>
      </c>
      <c r="P70" s="1239"/>
    </row>
    <row r="71" spans="2:16" s="981" customFormat="1" ht="15.6">
      <c r="B71" s="2857">
        <v>30502</v>
      </c>
      <c r="C71" s="1876"/>
      <c r="D71" s="1222" t="s">
        <v>827</v>
      </c>
      <c r="E71" s="1876"/>
      <c r="F71" s="1877">
        <v>0</v>
      </c>
      <c r="G71" s="3411">
        <v>0</v>
      </c>
      <c r="H71" s="1877"/>
      <c r="I71" s="1310">
        <v>0</v>
      </c>
      <c r="J71" s="1877"/>
      <c r="K71" s="3307">
        <v>0</v>
      </c>
      <c r="L71" s="1877"/>
      <c r="M71" s="2411">
        <f t="shared" si="0"/>
        <v>0</v>
      </c>
      <c r="N71" s="1877"/>
      <c r="O71" s="3307">
        <v>0</v>
      </c>
      <c r="P71" s="1239"/>
    </row>
    <row r="72" spans="2:16" s="981" customFormat="1" ht="15.6">
      <c r="B72" s="2857">
        <v>30503</v>
      </c>
      <c r="C72" s="1876"/>
      <c r="D72" s="1222" t="s">
        <v>828</v>
      </c>
      <c r="E72" s="1876"/>
      <c r="F72" s="1877">
        <v>0</v>
      </c>
      <c r="G72" s="3411">
        <v>0</v>
      </c>
      <c r="H72" s="1877"/>
      <c r="I72" s="1310">
        <v>0</v>
      </c>
      <c r="J72" s="1877"/>
      <c r="K72" s="3307">
        <v>0</v>
      </c>
      <c r="L72" s="1877"/>
      <c r="M72" s="2411">
        <f t="shared" si="0"/>
        <v>0</v>
      </c>
      <c r="N72" s="1877"/>
      <c r="O72" s="3307">
        <v>0</v>
      </c>
      <c r="P72" s="1239"/>
    </row>
    <row r="73" spans="2:16" s="981" customFormat="1" ht="15.6">
      <c r="B73" s="2857">
        <v>30504</v>
      </c>
      <c r="C73" s="1876"/>
      <c r="D73" s="1228" t="s">
        <v>829</v>
      </c>
      <c r="E73" s="1876"/>
      <c r="F73" s="1877">
        <v>0</v>
      </c>
      <c r="G73" s="3411">
        <v>0</v>
      </c>
      <c r="H73" s="1877"/>
      <c r="I73" s="1310">
        <v>0</v>
      </c>
      <c r="J73" s="1877"/>
      <c r="K73" s="3307">
        <v>0</v>
      </c>
      <c r="L73" s="1877"/>
      <c r="M73" s="2411">
        <f t="shared" si="0"/>
        <v>0</v>
      </c>
      <c r="N73" s="1877"/>
      <c r="O73" s="3307">
        <v>0</v>
      </c>
      <c r="P73" s="1239"/>
    </row>
    <row r="74" spans="2:16" s="981" customFormat="1" ht="15.6">
      <c r="B74" s="2857">
        <v>31506</v>
      </c>
      <c r="C74" s="1229"/>
      <c r="D74" s="1230" t="s">
        <v>830</v>
      </c>
      <c r="E74" s="1231"/>
      <c r="F74" s="1877">
        <v>109849194.79000001</v>
      </c>
      <c r="G74" s="3411">
        <v>96067358.629999995</v>
      </c>
      <c r="H74" s="1877"/>
      <c r="I74" s="3411">
        <v>97683214.189999998</v>
      </c>
      <c r="J74" s="1877"/>
      <c r="K74" s="3307">
        <v>105167524.94</v>
      </c>
      <c r="L74" s="1877"/>
      <c r="M74" s="2411">
        <f t="shared" si="0"/>
        <v>8327192.7999999998</v>
      </c>
      <c r="N74" s="1877"/>
      <c r="O74" s="3307">
        <v>113494717.73999999</v>
      </c>
      <c r="P74" s="1239"/>
    </row>
    <row r="75" spans="2:16" s="981" customFormat="1" ht="15.6">
      <c r="B75" s="2857">
        <v>31701</v>
      </c>
      <c r="C75" s="1876"/>
      <c r="D75" s="1222" t="s">
        <v>831</v>
      </c>
      <c r="E75" s="1876"/>
      <c r="F75" s="1877">
        <v>7423246.6200000001</v>
      </c>
      <c r="G75" s="3411">
        <v>12512917.92</v>
      </c>
      <c r="H75" s="1877"/>
      <c r="I75" s="3411">
        <v>12729191.48</v>
      </c>
      <c r="J75" s="1877"/>
      <c r="K75" s="3307">
        <v>15240285.609999999</v>
      </c>
      <c r="L75" s="1877"/>
      <c r="M75" s="2411">
        <f t="shared" si="0"/>
        <v>2199799.0699999998</v>
      </c>
      <c r="N75" s="1877"/>
      <c r="O75" s="3307">
        <v>17440084.68</v>
      </c>
      <c r="P75" s="1239"/>
    </row>
    <row r="76" spans="2:16" s="981" customFormat="1" ht="15.6">
      <c r="B76" s="2857">
        <v>31801</v>
      </c>
      <c r="C76" s="1876"/>
      <c r="D76" s="1222" t="s">
        <v>832</v>
      </c>
      <c r="E76" s="1876"/>
      <c r="F76" s="1877">
        <v>13150846.050000001</v>
      </c>
      <c r="G76" s="3411">
        <v>15057846.050000001</v>
      </c>
      <c r="H76" s="1877"/>
      <c r="I76" s="1310">
        <v>15057846.050000001</v>
      </c>
      <c r="J76" s="1877"/>
      <c r="K76" s="3307">
        <v>15057846.050000001</v>
      </c>
      <c r="L76" s="1877"/>
      <c r="M76" s="2411">
        <f t="shared" si="0"/>
        <v>-4242238.51</v>
      </c>
      <c r="N76" s="1877"/>
      <c r="O76" s="3307">
        <v>10815607.539999999</v>
      </c>
      <c r="P76" s="1239"/>
    </row>
    <row r="77" spans="2:16" s="981" customFormat="1" ht="15.6">
      <c r="B77" s="2857">
        <v>31851</v>
      </c>
      <c r="C77" s="1876"/>
      <c r="D77" s="1228" t="s">
        <v>833</v>
      </c>
      <c r="E77" s="1876"/>
      <c r="F77" s="1877">
        <v>0</v>
      </c>
      <c r="G77" s="3411">
        <v>39863627.420000002</v>
      </c>
      <c r="H77" s="1877"/>
      <c r="I77" s="1310">
        <v>39863627.420000002</v>
      </c>
      <c r="J77" s="1877"/>
      <c r="K77" s="3307">
        <v>39863627.420000002</v>
      </c>
      <c r="L77" s="1877"/>
      <c r="M77" s="2411">
        <f t="shared" si="0"/>
        <v>-39863627.420000002</v>
      </c>
      <c r="N77" s="1877"/>
      <c r="O77" s="3307">
        <v>0</v>
      </c>
      <c r="P77" s="1239"/>
    </row>
    <row r="78" spans="2:16" s="981" customFormat="1" ht="15.6">
      <c r="B78" s="2857">
        <v>31852</v>
      </c>
      <c r="C78" s="1876"/>
      <c r="D78" s="1222" t="s">
        <v>834</v>
      </c>
      <c r="E78" s="1876"/>
      <c r="F78" s="1877">
        <v>40679225.310000002</v>
      </c>
      <c r="G78" s="3411">
        <v>38986509.619999997</v>
      </c>
      <c r="H78" s="1877"/>
      <c r="I78" s="1310">
        <v>38986509.619999997</v>
      </c>
      <c r="J78" s="1877"/>
      <c r="K78" s="3307">
        <v>46171509.619999997</v>
      </c>
      <c r="L78" s="1877"/>
      <c r="M78" s="2411">
        <f t="shared" si="0"/>
        <v>-16734237.73</v>
      </c>
      <c r="N78" s="1877"/>
      <c r="O78" s="3307">
        <v>29437271.890000001</v>
      </c>
      <c r="P78" s="1239"/>
    </row>
    <row r="79" spans="2:16" s="981" customFormat="1" ht="15.6">
      <c r="B79" s="2857">
        <v>31853</v>
      </c>
      <c r="C79" s="1876"/>
      <c r="D79" s="1228" t="s">
        <v>835</v>
      </c>
      <c r="E79" s="1876"/>
      <c r="F79" s="1877">
        <v>76297899.909999996</v>
      </c>
      <c r="G79" s="3411">
        <v>105186391.14</v>
      </c>
      <c r="H79" s="1877"/>
      <c r="I79" s="3547">
        <v>105200569.62</v>
      </c>
      <c r="J79" s="1877"/>
      <c r="K79" s="3307">
        <v>115306547.38</v>
      </c>
      <c r="L79" s="1877"/>
      <c r="M79" s="2411">
        <f t="shared" ref="M79:M96" si="1">ROUND(SUM(O79)-SUM(K79),2)</f>
        <v>-35002783.5</v>
      </c>
      <c r="N79" s="1877"/>
      <c r="O79" s="3307">
        <v>80303763.879999995</v>
      </c>
      <c r="P79" s="1239"/>
    </row>
    <row r="80" spans="2:16" s="981" customFormat="1" ht="15.6">
      <c r="B80" s="2857">
        <v>31854</v>
      </c>
      <c r="C80" s="1876"/>
      <c r="D80" s="1222" t="s">
        <v>836</v>
      </c>
      <c r="E80" s="1876"/>
      <c r="F80" s="1877">
        <v>0</v>
      </c>
      <c r="G80" s="3411">
        <v>0</v>
      </c>
      <c r="H80" s="1877"/>
      <c r="I80" s="1310">
        <v>0</v>
      </c>
      <c r="J80" s="1877"/>
      <c r="K80" s="3307">
        <v>0</v>
      </c>
      <c r="L80" s="1877"/>
      <c r="M80" s="2411">
        <f t="shared" si="1"/>
        <v>0</v>
      </c>
      <c r="N80" s="1877"/>
      <c r="O80" s="3307">
        <v>0</v>
      </c>
      <c r="P80" s="1239"/>
    </row>
    <row r="81" spans="2:16" s="981" customFormat="1" ht="15.6">
      <c r="B81" s="2857">
        <v>31951</v>
      </c>
      <c r="C81" s="1876"/>
      <c r="D81" s="1228" t="s">
        <v>837</v>
      </c>
      <c r="E81" s="1876"/>
      <c r="F81" s="1877">
        <v>12348115.710000001</v>
      </c>
      <c r="G81" s="3411">
        <v>12746740.49</v>
      </c>
      <c r="H81" s="1877"/>
      <c r="I81" s="1310">
        <v>12746740.49</v>
      </c>
      <c r="J81" s="1877"/>
      <c r="K81" s="3307">
        <v>12746740.49</v>
      </c>
      <c r="L81" s="1877"/>
      <c r="M81" s="2411">
        <f t="shared" si="1"/>
        <v>8692.6</v>
      </c>
      <c r="N81" s="1877"/>
      <c r="O81" s="3307">
        <v>12755433.09</v>
      </c>
      <c r="P81" s="1239"/>
    </row>
    <row r="82" spans="2:16" s="981" customFormat="1" ht="15.6">
      <c r="B82" s="2857">
        <v>32213</v>
      </c>
      <c r="C82" s="1876"/>
      <c r="D82" s="1222" t="s">
        <v>838</v>
      </c>
      <c r="E82" s="1876"/>
      <c r="F82" s="1877">
        <v>153750</v>
      </c>
      <c r="G82" s="3411">
        <v>153750</v>
      </c>
      <c r="H82" s="1877"/>
      <c r="I82" s="1310">
        <v>153750</v>
      </c>
      <c r="J82" s="1877"/>
      <c r="K82" s="3307">
        <v>153750</v>
      </c>
      <c r="L82" s="1877"/>
      <c r="M82" s="2411">
        <f t="shared" si="1"/>
        <v>0</v>
      </c>
      <c r="N82" s="1877"/>
      <c r="O82" s="3307">
        <v>153750</v>
      </c>
      <c r="P82" s="1239"/>
    </row>
    <row r="83" spans="2:16" s="981" customFormat="1" ht="15.6">
      <c r="B83" s="2857">
        <v>32301</v>
      </c>
      <c r="C83" s="1876"/>
      <c r="D83" s="1228" t="s">
        <v>839</v>
      </c>
      <c r="E83" s="1231"/>
      <c r="F83" s="1877">
        <v>0</v>
      </c>
      <c r="G83" s="3411">
        <v>0</v>
      </c>
      <c r="H83" s="1877"/>
      <c r="I83" s="1310">
        <v>0</v>
      </c>
      <c r="J83" s="1877"/>
      <c r="K83" s="3307">
        <v>0</v>
      </c>
      <c r="L83" s="1877"/>
      <c r="M83" s="2411">
        <f t="shared" si="1"/>
        <v>0</v>
      </c>
      <c r="N83" s="1877"/>
      <c r="O83" s="3307">
        <v>0</v>
      </c>
      <c r="P83" s="1239"/>
    </row>
    <row r="84" spans="2:16" s="981" customFormat="1" ht="15.6">
      <c r="B84" s="2857">
        <v>32302</v>
      </c>
      <c r="C84" s="1876"/>
      <c r="D84" s="1228" t="s">
        <v>1287</v>
      </c>
      <c r="E84" s="1231"/>
      <c r="F84" s="1877">
        <v>0</v>
      </c>
      <c r="G84" s="3411">
        <v>0</v>
      </c>
      <c r="H84" s="1877"/>
      <c r="I84" s="1310">
        <v>0</v>
      </c>
      <c r="J84" s="1877"/>
      <c r="K84" s="3307">
        <v>0</v>
      </c>
      <c r="L84" s="1877"/>
      <c r="M84" s="2411">
        <f t="shared" si="1"/>
        <v>0</v>
      </c>
      <c r="N84" s="1877"/>
      <c r="O84" s="3307">
        <v>0</v>
      </c>
      <c r="P84" s="1239"/>
    </row>
    <row r="85" spans="2:16" s="981" customFormat="1" ht="15.6">
      <c r="B85" s="2857">
        <v>32303</v>
      </c>
      <c r="C85" s="1876"/>
      <c r="D85" s="1222" t="s">
        <v>840</v>
      </c>
      <c r="E85" s="1231"/>
      <c r="F85" s="1877">
        <v>87723047.260000005</v>
      </c>
      <c r="G85" s="3411">
        <v>139856729.69</v>
      </c>
      <c r="H85" s="1877"/>
      <c r="I85" s="3411">
        <v>141250102.72999999</v>
      </c>
      <c r="J85" s="1877"/>
      <c r="K85" s="3307">
        <v>146854702.15000001</v>
      </c>
      <c r="L85" s="1877"/>
      <c r="M85" s="2411">
        <f t="shared" si="1"/>
        <v>-13576664.02</v>
      </c>
      <c r="N85" s="1877"/>
      <c r="O85" s="3307">
        <v>133278038.13</v>
      </c>
      <c r="P85" s="1239"/>
    </row>
    <row r="86" spans="2:16" s="981" customFormat="1" ht="15.6">
      <c r="B86" s="2857">
        <v>32304</v>
      </c>
      <c r="C86" s="1876"/>
      <c r="D86" s="1222" t="s">
        <v>1288</v>
      </c>
      <c r="E86" s="1231"/>
      <c r="F86" s="1877">
        <v>0</v>
      </c>
      <c r="G86" s="3411">
        <v>0</v>
      </c>
      <c r="H86" s="1877"/>
      <c r="I86" s="1310">
        <v>0</v>
      </c>
      <c r="J86" s="1877"/>
      <c r="K86" s="3307">
        <v>0</v>
      </c>
      <c r="L86" s="1877"/>
      <c r="M86" s="2411">
        <f t="shared" si="1"/>
        <v>0</v>
      </c>
      <c r="N86" s="1877"/>
      <c r="O86" s="3307">
        <v>0</v>
      </c>
      <c r="P86" s="1239"/>
    </row>
    <row r="87" spans="2:16" s="981" customFormat="1" ht="15.6">
      <c r="B87" s="2857">
        <v>32305</v>
      </c>
      <c r="C87" s="1876"/>
      <c r="D87" s="1222" t="s">
        <v>841</v>
      </c>
      <c r="E87" s="1231"/>
      <c r="F87" s="1877">
        <v>172362230.61000001</v>
      </c>
      <c r="G87" s="3411">
        <v>183961101.59999999</v>
      </c>
      <c r="H87" s="1877"/>
      <c r="I87" s="3411">
        <v>184639156.59999999</v>
      </c>
      <c r="J87" s="1877"/>
      <c r="K87" s="3307">
        <v>186800828.88</v>
      </c>
      <c r="L87" s="1877"/>
      <c r="M87" s="2411">
        <f t="shared" si="1"/>
        <v>873213.8</v>
      </c>
      <c r="N87" s="1877"/>
      <c r="O87" s="3307">
        <v>187674042.68000001</v>
      </c>
      <c r="P87" s="1239"/>
    </row>
    <row r="88" spans="2:16" s="981" customFormat="1" ht="15.6">
      <c r="B88" s="2857">
        <v>32306</v>
      </c>
      <c r="C88" s="1876"/>
      <c r="D88" s="1228" t="s">
        <v>842</v>
      </c>
      <c r="E88" s="1231"/>
      <c r="F88" s="1877">
        <v>26767629.280000001</v>
      </c>
      <c r="G88" s="3411">
        <v>31495467.149999999</v>
      </c>
      <c r="H88" s="1877"/>
      <c r="I88" s="3411">
        <v>31497129.300000001</v>
      </c>
      <c r="J88" s="1877"/>
      <c r="K88" s="3307">
        <v>33003480.600000001</v>
      </c>
      <c r="L88" s="1877"/>
      <c r="M88" s="2411">
        <f t="shared" si="1"/>
        <v>20226.34</v>
      </c>
      <c r="N88" s="1877"/>
      <c r="O88" s="3307">
        <v>33023706.940000001</v>
      </c>
      <c r="P88" s="1239"/>
    </row>
    <row r="89" spans="2:16" s="981" customFormat="1" ht="15.6">
      <c r="B89" s="2857">
        <v>32307</v>
      </c>
      <c r="C89" s="1876"/>
      <c r="D89" s="1228" t="s">
        <v>843</v>
      </c>
      <c r="E89" s="1231"/>
      <c r="F89" s="1877">
        <v>5430710.0300000003</v>
      </c>
      <c r="G89" s="3411">
        <v>4985552.3600000003</v>
      </c>
      <c r="H89" s="1877"/>
      <c r="I89" s="1310">
        <v>4985552.3600000003</v>
      </c>
      <c r="J89" s="1877"/>
      <c r="K89" s="3307">
        <v>4985552.3600000003</v>
      </c>
      <c r="L89" s="1877"/>
      <c r="M89" s="2411">
        <f t="shared" si="1"/>
        <v>0</v>
      </c>
      <c r="N89" s="1877"/>
      <c r="O89" s="3307">
        <v>4985552.3600000003</v>
      </c>
      <c r="P89" s="1239"/>
    </row>
    <row r="90" spans="2:16" s="981" customFormat="1" ht="15.6">
      <c r="B90" s="2857">
        <v>32308</v>
      </c>
      <c r="C90" s="1876"/>
      <c r="D90" s="1228" t="s">
        <v>844</v>
      </c>
      <c r="E90" s="1231"/>
      <c r="F90" s="1877">
        <v>539890.44999999995</v>
      </c>
      <c r="G90" s="3411">
        <v>430310.66</v>
      </c>
      <c r="H90" s="1877"/>
      <c r="I90" s="1310">
        <v>430310.66</v>
      </c>
      <c r="J90" s="1877"/>
      <c r="K90" s="3307">
        <v>430310.66</v>
      </c>
      <c r="L90" s="1877"/>
      <c r="M90" s="2411">
        <f t="shared" si="1"/>
        <v>0</v>
      </c>
      <c r="N90" s="1877"/>
      <c r="O90" s="3307">
        <v>430310.66</v>
      </c>
      <c r="P90" s="1239"/>
    </row>
    <row r="91" spans="2:16" s="981" customFormat="1" ht="15.6">
      <c r="B91" s="2857">
        <v>32309</v>
      </c>
      <c r="C91" s="1876"/>
      <c r="D91" s="1228" t="s">
        <v>845</v>
      </c>
      <c r="E91" s="1231"/>
      <c r="F91" s="1877">
        <v>104401100.42</v>
      </c>
      <c r="G91" s="3411">
        <v>82251608.939999998</v>
      </c>
      <c r="H91" s="1877"/>
      <c r="I91" s="3411">
        <v>82866534.25</v>
      </c>
      <c r="J91" s="1877"/>
      <c r="K91" s="3307">
        <v>90986635.430000007</v>
      </c>
      <c r="L91" s="1877"/>
      <c r="M91" s="2411">
        <f t="shared" si="1"/>
        <v>-26110151.48</v>
      </c>
      <c r="N91" s="1877"/>
      <c r="O91" s="3307">
        <v>64876483.950000003</v>
      </c>
      <c r="P91" s="1239"/>
    </row>
    <row r="92" spans="2:16" s="981" customFormat="1" ht="15.6">
      <c r="B92" s="2857">
        <v>32310</v>
      </c>
      <c r="C92" s="1876"/>
      <c r="D92" s="1228" t="s">
        <v>846</v>
      </c>
      <c r="E92" s="1231"/>
      <c r="F92" s="1877">
        <v>0</v>
      </c>
      <c r="G92" s="3411">
        <v>0</v>
      </c>
      <c r="H92" s="1877"/>
      <c r="I92" s="1310">
        <v>0</v>
      </c>
      <c r="J92" s="1877"/>
      <c r="K92" s="3307">
        <v>0</v>
      </c>
      <c r="L92" s="1877"/>
      <c r="M92" s="2411">
        <f t="shared" si="1"/>
        <v>0</v>
      </c>
      <c r="N92" s="1877"/>
      <c r="O92" s="3307">
        <v>0</v>
      </c>
      <c r="P92" s="1239"/>
    </row>
    <row r="93" spans="2:16" s="981" customFormat="1" ht="16.8">
      <c r="B93" s="2857">
        <v>32311</v>
      </c>
      <c r="C93" s="1876"/>
      <c r="D93" s="1878" t="s">
        <v>847</v>
      </c>
      <c r="E93" s="1231"/>
      <c r="F93" s="1877">
        <v>2486315.4700000002</v>
      </c>
      <c r="G93" s="3411">
        <v>899459.62</v>
      </c>
      <c r="H93" s="1877"/>
      <c r="I93" s="3411">
        <v>902748.46</v>
      </c>
      <c r="J93" s="1877"/>
      <c r="K93" s="3307">
        <v>1197122.1499999999</v>
      </c>
      <c r="L93" s="1877"/>
      <c r="M93" s="2411">
        <f t="shared" si="1"/>
        <v>183315.31</v>
      </c>
      <c r="N93" s="1877"/>
      <c r="O93" s="3307">
        <v>1380437.46</v>
      </c>
      <c r="P93" s="1239"/>
    </row>
    <row r="94" spans="2:16" s="981" customFormat="1" ht="15.6">
      <c r="B94" s="2857">
        <v>32351</v>
      </c>
      <c r="C94" s="1876"/>
      <c r="D94" s="1228" t="s">
        <v>848</v>
      </c>
      <c r="E94" s="1231"/>
      <c r="F94" s="1877">
        <v>11110.01</v>
      </c>
      <c r="G94" s="3411">
        <v>0</v>
      </c>
      <c r="H94" s="1877"/>
      <c r="I94" s="1310">
        <v>0</v>
      </c>
      <c r="J94" s="1877"/>
      <c r="K94" s="3307">
        <v>0</v>
      </c>
      <c r="L94" s="1877"/>
      <c r="M94" s="2411">
        <f t="shared" si="1"/>
        <v>0</v>
      </c>
      <c r="N94" s="1877"/>
      <c r="O94" s="3307">
        <v>0</v>
      </c>
      <c r="P94" s="1239"/>
    </row>
    <row r="95" spans="2:16" s="981" customFormat="1" ht="15.6">
      <c r="B95" s="2857">
        <v>32352</v>
      </c>
      <c r="C95" s="1876"/>
      <c r="D95" s="1222" t="s">
        <v>849</v>
      </c>
      <c r="E95" s="1231"/>
      <c r="F95" s="1877">
        <v>65245293.57</v>
      </c>
      <c r="G95" s="3411">
        <v>51934799.280000001</v>
      </c>
      <c r="H95" s="1877"/>
      <c r="I95" s="3411">
        <v>56888347.520000003</v>
      </c>
      <c r="J95" s="1877"/>
      <c r="K95" s="3307">
        <v>89702603.560000002</v>
      </c>
      <c r="L95" s="1877"/>
      <c r="M95" s="2411">
        <f t="shared" si="1"/>
        <v>20828145.75</v>
      </c>
      <c r="N95" s="1877"/>
      <c r="O95" s="3307">
        <v>110530749.31</v>
      </c>
      <c r="P95" s="1312"/>
    </row>
    <row r="96" spans="2:16" s="981" customFormat="1" ht="15.6">
      <c r="B96" s="2857">
        <v>33001</v>
      </c>
      <c r="C96" s="1876"/>
      <c r="D96" s="1222" t="s">
        <v>850</v>
      </c>
      <c r="E96" s="1231"/>
      <c r="F96" s="1877">
        <v>10000000</v>
      </c>
      <c r="G96" s="3411">
        <v>45161510.909999996</v>
      </c>
      <c r="H96" s="1877"/>
      <c r="I96" s="1310">
        <v>45161510.909999996</v>
      </c>
      <c r="J96" s="1877"/>
      <c r="K96" s="3307">
        <v>48600925.280000001</v>
      </c>
      <c r="L96" s="1877"/>
      <c r="M96" s="2411">
        <f t="shared" si="1"/>
        <v>278030.42</v>
      </c>
      <c r="N96" s="1877"/>
      <c r="O96" s="3307">
        <v>48878955.700000003</v>
      </c>
      <c r="P96" s="1239"/>
    </row>
    <row r="97" spans="2:16" s="981" customFormat="1" ht="16.2" thickBot="1">
      <c r="B97" s="1662"/>
      <c r="C97" s="1663"/>
      <c r="D97" s="1225" t="s">
        <v>851</v>
      </c>
      <c r="E97" s="1302"/>
      <c r="F97" s="1302"/>
      <c r="G97" s="3412">
        <f>ROUND(SUM(G14:G96),2)</f>
        <v>1475912527.22</v>
      </c>
      <c r="H97" s="2862"/>
      <c r="I97" s="3412">
        <f>ROUND(SUM(I14:I96),2)</f>
        <v>1196171558.8900001</v>
      </c>
      <c r="J97" s="2862"/>
      <c r="K97" s="2413">
        <f>ROUND(SUM(K14:K96),2)</f>
        <v>1291080439.75</v>
      </c>
      <c r="L97" s="3417"/>
      <c r="M97" s="2413">
        <f>ROUND(SUM(M14:M96),2)</f>
        <v>-9892546.8100000005</v>
      </c>
      <c r="N97" s="3417"/>
      <c r="O97" s="3511">
        <f>ROUND(SUM(O14:O96),2)</f>
        <v>1281187892.9400001</v>
      </c>
      <c r="P97" s="1239"/>
    </row>
    <row r="98" spans="2:16" s="981" customFormat="1" ht="16.2" thickTop="1">
      <c r="B98" s="1664"/>
      <c r="C98" s="1664"/>
      <c r="D98" s="1665"/>
      <c r="E98" s="1307"/>
      <c r="F98" s="1307"/>
      <c r="G98" s="1666"/>
      <c r="H98" s="1195"/>
      <c r="I98" s="1666"/>
      <c r="J98" s="1195"/>
      <c r="K98"/>
      <c r="L98" s="1195"/>
      <c r="M98" s="1667"/>
      <c r="N98" s="1668"/>
      <c r="O98" s="3512"/>
      <c r="P98" s="1313"/>
    </row>
    <row r="99" spans="2:16" s="981" customFormat="1" ht="15.6">
      <c r="B99" s="1405"/>
      <c r="C99" s="1663"/>
      <c r="D99" s="1669" t="s">
        <v>852</v>
      </c>
      <c r="E99" s="1670"/>
      <c r="F99" s="1670"/>
      <c r="G99" s="1660"/>
      <c r="H99" s="1660"/>
      <c r="I99" s="1660"/>
      <c r="J99" s="1660"/>
      <c r="K99"/>
      <c r="L99" s="1660"/>
      <c r="M99" s="2910"/>
      <c r="N99" s="1671"/>
      <c r="O99" s="3513"/>
      <c r="P99" s="1307"/>
    </row>
    <row r="100" spans="2:16" s="981" customFormat="1" ht="15.6">
      <c r="B100" s="2664">
        <v>20451</v>
      </c>
      <c r="C100" s="1664"/>
      <c r="D100" s="1234" t="s">
        <v>853</v>
      </c>
      <c r="E100" s="1307"/>
      <c r="F100" s="1307"/>
      <c r="G100" s="3411">
        <v>0</v>
      </c>
      <c r="H100" s="1660"/>
      <c r="I100" s="1310">
        <v>0</v>
      </c>
      <c r="J100" s="1660"/>
      <c r="K100" s="3307">
        <v>0</v>
      </c>
      <c r="L100" s="1660"/>
      <c r="M100" s="2411">
        <f t="shared" ref="M100:M158" si="2">ROUND(SUM(O100)-SUM(K100),2)</f>
        <v>0</v>
      </c>
      <c r="N100" s="1672"/>
      <c r="O100" s="3307">
        <v>0</v>
      </c>
      <c r="P100" s="1307"/>
    </row>
    <row r="101" spans="2:16" s="981" customFormat="1" ht="15.6">
      <c r="B101" s="2857">
        <v>20452</v>
      </c>
      <c r="C101" s="1405"/>
      <c r="D101" s="1222" t="s">
        <v>854</v>
      </c>
      <c r="E101"/>
      <c r="F101" s="1405"/>
      <c r="G101" s="3411">
        <v>0</v>
      </c>
      <c r="H101" s="1660"/>
      <c r="I101" s="1310">
        <v>0</v>
      </c>
      <c r="J101" s="1660"/>
      <c r="K101" s="3307">
        <v>0</v>
      </c>
      <c r="L101" s="1660"/>
      <c r="M101" s="2411">
        <f t="shared" si="2"/>
        <v>0</v>
      </c>
      <c r="N101" s="1660"/>
      <c r="O101" s="3307">
        <v>0</v>
      </c>
      <c r="P101" s="1239"/>
    </row>
    <row r="102" spans="2:16" s="981" customFormat="1" ht="15.6">
      <c r="B102" s="2857">
        <v>20501</v>
      </c>
      <c r="C102" s="1673"/>
      <c r="D102" s="1222" t="s">
        <v>855</v>
      </c>
      <c r="E102" s="1661"/>
      <c r="F102" s="1661"/>
      <c r="G102" s="3411">
        <v>0</v>
      </c>
      <c r="H102" s="1660"/>
      <c r="I102" s="1310">
        <v>0</v>
      </c>
      <c r="J102" s="1660"/>
      <c r="K102" s="3307">
        <v>0</v>
      </c>
      <c r="L102" s="1660"/>
      <c r="M102" s="2411">
        <f t="shared" si="2"/>
        <v>0</v>
      </c>
      <c r="N102" s="1660"/>
      <c r="O102" s="3307">
        <v>0</v>
      </c>
      <c r="P102" s="1239"/>
    </row>
    <row r="103" spans="2:16" s="981" customFormat="1" ht="15.6">
      <c r="B103" s="2857">
        <v>20810</v>
      </c>
      <c r="C103" s="1229"/>
      <c r="D103" s="1233" t="s">
        <v>856</v>
      </c>
      <c r="E103" s="1231"/>
      <c r="F103" s="1231"/>
      <c r="G103" s="3411">
        <v>125427049.87</v>
      </c>
      <c r="H103" s="1660"/>
      <c r="I103" s="3411">
        <v>131895143.15000001</v>
      </c>
      <c r="J103" s="1660"/>
      <c r="K103" s="3307">
        <v>52647250.170000002</v>
      </c>
      <c r="L103" s="1660"/>
      <c r="M103" s="2411">
        <f t="shared" si="2"/>
        <v>-52647250.170000002</v>
      </c>
      <c r="N103" s="1660"/>
      <c r="O103" s="3307">
        <v>0</v>
      </c>
      <c r="P103" s="1239"/>
    </row>
    <row r="104" spans="2:16" s="981" customFormat="1" ht="15.6">
      <c r="B104" s="2857">
        <v>20818</v>
      </c>
      <c r="C104" s="1229"/>
      <c r="D104" s="1233" t="s">
        <v>857</v>
      </c>
      <c r="E104" s="1231"/>
      <c r="F104" s="1231"/>
      <c r="G104" s="3411">
        <v>12500160.199999999</v>
      </c>
      <c r="H104" s="1660"/>
      <c r="I104" s="3411">
        <v>19239248.98</v>
      </c>
      <c r="J104" s="1660"/>
      <c r="K104" s="3307">
        <v>0</v>
      </c>
      <c r="L104" s="1660"/>
      <c r="M104" s="2411">
        <f t="shared" si="2"/>
        <v>0</v>
      </c>
      <c r="N104" s="1660"/>
      <c r="O104" s="3307">
        <v>0</v>
      </c>
      <c r="P104" s="1239"/>
    </row>
    <row r="105" spans="2:16" s="981" customFormat="1" ht="15.6">
      <c r="B105" s="2857">
        <v>20901</v>
      </c>
      <c r="C105" s="1229"/>
      <c r="D105" s="1233" t="s">
        <v>858</v>
      </c>
      <c r="E105" s="1231"/>
      <c r="F105" s="1231"/>
      <c r="G105" s="3411">
        <v>1282276510.53</v>
      </c>
      <c r="H105" s="1660"/>
      <c r="I105" s="3411">
        <v>1145106826.52</v>
      </c>
      <c r="J105" s="1660"/>
      <c r="K105" s="3307">
        <v>1007470674.17</v>
      </c>
      <c r="L105" s="1660"/>
      <c r="M105" s="2411">
        <f t="shared" si="2"/>
        <v>-174822021.50999999</v>
      </c>
      <c r="N105" s="1660"/>
      <c r="O105" s="3307">
        <v>832648652.65999997</v>
      </c>
      <c r="P105" s="1239"/>
    </row>
    <row r="106" spans="2:16" s="981" customFormat="1" ht="15.6">
      <c r="B106" s="2857">
        <v>20904</v>
      </c>
      <c r="C106" s="1226"/>
      <c r="D106" s="1234" t="s">
        <v>859</v>
      </c>
      <c r="E106" s="1238"/>
      <c r="F106" s="1238"/>
      <c r="G106" s="3411">
        <v>0</v>
      </c>
      <c r="H106" s="1660"/>
      <c r="I106" s="1310">
        <v>0</v>
      </c>
      <c r="J106" s="1660"/>
      <c r="K106" s="3307">
        <v>0</v>
      </c>
      <c r="L106" s="1660"/>
      <c r="M106" s="2411">
        <f t="shared" si="2"/>
        <v>0</v>
      </c>
      <c r="N106" s="1660"/>
      <c r="O106" s="3307">
        <v>0</v>
      </c>
      <c r="P106" s="1239"/>
    </row>
    <row r="107" spans="2:16" s="981" customFormat="1" ht="15.6">
      <c r="B107" s="2857">
        <v>21001</v>
      </c>
      <c r="C107" s="1229"/>
      <c r="D107" s="1235" t="s">
        <v>860</v>
      </c>
      <c r="E107" s="1231"/>
      <c r="F107" s="1231"/>
      <c r="G107" s="3411">
        <v>0</v>
      </c>
      <c r="H107" s="1660"/>
      <c r="I107" s="1310">
        <v>0</v>
      </c>
      <c r="J107" s="1660"/>
      <c r="K107" s="3307">
        <v>0</v>
      </c>
      <c r="L107" s="1660"/>
      <c r="M107" s="2411">
        <f t="shared" si="2"/>
        <v>0</v>
      </c>
      <c r="N107" s="1660"/>
      <c r="O107" s="3307">
        <v>0</v>
      </c>
      <c r="P107" s="1239"/>
    </row>
    <row r="108" spans="2:16" s="981" customFormat="1" ht="15.6">
      <c r="B108" s="2857">
        <v>21002</v>
      </c>
      <c r="C108" s="1229"/>
      <c r="D108" s="1233" t="s">
        <v>861</v>
      </c>
      <c r="E108" s="1231"/>
      <c r="F108" s="1231"/>
      <c r="G108" s="3411">
        <v>3454967.96</v>
      </c>
      <c r="H108" s="1660"/>
      <c r="I108" s="3411">
        <v>3624433.67</v>
      </c>
      <c r="J108" s="1660"/>
      <c r="K108" s="3307">
        <v>4112137.67</v>
      </c>
      <c r="L108" s="1660"/>
      <c r="M108" s="2411">
        <f t="shared" si="2"/>
        <v>255012.55</v>
      </c>
      <c r="N108" s="1660"/>
      <c r="O108" s="3307">
        <v>4367150.22</v>
      </c>
      <c r="P108" s="1239"/>
    </row>
    <row r="109" spans="2:16" s="981" customFormat="1" ht="15.6">
      <c r="B109" s="2857">
        <v>21061</v>
      </c>
      <c r="C109" s="1229"/>
      <c r="D109" s="1233" t="s">
        <v>862</v>
      </c>
      <c r="E109" s="1231"/>
      <c r="F109" s="1231"/>
      <c r="G109" s="3411">
        <v>0</v>
      </c>
      <c r="H109" s="1660"/>
      <c r="I109" s="1310">
        <v>0</v>
      </c>
      <c r="J109" s="1660"/>
      <c r="K109" s="3307">
        <v>0</v>
      </c>
      <c r="L109" s="1660"/>
      <c r="M109" s="2411">
        <f t="shared" si="2"/>
        <v>0</v>
      </c>
      <c r="N109" s="1660"/>
      <c r="O109" s="3307">
        <v>0</v>
      </c>
      <c r="P109" s="1239"/>
    </row>
    <row r="110" spans="2:16" s="981" customFormat="1" ht="15.6">
      <c r="B110" s="2857">
        <v>21065</v>
      </c>
      <c r="C110" s="1229"/>
      <c r="D110" s="1233" t="s">
        <v>863</v>
      </c>
      <c r="E110" s="1231"/>
      <c r="F110" s="1231"/>
      <c r="G110" s="3411">
        <v>2060233.87</v>
      </c>
      <c r="H110" s="1660"/>
      <c r="I110" s="3411">
        <v>2752651.5</v>
      </c>
      <c r="J110" s="1660"/>
      <c r="K110" s="3307">
        <v>933323.41</v>
      </c>
      <c r="L110" s="1660"/>
      <c r="M110" s="2411">
        <f t="shared" si="2"/>
        <v>986944.16</v>
      </c>
      <c r="N110" s="1660"/>
      <c r="O110" s="3307">
        <v>1920267.57</v>
      </c>
      <c r="P110" s="1239"/>
    </row>
    <row r="111" spans="2:16" s="981" customFormat="1" ht="15.6">
      <c r="B111" s="2857">
        <v>21066</v>
      </c>
      <c r="C111" s="1229"/>
      <c r="D111" s="1230" t="s">
        <v>864</v>
      </c>
      <c r="E111" s="1231"/>
      <c r="F111" s="1231"/>
      <c r="G111" s="3411">
        <v>3818216.6</v>
      </c>
      <c r="H111" s="1660"/>
      <c r="I111" s="3411">
        <v>3904426.81</v>
      </c>
      <c r="J111" s="1660"/>
      <c r="K111" s="3307">
        <v>4495020.24</v>
      </c>
      <c r="L111" s="1660"/>
      <c r="M111" s="2411">
        <f t="shared" si="2"/>
        <v>-342632.12</v>
      </c>
      <c r="N111" s="1660"/>
      <c r="O111" s="3307">
        <v>4152388.12</v>
      </c>
      <c r="P111" s="1239"/>
    </row>
    <row r="112" spans="2:16" s="981" customFormat="1" ht="15.6">
      <c r="B112" s="2857">
        <v>21067</v>
      </c>
      <c r="C112" s="1229"/>
      <c r="D112" s="1230" t="s">
        <v>865</v>
      </c>
      <c r="E112" s="1231"/>
      <c r="F112" s="1231"/>
      <c r="G112" s="3411">
        <v>11184058.960000001</v>
      </c>
      <c r="H112" s="1660"/>
      <c r="I112" s="3411">
        <v>10668647.470000001</v>
      </c>
      <c r="J112" s="1660"/>
      <c r="K112" s="3307">
        <v>9575499.6600000001</v>
      </c>
      <c r="L112" s="1660"/>
      <c r="M112" s="2411">
        <f t="shared" si="2"/>
        <v>-680396.75</v>
      </c>
      <c r="N112" s="1660"/>
      <c r="O112" s="3307">
        <v>8895102.9100000001</v>
      </c>
      <c r="P112" s="1239"/>
    </row>
    <row r="113" spans="2:16" s="981" customFormat="1" ht="15.6">
      <c r="B113" s="2857">
        <v>21077</v>
      </c>
      <c r="C113" s="1229"/>
      <c r="D113" s="1233" t="s">
        <v>866</v>
      </c>
      <c r="E113" s="1231"/>
      <c r="F113" s="1231"/>
      <c r="G113" s="3411">
        <v>5081.1499999999996</v>
      </c>
      <c r="H113" s="1660"/>
      <c r="I113" s="1310">
        <v>5081.1499999999996</v>
      </c>
      <c r="J113" s="1660"/>
      <c r="K113" s="3307">
        <v>3950.15</v>
      </c>
      <c r="L113" s="1660"/>
      <c r="M113" s="2411">
        <f t="shared" si="2"/>
        <v>1597</v>
      </c>
      <c r="N113" s="1660"/>
      <c r="O113" s="3307">
        <v>5547.15</v>
      </c>
      <c r="P113" s="1239"/>
    </row>
    <row r="114" spans="2:16" s="981" customFormat="1" ht="15.6">
      <c r="B114" s="2857">
        <v>21081</v>
      </c>
      <c r="C114" s="1229"/>
      <c r="D114" s="1230" t="s">
        <v>867</v>
      </c>
      <c r="E114" s="1231"/>
      <c r="F114" s="1231"/>
      <c r="G114" s="3411">
        <v>26827650.649999999</v>
      </c>
      <c r="H114" s="1660"/>
      <c r="I114" s="3411">
        <v>23584785.289999999</v>
      </c>
      <c r="J114" s="1660"/>
      <c r="K114" s="3307">
        <v>25358914.260000002</v>
      </c>
      <c r="L114" s="1660"/>
      <c r="M114" s="2411">
        <f t="shared" si="2"/>
        <v>917273.69</v>
      </c>
      <c r="N114" s="1660"/>
      <c r="O114" s="3307">
        <v>26276187.949999999</v>
      </c>
      <c r="P114" s="1239"/>
    </row>
    <row r="115" spans="2:16" s="981" customFormat="1" ht="15.6">
      <c r="B115" s="2857">
        <v>21082</v>
      </c>
      <c r="C115" s="1229"/>
      <c r="D115" s="1233" t="s">
        <v>868</v>
      </c>
      <c r="E115" s="1231"/>
      <c r="F115" s="1231"/>
      <c r="G115" s="3411">
        <v>19098320.640000001</v>
      </c>
      <c r="H115" s="1660"/>
      <c r="I115" s="3411">
        <v>18847993.219999999</v>
      </c>
      <c r="J115" s="1660"/>
      <c r="K115" s="3307">
        <v>18215320.41</v>
      </c>
      <c r="L115" s="1660"/>
      <c r="M115" s="2411">
        <f t="shared" si="2"/>
        <v>-6613.96</v>
      </c>
      <c r="N115" s="1660"/>
      <c r="O115" s="3307">
        <v>18208706.449999999</v>
      </c>
      <c r="P115" s="1239"/>
    </row>
    <row r="116" spans="2:16" s="981" customFormat="1" ht="15.6">
      <c r="B116" s="2857">
        <v>21084</v>
      </c>
      <c r="C116" s="1229"/>
      <c r="D116" s="1233" t="s">
        <v>869</v>
      </c>
      <c r="E116" s="1231"/>
      <c r="F116" s="1231"/>
      <c r="G116" s="3411">
        <v>0</v>
      </c>
      <c r="H116" s="1660"/>
      <c r="I116" s="1310">
        <v>0</v>
      </c>
      <c r="J116" s="1660"/>
      <c r="K116" s="3307">
        <v>0</v>
      </c>
      <c r="L116" s="1660"/>
      <c r="M116" s="2411">
        <f t="shared" si="2"/>
        <v>0</v>
      </c>
      <c r="N116" s="1660"/>
      <c r="O116" s="3307">
        <v>0</v>
      </c>
      <c r="P116" s="1239"/>
    </row>
    <row r="117" spans="2:16" s="981" customFormat="1" ht="15.6">
      <c r="B117" s="2857">
        <v>21087</v>
      </c>
      <c r="C117" s="1229"/>
      <c r="D117" s="1233" t="s">
        <v>870</v>
      </c>
      <c r="E117" s="1231"/>
      <c r="F117" s="1231"/>
      <c r="G117" s="3411">
        <v>0</v>
      </c>
      <c r="H117" s="1660"/>
      <c r="I117" s="1310">
        <v>0</v>
      </c>
      <c r="J117" s="1660"/>
      <c r="K117" s="3307">
        <v>0</v>
      </c>
      <c r="L117" s="1660"/>
      <c r="M117" s="2411">
        <f t="shared" si="2"/>
        <v>0</v>
      </c>
      <c r="N117" s="1660"/>
      <c r="O117" s="3307">
        <v>0</v>
      </c>
      <c r="P117" s="1239"/>
    </row>
    <row r="118" spans="2:16" s="981" customFormat="1" ht="15.6">
      <c r="B118" s="2857">
        <v>21201</v>
      </c>
      <c r="C118" s="1229"/>
      <c r="D118" s="1233" t="s">
        <v>871</v>
      </c>
      <c r="E118" s="1231"/>
      <c r="F118" s="1231"/>
      <c r="G118" s="3411">
        <v>417169.81</v>
      </c>
      <c r="H118" s="1660"/>
      <c r="I118" s="3411">
        <v>455139.12</v>
      </c>
      <c r="J118" s="1660"/>
      <c r="K118" s="3307">
        <v>567786.98</v>
      </c>
      <c r="L118" s="1660"/>
      <c r="M118" s="2411">
        <f t="shared" si="2"/>
        <v>61426.25</v>
      </c>
      <c r="N118" s="1660"/>
      <c r="O118" s="3307">
        <v>629213.23</v>
      </c>
      <c r="P118" s="1239"/>
    </row>
    <row r="119" spans="2:16" s="981" customFormat="1" ht="15.6">
      <c r="B119" s="2857">
        <v>21202</v>
      </c>
      <c r="C119" s="1229"/>
      <c r="D119" s="1233" t="s">
        <v>872</v>
      </c>
      <c r="E119" s="1231"/>
      <c r="F119" s="1231"/>
      <c r="G119" s="3411">
        <v>135109.49</v>
      </c>
      <c r="H119" s="1660"/>
      <c r="I119" s="3411">
        <v>148565.06</v>
      </c>
      <c r="J119" s="1660"/>
      <c r="K119" s="3307">
        <v>163680.35999999999</v>
      </c>
      <c r="L119" s="1660"/>
      <c r="M119" s="2411">
        <f t="shared" si="2"/>
        <v>47189.98</v>
      </c>
      <c r="N119" s="1660"/>
      <c r="O119" s="3307">
        <v>210870.34</v>
      </c>
      <c r="P119" s="1239"/>
    </row>
    <row r="120" spans="2:16" s="981" customFormat="1" ht="15.6">
      <c r="B120" s="2857">
        <v>21203</v>
      </c>
      <c r="C120" s="1229"/>
      <c r="D120" s="1233" t="s">
        <v>873</v>
      </c>
      <c r="E120" s="1231"/>
      <c r="F120" s="1231"/>
      <c r="G120" s="3411">
        <v>7938783.6299999999</v>
      </c>
      <c r="H120" s="1660"/>
      <c r="I120" s="3411">
        <v>8742543.3699999992</v>
      </c>
      <c r="J120" s="1660"/>
      <c r="K120" s="3307">
        <v>11094788.91</v>
      </c>
      <c r="L120" s="1660"/>
      <c r="M120" s="2411">
        <f t="shared" si="2"/>
        <v>1322354.23</v>
      </c>
      <c r="N120" s="1660"/>
      <c r="O120" s="3307">
        <v>12417143.140000001</v>
      </c>
      <c r="P120" s="1239"/>
    </row>
    <row r="121" spans="2:16" s="981" customFormat="1" ht="15.6">
      <c r="B121" s="2857">
        <v>21204</v>
      </c>
      <c r="C121" s="1229"/>
      <c r="D121" s="1233" t="s">
        <v>874</v>
      </c>
      <c r="E121" s="1231"/>
      <c r="F121" s="1231"/>
      <c r="G121" s="3411">
        <v>0</v>
      </c>
      <c r="H121" s="1660"/>
      <c r="I121" s="1310">
        <v>0</v>
      </c>
      <c r="J121" s="1660"/>
      <c r="K121" s="3307">
        <v>0</v>
      </c>
      <c r="L121" s="1660"/>
      <c r="M121" s="2411">
        <f t="shared" si="2"/>
        <v>0</v>
      </c>
      <c r="N121" s="1660"/>
      <c r="O121" s="3307">
        <v>0</v>
      </c>
      <c r="P121" s="1239"/>
    </row>
    <row r="122" spans="2:16" s="981" customFormat="1" ht="15.6">
      <c r="B122" s="2857">
        <v>21205</v>
      </c>
      <c r="C122" s="1229"/>
      <c r="D122" s="1233" t="s">
        <v>875</v>
      </c>
      <c r="E122" s="1231"/>
      <c r="F122" s="1231"/>
      <c r="G122" s="3411">
        <v>0</v>
      </c>
      <c r="H122" s="1660"/>
      <c r="I122" s="1310">
        <v>0</v>
      </c>
      <c r="J122" s="1660"/>
      <c r="K122" s="3307">
        <v>0</v>
      </c>
      <c r="L122" s="1660"/>
      <c r="M122" s="2411">
        <f t="shared" si="2"/>
        <v>0</v>
      </c>
      <c r="N122" s="1660"/>
      <c r="O122" s="3307">
        <v>0</v>
      </c>
      <c r="P122" s="1239"/>
    </row>
    <row r="123" spans="2:16" s="981" customFormat="1" ht="15.6">
      <c r="B123" s="2857">
        <v>21401</v>
      </c>
      <c r="C123" s="1229"/>
      <c r="D123" s="1230" t="s">
        <v>876</v>
      </c>
      <c r="E123" s="1231"/>
      <c r="F123" s="1231"/>
      <c r="G123" s="3411">
        <v>2712729.99</v>
      </c>
      <c r="H123" s="1660"/>
      <c r="I123" s="3411">
        <v>0</v>
      </c>
      <c r="J123" s="1660"/>
      <c r="K123" s="3307">
        <v>5813417.8300000001</v>
      </c>
      <c r="L123" s="1660"/>
      <c r="M123" s="2411">
        <f t="shared" si="2"/>
        <v>-1239659.47</v>
      </c>
      <c r="N123" s="1660"/>
      <c r="O123" s="3307">
        <v>4573758.3600000003</v>
      </c>
      <c r="P123" s="1239"/>
    </row>
    <row r="124" spans="2:16" s="981" customFormat="1" ht="15.6">
      <c r="B124" s="2857">
        <v>21402</v>
      </c>
      <c r="C124" s="1229"/>
      <c r="D124" s="1230" t="s">
        <v>877</v>
      </c>
      <c r="E124" s="1231"/>
      <c r="F124" s="1231"/>
      <c r="G124" s="3411">
        <v>76457451.530000001</v>
      </c>
      <c r="H124" s="1660"/>
      <c r="I124" s="3411">
        <v>0</v>
      </c>
      <c r="J124" s="1660"/>
      <c r="K124" s="3307">
        <v>213228961.80000001</v>
      </c>
      <c r="L124" s="1660"/>
      <c r="M124" s="2411">
        <f t="shared" si="2"/>
        <v>464562590.37</v>
      </c>
      <c r="N124" s="1660"/>
      <c r="O124" s="3307">
        <v>677791552.16999996</v>
      </c>
      <c r="P124" s="1239"/>
    </row>
    <row r="125" spans="2:16" s="981" customFormat="1" ht="15.6">
      <c r="B125" s="2857">
        <v>21451</v>
      </c>
      <c r="C125" s="1229"/>
      <c r="D125" s="1230" t="s">
        <v>878</v>
      </c>
      <c r="E125" s="1231"/>
      <c r="F125" s="1231"/>
      <c r="G125" s="3411">
        <v>23323050.120000001</v>
      </c>
      <c r="H125" s="1660"/>
      <c r="I125" s="3411">
        <v>16761587.6</v>
      </c>
      <c r="J125" s="1660"/>
      <c r="K125" s="3307">
        <v>16910578.710000001</v>
      </c>
      <c r="L125" s="1660"/>
      <c r="M125" s="2411">
        <f t="shared" si="2"/>
        <v>447104.82</v>
      </c>
      <c r="N125" s="1660"/>
      <c r="O125" s="3307">
        <v>17357683.530000001</v>
      </c>
      <c r="P125" s="1239"/>
    </row>
    <row r="126" spans="2:16" s="981" customFormat="1" ht="15.6">
      <c r="B126" s="2857">
        <v>21452</v>
      </c>
      <c r="C126" s="1229"/>
      <c r="D126" s="1233" t="s">
        <v>879</v>
      </c>
      <c r="E126" s="1231"/>
      <c r="F126" s="1231"/>
      <c r="G126" s="3411">
        <v>0</v>
      </c>
      <c r="H126" s="1660"/>
      <c r="I126" s="1310">
        <v>0</v>
      </c>
      <c r="J126" s="1660"/>
      <c r="K126" s="3307">
        <v>0</v>
      </c>
      <c r="L126" s="1660"/>
      <c r="M126" s="2411">
        <f t="shared" si="2"/>
        <v>0</v>
      </c>
      <c r="N126" s="1660"/>
      <c r="O126" s="3307">
        <v>0</v>
      </c>
      <c r="P126" s="1239"/>
    </row>
    <row r="127" spans="2:16" s="981" customFormat="1" ht="15.6">
      <c r="B127" s="2857">
        <v>21902</v>
      </c>
      <c r="C127" s="1229"/>
      <c r="D127" s="1230" t="s">
        <v>1558</v>
      </c>
      <c r="E127" s="1231"/>
      <c r="F127" s="1231"/>
      <c r="G127" s="3411">
        <v>0</v>
      </c>
      <c r="H127" s="1660"/>
      <c r="I127" s="1310">
        <v>0</v>
      </c>
      <c r="J127" s="1660"/>
      <c r="K127" s="3307">
        <v>0</v>
      </c>
      <c r="L127" s="1660"/>
      <c r="M127" s="2411">
        <f t="shared" si="2"/>
        <v>0</v>
      </c>
      <c r="N127" s="1660"/>
      <c r="O127" s="3307">
        <v>0</v>
      </c>
      <c r="P127" s="1239"/>
    </row>
    <row r="128" spans="2:16" s="981" customFormat="1" ht="16.8">
      <c r="B128" s="2857">
        <v>21903</v>
      </c>
      <c r="C128" s="1229"/>
      <c r="D128" s="1674" t="s">
        <v>880</v>
      </c>
      <c r="E128" s="1231"/>
      <c r="F128" s="1231"/>
      <c r="G128" s="3411">
        <v>1838880.24</v>
      </c>
      <c r="H128" s="1660"/>
      <c r="I128" s="3411">
        <v>2158825.98</v>
      </c>
      <c r="J128" s="1660"/>
      <c r="K128" s="3307">
        <v>2158825.98</v>
      </c>
      <c r="L128" s="1660"/>
      <c r="M128" s="2411">
        <f t="shared" si="2"/>
        <v>340601.12</v>
      </c>
      <c r="N128" s="1660"/>
      <c r="O128" s="3307">
        <v>2499427.1</v>
      </c>
      <c r="P128" s="1239"/>
    </row>
    <row r="129" spans="2:16" s="981" customFormat="1" ht="15.6">
      <c r="B129" s="2857">
        <v>21907</v>
      </c>
      <c r="C129" s="1229"/>
      <c r="D129" s="1233" t="s">
        <v>881</v>
      </c>
      <c r="E129" s="1231"/>
      <c r="F129" s="1231"/>
      <c r="G129" s="3411">
        <v>0</v>
      </c>
      <c r="H129" s="1660"/>
      <c r="I129" s="1310">
        <v>0</v>
      </c>
      <c r="J129" s="1660"/>
      <c r="K129" s="3307">
        <v>0</v>
      </c>
      <c r="L129" s="1660"/>
      <c r="M129" s="2411">
        <f t="shared" si="2"/>
        <v>0</v>
      </c>
      <c r="N129" s="1660"/>
      <c r="O129" s="3307">
        <v>0</v>
      </c>
      <c r="P129" s="1239"/>
    </row>
    <row r="130" spans="2:16" s="981" customFormat="1" ht="15.6">
      <c r="B130" s="2857">
        <v>21909</v>
      </c>
      <c r="C130" s="1229"/>
      <c r="D130" s="1233" t="s">
        <v>882</v>
      </c>
      <c r="E130" s="1231"/>
      <c r="F130" s="1231"/>
      <c r="G130" s="3411">
        <v>0</v>
      </c>
      <c r="H130" s="1660"/>
      <c r="I130" s="1310">
        <v>0</v>
      </c>
      <c r="J130" s="1660"/>
      <c r="K130" s="3307">
        <v>0</v>
      </c>
      <c r="L130" s="1660"/>
      <c r="M130" s="2411">
        <f t="shared" si="2"/>
        <v>0</v>
      </c>
      <c r="N130" s="1660"/>
      <c r="O130" s="3307">
        <v>0</v>
      </c>
      <c r="P130" s="1239"/>
    </row>
    <row r="131" spans="2:16" s="981" customFormat="1" ht="15.6">
      <c r="B131" s="2857">
        <v>21911</v>
      </c>
      <c r="C131" s="1229"/>
      <c r="D131" s="1233" t="s">
        <v>883</v>
      </c>
      <c r="E131" s="1231"/>
      <c r="F131" s="1231"/>
      <c r="G131" s="3411">
        <v>355616.87</v>
      </c>
      <c r="H131" s="1660"/>
      <c r="I131" s="3411">
        <v>112472.55</v>
      </c>
      <c r="J131" s="1660"/>
      <c r="K131" s="3307">
        <v>416664.89</v>
      </c>
      <c r="L131" s="1660"/>
      <c r="M131" s="2411">
        <f t="shared" si="2"/>
        <v>785448.74</v>
      </c>
      <c r="N131" s="1660"/>
      <c r="O131" s="3307">
        <v>1202113.6299999999</v>
      </c>
      <c r="P131" s="1239"/>
    </row>
    <row r="132" spans="2:16" s="981" customFormat="1" ht="15.6">
      <c r="B132" s="2857">
        <v>21912</v>
      </c>
      <c r="C132" s="1229"/>
      <c r="D132" s="1230" t="s">
        <v>884</v>
      </c>
      <c r="E132" s="1231"/>
      <c r="F132" s="1231"/>
      <c r="G132" s="3411">
        <v>6129190.3399999999</v>
      </c>
      <c r="H132" s="1660"/>
      <c r="I132" s="3411">
        <v>5089267.32</v>
      </c>
      <c r="J132" s="1660"/>
      <c r="K132" s="3307">
        <v>4379877.87</v>
      </c>
      <c r="L132" s="1660"/>
      <c r="M132" s="2411">
        <f t="shared" si="2"/>
        <v>1799689.53</v>
      </c>
      <c r="N132" s="1660"/>
      <c r="O132" s="3307">
        <v>6179567.4000000004</v>
      </c>
      <c r="P132" s="1239"/>
    </row>
    <row r="133" spans="2:16" s="981" customFormat="1" ht="15.6">
      <c r="B133" s="2857">
        <v>21913</v>
      </c>
      <c r="C133" s="1229"/>
      <c r="D133" s="1233" t="s">
        <v>1212</v>
      </c>
      <c r="E133" s="1231"/>
      <c r="F133" s="1231"/>
      <c r="G133" s="3411">
        <v>16741589.75</v>
      </c>
      <c r="H133" s="1660"/>
      <c r="I133" s="3411">
        <v>17199106.48</v>
      </c>
      <c r="J133" s="1660"/>
      <c r="K133" s="3307">
        <v>17183977.41</v>
      </c>
      <c r="L133" s="1660"/>
      <c r="M133" s="2411">
        <f t="shared" si="2"/>
        <v>1389328.62</v>
      </c>
      <c r="N133" s="1660"/>
      <c r="O133" s="3307">
        <v>18573306.030000001</v>
      </c>
      <c r="P133" s="1239"/>
    </row>
    <row r="134" spans="2:16" s="981" customFormat="1" ht="15.6">
      <c r="B134" s="2857">
        <v>21937</v>
      </c>
      <c r="C134" s="1229"/>
      <c r="D134" s="1233" t="s">
        <v>885</v>
      </c>
      <c r="E134" s="1231"/>
      <c r="F134" s="1231"/>
      <c r="G134" s="3411">
        <v>0</v>
      </c>
      <c r="H134" s="1660"/>
      <c r="I134" s="3411">
        <v>55745.61</v>
      </c>
      <c r="J134" s="1660"/>
      <c r="K134" s="3307">
        <v>488303.83</v>
      </c>
      <c r="L134" s="1660"/>
      <c r="M134" s="2411">
        <f t="shared" si="2"/>
        <v>-388813.37</v>
      </c>
      <c r="N134" s="1660"/>
      <c r="O134" s="3307">
        <v>99490.46</v>
      </c>
      <c r="P134" s="1239"/>
    </row>
    <row r="135" spans="2:16" s="981" customFormat="1" ht="15.6">
      <c r="B135" s="2857">
        <v>21943</v>
      </c>
      <c r="C135" s="1229"/>
      <c r="D135" s="1233" t="s">
        <v>886</v>
      </c>
      <c r="E135" s="1231"/>
      <c r="F135" s="1231"/>
      <c r="G135" s="3411">
        <v>8099167.4100000001</v>
      </c>
      <c r="H135" s="1660"/>
      <c r="I135" s="1310">
        <v>8099167.4100000001</v>
      </c>
      <c r="J135" s="1660"/>
      <c r="K135" s="3307">
        <v>8099167.4100000001</v>
      </c>
      <c r="L135" s="1660"/>
      <c r="M135" s="2411">
        <f t="shared" si="2"/>
        <v>0</v>
      </c>
      <c r="N135" s="1660"/>
      <c r="O135" s="3307">
        <v>8099167.4100000001</v>
      </c>
      <c r="P135" s="1239"/>
    </row>
    <row r="136" spans="2:16" s="981" customFormat="1" ht="15.6">
      <c r="B136" s="2857">
        <v>21945</v>
      </c>
      <c r="C136" s="1229"/>
      <c r="D136" s="1230" t="s">
        <v>887</v>
      </c>
      <c r="E136" s="1231"/>
      <c r="F136" s="1231"/>
      <c r="G136" s="3411">
        <v>0</v>
      </c>
      <c r="H136" s="1660"/>
      <c r="I136" s="1310">
        <v>0</v>
      </c>
      <c r="J136" s="1660"/>
      <c r="K136" s="3307">
        <v>0</v>
      </c>
      <c r="L136" s="1660"/>
      <c r="M136" s="2411">
        <f t="shared" si="2"/>
        <v>0</v>
      </c>
      <c r="N136" s="1660"/>
      <c r="O136" s="3307">
        <v>0</v>
      </c>
      <c r="P136" s="1239"/>
    </row>
    <row r="137" spans="2:16" s="981" customFormat="1" ht="15.6">
      <c r="B137" s="2857">
        <v>21950</v>
      </c>
      <c r="C137" s="1229"/>
      <c r="D137" s="1230" t="s">
        <v>1219</v>
      </c>
      <c r="E137" s="1231"/>
      <c r="F137" s="1231"/>
      <c r="G137" s="3411">
        <v>0</v>
      </c>
      <c r="H137" s="1660"/>
      <c r="I137" s="1310">
        <v>0</v>
      </c>
      <c r="J137" s="1660"/>
      <c r="K137" s="3307">
        <v>0</v>
      </c>
      <c r="L137" s="1660"/>
      <c r="M137" s="2411">
        <f t="shared" si="2"/>
        <v>0</v>
      </c>
      <c r="N137" s="1660"/>
      <c r="O137" s="3307">
        <v>0</v>
      </c>
      <c r="P137" s="1239"/>
    </row>
    <row r="138" spans="2:16" s="981" customFormat="1" ht="15.6">
      <c r="B138" s="2857">
        <v>21959</v>
      </c>
      <c r="C138" s="1229"/>
      <c r="D138" s="1233" t="s">
        <v>888</v>
      </c>
      <c r="E138" s="1231"/>
      <c r="F138" s="1231"/>
      <c r="G138" s="3411">
        <v>321021.06</v>
      </c>
      <c r="H138" s="1660"/>
      <c r="I138" s="3411">
        <v>444528.72</v>
      </c>
      <c r="J138" s="1660"/>
      <c r="K138" s="3307">
        <v>559833.23</v>
      </c>
      <c r="L138" s="1660"/>
      <c r="M138" s="2411">
        <f t="shared" si="2"/>
        <v>514005.03</v>
      </c>
      <c r="N138" s="1660"/>
      <c r="O138" s="3307">
        <v>1073838.26</v>
      </c>
      <c r="P138" s="1239"/>
    </row>
    <row r="139" spans="2:16" s="981" customFormat="1" ht="15.6">
      <c r="B139" s="2857">
        <v>21962</v>
      </c>
      <c r="C139" s="1229"/>
      <c r="D139" s="1233" t="s">
        <v>889</v>
      </c>
      <c r="E139" s="1231"/>
      <c r="F139" s="1231"/>
      <c r="G139" s="3411">
        <v>14874646.41</v>
      </c>
      <c r="H139" s="1660"/>
      <c r="I139" s="3411">
        <v>12336517.65</v>
      </c>
      <c r="J139" s="1660"/>
      <c r="K139" s="3307">
        <v>12520568.52</v>
      </c>
      <c r="L139" s="1660"/>
      <c r="M139" s="2411">
        <f t="shared" si="2"/>
        <v>899624.62</v>
      </c>
      <c r="N139" s="1660"/>
      <c r="O139" s="3307">
        <v>13420193.140000001</v>
      </c>
      <c r="P139" s="1239"/>
    </row>
    <row r="140" spans="2:16" s="981" customFormat="1" ht="15.6">
      <c r="B140" s="2857">
        <v>21978</v>
      </c>
      <c r="C140" s="1229"/>
      <c r="D140" s="1230" t="s">
        <v>890</v>
      </c>
      <c r="E140" s="1231"/>
      <c r="F140" s="1231"/>
      <c r="G140" s="3411">
        <v>0</v>
      </c>
      <c r="H140" s="1660"/>
      <c r="I140" s="1310">
        <v>0</v>
      </c>
      <c r="J140" s="1660"/>
      <c r="K140" s="3307">
        <v>0</v>
      </c>
      <c r="L140" s="1660"/>
      <c r="M140" s="2411">
        <f t="shared" si="2"/>
        <v>0</v>
      </c>
      <c r="N140" s="1660"/>
      <c r="O140" s="3307">
        <v>0</v>
      </c>
      <c r="P140" s="1239"/>
    </row>
    <row r="141" spans="2:16" s="981" customFormat="1" ht="15.6">
      <c r="B141" s="2857">
        <v>21979</v>
      </c>
      <c r="C141" s="1229"/>
      <c r="D141" s="1230" t="s">
        <v>891</v>
      </c>
      <c r="E141" s="1231"/>
      <c r="F141" s="1231"/>
      <c r="G141" s="3411">
        <v>0</v>
      </c>
      <c r="H141" s="1660"/>
      <c r="I141" s="1310">
        <v>0</v>
      </c>
      <c r="J141" s="1660"/>
      <c r="K141" s="3307">
        <v>0</v>
      </c>
      <c r="L141" s="1660"/>
      <c r="M141" s="2411">
        <f t="shared" si="2"/>
        <v>0</v>
      </c>
      <c r="N141" s="1660"/>
      <c r="O141" s="3307">
        <v>0</v>
      </c>
      <c r="P141" s="1239"/>
    </row>
    <row r="142" spans="2:16" s="981" customFormat="1" ht="15.6">
      <c r="B142" s="2857">
        <v>21989</v>
      </c>
      <c r="C142" s="1229"/>
      <c r="D142" s="1230" t="s">
        <v>892</v>
      </c>
      <c r="E142" s="1231"/>
      <c r="F142" s="1231"/>
      <c r="G142" s="3411">
        <v>0</v>
      </c>
      <c r="H142" s="1660"/>
      <c r="I142" s="1310">
        <v>0</v>
      </c>
      <c r="J142" s="1660"/>
      <c r="K142" s="3307">
        <v>0</v>
      </c>
      <c r="L142" s="1660"/>
      <c r="M142" s="2411">
        <f t="shared" si="2"/>
        <v>0</v>
      </c>
      <c r="N142" s="1660"/>
      <c r="O142" s="3307">
        <v>0</v>
      </c>
      <c r="P142" s="1239"/>
    </row>
    <row r="143" spans="2:16" s="981" customFormat="1" ht="15.6">
      <c r="B143" s="2857">
        <v>22003</v>
      </c>
      <c r="C143" s="1229"/>
      <c r="D143" s="1230" t="s">
        <v>893</v>
      </c>
      <c r="E143" s="1231"/>
      <c r="F143" s="1231"/>
      <c r="G143" s="3411">
        <v>0</v>
      </c>
      <c r="H143" s="1660"/>
      <c r="I143" s="1310">
        <v>0</v>
      </c>
      <c r="J143" s="1660"/>
      <c r="K143" s="3307">
        <v>0</v>
      </c>
      <c r="L143" s="1660"/>
      <c r="M143" s="2411">
        <f t="shared" si="2"/>
        <v>0</v>
      </c>
      <c r="N143" s="1660"/>
      <c r="O143" s="3307">
        <v>0</v>
      </c>
      <c r="P143" s="1239"/>
    </row>
    <row r="144" spans="2:16" s="981" customFormat="1" ht="15.6">
      <c r="B144" s="2857">
        <v>22004</v>
      </c>
      <c r="C144" s="1229"/>
      <c r="D144" s="1233" t="s">
        <v>894</v>
      </c>
      <c r="E144" s="1231"/>
      <c r="F144" s="1231"/>
      <c r="G144" s="3411">
        <v>0</v>
      </c>
      <c r="H144" s="1660"/>
      <c r="I144" s="1310">
        <v>0</v>
      </c>
      <c r="J144" s="1660"/>
      <c r="K144" s="3307">
        <v>0</v>
      </c>
      <c r="L144" s="1660"/>
      <c r="M144" s="2411">
        <f t="shared" si="2"/>
        <v>0</v>
      </c>
      <c r="N144" s="1660"/>
      <c r="O144" s="3307">
        <v>0</v>
      </c>
      <c r="P144" s="1239"/>
    </row>
    <row r="145" spans="2:16" s="981" customFormat="1" ht="15.6">
      <c r="B145" s="2857">
        <v>22006</v>
      </c>
      <c r="C145" s="1229"/>
      <c r="D145" s="1230" t="s">
        <v>895</v>
      </c>
      <c r="E145" s="1231"/>
      <c r="F145" s="1231"/>
      <c r="G145" s="3411">
        <v>599178.25</v>
      </c>
      <c r="H145" s="1660"/>
      <c r="I145" s="3411">
        <v>604829.13</v>
      </c>
      <c r="J145" s="1660"/>
      <c r="K145" s="3307">
        <v>689255.75</v>
      </c>
      <c r="L145" s="1660"/>
      <c r="M145" s="2411">
        <f t="shared" si="2"/>
        <v>9196.81</v>
      </c>
      <c r="N145" s="1660"/>
      <c r="O145" s="3307">
        <v>698452.56</v>
      </c>
      <c r="P145" s="1239"/>
    </row>
    <row r="146" spans="2:16" s="981" customFormat="1" ht="15.6">
      <c r="B146" s="2857">
        <v>22007</v>
      </c>
      <c r="C146" s="1229"/>
      <c r="D146" s="1233" t="s">
        <v>896</v>
      </c>
      <c r="E146" s="1231"/>
      <c r="F146" s="1231"/>
      <c r="G146" s="3411">
        <v>1055184.73</v>
      </c>
      <c r="H146" s="1660"/>
      <c r="I146" s="3411">
        <v>870850.48</v>
      </c>
      <c r="J146" s="1660"/>
      <c r="K146" s="3307">
        <v>682223.89</v>
      </c>
      <c r="L146" s="1660"/>
      <c r="M146" s="2411">
        <f t="shared" si="2"/>
        <v>-682223.89</v>
      </c>
      <c r="N146" s="1660"/>
      <c r="O146" s="3307">
        <v>0</v>
      </c>
      <c r="P146" s="1239"/>
    </row>
    <row r="147" spans="2:16" s="981" customFormat="1" ht="15.6">
      <c r="B147" s="2857">
        <v>22009</v>
      </c>
      <c r="C147" s="1229"/>
      <c r="D147" s="1233" t="s">
        <v>897</v>
      </c>
      <c r="E147" s="1231"/>
      <c r="F147" s="1231"/>
      <c r="G147" s="3411">
        <v>83542.33</v>
      </c>
      <c r="H147" s="1660"/>
      <c r="I147" s="3411">
        <v>106133.58</v>
      </c>
      <c r="J147" s="1660"/>
      <c r="K147" s="3307">
        <v>113749.25</v>
      </c>
      <c r="L147" s="1660"/>
      <c r="M147" s="2411">
        <f t="shared" si="2"/>
        <v>49816.44</v>
      </c>
      <c r="N147" s="1660"/>
      <c r="O147" s="3307">
        <v>163565.69</v>
      </c>
      <c r="P147" s="1239"/>
    </row>
    <row r="148" spans="2:16" s="981" customFormat="1" ht="15.6">
      <c r="B148" s="2857">
        <v>22032</v>
      </c>
      <c r="C148" s="1229"/>
      <c r="D148" s="1233" t="s">
        <v>898</v>
      </c>
      <c r="E148" s="1231"/>
      <c r="F148" s="1231"/>
      <c r="G148" s="3411">
        <v>9681695.3599999994</v>
      </c>
      <c r="H148" s="1660"/>
      <c r="I148" s="3411">
        <v>10322005.800000001</v>
      </c>
      <c r="J148" s="1660"/>
      <c r="K148" s="3307">
        <v>10760089.789999999</v>
      </c>
      <c r="L148" s="1660"/>
      <c r="M148" s="2411">
        <f t="shared" si="2"/>
        <v>1214441.73</v>
      </c>
      <c r="N148" s="1660"/>
      <c r="O148" s="3307">
        <v>11974531.52</v>
      </c>
      <c r="P148" s="1239"/>
    </row>
    <row r="149" spans="2:16" s="981" customFormat="1" ht="15.6">
      <c r="B149" s="2857">
        <v>22034</v>
      </c>
      <c r="C149" s="1229"/>
      <c r="D149" s="1233" t="s">
        <v>899</v>
      </c>
      <c r="E149" s="1231"/>
      <c r="F149" s="1231"/>
      <c r="G149" s="3411">
        <v>0</v>
      </c>
      <c r="H149" s="1660"/>
      <c r="I149" s="1310">
        <v>0</v>
      </c>
      <c r="J149" s="1660"/>
      <c r="K149" s="3307">
        <v>0</v>
      </c>
      <c r="L149" s="1660"/>
      <c r="M149" s="2411">
        <f t="shared" si="2"/>
        <v>0</v>
      </c>
      <c r="N149" s="1660"/>
      <c r="O149" s="3307">
        <v>0</v>
      </c>
      <c r="P149" s="1239"/>
    </row>
    <row r="150" spans="2:16" s="981" customFormat="1" ht="15.6">
      <c r="B150" s="2857">
        <v>22036</v>
      </c>
      <c r="C150" s="1229"/>
      <c r="D150" s="1233" t="s">
        <v>900</v>
      </c>
      <c r="E150" s="1231"/>
      <c r="F150" s="1231"/>
      <c r="G150" s="3411">
        <v>0</v>
      </c>
      <c r="H150" s="1660"/>
      <c r="I150" s="1310">
        <v>0</v>
      </c>
      <c r="J150" s="1660"/>
      <c r="K150" s="3307">
        <v>0</v>
      </c>
      <c r="L150" s="1660"/>
      <c r="M150" s="2411">
        <f t="shared" si="2"/>
        <v>0</v>
      </c>
      <c r="N150" s="1660"/>
      <c r="O150" s="3307">
        <v>0</v>
      </c>
      <c r="P150" s="1239"/>
    </row>
    <row r="151" spans="2:16" s="981" customFormat="1" ht="15.6">
      <c r="B151" s="2857">
        <v>22039</v>
      </c>
      <c r="C151" s="1229"/>
      <c r="D151" s="1233" t="s">
        <v>901</v>
      </c>
      <c r="E151" s="1231"/>
      <c r="F151" s="1231"/>
      <c r="G151" s="3411">
        <v>893521.82</v>
      </c>
      <c r="H151" s="1660"/>
      <c r="I151" s="3411">
        <v>174302.54</v>
      </c>
      <c r="J151" s="1660"/>
      <c r="K151" s="3307">
        <v>695060.15</v>
      </c>
      <c r="L151" s="1660"/>
      <c r="M151" s="2411">
        <f t="shared" si="2"/>
        <v>248386.36</v>
      </c>
      <c r="N151" s="1660"/>
      <c r="O151" s="3307">
        <v>943446.51</v>
      </c>
      <c r="P151" s="1239"/>
    </row>
    <row r="152" spans="2:16" s="981" customFormat="1" ht="15.6">
      <c r="B152" s="2857">
        <v>22046</v>
      </c>
      <c r="C152" s="1229"/>
      <c r="D152" s="1233" t="s">
        <v>902</v>
      </c>
      <c r="E152" s="1231"/>
      <c r="F152" s="1231"/>
      <c r="G152" s="3411">
        <v>64437016.380000003</v>
      </c>
      <c r="H152" s="1660"/>
      <c r="I152" s="3411">
        <v>64453203.850000001</v>
      </c>
      <c r="J152" s="1660"/>
      <c r="K152" s="3307">
        <v>64086390.109999999</v>
      </c>
      <c r="L152" s="1660"/>
      <c r="M152" s="2411">
        <f t="shared" si="2"/>
        <v>1363250.26</v>
      </c>
      <c r="N152" s="1660"/>
      <c r="O152" s="3307">
        <v>65449640.369999997</v>
      </c>
      <c r="P152" s="1239"/>
    </row>
    <row r="153" spans="2:16" s="981" customFormat="1" ht="15.6">
      <c r="B153" s="2857">
        <v>22053</v>
      </c>
      <c r="C153" s="1229"/>
      <c r="D153" s="1233" t="s">
        <v>903</v>
      </c>
      <c r="E153" s="1231"/>
      <c r="F153" s="1231"/>
      <c r="G153" s="3411">
        <v>4139838.04</v>
      </c>
      <c r="H153" s="1660"/>
      <c r="I153" s="3411">
        <v>4693058.8499999996</v>
      </c>
      <c r="J153" s="1660"/>
      <c r="K153" s="3307">
        <v>5093302.33</v>
      </c>
      <c r="L153" s="1660"/>
      <c r="M153" s="2411">
        <f t="shared" si="2"/>
        <v>955598.45</v>
      </c>
      <c r="N153" s="1660"/>
      <c r="O153" s="3307">
        <v>6048900.7800000003</v>
      </c>
      <c r="P153" s="1239"/>
    </row>
    <row r="154" spans="2:16" s="981" customFormat="1" ht="15.6">
      <c r="B154" s="2857">
        <v>22054</v>
      </c>
      <c r="C154" s="1229"/>
      <c r="D154" s="1233" t="s">
        <v>904</v>
      </c>
      <c r="E154" s="1231"/>
      <c r="F154" s="1231"/>
      <c r="G154" s="3411">
        <v>0</v>
      </c>
      <c r="H154" s="1660"/>
      <c r="I154" s="1310">
        <v>0</v>
      </c>
      <c r="J154" s="1660"/>
      <c r="K154" s="3307">
        <v>0</v>
      </c>
      <c r="L154" s="1660"/>
      <c r="M154" s="2411">
        <f t="shared" si="2"/>
        <v>0</v>
      </c>
      <c r="N154" s="1660"/>
      <c r="O154" s="3307">
        <v>0</v>
      </c>
      <c r="P154" s="1239"/>
    </row>
    <row r="155" spans="2:16" s="981" customFormat="1" ht="15.6">
      <c r="B155" s="2857">
        <v>22055</v>
      </c>
      <c r="C155" s="1229"/>
      <c r="D155" s="1233" t="s">
        <v>905</v>
      </c>
      <c r="E155" s="1231"/>
      <c r="F155" s="1231"/>
      <c r="G155" s="3411">
        <v>5213405.34</v>
      </c>
      <c r="H155" s="1660"/>
      <c r="I155" s="3411">
        <v>7184554.4000000004</v>
      </c>
      <c r="J155" s="1660"/>
      <c r="K155" s="3307">
        <v>8936677.5700000003</v>
      </c>
      <c r="L155" s="1660"/>
      <c r="M155" s="2411">
        <f t="shared" si="2"/>
        <v>-7751104.5599999996</v>
      </c>
      <c r="N155" s="1660"/>
      <c r="O155" s="3307">
        <v>1185573.01</v>
      </c>
      <c r="P155" s="1239"/>
    </row>
    <row r="156" spans="2:16" s="981" customFormat="1" ht="15.6">
      <c r="B156" s="2857">
        <v>22056</v>
      </c>
      <c r="C156" s="1229"/>
      <c r="D156" s="1233" t="s">
        <v>906</v>
      </c>
      <c r="E156" s="1231"/>
      <c r="F156" s="1231"/>
      <c r="G156" s="3411">
        <v>811132.83</v>
      </c>
      <c r="H156" s="1660"/>
      <c r="I156" s="3411">
        <v>905571.82</v>
      </c>
      <c r="J156" s="1660"/>
      <c r="K156" s="3307">
        <v>1259128.04</v>
      </c>
      <c r="L156" s="1660"/>
      <c r="M156" s="2411">
        <f t="shared" si="2"/>
        <v>143122.57999999999</v>
      </c>
      <c r="N156" s="1660"/>
      <c r="O156" s="3307">
        <v>1402250.62</v>
      </c>
      <c r="P156" s="1239"/>
    </row>
    <row r="157" spans="2:16" s="981" customFormat="1" ht="15.6">
      <c r="B157" s="2857">
        <v>22062</v>
      </c>
      <c r="C157" s="1229"/>
      <c r="D157" s="1233" t="s">
        <v>907</v>
      </c>
      <c r="E157" s="1231"/>
      <c r="F157" s="1231"/>
      <c r="G157" s="3411">
        <v>0</v>
      </c>
      <c r="H157" s="1660"/>
      <c r="I157" s="1310">
        <v>0</v>
      </c>
      <c r="J157" s="1660"/>
      <c r="K157" s="3307">
        <v>0</v>
      </c>
      <c r="L157" s="1660"/>
      <c r="M157" s="2411">
        <f t="shared" si="2"/>
        <v>0</v>
      </c>
      <c r="N157" s="1660"/>
      <c r="O157" s="3307">
        <v>0</v>
      </c>
      <c r="P157" s="1239"/>
    </row>
    <row r="158" spans="2:16" s="981" customFormat="1" ht="15.6">
      <c r="B158" s="2857">
        <v>22063</v>
      </c>
      <c r="C158" s="1229"/>
      <c r="D158" s="1233" t="s">
        <v>908</v>
      </c>
      <c r="E158" s="1231"/>
      <c r="F158" s="1231"/>
      <c r="G158" s="3411">
        <v>3951969.21</v>
      </c>
      <c r="H158" s="1660"/>
      <c r="I158" s="3411">
        <v>2413748.48</v>
      </c>
      <c r="J158" s="1660"/>
      <c r="K158" s="3307">
        <v>1189259.67</v>
      </c>
      <c r="L158" s="1660"/>
      <c r="M158" s="2411">
        <f t="shared" si="2"/>
        <v>1794349.44</v>
      </c>
      <c r="N158" s="1660"/>
      <c r="O158" s="3307">
        <v>2983609.11</v>
      </c>
      <c r="P158" s="1239"/>
    </row>
    <row r="159" spans="2:16" s="981" customFormat="1" ht="15.6">
      <c r="B159" s="2857">
        <v>22078</v>
      </c>
      <c r="C159" s="1229"/>
      <c r="D159" s="1233" t="s">
        <v>909</v>
      </c>
      <c r="E159" s="1231"/>
      <c r="F159" s="1231"/>
      <c r="G159" s="3411">
        <v>0</v>
      </c>
      <c r="H159" s="1660"/>
      <c r="I159" s="1310">
        <v>0</v>
      </c>
      <c r="J159" s="1660"/>
      <c r="K159" s="3307">
        <v>0</v>
      </c>
      <c r="L159" s="1660"/>
      <c r="M159" s="2411">
        <f t="shared" ref="M159:M179" si="3">ROUND(SUM(O159)-SUM(K159),2)</f>
        <v>0</v>
      </c>
      <c r="N159" s="1660"/>
      <c r="O159" s="3307">
        <v>0</v>
      </c>
      <c r="P159" s="1239"/>
    </row>
    <row r="160" spans="2:16" s="981" customFormat="1" ht="15.6">
      <c r="B160" s="2857">
        <v>22085</v>
      </c>
      <c r="C160" s="1229"/>
      <c r="D160" s="1233" t="s">
        <v>910</v>
      </c>
      <c r="E160" s="1231"/>
      <c r="F160" s="1231"/>
      <c r="G160" s="3411">
        <v>5314365.97</v>
      </c>
      <c r="H160" s="1660"/>
      <c r="I160" s="3411">
        <v>4725808.03</v>
      </c>
      <c r="J160" s="1660"/>
      <c r="K160" s="3307">
        <v>5044092.62</v>
      </c>
      <c r="L160" s="1660"/>
      <c r="M160" s="2411">
        <f t="shared" si="3"/>
        <v>547453.49</v>
      </c>
      <c r="N160" s="1660"/>
      <c r="O160" s="3307">
        <v>5591546.1100000003</v>
      </c>
      <c r="P160" s="1239"/>
    </row>
    <row r="161" spans="2:16" s="981" customFormat="1" ht="15.6">
      <c r="B161" s="2857">
        <v>22087</v>
      </c>
      <c r="C161" s="1229"/>
      <c r="D161" s="1230" t="s">
        <v>911</v>
      </c>
      <c r="E161" s="1231"/>
      <c r="F161" s="1231"/>
      <c r="G161" s="3411">
        <v>0</v>
      </c>
      <c r="H161" s="1660"/>
      <c r="I161" s="1310">
        <v>0</v>
      </c>
      <c r="J161" s="1660"/>
      <c r="K161" s="3307">
        <v>0</v>
      </c>
      <c r="L161" s="1660"/>
      <c r="M161" s="2411">
        <f t="shared" si="3"/>
        <v>0</v>
      </c>
      <c r="N161" s="1660"/>
      <c r="O161" s="3307">
        <v>0</v>
      </c>
      <c r="P161" s="1239"/>
    </row>
    <row r="162" spans="2:16" s="981" customFormat="1" ht="15.6">
      <c r="B162" s="2857">
        <v>22090</v>
      </c>
      <c r="C162" s="1229"/>
      <c r="D162" s="1233" t="s">
        <v>912</v>
      </c>
      <c r="E162" s="1231"/>
      <c r="F162" s="1231"/>
      <c r="G162" s="3411">
        <v>5826181.4299999997</v>
      </c>
      <c r="H162" s="1660"/>
      <c r="I162" s="3411">
        <v>6040829.0700000003</v>
      </c>
      <c r="J162" s="1660"/>
      <c r="K162" s="3307">
        <v>6259765.8099999996</v>
      </c>
      <c r="L162" s="1660"/>
      <c r="M162" s="2411">
        <f t="shared" si="3"/>
        <v>339454.04</v>
      </c>
      <c r="N162" s="1660"/>
      <c r="O162" s="3307">
        <v>6599219.8499999996</v>
      </c>
      <c r="P162" s="1239"/>
    </row>
    <row r="163" spans="2:16" s="981" customFormat="1" ht="15.6">
      <c r="B163" s="2857">
        <v>22094</v>
      </c>
      <c r="C163" s="1229"/>
      <c r="D163" s="1233" t="s">
        <v>913</v>
      </c>
      <c r="E163" s="1231"/>
      <c r="F163" s="1231"/>
      <c r="G163" s="3411">
        <v>0</v>
      </c>
      <c r="H163" s="1660"/>
      <c r="I163" s="1310">
        <v>0</v>
      </c>
      <c r="J163" s="1660"/>
      <c r="K163" s="3307">
        <v>0</v>
      </c>
      <c r="L163" s="1660"/>
      <c r="M163" s="2411">
        <f t="shared" si="3"/>
        <v>0</v>
      </c>
      <c r="N163" s="1660"/>
      <c r="O163" s="3307">
        <v>0</v>
      </c>
      <c r="P163" s="1239"/>
    </row>
    <row r="164" spans="2:16" s="981" customFormat="1" ht="15.6">
      <c r="B164" s="2857">
        <v>22100</v>
      </c>
      <c r="C164" s="1229"/>
      <c r="D164" s="1233" t="s">
        <v>914</v>
      </c>
      <c r="E164" s="1231"/>
      <c r="F164" s="1231"/>
      <c r="G164" s="3411">
        <v>23036.27</v>
      </c>
      <c r="H164" s="1660"/>
      <c r="I164" s="3411">
        <v>12738.89</v>
      </c>
      <c r="J164" s="1660"/>
      <c r="K164" s="3307">
        <v>175604.42</v>
      </c>
      <c r="L164" s="1660"/>
      <c r="M164" s="2411">
        <f t="shared" si="3"/>
        <v>109649.7</v>
      </c>
      <c r="N164" s="1660"/>
      <c r="O164" s="3307">
        <v>285254.12</v>
      </c>
      <c r="P164" s="1239"/>
    </row>
    <row r="165" spans="2:16" s="981" customFormat="1" ht="15.6">
      <c r="B165" s="2857">
        <v>22130</v>
      </c>
      <c r="C165" s="1229"/>
      <c r="D165" s="1230" t="s">
        <v>915</v>
      </c>
      <c r="E165" s="1231"/>
      <c r="F165" s="1231"/>
      <c r="G165" s="3411">
        <v>0</v>
      </c>
      <c r="H165" s="1660"/>
      <c r="I165" s="1310">
        <v>0</v>
      </c>
      <c r="J165" s="1660"/>
      <c r="K165" s="3307">
        <v>0</v>
      </c>
      <c r="L165" s="1660"/>
      <c r="M165" s="2411">
        <f t="shared" si="3"/>
        <v>0</v>
      </c>
      <c r="N165" s="1660"/>
      <c r="O165" s="3307">
        <v>0</v>
      </c>
      <c r="P165" s="1239"/>
    </row>
    <row r="166" spans="2:16" s="981" customFormat="1" ht="15.6">
      <c r="B166" s="2857">
        <v>22135</v>
      </c>
      <c r="C166" s="1229"/>
      <c r="D166" s="1230" t="s">
        <v>916</v>
      </c>
      <c r="E166" s="1231"/>
      <c r="F166" s="1231"/>
      <c r="G166" s="3411">
        <v>0</v>
      </c>
      <c r="H166" s="1660"/>
      <c r="I166" s="1310">
        <v>0</v>
      </c>
      <c r="J166" s="1660"/>
      <c r="K166" s="3307">
        <v>0</v>
      </c>
      <c r="L166" s="1660"/>
      <c r="M166" s="2411">
        <f t="shared" si="3"/>
        <v>0</v>
      </c>
      <c r="N166" s="1660"/>
      <c r="O166" s="3307">
        <v>0</v>
      </c>
      <c r="P166" s="1239"/>
    </row>
    <row r="167" spans="2:16" s="981" customFormat="1" ht="15.6">
      <c r="B167" s="2857">
        <v>22144</v>
      </c>
      <c r="C167" s="1229"/>
      <c r="D167" s="1233" t="s">
        <v>917</v>
      </c>
      <c r="E167" s="1231"/>
      <c r="F167" s="1231"/>
      <c r="G167" s="3411">
        <v>0</v>
      </c>
      <c r="H167" s="1660"/>
      <c r="I167" s="1310">
        <v>0</v>
      </c>
      <c r="J167" s="1660"/>
      <c r="K167" s="3307">
        <v>0</v>
      </c>
      <c r="L167" s="1660"/>
      <c r="M167" s="2411">
        <f t="shared" si="3"/>
        <v>0</v>
      </c>
      <c r="N167" s="1660"/>
      <c r="O167" s="3307">
        <v>0</v>
      </c>
      <c r="P167" s="1239"/>
    </row>
    <row r="168" spans="2:16" s="981" customFormat="1" ht="15.6">
      <c r="B168" s="2857">
        <v>22151</v>
      </c>
      <c r="C168" s="1229"/>
      <c r="D168" s="1230" t="s">
        <v>918</v>
      </c>
      <c r="E168" s="1231"/>
      <c r="F168" s="1231"/>
      <c r="G168" s="3411">
        <v>64484.61</v>
      </c>
      <c r="H168" s="1660"/>
      <c r="I168" s="3411">
        <v>90655.21</v>
      </c>
      <c r="J168" s="1660"/>
      <c r="K168" s="3307">
        <v>114629.22</v>
      </c>
      <c r="L168" s="1660"/>
      <c r="M168" s="2411">
        <f t="shared" si="3"/>
        <v>-36167.43</v>
      </c>
      <c r="N168" s="1660"/>
      <c r="O168" s="3307">
        <v>78461.789999999994</v>
      </c>
      <c r="P168" s="1239"/>
    </row>
    <row r="169" spans="2:16" s="981" customFormat="1" ht="15.6">
      <c r="B169" s="2857">
        <v>22156</v>
      </c>
      <c r="C169" s="1229"/>
      <c r="D169" s="1230" t="s">
        <v>919</v>
      </c>
      <c r="E169" s="1231"/>
      <c r="F169" s="1231"/>
      <c r="G169" s="3411">
        <v>16831703.940000001</v>
      </c>
      <c r="H169" s="1660"/>
      <c r="I169" s="3411">
        <v>18792280.960000001</v>
      </c>
      <c r="J169" s="1660"/>
      <c r="K169" s="3307">
        <v>20839573.34</v>
      </c>
      <c r="L169" s="1660"/>
      <c r="M169" s="2411">
        <f t="shared" si="3"/>
        <v>2740818.31</v>
      </c>
      <c r="N169" s="1660"/>
      <c r="O169" s="3307">
        <v>23580391.649999999</v>
      </c>
      <c r="P169" s="1239"/>
    </row>
    <row r="170" spans="2:16" s="981" customFormat="1" ht="15.6">
      <c r="B170" s="2857">
        <v>22158</v>
      </c>
      <c r="C170" s="1229"/>
      <c r="D170" s="1233" t="s">
        <v>920</v>
      </c>
      <c r="E170" s="1231"/>
      <c r="F170" s="1231"/>
      <c r="G170" s="3411">
        <v>898265.48</v>
      </c>
      <c r="H170" s="1660"/>
      <c r="I170" s="3411">
        <v>906419.3</v>
      </c>
      <c r="J170" s="1660"/>
      <c r="K170" s="3307">
        <v>835304.64</v>
      </c>
      <c r="L170" s="1660"/>
      <c r="M170" s="2411">
        <f t="shared" si="3"/>
        <v>-107681.8</v>
      </c>
      <c r="N170" s="1660"/>
      <c r="O170" s="3307">
        <v>727622.84</v>
      </c>
      <c r="P170" s="1239"/>
    </row>
    <row r="171" spans="2:16" s="981" customFormat="1" ht="15.6">
      <c r="B171" s="2857">
        <v>22168</v>
      </c>
      <c r="C171" s="1229"/>
      <c r="D171" s="1233" t="s">
        <v>921</v>
      </c>
      <c r="E171" s="1231"/>
      <c r="F171" s="1231"/>
      <c r="G171" s="3411">
        <v>0</v>
      </c>
      <c r="H171" s="1660"/>
      <c r="I171" s="1310">
        <v>0</v>
      </c>
      <c r="J171" s="1660"/>
      <c r="K171" s="3307">
        <v>0</v>
      </c>
      <c r="L171" s="1660"/>
      <c r="M171" s="2411">
        <f t="shared" si="3"/>
        <v>0</v>
      </c>
      <c r="N171" s="1660"/>
      <c r="O171" s="3307">
        <v>0</v>
      </c>
      <c r="P171" s="1239"/>
    </row>
    <row r="172" spans="2:16" s="981" customFormat="1" ht="15.6">
      <c r="B172" s="2857">
        <v>22654</v>
      </c>
      <c r="C172" s="1229"/>
      <c r="D172" s="1230" t="s">
        <v>922</v>
      </c>
      <c r="E172" s="1231"/>
      <c r="F172" s="1231"/>
      <c r="G172" s="3411">
        <v>19411136.989999998</v>
      </c>
      <c r="H172" s="1660"/>
      <c r="I172" s="1310">
        <v>19411136.989999998</v>
      </c>
      <c r="J172" s="1660"/>
      <c r="K172" s="3307">
        <v>19416570.190000001</v>
      </c>
      <c r="L172" s="1660"/>
      <c r="M172" s="2411">
        <f t="shared" si="3"/>
        <v>2392.9699999999998</v>
      </c>
      <c r="N172" s="1660"/>
      <c r="O172" s="3307">
        <v>19418963.16</v>
      </c>
      <c r="P172" s="1239"/>
    </row>
    <row r="173" spans="2:16" s="981" customFormat="1" ht="15.6">
      <c r="B173" s="2857">
        <v>22802</v>
      </c>
      <c r="C173" s="1229"/>
      <c r="D173" s="1233" t="s">
        <v>923</v>
      </c>
      <c r="E173" s="1231"/>
      <c r="F173" s="1231"/>
      <c r="G173" s="3411">
        <v>0</v>
      </c>
      <c r="H173" s="1660"/>
      <c r="I173" s="1310">
        <v>0</v>
      </c>
      <c r="J173" s="1660"/>
      <c r="K173" s="3307">
        <v>0</v>
      </c>
      <c r="L173" s="1660"/>
      <c r="M173" s="2411">
        <f t="shared" si="3"/>
        <v>0</v>
      </c>
      <c r="N173" s="1660"/>
      <c r="O173" s="3307">
        <v>0</v>
      </c>
      <c r="P173" s="1239"/>
    </row>
    <row r="174" spans="2:16" s="981" customFormat="1" ht="15.6">
      <c r="B174" s="2857">
        <v>23001</v>
      </c>
      <c r="C174" s="1229"/>
      <c r="D174" s="1230" t="s">
        <v>924</v>
      </c>
      <c r="E174" s="1231"/>
      <c r="F174" s="1231"/>
      <c r="G174" s="3411">
        <v>7262530.2400000002</v>
      </c>
      <c r="H174" s="1660"/>
      <c r="I174" s="3411">
        <v>7478386.1900000004</v>
      </c>
      <c r="J174" s="1660"/>
      <c r="K174" s="3307">
        <v>7809948.2199999997</v>
      </c>
      <c r="L174" s="1660"/>
      <c r="M174" s="2411">
        <f t="shared" si="3"/>
        <v>86697.11</v>
      </c>
      <c r="N174" s="1660"/>
      <c r="O174" s="3307">
        <v>7896645.3300000001</v>
      </c>
      <c r="P174" s="1239"/>
    </row>
    <row r="175" spans="2:16" s="981" customFormat="1" ht="15.6">
      <c r="B175" s="2857">
        <v>23101</v>
      </c>
      <c r="C175" s="1229"/>
      <c r="D175" s="1233" t="s">
        <v>925</v>
      </c>
      <c r="E175" s="1231"/>
      <c r="F175" s="1231"/>
      <c r="G175" s="3411">
        <v>0</v>
      </c>
      <c r="H175" s="1660"/>
      <c r="I175" s="1310">
        <v>0</v>
      </c>
      <c r="J175" s="1660"/>
      <c r="K175" s="3307">
        <v>0</v>
      </c>
      <c r="L175" s="1660"/>
      <c r="M175" s="2411">
        <f t="shared" si="3"/>
        <v>0</v>
      </c>
      <c r="N175" s="1660"/>
      <c r="O175" s="3307">
        <v>0</v>
      </c>
      <c r="P175" s="1239"/>
    </row>
    <row r="176" spans="2:16" s="981" customFormat="1" ht="15.6">
      <c r="B176" s="2857">
        <v>23102</v>
      </c>
      <c r="C176" s="1229"/>
      <c r="D176" s="1233" t="s">
        <v>926</v>
      </c>
      <c r="E176" s="1231"/>
      <c r="F176" s="1231"/>
      <c r="G176" s="3411">
        <v>8439656.9199999999</v>
      </c>
      <c r="H176" s="1660"/>
      <c r="I176" s="3411">
        <v>8741001.6699999999</v>
      </c>
      <c r="J176" s="1660"/>
      <c r="K176" s="3307">
        <v>5595415.2199999997</v>
      </c>
      <c r="L176" s="1660"/>
      <c r="M176" s="2411">
        <f t="shared" si="3"/>
        <v>959093.72</v>
      </c>
      <c r="N176" s="1660"/>
      <c r="O176" s="3307">
        <v>6554508.9400000004</v>
      </c>
      <c r="P176" s="1239"/>
    </row>
    <row r="177" spans="2:16" s="981" customFormat="1" ht="15.6">
      <c r="B177" s="2857">
        <v>23151</v>
      </c>
      <c r="C177" s="1229"/>
      <c r="D177" s="1230" t="s">
        <v>927</v>
      </c>
      <c r="E177" s="1231"/>
      <c r="F177" s="1231"/>
      <c r="G177" s="3411">
        <v>37951961.060000002</v>
      </c>
      <c r="H177" s="1660"/>
      <c r="I177" s="3411">
        <v>40035389.020000003</v>
      </c>
      <c r="J177" s="1660"/>
      <c r="K177" s="3307">
        <v>42391824.039999999</v>
      </c>
      <c r="L177" s="1660"/>
      <c r="M177" s="2411">
        <f t="shared" si="3"/>
        <v>3153108.56</v>
      </c>
      <c r="N177" s="1660"/>
      <c r="O177" s="3307">
        <v>45544932.600000001</v>
      </c>
      <c r="P177" s="1239"/>
    </row>
    <row r="178" spans="2:16" s="981" customFormat="1" ht="15.6">
      <c r="B178" s="1221">
        <v>23701</v>
      </c>
      <c r="C178" s="1229"/>
      <c r="D178" s="1230" t="s">
        <v>1186</v>
      </c>
      <c r="E178" s="1231"/>
      <c r="F178" s="1231"/>
      <c r="G178" s="3411">
        <v>0</v>
      </c>
      <c r="H178" s="1660"/>
      <c r="I178" s="1310">
        <v>0</v>
      </c>
      <c r="J178" s="1660"/>
      <c r="K178" s="3307">
        <v>0</v>
      </c>
      <c r="L178" s="1660"/>
      <c r="M178" s="2411">
        <f t="shared" si="3"/>
        <v>0</v>
      </c>
      <c r="N178" s="1660"/>
      <c r="O178" s="3307">
        <v>0</v>
      </c>
      <c r="P178" s="1239"/>
    </row>
    <row r="179" spans="2:16" s="981" customFormat="1" ht="15.6">
      <c r="B179" s="1221">
        <v>23702</v>
      </c>
      <c r="C179" s="1229"/>
      <c r="D179" s="1233" t="s">
        <v>1187</v>
      </c>
      <c r="E179" s="1231"/>
      <c r="F179" s="1231"/>
      <c r="G179" s="3411">
        <v>4066890.44</v>
      </c>
      <c r="H179" s="1660"/>
      <c r="I179" s="3411">
        <v>4120787.77</v>
      </c>
      <c r="J179" s="1660"/>
      <c r="K179" s="3307">
        <v>4575069.55</v>
      </c>
      <c r="L179" s="1660"/>
      <c r="M179" s="2411">
        <f t="shared" si="3"/>
        <v>254207.65</v>
      </c>
      <c r="N179" s="1660"/>
      <c r="O179" s="3307">
        <v>4829277.2</v>
      </c>
      <c r="P179" s="1239"/>
    </row>
    <row r="180" spans="2:16" s="981" customFormat="1" ht="16.2" thickBot="1">
      <c r="B180" s="1662"/>
      <c r="C180" s="1305"/>
      <c r="D180" s="1225" t="s">
        <v>928</v>
      </c>
      <c r="E180" s="1302"/>
      <c r="F180" s="1302"/>
      <c r="G180" s="3412">
        <f>ROUND(SUM(G100:G179),2)</f>
        <v>1842953354.72</v>
      </c>
      <c r="H180" s="2862"/>
      <c r="I180" s="3412">
        <f>ROUND(SUM(I100:I179),2)</f>
        <v>1633316396.6600001</v>
      </c>
      <c r="J180" s="2862"/>
      <c r="K180" s="2413">
        <f>ROUND(SUM(K100:K179),2)</f>
        <v>1622961457.6900001</v>
      </c>
      <c r="L180" s="3417"/>
      <c r="M180" s="2413">
        <f>ROUND(SUM(M100:M179),2)</f>
        <v>249596663.30000001</v>
      </c>
      <c r="N180" s="3417"/>
      <c r="O180" s="3511">
        <f>ROUND(SUM(O100:O179),2)</f>
        <v>1872558120.99</v>
      </c>
      <c r="P180" s="1239"/>
    </row>
    <row r="181" spans="2:16" s="981" customFormat="1" ht="16.2" thickTop="1">
      <c r="B181" s="1675"/>
      <c r="C181" s="1664"/>
      <c r="D181" s="1676"/>
      <c r="E181" s="1229"/>
      <c r="F181" s="1229"/>
      <c r="G181" s="1877"/>
      <c r="H181" s="1660"/>
      <c r="I181" s="1877"/>
      <c r="J181" s="1660"/>
      <c r="K181"/>
      <c r="L181" s="1660"/>
      <c r="M181" s="2411"/>
      <c r="N181" s="1599"/>
      <c r="O181" s="3307"/>
      <c r="P181" s="1239"/>
    </row>
    <row r="182" spans="2:16" s="981" customFormat="1" ht="15.6">
      <c r="B182" s="1675"/>
      <c r="C182" s="1305"/>
      <c r="D182" s="1225" t="s">
        <v>929</v>
      </c>
      <c r="E182" s="1302"/>
      <c r="F182" s="1302"/>
      <c r="G182" s="1877"/>
      <c r="H182" s="1660"/>
      <c r="I182" s="1877"/>
      <c r="J182" s="1660"/>
      <c r="K182"/>
      <c r="L182" s="1660"/>
      <c r="M182" s="2412"/>
      <c r="N182" s="1671"/>
      <c r="O182" s="3307"/>
      <c r="P182" s="1239"/>
    </row>
    <row r="183" spans="2:16" s="981" customFormat="1" ht="15.6">
      <c r="B183" s="1677" t="s">
        <v>930</v>
      </c>
      <c r="C183" s="1678"/>
      <c r="D183" s="1230" t="s">
        <v>931</v>
      </c>
      <c r="E183" s="1679"/>
      <c r="F183" s="1679"/>
      <c r="G183" s="3411">
        <v>28757759.25</v>
      </c>
      <c r="H183" s="1877"/>
      <c r="I183" s="3411">
        <v>36967213.670000002</v>
      </c>
      <c r="J183" s="1877"/>
      <c r="K183" s="3307">
        <v>12690999.789999999</v>
      </c>
      <c r="L183" s="1877"/>
      <c r="M183" s="2411">
        <f t="shared" ref="M183:M192" si="4">ROUND(SUM(O183)-SUM(K183),2)</f>
        <v>39237919.659999996</v>
      </c>
      <c r="N183" s="1877"/>
      <c r="O183" s="3307">
        <v>51928919.450000003</v>
      </c>
      <c r="P183" s="1239"/>
    </row>
    <row r="184" spans="2:16" s="981" customFormat="1" ht="15.6">
      <c r="B184" s="1677" t="s">
        <v>932</v>
      </c>
      <c r="C184" s="1678"/>
      <c r="D184" s="1230" t="s">
        <v>933</v>
      </c>
      <c r="E184" s="1679"/>
      <c r="F184" s="1679"/>
      <c r="G184" s="3411">
        <v>887716474.34000003</v>
      </c>
      <c r="H184" s="1877"/>
      <c r="I184" s="3411">
        <v>192950285.22999999</v>
      </c>
      <c r="J184" s="1877"/>
      <c r="K184" s="3307">
        <v>92693528.840000004</v>
      </c>
      <c r="L184" s="1877"/>
      <c r="M184" s="2411">
        <f t="shared" si="4"/>
        <v>-27515131.379999999</v>
      </c>
      <c r="N184" s="1877"/>
      <c r="O184" s="3307">
        <v>65178397.460000001</v>
      </c>
      <c r="P184" s="1239"/>
    </row>
    <row r="185" spans="2:16" s="981" customFormat="1" ht="15.6">
      <c r="B185" s="1677" t="s">
        <v>934</v>
      </c>
      <c r="C185" s="1678"/>
      <c r="D185" s="1233" t="s">
        <v>935</v>
      </c>
      <c r="E185" s="1679"/>
      <c r="F185" s="1679"/>
      <c r="G185" s="3411">
        <v>4363693.03</v>
      </c>
      <c r="H185" s="1877"/>
      <c r="I185" s="3411">
        <v>62339053.780000001</v>
      </c>
      <c r="J185" s="1877"/>
      <c r="K185" s="3307">
        <v>37529297.759999998</v>
      </c>
      <c r="L185" s="1877"/>
      <c r="M185" s="2411">
        <f t="shared" si="4"/>
        <v>-31927623</v>
      </c>
      <c r="N185" s="1877"/>
      <c r="O185" s="3307">
        <v>5601674.7599999998</v>
      </c>
      <c r="P185" s="1239"/>
    </row>
    <row r="186" spans="2:16" s="981" customFormat="1" ht="15.6">
      <c r="B186" s="1677" t="s">
        <v>936</v>
      </c>
      <c r="C186" s="1233"/>
      <c r="D186" s="1230" t="s">
        <v>937</v>
      </c>
      <c r="E186" s="1679"/>
      <c r="F186" s="1679"/>
      <c r="G186" s="3411">
        <v>403386938.83999997</v>
      </c>
      <c r="H186" s="1877"/>
      <c r="I186" s="3411">
        <v>434677236.57999998</v>
      </c>
      <c r="J186" s="1877"/>
      <c r="K186" s="3307">
        <v>313352555.41000003</v>
      </c>
      <c r="L186" s="1877"/>
      <c r="M186" s="2411">
        <f t="shared" si="4"/>
        <v>2571617.11</v>
      </c>
      <c r="N186" s="1877"/>
      <c r="O186" s="3307">
        <v>315924172.51999998</v>
      </c>
      <c r="P186" s="1239"/>
    </row>
    <row r="187" spans="2:16" s="981" customFormat="1" ht="15.6">
      <c r="B187" s="2857">
        <v>31351</v>
      </c>
      <c r="C187" s="1233"/>
      <c r="D187" s="1236" t="s">
        <v>938</v>
      </c>
      <c r="E187" s="1679"/>
      <c r="F187" s="1679"/>
      <c r="G187" s="3411">
        <v>6790865.25</v>
      </c>
      <c r="H187" s="1877"/>
      <c r="I187" s="3411">
        <v>6741847.25</v>
      </c>
      <c r="J187" s="1877"/>
      <c r="K187" s="3307">
        <v>6746647.25</v>
      </c>
      <c r="L187" s="1877"/>
      <c r="M187" s="2411">
        <f t="shared" si="4"/>
        <v>29608</v>
      </c>
      <c r="N187" s="1877"/>
      <c r="O187" s="3307">
        <v>6776255.25</v>
      </c>
      <c r="P187" s="1313"/>
    </row>
    <row r="188" spans="2:16" s="981" customFormat="1" ht="15.6">
      <c r="B188" s="2664">
        <v>31354</v>
      </c>
      <c r="C188" s="1680"/>
      <c r="D188" s="1222" t="s">
        <v>939</v>
      </c>
      <c r="E188" s="1679"/>
      <c r="F188" s="1679"/>
      <c r="G188" s="3411">
        <v>234043557.28999999</v>
      </c>
      <c r="H188" s="1877"/>
      <c r="I188" s="3411">
        <v>273241897.63</v>
      </c>
      <c r="J188" s="1877"/>
      <c r="K188" s="3307">
        <v>310598814.79000002</v>
      </c>
      <c r="L188" s="1877"/>
      <c r="M188" s="2411">
        <f t="shared" si="4"/>
        <v>-89936846.659999996</v>
      </c>
      <c r="N188" s="1877"/>
      <c r="O188" s="3307">
        <v>220661968.13</v>
      </c>
      <c r="P188" s="1304"/>
    </row>
    <row r="189" spans="2:16" s="981" customFormat="1" ht="15.6">
      <c r="B189" s="1315" t="s">
        <v>940</v>
      </c>
      <c r="C189" s="1229"/>
      <c r="D189" s="1236" t="s">
        <v>941</v>
      </c>
      <c r="E189" s="1679"/>
      <c r="F189" s="1679"/>
      <c r="G189" s="3411">
        <v>82257018.030000001</v>
      </c>
      <c r="H189" s="1877"/>
      <c r="I189" s="3411">
        <v>74635182.620000005</v>
      </c>
      <c r="J189" s="1877"/>
      <c r="K189" s="3307">
        <v>103682969.28</v>
      </c>
      <c r="L189" s="1877"/>
      <c r="M189" s="2411">
        <f t="shared" si="4"/>
        <v>34842123.469999999</v>
      </c>
      <c r="N189" s="1877"/>
      <c r="O189" s="3307">
        <v>138525092.75</v>
      </c>
      <c r="P189" s="1304"/>
    </row>
    <row r="190" spans="2:16" s="981" customFormat="1" ht="15.6">
      <c r="B190" s="1681" t="s">
        <v>1188</v>
      </c>
      <c r="C190" s="1226"/>
      <c r="D190" s="1236" t="s">
        <v>1189</v>
      </c>
      <c r="E190" s="1223"/>
      <c r="F190" s="1223"/>
      <c r="G190" s="3411">
        <v>2503459.48</v>
      </c>
      <c r="H190" s="1877"/>
      <c r="I190" s="3411">
        <v>13774687.75</v>
      </c>
      <c r="J190" s="1877"/>
      <c r="K190" s="3307">
        <v>6330130.8499999996</v>
      </c>
      <c r="L190" s="1877"/>
      <c r="M190" s="2411">
        <f t="shared" si="4"/>
        <v>20024069.16</v>
      </c>
      <c r="N190" s="1877"/>
      <c r="O190" s="3307">
        <v>26354200.010000002</v>
      </c>
      <c r="P190" s="1314"/>
    </row>
    <row r="191" spans="2:16" s="981" customFormat="1" ht="15.6">
      <c r="B191" s="2858">
        <v>25950</v>
      </c>
      <c r="C191" s="1226"/>
      <c r="D191" s="1236" t="s">
        <v>942</v>
      </c>
      <c r="E191" s="1237"/>
      <c r="F191" s="1237"/>
      <c r="G191" s="3411">
        <v>0</v>
      </c>
      <c r="H191" s="1877"/>
      <c r="I191" s="1310">
        <v>0</v>
      </c>
      <c r="J191" s="1877"/>
      <c r="K191" s="3307">
        <v>0</v>
      </c>
      <c r="L191" s="1877"/>
      <c r="M191" s="2411">
        <f t="shared" si="4"/>
        <v>0</v>
      </c>
      <c r="N191" s="1877"/>
      <c r="O191" s="3307">
        <v>0</v>
      </c>
      <c r="P191" s="1314"/>
    </row>
    <row r="192" spans="2:16" s="981" customFormat="1" ht="15.6">
      <c r="B192" s="1681" t="s">
        <v>1557</v>
      </c>
      <c r="C192" s="1226"/>
      <c r="D192" s="1234" t="s">
        <v>1190</v>
      </c>
      <c r="E192" s="1223"/>
      <c r="F192" s="1223"/>
      <c r="G192" s="3411">
        <v>3865018.93</v>
      </c>
      <c r="H192" s="1877"/>
      <c r="I192" s="3411">
        <v>10765220.630000001</v>
      </c>
      <c r="J192" s="1877"/>
      <c r="K192" s="3307">
        <v>1245105.29</v>
      </c>
      <c r="L192" s="1877"/>
      <c r="M192" s="2411">
        <f t="shared" si="4"/>
        <v>-699856.24</v>
      </c>
      <c r="N192" s="1877"/>
      <c r="O192" s="3307">
        <v>545249.05000000005</v>
      </c>
      <c r="P192" s="1314"/>
    </row>
    <row r="193" spans="2:16" s="981" customFormat="1" ht="16.2" thickBot="1">
      <c r="B193" s="1316"/>
      <c r="C193" s="1309"/>
      <c r="D193" s="1225" t="s">
        <v>943</v>
      </c>
      <c r="E193" s="1227"/>
      <c r="F193" s="1227"/>
      <c r="G193" s="3412">
        <f>ROUND(SUM(G183:G192),2)</f>
        <v>1653684784.4400001</v>
      </c>
      <c r="H193" s="1713"/>
      <c r="I193" s="3412">
        <f>ROUND(SUM(I183:I192),2)</f>
        <v>1106092625.1400001</v>
      </c>
      <c r="J193" s="1713"/>
      <c r="K193" s="2413">
        <f>ROUND(SUM(K183:K192),2)</f>
        <v>884870049.25999999</v>
      </c>
      <c r="L193" s="3417"/>
      <c r="M193" s="2413">
        <f>ROUND(SUM(M183:M192),2)</f>
        <v>-53374119.880000003</v>
      </c>
      <c r="N193" s="3417"/>
      <c r="O193" s="3412">
        <f>ROUND(SUM(O183:O192),2)</f>
        <v>831495929.38</v>
      </c>
      <c r="P193" s="1858" t="s">
        <v>118</v>
      </c>
    </row>
    <row r="194" spans="2:16" s="981" customFormat="1" ht="16.2" thickTop="1">
      <c r="B194" s="1662"/>
      <c r="C194" s="1309"/>
      <c r="D194" s="1238"/>
      <c r="E194" s="1227"/>
      <c r="F194" s="1227"/>
      <c r="G194" s="2414"/>
      <c r="H194" s="1683"/>
      <c r="I194" s="2414"/>
      <c r="J194" s="1683"/>
      <c r="K194"/>
      <c r="L194" s="1683"/>
      <c r="M194" s="2412"/>
      <c r="N194" s="1671"/>
      <c r="O194" s="3514"/>
      <c r="P194" s="1315"/>
    </row>
    <row r="195" spans="2:16" s="981" customFormat="1" ht="15.6">
      <c r="B195" s="1675"/>
      <c r="C195" s="1309"/>
      <c r="D195" s="1220" t="s">
        <v>944</v>
      </c>
      <c r="E195" s="1227"/>
      <c r="F195" s="1227"/>
      <c r="G195" s="1877"/>
      <c r="H195" s="1660"/>
      <c r="I195" s="1877"/>
      <c r="J195" s="1660"/>
      <c r="K195"/>
      <c r="L195" s="1660"/>
      <c r="M195" s="2412"/>
      <c r="N195" s="1671"/>
      <c r="O195" s="3307"/>
      <c r="P195" s="1248"/>
    </row>
    <row r="196" spans="2:16" s="981" customFormat="1" ht="15.6">
      <c r="B196" s="2859">
        <v>60201</v>
      </c>
      <c r="C196" s="1305"/>
      <c r="D196" s="1230" t="s">
        <v>945</v>
      </c>
      <c r="E196" s="1227"/>
      <c r="F196" s="1227"/>
      <c r="G196" s="1877">
        <v>0</v>
      </c>
      <c r="H196" s="1660"/>
      <c r="I196" s="1877">
        <v>0</v>
      </c>
      <c r="J196" s="1660"/>
      <c r="K196" s="1310">
        <v>0</v>
      </c>
      <c r="L196" s="1660"/>
      <c r="M196" s="2411">
        <f>ROUND(SUM(O196)-SUM(K196),2)</f>
        <v>0</v>
      </c>
      <c r="N196" s="1660"/>
      <c r="O196" s="3307">
        <v>0</v>
      </c>
      <c r="P196" s="1248"/>
    </row>
    <row r="197" spans="2:16" s="981" customFormat="1" ht="15.6">
      <c r="B197" s="2857">
        <v>60901</v>
      </c>
      <c r="C197" s="1229"/>
      <c r="D197" s="1233" t="s">
        <v>1220</v>
      </c>
      <c r="E197" s="1231"/>
      <c r="F197" s="1231"/>
      <c r="G197" s="1877">
        <v>0</v>
      </c>
      <c r="H197" s="1660"/>
      <c r="I197" s="1877">
        <v>0</v>
      </c>
      <c r="J197" s="1660"/>
      <c r="K197" s="1310">
        <v>0</v>
      </c>
      <c r="L197" s="1660"/>
      <c r="M197" s="2411">
        <f>ROUND(SUM(O197)-SUM(K197),2)</f>
        <v>0</v>
      </c>
      <c r="N197" s="1660"/>
      <c r="O197" s="3307">
        <v>0</v>
      </c>
      <c r="P197" s="1248"/>
    </row>
    <row r="198" spans="2:16" s="981" customFormat="1" ht="16.2" thickBot="1">
      <c r="B198" s="1221"/>
      <c r="C198" s="1305"/>
      <c r="D198" s="1220" t="s">
        <v>946</v>
      </c>
      <c r="E198" s="1227"/>
      <c r="F198" s="1227"/>
      <c r="G198" s="3412">
        <f>ROUND(SUM(G196:G197),2)</f>
        <v>0</v>
      </c>
      <c r="H198" s="1713"/>
      <c r="I198" s="3412">
        <f>ROUND(SUM(I196:I197),2)</f>
        <v>0</v>
      </c>
      <c r="J198" s="1713"/>
      <c r="K198" s="2413">
        <f>ROUND(SUM(K196:K197),2)</f>
        <v>0</v>
      </c>
      <c r="L198" s="1713"/>
      <c r="M198" s="2413">
        <f>ROUND(SUM(M196:M197),2)</f>
        <v>0</v>
      </c>
      <c r="N198" s="1713"/>
      <c r="O198" s="3511">
        <f>ROUND(SUM(O196:O197),2)</f>
        <v>0</v>
      </c>
      <c r="P198" s="1239"/>
    </row>
    <row r="199" spans="2:16" s="981" customFormat="1" ht="16.2" thickTop="1">
      <c r="B199" s="1221"/>
      <c r="C199" s="1317"/>
      <c r="D199" s="1317"/>
      <c r="E199" s="1318"/>
      <c r="F199" s="1318"/>
      <c r="G199" s="1877"/>
      <c r="H199" s="1660"/>
      <c r="I199" s="1877"/>
      <c r="J199" s="1660"/>
      <c r="K199"/>
      <c r="L199" s="1660"/>
      <c r="M199" s="2411"/>
      <c r="N199" s="1599"/>
      <c r="O199" s="3307"/>
      <c r="P199" s="1224"/>
    </row>
    <row r="200" spans="2:16" s="981" customFormat="1" ht="15.6">
      <c r="B200" s="1221"/>
      <c r="C200" s="1663"/>
      <c r="D200" s="1220" t="s">
        <v>947</v>
      </c>
      <c r="E200" s="1670"/>
      <c r="F200" s="1670"/>
      <c r="G200" s="1877"/>
      <c r="H200" s="1660"/>
      <c r="I200" s="1877"/>
      <c r="J200" s="1660"/>
      <c r="K200"/>
      <c r="L200" s="1660"/>
      <c r="M200" s="2415"/>
      <c r="N200" s="1310"/>
      <c r="O200" s="3307"/>
      <c r="P200" s="1315"/>
    </row>
    <row r="201" spans="2:16" s="981" customFormat="1" ht="15.6">
      <c r="B201" s="2857">
        <v>50318</v>
      </c>
      <c r="C201" s="1664"/>
      <c r="D201" s="1234" t="s">
        <v>948</v>
      </c>
      <c r="E201" s="1307"/>
      <c r="F201" s="1307"/>
      <c r="G201" s="1877">
        <v>50279.87</v>
      </c>
      <c r="H201" s="1684"/>
      <c r="I201" s="1877">
        <v>101649.95</v>
      </c>
      <c r="J201" s="1684"/>
      <c r="K201" s="1877">
        <v>0</v>
      </c>
      <c r="L201" s="1684"/>
      <c r="M201" s="1667">
        <f>ROUND(SUM(O201)-SUM(K201),2)</f>
        <v>0</v>
      </c>
      <c r="N201" s="1684"/>
      <c r="O201" s="3307">
        <v>0</v>
      </c>
      <c r="P201" s="1248"/>
    </row>
    <row r="202" spans="2:16" s="981" customFormat="1" ht="16.2" thickBot="1">
      <c r="B202" s="1232"/>
      <c r="C202" s="1305"/>
      <c r="D202" s="1225" t="s">
        <v>949</v>
      </c>
      <c r="E202" s="1302"/>
      <c r="F202" s="1302"/>
      <c r="G202" s="3413">
        <f>ROUND(SUM(G201),2)</f>
        <v>50279.87</v>
      </c>
      <c r="H202" s="1713"/>
      <c r="I202" s="3413">
        <f>ROUND(SUM(I201),2)</f>
        <v>101649.95</v>
      </c>
      <c r="J202" s="1713"/>
      <c r="K202" s="1682">
        <f>ROUND(SUM(K201),2)</f>
        <v>0</v>
      </c>
      <c r="L202" s="1713"/>
      <c r="M202" s="2911">
        <f>ROUND(SUM(M201),2)</f>
        <v>0</v>
      </c>
      <c r="N202" s="1713"/>
      <c r="O202" s="3515">
        <f>ROUND(SUM(O201),2)</f>
        <v>0</v>
      </c>
      <c r="P202" s="1313"/>
    </row>
    <row r="203" spans="2:16" s="981" customFormat="1" ht="16.2" thickTop="1">
      <c r="B203" s="1664"/>
      <c r="C203" s="1664"/>
      <c r="D203" s="1685"/>
      <c r="E203" s="1307"/>
      <c r="F203" s="1307"/>
      <c r="G203" s="1672"/>
      <c r="H203" s="1672"/>
      <c r="I203" s="1672"/>
      <c r="J203" s="1672"/>
      <c r="K203"/>
      <c r="L203" s="1672"/>
      <c r="M203" s="2912"/>
      <c r="N203" s="1686"/>
      <c r="O203" s="3516"/>
      <c r="P203" s="1316"/>
    </row>
    <row r="204" spans="2:16" s="981" customFormat="1" ht="15.6">
      <c r="B204" s="1405"/>
      <c r="C204" s="1305"/>
      <c r="D204" s="1220" t="s">
        <v>228</v>
      </c>
      <c r="E204" s="1302"/>
      <c r="F204" s="1302"/>
      <c r="G204" s="1660"/>
      <c r="H204" s="1660"/>
      <c r="I204" s="1660"/>
      <c r="J204" s="1660"/>
      <c r="K204"/>
      <c r="L204" s="1660"/>
      <c r="M204" s="2910"/>
      <c r="N204" s="1671"/>
      <c r="O204" s="3513"/>
      <c r="P204" s="1307"/>
    </row>
    <row r="205" spans="2:16" s="981" customFormat="1" ht="15.6">
      <c r="B205" s="2857">
        <v>55001</v>
      </c>
      <c r="C205" s="1664"/>
      <c r="D205" s="1234" t="s">
        <v>950</v>
      </c>
      <c r="E205" s="1307"/>
      <c r="F205" s="1307"/>
      <c r="G205" s="3411">
        <v>844264.13</v>
      </c>
      <c r="H205" s="1877"/>
      <c r="I205" s="3411">
        <v>844777.55</v>
      </c>
      <c r="J205" s="1877"/>
      <c r="K205" s="3307">
        <v>773051.87</v>
      </c>
      <c r="L205" s="1877"/>
      <c r="M205" s="2411">
        <f t="shared" ref="M205:M247" si="5">ROUND(SUM(O205)-SUM(K205),2)</f>
        <v>88532.3</v>
      </c>
      <c r="N205" s="1877"/>
      <c r="O205" s="3307">
        <v>861584.17</v>
      </c>
      <c r="P205" s="1312"/>
    </row>
    <row r="206" spans="2:16" s="981" customFormat="1" ht="15.6">
      <c r="B206" s="2857">
        <v>55002</v>
      </c>
      <c r="C206" s="1229"/>
      <c r="D206" s="1233" t="s">
        <v>951</v>
      </c>
      <c r="E206" s="1231"/>
      <c r="F206" s="1231"/>
      <c r="G206" s="3411">
        <v>0</v>
      </c>
      <c r="H206" s="1877"/>
      <c r="I206" s="1877">
        <v>0</v>
      </c>
      <c r="J206" s="1877"/>
      <c r="K206" s="3307">
        <v>0</v>
      </c>
      <c r="L206" s="1877"/>
      <c r="M206" s="2411">
        <f t="shared" si="5"/>
        <v>0</v>
      </c>
      <c r="N206" s="1877"/>
      <c r="O206" s="3307">
        <v>0</v>
      </c>
      <c r="P206" s="1239"/>
    </row>
    <row r="207" spans="2:16" s="981" customFormat="1" ht="15.6">
      <c r="B207" s="2857">
        <v>55003</v>
      </c>
      <c r="C207" s="1229"/>
      <c r="D207" s="1234" t="s">
        <v>952</v>
      </c>
      <c r="E207" s="1231"/>
      <c r="F207" s="1231"/>
      <c r="G207" s="3411">
        <v>3418304.65</v>
      </c>
      <c r="H207" s="1877"/>
      <c r="I207" s="3411">
        <v>3551839.52</v>
      </c>
      <c r="J207" s="1877"/>
      <c r="K207" s="3307">
        <v>3541105.25</v>
      </c>
      <c r="L207" s="1877"/>
      <c r="M207" s="2411">
        <f t="shared" si="5"/>
        <v>548143.18999999994</v>
      </c>
      <c r="N207" s="1877"/>
      <c r="O207" s="3307">
        <v>4089248.44</v>
      </c>
      <c r="P207" s="1239"/>
    </row>
    <row r="208" spans="2:16" s="981" customFormat="1" ht="15.6">
      <c r="B208" s="2857">
        <v>55004</v>
      </c>
      <c r="C208" s="1226"/>
      <c r="D208" s="1687" t="s">
        <v>953</v>
      </c>
      <c r="E208" s="1238"/>
      <c r="F208" s="1238"/>
      <c r="G208" s="3411">
        <v>0</v>
      </c>
      <c r="H208" s="1877"/>
      <c r="I208" s="1877">
        <v>0</v>
      </c>
      <c r="J208" s="1877"/>
      <c r="K208" s="3307">
        <v>0</v>
      </c>
      <c r="L208" s="1877"/>
      <c r="M208" s="2411">
        <f t="shared" si="5"/>
        <v>0</v>
      </c>
      <c r="N208" s="1877"/>
      <c r="O208" s="3307">
        <v>0</v>
      </c>
      <c r="P208" s="1239"/>
    </row>
    <row r="209" spans="2:16" s="981" customFormat="1" ht="15.6">
      <c r="B209" s="2857">
        <v>55005</v>
      </c>
      <c r="C209" s="1229"/>
      <c r="D209" s="1234" t="s">
        <v>954</v>
      </c>
      <c r="E209" s="1231"/>
      <c r="F209" s="1231"/>
      <c r="G209" s="3411">
        <v>0</v>
      </c>
      <c r="H209" s="1877"/>
      <c r="I209" s="3411">
        <v>20880.09</v>
      </c>
      <c r="J209" s="1877"/>
      <c r="K209" s="3307">
        <v>0</v>
      </c>
      <c r="L209" s="1877"/>
      <c r="M209" s="2411">
        <f t="shared" si="5"/>
        <v>128094.03</v>
      </c>
      <c r="N209" s="1877"/>
      <c r="O209" s="3307">
        <v>128094.03</v>
      </c>
      <c r="P209" s="1239"/>
    </row>
    <row r="210" spans="2:16" s="981" customFormat="1" ht="15.6">
      <c r="B210" s="2857">
        <v>55006</v>
      </c>
      <c r="C210" s="1226"/>
      <c r="D210" s="1234" t="s">
        <v>955</v>
      </c>
      <c r="E210" s="1238"/>
      <c r="F210" s="1238"/>
      <c r="G210" s="3411">
        <v>0</v>
      </c>
      <c r="H210" s="1877"/>
      <c r="I210" s="1877">
        <v>0</v>
      </c>
      <c r="J210" s="1877"/>
      <c r="K210" s="3307">
        <v>0</v>
      </c>
      <c r="L210" s="1877"/>
      <c r="M210" s="2411">
        <f t="shared" si="5"/>
        <v>0</v>
      </c>
      <c r="N210" s="1877"/>
      <c r="O210" s="3307">
        <v>0</v>
      </c>
      <c r="P210" s="1239"/>
    </row>
    <row r="211" spans="2:16" s="981" customFormat="1" ht="15.6">
      <c r="B211" s="2857">
        <v>55007</v>
      </c>
      <c r="C211" s="1673"/>
      <c r="D211" s="1222" t="s">
        <v>956</v>
      </c>
      <c r="E211" s="1661"/>
      <c r="F211" s="1661"/>
      <c r="G211" s="3411">
        <v>1657692.56</v>
      </c>
      <c r="H211" s="1877"/>
      <c r="I211" s="3411">
        <v>1880980.61</v>
      </c>
      <c r="J211" s="1877"/>
      <c r="K211" s="3307">
        <v>2061233.5</v>
      </c>
      <c r="L211" s="1877"/>
      <c r="M211" s="2411">
        <f t="shared" si="5"/>
        <v>-249987.64</v>
      </c>
      <c r="N211" s="1877"/>
      <c r="O211" s="3307">
        <v>1811245.86</v>
      </c>
      <c r="P211" s="1312"/>
    </row>
    <row r="212" spans="2:16" s="981" customFormat="1" ht="15.6">
      <c r="B212" s="2857">
        <v>55008</v>
      </c>
      <c r="C212" s="1229"/>
      <c r="D212" s="1236" t="s">
        <v>957</v>
      </c>
      <c r="E212" s="1231"/>
      <c r="F212" s="1231"/>
      <c r="G212" s="3411">
        <v>17945704.949999999</v>
      </c>
      <c r="H212" s="1877"/>
      <c r="I212" s="3411">
        <v>14777081.710000001</v>
      </c>
      <c r="J212" s="1877"/>
      <c r="K212" s="3307">
        <v>14225726.470000001</v>
      </c>
      <c r="L212" s="1877"/>
      <c r="M212" s="2411">
        <f t="shared" si="5"/>
        <v>1807602.95</v>
      </c>
      <c r="N212" s="1877"/>
      <c r="O212" s="3307">
        <v>16033329.42</v>
      </c>
      <c r="P212" s="1313"/>
    </row>
    <row r="213" spans="2:16" s="981" customFormat="1" ht="15.6">
      <c r="B213" s="2664">
        <v>55009</v>
      </c>
      <c r="C213" s="1673"/>
      <c r="D213" s="1222" t="s">
        <v>958</v>
      </c>
      <c r="E213" s="1661"/>
      <c r="F213" s="1661"/>
      <c r="G213" s="3411">
        <v>0</v>
      </c>
      <c r="H213" s="1877"/>
      <c r="I213" s="1877">
        <v>0</v>
      </c>
      <c r="J213" s="1877"/>
      <c r="K213" s="3307">
        <v>0</v>
      </c>
      <c r="L213" s="1877"/>
      <c r="M213" s="2411">
        <f t="shared" si="5"/>
        <v>0</v>
      </c>
      <c r="N213" s="1877"/>
      <c r="O213" s="3307">
        <v>0</v>
      </c>
      <c r="P213" s="1307"/>
    </row>
    <row r="214" spans="2:16" s="981" customFormat="1" ht="15.6">
      <c r="B214" s="2664">
        <v>55010</v>
      </c>
      <c r="C214" s="1229"/>
      <c r="D214" s="1234" t="s">
        <v>1221</v>
      </c>
      <c r="E214" s="1231"/>
      <c r="F214" s="1231"/>
      <c r="G214" s="3411">
        <v>0</v>
      </c>
      <c r="H214" s="1877"/>
      <c r="I214" s="1877">
        <v>0</v>
      </c>
      <c r="J214" s="1877"/>
      <c r="K214" s="3307">
        <v>0</v>
      </c>
      <c r="L214" s="1877"/>
      <c r="M214" s="2411">
        <f t="shared" si="5"/>
        <v>0</v>
      </c>
      <c r="N214" s="1877"/>
      <c r="O214" s="3307">
        <v>0</v>
      </c>
      <c r="P214" s="1307"/>
    </row>
    <row r="215" spans="2:16" s="981" customFormat="1" ht="15.6">
      <c r="B215" s="2857">
        <v>55011</v>
      </c>
      <c r="C215" s="1673"/>
      <c r="D215" s="1222" t="s">
        <v>959</v>
      </c>
      <c r="E215" s="1661"/>
      <c r="F215" s="1661"/>
      <c r="G215" s="3411">
        <v>3466293.43</v>
      </c>
      <c r="H215" s="1877"/>
      <c r="I215" s="3411">
        <v>3549680.77</v>
      </c>
      <c r="J215" s="1877"/>
      <c r="K215" s="3307">
        <v>2621107.9900000002</v>
      </c>
      <c r="L215" s="1877"/>
      <c r="M215" s="2411">
        <f t="shared" si="5"/>
        <v>36396.9</v>
      </c>
      <c r="N215" s="1877"/>
      <c r="O215" s="3307">
        <v>2657504.89</v>
      </c>
      <c r="P215" s="1239"/>
    </row>
    <row r="216" spans="2:16" s="981" customFormat="1" ht="15.6">
      <c r="B216" s="2857">
        <v>55012</v>
      </c>
      <c r="C216" s="1229"/>
      <c r="D216" s="1230" t="s">
        <v>960</v>
      </c>
      <c r="E216" s="1231"/>
      <c r="F216" s="1231"/>
      <c r="G216" s="3411">
        <v>62531.95</v>
      </c>
      <c r="H216" s="1877"/>
      <c r="I216" s="3411">
        <v>51582.37</v>
      </c>
      <c r="J216" s="1877"/>
      <c r="K216" s="3307">
        <v>90349.37</v>
      </c>
      <c r="L216" s="1877"/>
      <c r="M216" s="2411">
        <f t="shared" si="5"/>
        <v>46381.25</v>
      </c>
      <c r="N216" s="1877"/>
      <c r="O216" s="3307">
        <v>136730.62</v>
      </c>
      <c r="P216" s="1239"/>
    </row>
    <row r="217" spans="2:16" s="981" customFormat="1" ht="15.6">
      <c r="B217" s="2857">
        <v>55013</v>
      </c>
      <c r="C217" s="1229"/>
      <c r="D217" s="1233" t="s">
        <v>961</v>
      </c>
      <c r="E217" s="1231"/>
      <c r="F217" s="1231"/>
      <c r="G217" s="3411">
        <v>0</v>
      </c>
      <c r="H217" s="1877"/>
      <c r="I217" s="1877">
        <v>0</v>
      </c>
      <c r="J217" s="1877"/>
      <c r="K217" s="3307">
        <v>0</v>
      </c>
      <c r="L217" s="1877"/>
      <c r="M217" s="2411">
        <f t="shared" si="5"/>
        <v>0</v>
      </c>
      <c r="N217" s="1877"/>
      <c r="O217" s="3307">
        <v>0</v>
      </c>
      <c r="P217" s="1239"/>
    </row>
    <row r="218" spans="2:16" s="981" customFormat="1" ht="15.6">
      <c r="B218" s="2857">
        <v>55014</v>
      </c>
      <c r="C218" s="1229"/>
      <c r="D218" s="1230" t="s">
        <v>962</v>
      </c>
      <c r="E218" s="1231"/>
      <c r="F218" s="1231"/>
      <c r="G218" s="3411">
        <v>0</v>
      </c>
      <c r="H218" s="1877"/>
      <c r="I218" s="1877">
        <v>0</v>
      </c>
      <c r="J218" s="1877"/>
      <c r="K218" s="3307">
        <v>0</v>
      </c>
      <c r="L218" s="1877"/>
      <c r="M218" s="2411">
        <f t="shared" si="5"/>
        <v>0</v>
      </c>
      <c r="N218" s="1877"/>
      <c r="O218" s="3307">
        <v>0</v>
      </c>
      <c r="P218" s="1239"/>
    </row>
    <row r="219" spans="2:16" s="981" customFormat="1" ht="15.6">
      <c r="B219" s="2857">
        <v>55015</v>
      </c>
      <c r="C219" s="1229"/>
      <c r="D219" s="1233" t="s">
        <v>963</v>
      </c>
      <c r="E219" s="1231"/>
      <c r="F219" s="1231"/>
      <c r="G219" s="3411">
        <v>0</v>
      </c>
      <c r="H219" s="1877"/>
      <c r="I219" s="1877">
        <v>0</v>
      </c>
      <c r="J219" s="1877"/>
      <c r="K219" s="3307">
        <v>0</v>
      </c>
      <c r="L219" s="1877"/>
      <c r="M219" s="2411">
        <f t="shared" si="5"/>
        <v>0</v>
      </c>
      <c r="N219" s="1877"/>
      <c r="O219" s="3307">
        <v>0</v>
      </c>
      <c r="P219" s="1239"/>
    </row>
    <row r="220" spans="2:16" s="981" customFormat="1" ht="15.6">
      <c r="B220" s="2857">
        <v>55016</v>
      </c>
      <c r="C220" s="1229"/>
      <c r="D220" s="1233" t="s">
        <v>964</v>
      </c>
      <c r="E220" s="1231"/>
      <c r="F220" s="1231"/>
      <c r="G220" s="3411">
        <v>26961.54</v>
      </c>
      <c r="H220" s="1877"/>
      <c r="I220" s="1877">
        <v>26961.54</v>
      </c>
      <c r="J220" s="1877"/>
      <c r="K220" s="3307">
        <v>26961.54</v>
      </c>
      <c r="L220" s="1877"/>
      <c r="M220" s="2411">
        <f t="shared" si="5"/>
        <v>0</v>
      </c>
      <c r="N220" s="1877"/>
      <c r="O220" s="3307">
        <v>26961.54</v>
      </c>
      <c r="P220" s="1239"/>
    </row>
    <row r="221" spans="2:16" s="981" customFormat="1" ht="15.6">
      <c r="B221" s="2857">
        <v>55017</v>
      </c>
      <c r="C221" s="1229"/>
      <c r="D221" s="1233" t="s">
        <v>965</v>
      </c>
      <c r="E221" s="1231"/>
      <c r="F221" s="1231"/>
      <c r="G221" s="3411">
        <v>85001.63</v>
      </c>
      <c r="H221" s="1877"/>
      <c r="I221" s="3411">
        <v>69274</v>
      </c>
      <c r="J221" s="1877"/>
      <c r="K221" s="3307">
        <v>268185.71000000002</v>
      </c>
      <c r="L221" s="1877"/>
      <c r="M221" s="2411">
        <f t="shared" si="5"/>
        <v>-268185.71000000002</v>
      </c>
      <c r="N221" s="1877"/>
      <c r="O221" s="3307">
        <v>0</v>
      </c>
      <c r="P221" s="1239"/>
    </row>
    <row r="222" spans="2:16" s="981" customFormat="1" ht="15.6">
      <c r="B222" s="2857">
        <v>55018</v>
      </c>
      <c r="C222" s="1229"/>
      <c r="D222" s="1233" t="s">
        <v>966</v>
      </c>
      <c r="E222" s="1231"/>
      <c r="F222" s="1231"/>
      <c r="G222" s="3411">
        <v>0</v>
      </c>
      <c r="H222" s="1877"/>
      <c r="I222" s="3411">
        <v>92993.83</v>
      </c>
      <c r="J222" s="1877"/>
      <c r="K222" s="3307">
        <v>811202.84</v>
      </c>
      <c r="L222" s="1877"/>
      <c r="M222" s="2411">
        <f t="shared" si="5"/>
        <v>-811202.84</v>
      </c>
      <c r="N222" s="1877"/>
      <c r="O222" s="3307">
        <v>0</v>
      </c>
      <c r="P222" s="1239"/>
    </row>
    <row r="223" spans="2:16" s="981" customFormat="1" ht="15.6">
      <c r="B223" s="2857">
        <v>55019</v>
      </c>
      <c r="C223" s="1229"/>
      <c r="D223" s="1233" t="s">
        <v>967</v>
      </c>
      <c r="E223" s="1231"/>
      <c r="F223" s="1231"/>
      <c r="G223" s="3411">
        <v>0</v>
      </c>
      <c r="H223" s="1877"/>
      <c r="I223" s="1877">
        <v>0</v>
      </c>
      <c r="J223" s="1877"/>
      <c r="K223" s="3307">
        <v>0</v>
      </c>
      <c r="L223" s="1877"/>
      <c r="M223" s="2411">
        <f t="shared" si="5"/>
        <v>0</v>
      </c>
      <c r="N223" s="1877"/>
      <c r="O223" s="3307">
        <v>0</v>
      </c>
      <c r="P223" s="1239"/>
    </row>
    <row r="224" spans="2:16" s="981" customFormat="1" ht="15.6">
      <c r="B224" s="2857">
        <v>55020</v>
      </c>
      <c r="C224" s="1229"/>
      <c r="D224" s="1233" t="s">
        <v>968</v>
      </c>
      <c r="E224" s="1231"/>
      <c r="F224" s="1231"/>
      <c r="G224" s="3411">
        <v>51650738.079999998</v>
      </c>
      <c r="H224" s="1877"/>
      <c r="I224" s="3411">
        <v>45606224.689999998</v>
      </c>
      <c r="J224" s="1877"/>
      <c r="K224" s="3307">
        <v>53368048.759999998</v>
      </c>
      <c r="L224" s="1877"/>
      <c r="M224" s="2411">
        <f t="shared" si="5"/>
        <v>2966764.5</v>
      </c>
      <c r="N224" s="1877"/>
      <c r="O224" s="3307">
        <v>56334813.259999998</v>
      </c>
      <c r="P224" s="1239"/>
    </row>
    <row r="225" spans="2:16" s="981" customFormat="1" ht="15.6">
      <c r="B225" s="2857">
        <v>55021</v>
      </c>
      <c r="C225" s="1229"/>
      <c r="D225" s="1233" t="s">
        <v>969</v>
      </c>
      <c r="E225" s="1231"/>
      <c r="F225" s="1231"/>
      <c r="G225" s="3411">
        <v>4168795.8</v>
      </c>
      <c r="H225" s="1877"/>
      <c r="I225" s="3411">
        <v>4672569.1900000004</v>
      </c>
      <c r="J225" s="1877"/>
      <c r="K225" s="3307">
        <v>4360627</v>
      </c>
      <c r="L225" s="1877"/>
      <c r="M225" s="2411">
        <f t="shared" si="5"/>
        <v>257304.67</v>
      </c>
      <c r="N225" s="1877"/>
      <c r="O225" s="3307">
        <v>4617931.67</v>
      </c>
      <c r="P225" s="1239"/>
    </row>
    <row r="226" spans="2:16" s="981" customFormat="1" ht="15.6">
      <c r="B226" s="2857">
        <v>55022</v>
      </c>
      <c r="C226" s="1229"/>
      <c r="D226" s="1230" t="s">
        <v>970</v>
      </c>
      <c r="E226" s="1231"/>
      <c r="F226" s="1231"/>
      <c r="G226" s="3411">
        <v>1959307.46</v>
      </c>
      <c r="H226" s="1877"/>
      <c r="I226" s="3411">
        <v>2228050.4</v>
      </c>
      <c r="J226" s="1877"/>
      <c r="K226" s="3307">
        <v>2414378.86</v>
      </c>
      <c r="L226" s="1877"/>
      <c r="M226" s="2411">
        <f t="shared" si="5"/>
        <v>-495256.3</v>
      </c>
      <c r="N226" s="1877"/>
      <c r="O226" s="3307">
        <v>1919122.56</v>
      </c>
      <c r="P226" s="1239"/>
    </row>
    <row r="227" spans="2:16" s="981" customFormat="1" ht="15.6">
      <c r="B227" s="2857">
        <v>55052</v>
      </c>
      <c r="C227" s="1229"/>
      <c r="D227" s="1230" t="s">
        <v>971</v>
      </c>
      <c r="E227" s="1231"/>
      <c r="F227" s="1231"/>
      <c r="G227" s="3411">
        <v>0</v>
      </c>
      <c r="H227" s="1877"/>
      <c r="I227" s="1877">
        <v>0</v>
      </c>
      <c r="J227" s="1877"/>
      <c r="K227" s="3307">
        <v>0</v>
      </c>
      <c r="L227" s="1877"/>
      <c r="M227" s="2411">
        <f t="shared" si="5"/>
        <v>0</v>
      </c>
      <c r="N227" s="1877"/>
      <c r="O227" s="3307">
        <v>0</v>
      </c>
      <c r="P227" s="1239"/>
    </row>
    <row r="228" spans="2:16" s="981" customFormat="1" ht="15.6">
      <c r="B228" s="2857">
        <v>55053</v>
      </c>
      <c r="C228" s="1229"/>
      <c r="D228" s="1233" t="s">
        <v>972</v>
      </c>
      <c r="E228" s="1231"/>
      <c r="F228" s="1231"/>
      <c r="G228" s="3411">
        <v>0</v>
      </c>
      <c r="H228" s="1877"/>
      <c r="I228" s="1877">
        <v>0</v>
      </c>
      <c r="J228" s="1877"/>
      <c r="K228" s="3307">
        <v>0</v>
      </c>
      <c r="L228" s="1877"/>
      <c r="M228" s="2411">
        <f t="shared" si="5"/>
        <v>0</v>
      </c>
      <c r="N228" s="1877"/>
      <c r="O228" s="3307">
        <v>0</v>
      </c>
      <c r="P228" s="1239"/>
    </row>
    <row r="229" spans="2:16" s="981" customFormat="1" ht="15.6">
      <c r="B229" s="2857">
        <v>55055</v>
      </c>
      <c r="C229" s="1229"/>
      <c r="D229" s="1233" t="s">
        <v>973</v>
      </c>
      <c r="E229" s="1231"/>
      <c r="F229" s="1231"/>
      <c r="G229" s="3411">
        <v>0</v>
      </c>
      <c r="H229" s="1877"/>
      <c r="I229" s="1877">
        <v>0</v>
      </c>
      <c r="J229" s="1877"/>
      <c r="K229" s="3307">
        <v>0</v>
      </c>
      <c r="L229" s="1877"/>
      <c r="M229" s="2411">
        <f t="shared" si="5"/>
        <v>0</v>
      </c>
      <c r="N229" s="1877"/>
      <c r="O229" s="3307">
        <v>0</v>
      </c>
      <c r="P229" s="1239"/>
    </row>
    <row r="230" spans="2:16" s="981" customFormat="1" ht="15.6">
      <c r="B230" s="2857">
        <v>55056</v>
      </c>
      <c r="C230" s="1229"/>
      <c r="D230" s="1233" t="s">
        <v>974</v>
      </c>
      <c r="E230" s="1231"/>
      <c r="F230" s="1231"/>
      <c r="G230" s="3411">
        <v>0</v>
      </c>
      <c r="H230" s="1877"/>
      <c r="I230" s="3411">
        <v>47791.69</v>
      </c>
      <c r="J230" s="1877"/>
      <c r="K230" s="3307">
        <v>98664.17</v>
      </c>
      <c r="L230" s="1877"/>
      <c r="M230" s="2411">
        <f t="shared" si="5"/>
        <v>113535.42</v>
      </c>
      <c r="N230" s="1877"/>
      <c r="O230" s="3307">
        <v>212199.59</v>
      </c>
      <c r="P230" s="1239"/>
    </row>
    <row r="231" spans="2:16" s="981" customFormat="1" ht="15.6">
      <c r="B231" s="2857">
        <v>55057</v>
      </c>
      <c r="C231" s="1229"/>
      <c r="D231" s="1233" t="s">
        <v>975</v>
      </c>
      <c r="E231" s="1231"/>
      <c r="F231" s="1231"/>
      <c r="G231" s="3411">
        <v>0</v>
      </c>
      <c r="H231" s="1877"/>
      <c r="I231" s="3411">
        <v>292911.64</v>
      </c>
      <c r="J231" s="1877"/>
      <c r="K231" s="3307">
        <v>603.66999999999996</v>
      </c>
      <c r="L231" s="1877"/>
      <c r="M231" s="2411">
        <f t="shared" si="5"/>
        <v>268374.84000000003</v>
      </c>
      <c r="N231" s="1877"/>
      <c r="O231" s="3307">
        <v>268978.51</v>
      </c>
      <c r="P231" s="1239"/>
    </row>
    <row r="232" spans="2:16" s="981" customFormat="1" ht="15.6">
      <c r="B232" s="2857">
        <v>55058</v>
      </c>
      <c r="C232" s="1229"/>
      <c r="D232" s="1233" t="s">
        <v>976</v>
      </c>
      <c r="E232" s="1231"/>
      <c r="F232" s="1231"/>
      <c r="G232" s="3411">
        <v>4097010.22</v>
      </c>
      <c r="H232" s="1877"/>
      <c r="I232" s="3411">
        <v>4255924.6100000003</v>
      </c>
      <c r="J232" s="1877"/>
      <c r="K232" s="3307">
        <v>4621140.29</v>
      </c>
      <c r="L232" s="1877"/>
      <c r="M232" s="2411">
        <f t="shared" si="5"/>
        <v>-576266.42000000004</v>
      </c>
      <c r="N232" s="1877"/>
      <c r="O232" s="3307">
        <v>4044873.87</v>
      </c>
      <c r="P232" s="1239"/>
    </row>
    <row r="233" spans="2:16" s="981" customFormat="1" ht="15.6">
      <c r="B233" s="2857">
        <v>55059</v>
      </c>
      <c r="C233" s="1229"/>
      <c r="D233" s="1233" t="s">
        <v>977</v>
      </c>
      <c r="E233" s="1231"/>
      <c r="F233" s="1231"/>
      <c r="G233" s="3411">
        <v>11195310.17</v>
      </c>
      <c r="H233" s="1877"/>
      <c r="I233" s="3411">
        <v>11013146.17</v>
      </c>
      <c r="J233" s="1877"/>
      <c r="K233" s="3307">
        <v>11013146.17</v>
      </c>
      <c r="L233" s="1877"/>
      <c r="M233" s="2411">
        <f t="shared" si="5"/>
        <v>-82338.92</v>
      </c>
      <c r="N233" s="1877"/>
      <c r="O233" s="3307">
        <v>10930807.25</v>
      </c>
      <c r="P233" s="1239"/>
    </row>
    <row r="234" spans="2:16" s="981" customFormat="1" ht="15.6">
      <c r="B234" s="2857">
        <v>55060</v>
      </c>
      <c r="C234" s="1229"/>
      <c r="D234" s="1230" t="s">
        <v>978</v>
      </c>
      <c r="E234" s="1231"/>
      <c r="F234" s="1231"/>
      <c r="G234" s="3411">
        <v>0</v>
      </c>
      <c r="H234" s="1877"/>
      <c r="I234" s="1877">
        <v>0</v>
      </c>
      <c r="J234" s="1877"/>
      <c r="K234" s="3307">
        <v>0</v>
      </c>
      <c r="L234" s="1877"/>
      <c r="M234" s="2411">
        <f t="shared" si="5"/>
        <v>1482061.62</v>
      </c>
      <c r="N234" s="1877"/>
      <c r="O234" s="3307">
        <v>1482061.62</v>
      </c>
      <c r="P234" s="1239"/>
    </row>
    <row r="235" spans="2:16" s="981" customFormat="1" ht="15.6">
      <c r="B235" s="2857">
        <v>55061</v>
      </c>
      <c r="C235" s="1229"/>
      <c r="D235" s="1230" t="s">
        <v>979</v>
      </c>
      <c r="E235" s="1231"/>
      <c r="F235" s="1231"/>
      <c r="G235" s="3411">
        <v>1607156.4</v>
      </c>
      <c r="H235" s="1877"/>
      <c r="I235" s="1877">
        <v>1385840.57</v>
      </c>
      <c r="J235" s="1877"/>
      <c r="K235" s="3307">
        <v>92060.07</v>
      </c>
      <c r="L235" s="1877"/>
      <c r="M235" s="2411">
        <f t="shared" si="5"/>
        <v>-46650.37</v>
      </c>
      <c r="N235" s="1877"/>
      <c r="O235" s="3307">
        <v>45409.7</v>
      </c>
      <c r="P235" s="1239"/>
    </row>
    <row r="236" spans="2:16" s="981" customFormat="1" ht="15.6">
      <c r="B236" s="2857">
        <v>55062</v>
      </c>
      <c r="C236" s="1229"/>
      <c r="D236" s="1233" t="s">
        <v>980</v>
      </c>
      <c r="E236" s="1231"/>
      <c r="F236" s="1231"/>
      <c r="G236" s="3411">
        <v>46113550.399999999</v>
      </c>
      <c r="H236" s="1877"/>
      <c r="I236" s="1877">
        <v>46113550.399999999</v>
      </c>
      <c r="J236" s="1877"/>
      <c r="K236" s="3307">
        <v>46113550.399999999</v>
      </c>
      <c r="L236" s="1877"/>
      <c r="M236" s="2411">
        <f t="shared" si="5"/>
        <v>0</v>
      </c>
      <c r="N236" s="1877"/>
      <c r="O236" s="3307">
        <v>46113550.399999999</v>
      </c>
      <c r="P236" s="1239"/>
    </row>
    <row r="237" spans="2:16" s="981" customFormat="1" ht="15.6">
      <c r="B237" s="2857">
        <v>55066</v>
      </c>
      <c r="C237" s="1229"/>
      <c r="D237" s="1233" t="s">
        <v>981</v>
      </c>
      <c r="E237" s="1231"/>
      <c r="F237" s="1231"/>
      <c r="G237" s="3411">
        <v>1261584.27</v>
      </c>
      <c r="H237" s="1877"/>
      <c r="I237" s="1877">
        <v>1261584.27</v>
      </c>
      <c r="J237" s="1877"/>
      <c r="K237" s="3307">
        <v>1261584.27</v>
      </c>
      <c r="L237" s="1877"/>
      <c r="M237" s="2411">
        <f t="shared" si="5"/>
        <v>0</v>
      </c>
      <c r="N237" s="1877"/>
      <c r="O237" s="3307">
        <v>1261584.27</v>
      </c>
      <c r="P237" s="1239"/>
    </row>
    <row r="238" spans="2:16" s="981" customFormat="1" ht="15.6">
      <c r="B238" s="2857">
        <v>55067</v>
      </c>
      <c r="C238" s="1229"/>
      <c r="D238" s="1233" t="s">
        <v>982</v>
      </c>
      <c r="E238" s="1231"/>
      <c r="F238" s="1231"/>
      <c r="G238" s="3411">
        <v>145436.13</v>
      </c>
      <c r="H238" s="1877"/>
      <c r="I238" s="3411">
        <v>128939.97</v>
      </c>
      <c r="J238" s="1877"/>
      <c r="K238" s="3307">
        <v>103958.55</v>
      </c>
      <c r="L238" s="1877"/>
      <c r="M238" s="2411">
        <f t="shared" si="5"/>
        <v>65641.52</v>
      </c>
      <c r="N238" s="1877"/>
      <c r="O238" s="3307">
        <v>169600.07</v>
      </c>
      <c r="P238" s="1239"/>
    </row>
    <row r="239" spans="2:16" s="981" customFormat="1" ht="15.6">
      <c r="B239" s="2857">
        <v>55069</v>
      </c>
      <c r="C239" s="1229"/>
      <c r="D239" s="1233" t="s">
        <v>983</v>
      </c>
      <c r="E239" s="1231"/>
      <c r="F239" s="1231"/>
      <c r="G239" s="3411">
        <v>69945135.400000006</v>
      </c>
      <c r="H239" s="1877"/>
      <c r="I239" s="3411">
        <v>72495347.859999999</v>
      </c>
      <c r="J239" s="1877"/>
      <c r="K239" s="3307">
        <v>88558301.069999993</v>
      </c>
      <c r="L239" s="1877"/>
      <c r="M239" s="2411">
        <f t="shared" si="5"/>
        <v>6653867.4900000002</v>
      </c>
      <c r="N239" s="1877"/>
      <c r="O239" s="3307">
        <v>95212168.560000002</v>
      </c>
      <c r="P239" s="1239"/>
    </row>
    <row r="240" spans="2:16" s="981" customFormat="1" ht="15.6">
      <c r="B240" s="1221">
        <v>55071</v>
      </c>
      <c r="C240" s="1229"/>
      <c r="D240" s="1233" t="s">
        <v>1191</v>
      </c>
      <c r="E240" s="1231"/>
      <c r="F240" s="1231"/>
      <c r="G240" s="3411">
        <v>911463.61</v>
      </c>
      <c r="H240" s="1877"/>
      <c r="I240" s="3411">
        <v>969817.13</v>
      </c>
      <c r="J240" s="1877"/>
      <c r="K240" s="3307">
        <v>1037811.62</v>
      </c>
      <c r="L240" s="1877"/>
      <c r="M240" s="2411">
        <f t="shared" si="5"/>
        <v>315638.11</v>
      </c>
      <c r="N240" s="1877"/>
      <c r="O240" s="3307">
        <v>1353449.73</v>
      </c>
      <c r="P240" s="1239"/>
    </row>
    <row r="241" spans="2:16" s="981" customFormat="1" ht="15.6">
      <c r="B241" s="2857">
        <v>55072</v>
      </c>
      <c r="C241" s="1229"/>
      <c r="D241" s="1233" t="s">
        <v>1192</v>
      </c>
      <c r="E241" s="1231"/>
      <c r="F241" s="1231"/>
      <c r="G241" s="3411">
        <v>0</v>
      </c>
      <c r="H241" s="1877"/>
      <c r="I241" s="3411">
        <v>563307.79</v>
      </c>
      <c r="J241" s="1877"/>
      <c r="K241" s="3307">
        <v>889819.09</v>
      </c>
      <c r="L241" s="1877"/>
      <c r="M241" s="2411">
        <f t="shared" si="5"/>
        <v>613946.06999999995</v>
      </c>
      <c r="N241" s="1877"/>
      <c r="O241" s="3307">
        <v>1503765.16</v>
      </c>
      <c r="P241" s="1239"/>
    </row>
    <row r="242" spans="2:16" s="981" customFormat="1" ht="15.6">
      <c r="B242" s="1221">
        <v>55073</v>
      </c>
      <c r="C242" s="1229"/>
      <c r="D242" s="1233" t="s">
        <v>1193</v>
      </c>
      <c r="E242" s="1231"/>
      <c r="F242" s="1231"/>
      <c r="G242" s="3411">
        <v>0</v>
      </c>
      <c r="H242" s="1877"/>
      <c r="I242" s="1877">
        <v>0</v>
      </c>
      <c r="J242" s="1877"/>
      <c r="K242" s="3307">
        <v>0</v>
      </c>
      <c r="L242" s="1877"/>
      <c r="M242" s="2411">
        <f t="shared" si="5"/>
        <v>0</v>
      </c>
      <c r="N242" s="1877"/>
      <c r="O242" s="3307">
        <v>0</v>
      </c>
      <c r="P242" s="1239"/>
    </row>
    <row r="243" spans="2:16" s="981" customFormat="1" ht="15.6">
      <c r="B243" s="2857">
        <v>55251</v>
      </c>
      <c r="C243" s="1229"/>
      <c r="D243" s="1230" t="s">
        <v>984</v>
      </c>
      <c r="E243" s="1231"/>
      <c r="F243" s="1231"/>
      <c r="G243" s="3411">
        <v>3944446.72</v>
      </c>
      <c r="H243" s="1877"/>
      <c r="I243" s="3411">
        <v>4111297.2</v>
      </c>
      <c r="J243" s="1877"/>
      <c r="K243" s="3307">
        <v>4454795.2300000004</v>
      </c>
      <c r="L243" s="1877"/>
      <c r="M243" s="2411">
        <f t="shared" si="5"/>
        <v>405406.71</v>
      </c>
      <c r="N243" s="1877"/>
      <c r="O243" s="3307">
        <v>4860201.9400000004</v>
      </c>
      <c r="P243" s="1239"/>
    </row>
    <row r="244" spans="2:16" s="981" customFormat="1" ht="15.6">
      <c r="B244" s="2857">
        <v>55252</v>
      </c>
      <c r="C244" s="1229"/>
      <c r="D244" s="1233" t="s">
        <v>985</v>
      </c>
      <c r="E244" s="1231"/>
      <c r="F244" s="1231"/>
      <c r="G244" s="3411">
        <v>3606365.82</v>
      </c>
      <c r="H244" s="1877"/>
      <c r="I244" s="3411">
        <v>4222671.71</v>
      </c>
      <c r="J244" s="1877"/>
      <c r="K244" s="3307">
        <v>338264.24</v>
      </c>
      <c r="L244" s="1877"/>
      <c r="M244" s="2411">
        <f t="shared" si="5"/>
        <v>-315423.84000000003</v>
      </c>
      <c r="N244" s="1877"/>
      <c r="O244" s="3307">
        <v>22840.400000000001</v>
      </c>
      <c r="P244" s="1239"/>
    </row>
    <row r="245" spans="2:16" s="981" customFormat="1" ht="15.6">
      <c r="B245" s="2857">
        <v>55300</v>
      </c>
      <c r="C245" s="1229"/>
      <c r="D245" s="1230" t="s">
        <v>986</v>
      </c>
      <c r="E245" s="1231"/>
      <c r="F245" s="1231"/>
      <c r="G245" s="3411">
        <v>9912988.4499999993</v>
      </c>
      <c r="H245" s="1877"/>
      <c r="I245" s="3411">
        <v>9962037.1999999993</v>
      </c>
      <c r="J245" s="1877"/>
      <c r="K245" s="3307">
        <v>9305472.8300000001</v>
      </c>
      <c r="L245" s="1877"/>
      <c r="M245" s="2411">
        <f t="shared" si="5"/>
        <v>366464.68</v>
      </c>
      <c r="N245" s="1877"/>
      <c r="O245" s="3307">
        <v>9671937.5099999998</v>
      </c>
      <c r="P245" s="1239"/>
    </row>
    <row r="246" spans="2:16" s="981" customFormat="1" ht="15.6">
      <c r="B246" s="2857">
        <v>55301</v>
      </c>
      <c r="C246" s="1229"/>
      <c r="D246" s="1230" t="s">
        <v>987</v>
      </c>
      <c r="E246" s="1231"/>
      <c r="F246" s="1231"/>
      <c r="G246" s="3411">
        <v>4784979.3099999996</v>
      </c>
      <c r="H246" s="1877"/>
      <c r="I246" s="3411">
        <v>4898439.24</v>
      </c>
      <c r="J246" s="1877"/>
      <c r="K246" s="3307">
        <v>5018251.54</v>
      </c>
      <c r="L246" s="1877"/>
      <c r="M246" s="2411">
        <f t="shared" si="5"/>
        <v>417885.13</v>
      </c>
      <c r="N246" s="1877"/>
      <c r="O246" s="3307">
        <v>5436136.6699999999</v>
      </c>
      <c r="P246" s="1239"/>
    </row>
    <row r="247" spans="2:16" s="981" customFormat="1" ht="15.6">
      <c r="B247" s="2857">
        <v>55350</v>
      </c>
      <c r="C247" s="1664"/>
      <c r="D247" s="1230" t="s">
        <v>988</v>
      </c>
      <c r="E247" s="1307"/>
      <c r="F247" s="1307"/>
      <c r="G247" s="3411">
        <v>21588111.59</v>
      </c>
      <c r="H247" s="1877"/>
      <c r="I247" s="3411">
        <v>22893065.870000001</v>
      </c>
      <c r="J247" s="1877"/>
      <c r="K247" s="3307">
        <v>22694356.129999999</v>
      </c>
      <c r="L247" s="1877"/>
      <c r="M247" s="2411">
        <f t="shared" si="5"/>
        <v>1103922.22</v>
      </c>
      <c r="N247" s="1877"/>
      <c r="O247" s="3307">
        <v>23798278.350000001</v>
      </c>
      <c r="P247" s="1239"/>
    </row>
    <row r="248" spans="2:16" s="981" customFormat="1" ht="16.2" thickBot="1">
      <c r="B248" s="1688"/>
      <c r="C248" s="1305"/>
      <c r="D248" s="1220" t="s">
        <v>989</v>
      </c>
      <c r="E248" s="1302"/>
      <c r="F248" s="1302"/>
      <c r="G248" s="3412">
        <f>ROUND(SUM(G205:G247),2)</f>
        <v>264399134.66999999</v>
      </c>
      <c r="H248" s="1713"/>
      <c r="I248" s="3412">
        <f>ROUND(SUM(I205:I247),2)</f>
        <v>261988569.59</v>
      </c>
      <c r="J248" s="1713"/>
      <c r="K248" s="2413">
        <f>ROUND(SUM(K205:K247),2)</f>
        <v>280163758.5</v>
      </c>
      <c r="L248" s="1713"/>
      <c r="M248" s="2413">
        <f>ROUND(SUM(M205:M247),2)</f>
        <v>14840651.560000001</v>
      </c>
      <c r="N248" s="1713"/>
      <c r="O248" s="3511">
        <f>ROUND(SUM(O205:O247),2)</f>
        <v>295004410.06</v>
      </c>
      <c r="P248" s="1239"/>
    </row>
    <row r="249" spans="2:16" s="981" customFormat="1" ht="16.2" thickTop="1">
      <c r="B249" s="1675"/>
      <c r="C249" s="1664"/>
      <c r="D249" s="1689"/>
      <c r="E249" s="1307"/>
      <c r="F249" s="1307"/>
      <c r="G249" s="1877"/>
      <c r="H249" s="1660"/>
      <c r="I249" s="1877"/>
      <c r="J249" s="1660"/>
      <c r="K249" s="1877"/>
      <c r="L249" s="1660"/>
      <c r="M249" s="2411"/>
      <c r="N249" s="1599"/>
      <c r="O249" s="1877"/>
      <c r="P249" s="1239"/>
    </row>
    <row r="250" spans="2:16" s="981" customFormat="1" ht="16.2" thickBot="1">
      <c r="B250" s="1675"/>
      <c r="C250" s="1664"/>
      <c r="D250" s="1689"/>
      <c r="E250" s="1307"/>
      <c r="F250" s="1307"/>
      <c r="G250" s="1877"/>
      <c r="H250" s="1660"/>
      <c r="I250" s="1877"/>
      <c r="J250" s="1660"/>
      <c r="K250" s="1877"/>
      <c r="L250" s="1660"/>
      <c r="M250" s="2411"/>
      <c r="N250" s="1599"/>
      <c r="O250" s="1877"/>
      <c r="P250" s="1239"/>
    </row>
    <row r="251" spans="2:16" s="981" customFormat="1" ht="16.2" thickBot="1">
      <c r="B251" s="1688"/>
      <c r="C251" s="1690"/>
      <c r="D251" s="1240" t="s">
        <v>990</v>
      </c>
      <c r="E251" s="1302"/>
      <c r="F251" s="1691"/>
      <c r="G251" s="3414">
        <f>ROUND(SUM(G11+G97+G180+G193+G198+G202+G248),2)</f>
        <v>5237000080.9200001</v>
      </c>
      <c r="H251" s="2864"/>
      <c r="I251" s="3414">
        <f>ROUND(SUM(I11+I97+I180+I193+I198+I202+I248),2)</f>
        <v>4197670800.23</v>
      </c>
      <c r="J251" s="2864"/>
      <c r="K251" s="2863">
        <f>ROUND(SUM(K11+K97+K180+K193+K198+K202+K248),2)</f>
        <v>4079075705.1999998</v>
      </c>
      <c r="L251" s="2864"/>
      <c r="M251" s="2863">
        <f>ROUND(SUM(M11+M97+M180+M193+M198+M202+M248),2)</f>
        <v>201170648.16999999</v>
      </c>
      <c r="N251" s="2864"/>
      <c r="O251" s="3414">
        <f>ROUND(SUM(O11+O97+O180+O193+O198+O202+O248),2)</f>
        <v>4280246353.3699999</v>
      </c>
      <c r="P251" s="1239"/>
    </row>
    <row r="252" spans="2:16" s="981" customFormat="1" ht="15.6">
      <c r="B252" s="1675"/>
      <c r="C252" s="1664"/>
      <c r="D252" s="1689"/>
      <c r="E252" s="1307"/>
      <c r="F252" s="1307"/>
      <c r="G252" s="2412"/>
      <c r="H252" s="1671"/>
      <c r="I252" s="2412"/>
      <c r="J252" s="1671"/>
      <c r="K252" s="2412"/>
      <c r="L252" s="1671"/>
      <c r="M252" s="2416"/>
      <c r="N252" s="1664"/>
      <c r="O252" s="2416"/>
      <c r="P252" s="1239"/>
    </row>
    <row r="253" spans="2:16" s="981" customFormat="1" ht="15.6">
      <c r="B253" s="3200" t="s">
        <v>1082</v>
      </c>
      <c r="C253" s="3201" t="s">
        <v>1537</v>
      </c>
      <c r="D253" s="1821"/>
      <c r="E253" s="1705"/>
      <c r="F253" s="1705"/>
      <c r="G253" s="2417"/>
      <c r="H253" s="3202"/>
      <c r="I253" s="2418"/>
      <c r="J253" s="3203"/>
      <c r="K253" s="2418"/>
      <c r="L253" s="1306"/>
      <c r="M253" s="2418"/>
      <c r="N253" s="1306"/>
      <c r="O253" s="2418"/>
      <c r="P253" s="1239"/>
    </row>
    <row r="254" spans="2:16" s="981" customFormat="1" ht="15.6">
      <c r="B254" s="1692"/>
      <c r="C254" s="1321" t="s">
        <v>991</v>
      </c>
      <c r="D254" s="1819"/>
      <c r="E254" s="1321"/>
      <c r="F254" s="1321"/>
      <c r="G254" s="2417"/>
      <c r="H254" s="1320"/>
      <c r="I254" s="2418"/>
      <c r="J254" s="1306"/>
      <c r="K254" s="2418"/>
      <c r="L254" s="1306"/>
      <c r="M254" s="2418"/>
      <c r="N254" s="1306"/>
      <c r="O254" s="2418"/>
      <c r="P254" s="1239"/>
    </row>
    <row r="255" spans="2:16" s="981" customFormat="1" ht="15.6">
      <c r="B255" s="1692"/>
      <c r="C255" s="1321" t="s">
        <v>992</v>
      </c>
      <c r="D255" s="1818"/>
      <c r="E255" s="1321"/>
      <c r="F255" s="1321"/>
      <c r="G255" s="2417"/>
      <c r="H255" s="1320"/>
      <c r="I255" s="2419"/>
      <c r="J255" s="1311"/>
      <c r="K255" s="2419"/>
      <c r="L255" s="1311"/>
      <c r="M255" s="2419"/>
      <c r="N255" s="1311"/>
      <c r="O255" s="2419"/>
      <c r="P255" s="1239"/>
    </row>
    <row r="256" spans="2:16" s="981" customFormat="1" ht="15.6">
      <c r="B256" s="1692"/>
      <c r="C256" s="1321" t="s">
        <v>993</v>
      </c>
      <c r="D256" s="1818"/>
      <c r="E256" s="1321"/>
      <c r="F256" s="1321"/>
      <c r="G256" s="2417"/>
      <c r="H256" s="1320"/>
      <c r="I256" s="2419"/>
      <c r="J256" s="1311"/>
      <c r="K256" s="2419"/>
      <c r="L256" s="1311"/>
      <c r="M256" s="2419"/>
      <c r="N256" s="1311"/>
      <c r="O256" s="2419"/>
      <c r="P256" s="1239"/>
    </row>
    <row r="257" spans="2:16" s="981" customFormat="1" ht="15.6">
      <c r="B257" s="1692"/>
      <c r="C257" s="1321" t="s">
        <v>994</v>
      </c>
      <c r="D257" s="1818"/>
      <c r="E257" s="1321"/>
      <c r="F257" s="1321"/>
      <c r="G257" s="2417"/>
      <c r="H257" s="1320"/>
      <c r="I257" s="2420"/>
      <c r="J257" s="1693"/>
      <c r="K257" s="2420"/>
      <c r="L257" s="1693"/>
      <c r="M257" s="2420"/>
      <c r="N257" s="1693"/>
      <c r="O257" s="2420"/>
      <c r="P257" s="1239"/>
    </row>
    <row r="258" spans="2:16" s="981" customFormat="1" ht="15.6">
      <c r="B258" s="1241"/>
      <c r="C258" s="1321" t="s">
        <v>1083</v>
      </c>
      <c r="D258" s="1818"/>
      <c r="E258" s="1321"/>
      <c r="F258" s="1321"/>
      <c r="G258" s="2417"/>
      <c r="H258" s="1320"/>
      <c r="I258" s="2420"/>
      <c r="J258" s="1693"/>
      <c r="K258" s="2420"/>
      <c r="L258" s="1693"/>
      <c r="M258" s="2420"/>
      <c r="N258" s="1693"/>
      <c r="O258" s="2420"/>
      <c r="P258" s="1312"/>
    </row>
    <row r="259" spans="2:16" s="981" customFormat="1" ht="15.6">
      <c r="B259" s="1241"/>
      <c r="C259" s="1320" t="s">
        <v>1084</v>
      </c>
      <c r="D259" s="1820"/>
      <c r="E259" s="1320"/>
      <c r="F259" s="1320"/>
      <c r="G259" s="2417"/>
      <c r="H259" s="1320"/>
      <c r="I259" s="2420"/>
      <c r="J259" s="1693"/>
      <c r="K259" s="2420"/>
      <c r="L259" s="1693"/>
      <c r="M259" s="2420"/>
      <c r="N259" s="1693"/>
      <c r="O259" s="2420"/>
      <c r="P259" s="1239"/>
    </row>
    <row r="260" spans="2:16" s="981" customFormat="1" ht="15.6">
      <c r="B260" s="1694" t="s">
        <v>118</v>
      </c>
      <c r="C260" s="1705" t="s">
        <v>1632</v>
      </c>
      <c r="D260" s="1821"/>
      <c r="E260" s="1320"/>
      <c r="F260" s="1320"/>
      <c r="G260" s="1320"/>
      <c r="H260" s="1320"/>
      <c r="I260" s="1699"/>
      <c r="J260" s="1700"/>
      <c r="K260" s="1701"/>
      <c r="L260" s="1702"/>
      <c r="M260" s="1703"/>
      <c r="N260" s="1704"/>
      <c r="O260" s="1701"/>
      <c r="P260" s="1307"/>
    </row>
    <row r="261" spans="2:16" s="981" customFormat="1" ht="15.6">
      <c r="B261" s="1711"/>
      <c r="C261" s="1701" t="s">
        <v>1633</v>
      </c>
      <c r="D261" s="1195"/>
      <c r="E261" s="1320"/>
      <c r="F261" s="1320"/>
      <c r="G261" s="1320"/>
      <c r="H261" s="1320"/>
      <c r="I261" s="1699"/>
      <c r="J261" s="1700"/>
      <c r="K261" s="1701"/>
      <c r="L261" s="1702"/>
      <c r="M261" s="1703"/>
      <c r="N261" s="1704"/>
      <c r="O261" s="1701"/>
      <c r="P261" s="1304"/>
    </row>
    <row r="262" spans="2:16" s="981" customFormat="1" ht="15.6">
      <c r="B262" s="1712" t="s">
        <v>1081</v>
      </c>
      <c r="C262" s="1241" t="s">
        <v>1222</v>
      </c>
      <c r="D262" s="1195"/>
      <c r="E262" s="1706"/>
      <c r="F262" s="1707"/>
      <c r="G262" s="1695"/>
      <c r="H262" s="1708"/>
      <c r="I262" s="1696"/>
      <c r="J262" s="1709"/>
      <c r="K262" s="1695"/>
      <c r="L262" s="1708"/>
      <c r="M262" s="1697"/>
      <c r="N262" s="1710"/>
      <c r="O262" s="1695"/>
      <c r="P262" s="1303"/>
    </row>
    <row r="263" spans="2:16" s="981" customFormat="1" ht="15.6">
      <c r="B263" s="1712"/>
      <c r="C263" s="1241"/>
      <c r="D263" s="3210"/>
      <c r="E263" s="3211"/>
      <c r="F263" s="3211"/>
      <c r="G263" s="3210"/>
      <c r="H263" s="3210"/>
      <c r="I263" s="3212"/>
      <c r="J263" s="3212"/>
      <c r="K263" s="3212"/>
      <c r="L263" s="3212"/>
      <c r="M263" s="3212"/>
      <c r="N263" s="3212"/>
      <c r="O263" s="3212"/>
      <c r="P263" s="1320"/>
    </row>
    <row r="264" spans="2:16" s="981" customFormat="1" ht="15.6">
      <c r="E264" s="1706"/>
      <c r="F264" s="1706"/>
      <c r="G264" s="1701"/>
      <c r="H264" s="1702"/>
      <c r="I264" s="1699"/>
      <c r="J264" s="1700"/>
      <c r="K264" s="1701"/>
      <c r="L264" s="1702"/>
      <c r="M264" s="1304"/>
      <c r="N264" s="1311"/>
      <c r="O264" s="1698"/>
      <c r="P264" s="1320"/>
    </row>
    <row r="265" spans="2:16" s="981" customFormat="1" ht="15.6">
      <c r="B265" s="1323"/>
      <c r="C265" s="1242"/>
      <c r="D265" s="1405"/>
      <c r="E265" s="1321"/>
      <c r="F265" s="1321"/>
      <c r="G265" s="1405"/>
      <c r="H265" s="1405"/>
      <c r="I265" s="1405"/>
      <c r="J265" s="1405"/>
      <c r="K265" s="1405"/>
      <c r="L265" s="1405"/>
      <c r="M265" s="1405"/>
      <c r="N265" s="1405"/>
      <c r="O265" s="1405"/>
      <c r="P265" s="1320"/>
    </row>
    <row r="266" spans="2:16" s="981" customFormat="1" ht="15.6">
      <c r="C266" s="1242"/>
      <c r="D266" s="1304"/>
      <c r="E266" s="1319"/>
      <c r="F266" s="1319"/>
      <c r="G266" s="1304"/>
      <c r="H266" s="1311"/>
      <c r="I266" s="1304"/>
      <c r="J266" s="1311"/>
      <c r="K266" s="1304"/>
      <c r="L266" s="1311"/>
      <c r="M266" s="1304"/>
      <c r="N266" s="1311"/>
      <c r="O266" s="1304"/>
      <c r="P266" s="1320"/>
    </row>
    <row r="267" spans="2:16" s="981" customFormat="1" ht="15.6">
      <c r="C267" s="1242"/>
      <c r="D267" s="1304"/>
      <c r="E267" s="1321"/>
      <c r="F267" s="1321"/>
      <c r="G267" s="1243"/>
      <c r="H267" s="1243"/>
      <c r="I267" s="1243"/>
      <c r="J267" s="1243"/>
      <c r="K267" s="1243"/>
      <c r="L267" s="1243"/>
      <c r="M267" s="1304"/>
      <c r="N267" s="1311"/>
      <c r="O267" s="1304"/>
      <c r="P267" s="1320"/>
    </row>
    <row r="268" spans="2:16" s="981" customFormat="1" ht="15.6">
      <c r="B268" s="1242"/>
      <c r="C268" s="1242"/>
      <c r="D268" s="1304"/>
      <c r="E268" s="1321"/>
      <c r="F268" s="1321"/>
      <c r="G268" s="1243"/>
      <c r="H268" s="1243"/>
      <c r="I268" s="1243"/>
      <c r="J268" s="1243"/>
      <c r="K268" s="1243"/>
      <c r="L268" s="1243"/>
      <c r="M268" s="1304"/>
      <c r="N268" s="1311"/>
      <c r="O268" s="1304"/>
      <c r="P268" s="1320"/>
    </row>
    <row r="269" spans="2:16" s="981" customFormat="1" ht="15.6">
      <c r="B269" s="1242"/>
      <c r="C269" s="1242"/>
      <c r="D269" s="1304"/>
      <c r="E269" s="1321"/>
      <c r="F269" s="1321"/>
      <c r="G269" s="1243"/>
      <c r="H269" s="1243"/>
      <c r="I269" s="1243"/>
      <c r="J269" s="1243"/>
      <c r="K269" s="1243"/>
      <c r="L269" s="1243"/>
      <c r="M269" s="1304"/>
      <c r="N269" s="1311"/>
      <c r="O269" s="1304"/>
      <c r="P269" s="1320"/>
    </row>
    <row r="270" spans="2:16" s="981" customFormat="1" ht="15.6">
      <c r="B270" s="1322"/>
      <c r="C270" s="1320"/>
      <c r="D270" s="1304"/>
      <c r="E270" s="1321"/>
      <c r="F270" s="1321"/>
      <c r="G270" s="1323"/>
      <c r="H270" s="1324"/>
      <c r="I270" s="1304"/>
      <c r="J270" s="1324"/>
      <c r="K270" s="1320"/>
      <c r="L270" s="1311"/>
      <c r="M270" s="1304"/>
      <c r="N270" s="1311"/>
      <c r="O270" s="1304"/>
      <c r="P270" s="1323"/>
    </row>
    <row r="271" spans="2:16" s="981" customFormat="1" ht="15.6">
      <c r="B271" s="1244"/>
      <c r="C271" s="1320"/>
      <c r="D271" s="1304"/>
      <c r="E271" s="1321"/>
      <c r="F271" s="1321"/>
      <c r="G271" s="1323"/>
      <c r="H271" s="1324"/>
      <c r="I271" s="1304"/>
      <c r="J271" s="1324"/>
      <c r="K271" s="1320"/>
      <c r="L271" s="1311"/>
      <c r="M271" s="1304"/>
      <c r="N271" s="1311"/>
      <c r="O271" s="1304"/>
      <c r="P271" s="1323"/>
    </row>
    <row r="272" spans="2:16" s="981" customFormat="1" ht="15.6">
      <c r="B272" s="1244"/>
      <c r="C272" s="1320"/>
      <c r="D272" s="1304"/>
      <c r="E272" s="1321"/>
      <c r="F272" s="1321"/>
      <c r="G272" s="1323"/>
      <c r="H272" s="1324"/>
      <c r="I272" s="1304"/>
      <c r="J272" s="1324"/>
      <c r="K272" s="1320"/>
      <c r="L272" s="1311"/>
      <c r="M272" s="1195"/>
      <c r="N272" s="1306"/>
      <c r="O272" s="1195"/>
      <c r="P272" s="1323"/>
    </row>
    <row r="273" spans="2:16" s="981" customFormat="1" ht="15.6">
      <c r="B273" s="1323"/>
      <c r="C273" s="1320"/>
      <c r="D273" s="1304"/>
      <c r="E273"/>
      <c r="F273" s="1324"/>
      <c r="G273" s="1323"/>
      <c r="H273" s="1324"/>
      <c r="I273" s="1304"/>
      <c r="J273" s="1324"/>
      <c r="K273" s="1320"/>
      <c r="L273" s="1306"/>
      <c r="M273" s="1195"/>
      <c r="N273" s="1306"/>
      <c r="O273" s="1195"/>
      <c r="P273" s="1323"/>
    </row>
    <row r="274" spans="2:16" s="981" customFormat="1" ht="15.6">
      <c r="B274" s="1323"/>
      <c r="C274" s="1320"/>
      <c r="D274" s="1304"/>
      <c r="E274"/>
      <c r="F274" s="1324"/>
      <c r="G274" s="1323"/>
      <c r="H274" s="1324"/>
      <c r="I274" s="1304"/>
      <c r="J274" s="1324"/>
      <c r="K274" s="1320"/>
      <c r="L274" s="1306"/>
      <c r="M274" s="1245"/>
      <c r="N274" s="1325"/>
      <c r="O274" s="1245"/>
      <c r="P274" s="1323"/>
    </row>
    <row r="275" spans="2:16" ht="15.6">
      <c r="B275" s="1323"/>
      <c r="C275" s="1320"/>
      <c r="D275" s="1304"/>
      <c r="E275"/>
      <c r="F275" s="1324"/>
      <c r="G275" s="1323"/>
      <c r="H275" s="1324"/>
      <c r="I275" s="1304"/>
      <c r="J275" s="1324"/>
      <c r="K275" s="1320"/>
      <c r="L275" s="1306"/>
      <c r="M275" s="1195"/>
      <c r="N275" s="1306"/>
      <c r="O275" s="1195"/>
      <c r="P275" s="1323"/>
    </row>
    <row r="281" spans="2:16" ht="15.6">
      <c r="C281" s="2406"/>
      <c r="D281" s="1876"/>
      <c r="E281" s="2406"/>
      <c r="F281" s="2407"/>
      <c r="G281" s="2422"/>
      <c r="H281" s="2423"/>
      <c r="I281" s="2422"/>
      <c r="J281" s="2423"/>
      <c r="K281" s="2422"/>
      <c r="L281" s="2423"/>
    </row>
    <row r="282" spans="2:16" ht="15.6">
      <c r="C282" s="2406"/>
      <c r="D282" s="1876"/>
      <c r="E282" s="2406"/>
      <c r="F282" s="2407"/>
      <c r="G282" s="2422"/>
      <c r="H282" s="2423"/>
      <c r="I282" s="2422"/>
      <c r="J282" s="2423"/>
      <c r="K282" s="2422"/>
      <c r="L282" s="2423"/>
    </row>
    <row r="283" spans="2:16" ht="15.6">
      <c r="C283" s="2406"/>
      <c r="D283" s="1876"/>
      <c r="E283" s="2406"/>
      <c r="F283" s="2407"/>
      <c r="G283" s="2422"/>
      <c r="H283" s="2423"/>
      <c r="I283" s="2422"/>
      <c r="J283" s="2423"/>
      <c r="K283" s="2422"/>
      <c r="L283" s="2423"/>
    </row>
    <row r="284" spans="2:16" ht="15.6">
      <c r="C284" s="2406"/>
      <c r="D284" s="1876"/>
      <c r="E284" s="2406"/>
      <c r="F284" s="2407"/>
      <c r="G284" s="2422"/>
      <c r="H284" s="2423"/>
      <c r="I284" s="2422"/>
      <c r="J284" s="2423"/>
      <c r="K284" s="2422"/>
      <c r="L284" s="2423"/>
    </row>
    <row r="285" spans="2:16" ht="15.6">
      <c r="C285" s="2406"/>
      <c r="D285" s="1876"/>
      <c r="E285" s="2406"/>
      <c r="F285" s="2407"/>
      <c r="G285" s="2422"/>
      <c r="H285" s="2423"/>
      <c r="I285" s="2422"/>
      <c r="J285" s="2423"/>
      <c r="K285" s="2422"/>
      <c r="L285" s="2423"/>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6" fitToHeight="4" orientation="landscape" useFirstPageNumber="1" r:id="rId2"/>
  <headerFooter scaleWithDoc="0" alignWithMargins="0">
    <oddFooter>&amp;C&amp;8&amp;P</oddFooter>
  </headerFooter>
  <rowBreaks count="3" manualBreakCount="3">
    <brk id="83" max="16383" man="1"/>
    <brk id="154" max="16383" man="1"/>
    <brk id="218" max="16383" man="1"/>
  </rowBreaks>
  <ignoredErrors>
    <ignoredError sqref="J12:J13 J11 L11 N11 J98:J99 J97 L97 N97 J181:J182 J180 L180 N180 J194:J195 J193 L193 N193 J199:J200 J196 N196 J197 N197 J198 L198 N198 J203:J204 J201 N201 J202 L202 N202 J249:J250 J248 L248 N248 J251 L251 N251 L12:N13 L98:N99 L181:N182 L194:N195 L199:N200 L196:M196 L197:M197 L203:N204 L201:M201 L249:N250" unlocked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6"/>
  <sheetViews>
    <sheetView showGridLines="0" showOutlineSymbols="0" zoomScale="75" zoomScaleNormal="75" workbookViewId="0"/>
  </sheetViews>
  <sheetFormatPr defaultColWidth="8.90625" defaultRowHeight="13.2" outlineLevelCol="1"/>
  <cols>
    <col min="1" max="1" width="50.90625" style="944" customWidth="1"/>
    <col min="2" max="2" width="13.81640625" style="3359" customWidth="1"/>
    <col min="3" max="3" width="1.81640625" style="3359" customWidth="1"/>
    <col min="4" max="4" width="13.81640625" style="3359" customWidth="1"/>
    <col min="5" max="5" width="1.6328125" style="3358" customWidth="1" outlineLevel="1"/>
    <col min="6" max="6" width="13.81640625" style="3359" customWidth="1"/>
    <col min="7" max="7" width="1.6328125" style="3358" customWidth="1" outlineLevel="1"/>
    <col min="8" max="8" width="13.81640625" style="3359" customWidth="1"/>
    <col min="9" max="9" width="1.6328125" style="3358" customWidth="1" outlineLevel="1"/>
    <col min="10" max="10" width="13.81640625" style="3359" customWidth="1"/>
    <col min="11" max="11" width="1.6328125" style="3359" customWidth="1"/>
    <col min="12" max="12" width="13.81640625" style="3359" customWidth="1"/>
    <col min="13" max="13" width="1.6328125" style="3358" customWidth="1" outlineLevel="1"/>
    <col min="14" max="14" width="13.81640625" style="3359" customWidth="1"/>
    <col min="15" max="15" width="1.6328125" style="3358" customWidth="1" outlineLevel="1"/>
    <col min="16" max="16" width="13.81640625" style="3359" customWidth="1"/>
    <col min="17" max="17" width="1.6328125" style="3358" customWidth="1" outlineLevel="1"/>
    <col min="18" max="18" width="13.81640625" style="3359" customWidth="1"/>
    <col min="19" max="19" width="1.6328125" style="3358" customWidth="1" outlineLevel="1"/>
    <col min="20" max="20" width="13.81640625" style="3359" customWidth="1"/>
    <col min="21" max="21" width="1.6328125" style="3358" customWidth="1"/>
    <col min="22" max="22" width="13.81640625" style="3359" customWidth="1"/>
    <col min="23" max="23" width="1.6328125" style="3358" customWidth="1"/>
    <col min="24" max="24" width="13.81640625" style="3359" customWidth="1"/>
    <col min="25" max="25" width="1.6328125" style="3358" customWidth="1"/>
    <col min="26" max="26" width="18.90625" style="768" customWidth="1"/>
    <col min="27" max="27" width="1.54296875" style="944" customWidth="1"/>
    <col min="28" max="28" width="18.81640625" style="944" bestFit="1" customWidth="1"/>
    <col min="29" max="29" width="12.6328125" style="944" bestFit="1" customWidth="1"/>
    <col min="30" max="16384" width="8.90625" style="944"/>
  </cols>
  <sheetData>
    <row r="1" spans="1:40" ht="15">
      <c r="A1" s="1902" t="s">
        <v>1217</v>
      </c>
      <c r="B1" s="2539"/>
      <c r="C1" s="2539"/>
      <c r="D1" s="2539"/>
      <c r="E1" s="2539"/>
      <c r="F1" s="2539"/>
      <c r="G1" s="2539"/>
      <c r="H1" s="2539"/>
      <c r="I1" s="2539"/>
      <c r="J1" s="2539"/>
      <c r="K1" s="2539"/>
      <c r="L1" s="2539"/>
      <c r="M1" s="2539"/>
      <c r="N1" s="2539"/>
      <c r="O1" s="2539"/>
      <c r="P1" s="2539"/>
      <c r="Q1" s="2539"/>
      <c r="R1" s="2539"/>
      <c r="S1" s="2539"/>
      <c r="T1" s="2539"/>
      <c r="U1" s="2539"/>
      <c r="V1" s="2539"/>
      <c r="W1" s="2539"/>
      <c r="X1" s="2539"/>
      <c r="Y1" s="2539"/>
      <c r="Z1" s="2539"/>
      <c r="AA1" s="2539"/>
      <c r="AB1" s="2539"/>
      <c r="AC1" s="2539"/>
      <c r="AD1" s="2539"/>
      <c r="AE1" s="2539"/>
      <c r="AF1" s="2539"/>
      <c r="AG1" s="2539"/>
    </row>
    <row r="2" spans="1:40" ht="15">
      <c r="A2" s="1902"/>
      <c r="B2" s="2539"/>
      <c r="C2" s="2539"/>
      <c r="D2" s="2539"/>
      <c r="E2" s="2539"/>
      <c r="F2" s="2539"/>
      <c r="G2" s="2539"/>
      <c r="H2" s="2539"/>
      <c r="I2" s="2539"/>
      <c r="J2" s="2539"/>
      <c r="K2" s="2539"/>
      <c r="L2" s="2539"/>
      <c r="M2" s="2539"/>
      <c r="N2" s="2539"/>
      <c r="O2" s="2539"/>
      <c r="P2" s="2539"/>
      <c r="Q2" s="2539"/>
      <c r="R2" s="2539"/>
      <c r="S2" s="2539"/>
      <c r="T2" s="2539"/>
      <c r="U2" s="2539"/>
      <c r="V2" s="2539"/>
      <c r="W2" s="2539"/>
      <c r="X2" s="2539"/>
      <c r="Y2" s="2539"/>
      <c r="Z2" s="2539"/>
      <c r="AA2" s="2539"/>
      <c r="AB2" s="2539"/>
      <c r="AC2" s="2539"/>
      <c r="AD2" s="2539"/>
      <c r="AE2" s="2539"/>
      <c r="AF2" s="2539"/>
      <c r="AG2" s="2539"/>
    </row>
    <row r="3" spans="1:40" ht="24" customHeight="1">
      <c r="A3" s="1715" t="s">
        <v>0</v>
      </c>
      <c r="B3" s="941"/>
      <c r="C3" s="941"/>
      <c r="D3" s="942"/>
      <c r="E3" s="943"/>
      <c r="F3" s="942"/>
      <c r="G3" s="943"/>
      <c r="H3" s="942"/>
      <c r="I3" s="943"/>
      <c r="K3" s="941"/>
      <c r="L3" s="767"/>
      <c r="M3" s="941"/>
      <c r="N3" s="942"/>
      <c r="O3" s="943"/>
      <c r="P3" s="942"/>
      <c r="Q3" s="943"/>
      <c r="R3" s="942"/>
      <c r="S3" s="943"/>
      <c r="T3" s="942"/>
      <c r="U3" s="943"/>
      <c r="V3" s="942"/>
      <c r="W3" s="943"/>
      <c r="X3" s="942"/>
      <c r="Y3" s="943"/>
      <c r="Z3" s="1639" t="s">
        <v>1604</v>
      </c>
      <c r="AA3" s="941"/>
      <c r="AC3" s="941"/>
      <c r="AE3" s="941"/>
    </row>
    <row r="4" spans="1:40" ht="16.8">
      <c r="A4" s="1715" t="s">
        <v>1603</v>
      </c>
      <c r="B4" s="2540"/>
      <c r="C4" s="2540"/>
      <c r="D4" s="945"/>
      <c r="E4" s="943"/>
      <c r="F4" s="2540"/>
      <c r="G4" s="943"/>
      <c r="H4" s="2540"/>
      <c r="I4" s="943"/>
      <c r="J4" s="2540"/>
      <c r="K4" s="2540"/>
      <c r="L4" s="2540"/>
      <c r="M4" s="946"/>
      <c r="N4" s="2540"/>
      <c r="O4" s="943"/>
      <c r="P4" s="2540"/>
      <c r="Q4" s="943"/>
      <c r="R4" s="2540"/>
      <c r="S4" s="943"/>
      <c r="T4" s="2540"/>
      <c r="U4" s="943"/>
      <c r="V4" s="2540"/>
      <c r="W4" s="943"/>
      <c r="X4" s="2540"/>
      <c r="Y4" s="943"/>
      <c r="Z4" s="2541"/>
      <c r="AA4" s="947"/>
      <c r="AC4" s="941"/>
    </row>
    <row r="5" spans="1:40" ht="16.8">
      <c r="A5" s="1716" t="s">
        <v>1461</v>
      </c>
      <c r="B5" s="2540"/>
      <c r="C5" s="2540"/>
      <c r="D5" s="2540"/>
      <c r="E5" s="943"/>
      <c r="F5" s="2540"/>
      <c r="G5" s="943"/>
      <c r="H5" s="2540"/>
      <c r="I5" s="943"/>
      <c r="J5" s="2540"/>
      <c r="K5" s="2540"/>
      <c r="L5" s="2540"/>
      <c r="M5" s="946"/>
      <c r="N5" s="2540"/>
      <c r="O5" s="943"/>
      <c r="P5" s="2540"/>
      <c r="Q5" s="943"/>
      <c r="R5" s="2540"/>
      <c r="S5" s="943"/>
      <c r="T5" s="2540"/>
      <c r="U5" s="943"/>
      <c r="V5" s="2540"/>
      <c r="W5" s="943"/>
      <c r="X5" s="2540"/>
      <c r="Y5" s="943"/>
      <c r="Z5" s="2541"/>
    </row>
    <row r="6" spans="1:40" ht="18" customHeight="1">
      <c r="A6" s="948" t="s">
        <v>1528</v>
      </c>
      <c r="B6" s="2540"/>
      <c r="C6" s="2540"/>
      <c r="D6" s="950"/>
      <c r="E6" s="943"/>
      <c r="F6" s="2540"/>
      <c r="G6" s="943"/>
      <c r="H6" s="2540"/>
      <c r="I6" s="943"/>
      <c r="J6" s="2540"/>
      <c r="K6" s="2540"/>
      <c r="L6" s="2540"/>
      <c r="M6" s="946"/>
      <c r="N6" s="2540"/>
      <c r="O6" s="943"/>
      <c r="P6" s="2540"/>
      <c r="Q6" s="943"/>
      <c r="R6" s="2540"/>
      <c r="S6" s="943"/>
      <c r="T6" s="2540"/>
      <c r="U6" s="943"/>
      <c r="V6" s="2540"/>
      <c r="W6" s="943"/>
      <c r="X6" s="2540"/>
      <c r="Y6" s="943"/>
      <c r="Z6" s="2541"/>
    </row>
    <row r="7" spans="1:40" ht="15" customHeight="1">
      <c r="A7" s="949"/>
      <c r="B7" s="2540"/>
      <c r="C7" s="2540"/>
      <c r="D7" s="2540"/>
      <c r="E7" s="943"/>
      <c r="F7" s="2540"/>
      <c r="G7" s="943"/>
      <c r="H7" s="2540"/>
      <c r="I7" s="943"/>
      <c r="J7" s="2540"/>
      <c r="K7" s="2540"/>
      <c r="L7" s="2540"/>
      <c r="M7" s="946"/>
      <c r="N7" s="2540"/>
      <c r="O7" s="943"/>
      <c r="P7" s="2540"/>
      <c r="Q7" s="943"/>
      <c r="R7" s="2542"/>
      <c r="S7" s="943"/>
      <c r="T7" s="2542"/>
      <c r="U7" s="943"/>
      <c r="V7" s="2542"/>
      <c r="W7" s="943"/>
      <c r="X7" s="2542"/>
      <c r="Y7" s="943"/>
      <c r="Z7" s="2541"/>
    </row>
    <row r="8" spans="1:40" ht="15.6">
      <c r="A8" s="940"/>
      <c r="B8" s="2540"/>
      <c r="C8" s="2540"/>
      <c r="D8" s="2540"/>
      <c r="E8" s="943"/>
      <c r="F8" s="2540"/>
      <c r="G8" s="943"/>
      <c r="H8" s="2540"/>
      <c r="I8" s="943"/>
      <c r="J8" s="2540"/>
      <c r="K8" s="2540"/>
      <c r="L8" s="2540"/>
      <c r="M8" s="943"/>
      <c r="N8" s="2540"/>
      <c r="O8" s="943"/>
      <c r="P8" s="2540"/>
      <c r="Q8" s="943"/>
      <c r="R8" s="2540"/>
      <c r="S8" s="943"/>
      <c r="T8" s="2540"/>
      <c r="U8" s="943"/>
      <c r="V8" s="2540"/>
      <c r="W8" s="943"/>
      <c r="X8" s="2540"/>
      <c r="Y8" s="943"/>
      <c r="Z8" s="951"/>
      <c r="AA8" s="952"/>
    </row>
    <row r="9" spans="1:40" ht="15" customHeight="1">
      <c r="A9" s="2543"/>
      <c r="B9" s="1860">
        <v>2015</v>
      </c>
      <c r="C9" s="953"/>
      <c r="D9" s="953"/>
      <c r="E9" s="946"/>
      <c r="F9" s="953"/>
      <c r="G9" s="946"/>
      <c r="H9" s="953"/>
      <c r="I9" s="946"/>
      <c r="J9" s="953"/>
      <c r="K9" s="953"/>
      <c r="L9" s="954"/>
      <c r="M9" s="946"/>
      <c r="N9" s="954"/>
      <c r="O9" s="946"/>
      <c r="P9" s="954"/>
      <c r="Q9" s="946"/>
      <c r="R9" s="954"/>
      <c r="S9" s="946"/>
      <c r="T9" s="1860">
        <v>2016</v>
      </c>
      <c r="U9" s="946"/>
      <c r="V9" s="954"/>
      <c r="W9" s="946"/>
      <c r="X9" s="954"/>
      <c r="Y9" s="946"/>
      <c r="Z9" s="955" t="s">
        <v>1673</v>
      </c>
      <c r="AA9" s="955"/>
    </row>
    <row r="10" spans="1:40" ht="15" customHeight="1">
      <c r="A10" s="2543"/>
      <c r="B10" s="956" t="s">
        <v>129</v>
      </c>
      <c r="C10" s="957"/>
      <c r="D10" s="954" t="s">
        <v>130</v>
      </c>
      <c r="E10" s="946"/>
      <c r="F10" s="954" t="s">
        <v>131</v>
      </c>
      <c r="G10" s="946"/>
      <c r="H10" s="954" t="s">
        <v>132</v>
      </c>
      <c r="I10" s="946"/>
      <c r="J10" s="954" t="s">
        <v>133</v>
      </c>
      <c r="K10" s="958"/>
      <c r="L10" s="954" t="s">
        <v>134</v>
      </c>
      <c r="M10" s="946"/>
      <c r="N10" s="954" t="s">
        <v>135</v>
      </c>
      <c r="O10" s="946"/>
      <c r="P10" s="954" t="s">
        <v>136</v>
      </c>
      <c r="Q10" s="946"/>
      <c r="R10" s="954" t="s">
        <v>137</v>
      </c>
      <c r="S10" s="946"/>
      <c r="T10" s="954" t="s">
        <v>154</v>
      </c>
      <c r="U10" s="946"/>
      <c r="V10" s="954" t="s">
        <v>139</v>
      </c>
      <c r="W10" s="946"/>
      <c r="X10" s="954" t="s">
        <v>140</v>
      </c>
      <c r="Y10" s="946"/>
      <c r="Z10" s="959">
        <v>42369</v>
      </c>
      <c r="AA10" s="959"/>
    </row>
    <row r="11" spans="1:40" ht="15" customHeight="1">
      <c r="A11" s="2543"/>
      <c r="B11" s="3372" t="s">
        <v>16</v>
      </c>
      <c r="C11" s="2545"/>
      <c r="D11" s="3372" t="s">
        <v>16</v>
      </c>
      <c r="E11" s="2546"/>
      <c r="F11" s="3372" t="s">
        <v>16</v>
      </c>
      <c r="G11" s="2546"/>
      <c r="H11" s="3372" t="s">
        <v>16</v>
      </c>
      <c r="I11" s="2546"/>
      <c r="J11" s="3372" t="s">
        <v>16</v>
      </c>
      <c r="K11" s="958"/>
      <c r="L11" s="3372" t="s">
        <v>16</v>
      </c>
      <c r="M11" s="2546"/>
      <c r="N11" s="3372" t="s">
        <v>16</v>
      </c>
      <c r="O11" s="2546"/>
      <c r="P11" s="3372" t="s">
        <v>16</v>
      </c>
      <c r="Q11" s="2546"/>
      <c r="R11" s="3372" t="s">
        <v>16</v>
      </c>
      <c r="S11" s="2546"/>
      <c r="T11" s="3372" t="s">
        <v>16</v>
      </c>
      <c r="U11" s="2546"/>
      <c r="V11" s="3372" t="s">
        <v>16</v>
      </c>
      <c r="W11" s="2546"/>
      <c r="X11" s="3372" t="s">
        <v>16</v>
      </c>
      <c r="Y11" s="2546"/>
      <c r="Z11" s="3371" t="s">
        <v>16</v>
      </c>
      <c r="AB11" s="960"/>
      <c r="AC11" s="960"/>
      <c r="AD11" s="960"/>
      <c r="AE11" s="960"/>
      <c r="AF11" s="960"/>
      <c r="AG11" s="960"/>
      <c r="AH11" s="960"/>
      <c r="AI11" s="960"/>
      <c r="AJ11" s="960"/>
      <c r="AK11" s="960"/>
      <c r="AL11" s="960"/>
      <c r="AM11" s="960"/>
      <c r="AN11" s="960"/>
    </row>
    <row r="12" spans="1:40" s="965" customFormat="1" ht="15" customHeight="1">
      <c r="A12" s="1717" t="s">
        <v>499</v>
      </c>
      <c r="B12" s="961">
        <v>0</v>
      </c>
      <c r="C12" s="962"/>
      <c r="D12" s="961">
        <f>B37</f>
        <v>0</v>
      </c>
      <c r="E12" s="2548"/>
      <c r="F12" s="961">
        <f>D37</f>
        <v>0</v>
      </c>
      <c r="G12" s="2548"/>
      <c r="H12" s="961">
        <f>F37</f>
        <v>101925000</v>
      </c>
      <c r="I12" s="2548"/>
      <c r="J12" s="961">
        <f>H37</f>
        <v>130856064</v>
      </c>
      <c r="K12" s="963"/>
      <c r="L12" s="961">
        <f>J37</f>
        <v>132748357</v>
      </c>
      <c r="M12" s="964"/>
      <c r="N12" s="961">
        <f>L37</f>
        <v>170252276</v>
      </c>
      <c r="O12" s="961"/>
      <c r="P12" s="961">
        <f>+N37</f>
        <v>143435772</v>
      </c>
      <c r="Q12" s="961"/>
      <c r="R12" s="961">
        <f>+P37</f>
        <v>187351891</v>
      </c>
      <c r="S12" s="961"/>
      <c r="T12" s="961"/>
      <c r="U12" s="961"/>
      <c r="V12" s="961"/>
      <c r="W12" s="961"/>
      <c r="X12" s="961"/>
      <c r="Y12" s="961"/>
      <c r="Z12" s="961">
        <f>+B12</f>
        <v>0</v>
      </c>
    </row>
    <row r="13" spans="1:40" ht="15" customHeight="1">
      <c r="A13" s="2549"/>
      <c r="B13" s="2550"/>
      <c r="C13" s="2551"/>
      <c r="D13" s="2550"/>
      <c r="E13" s="2550"/>
      <c r="F13" s="2550"/>
      <c r="G13" s="2550"/>
      <c r="H13" s="2550"/>
      <c r="I13" s="2550"/>
      <c r="J13" s="2550"/>
      <c r="K13" s="958"/>
      <c r="L13" s="2550"/>
      <c r="M13" s="2550"/>
      <c r="N13" s="2550"/>
      <c r="O13" s="2550"/>
      <c r="P13" s="2550"/>
      <c r="Q13" s="2550"/>
      <c r="R13" s="2550"/>
      <c r="S13" s="2550"/>
      <c r="T13" s="2550"/>
      <c r="U13" s="2550"/>
      <c r="V13" s="2550"/>
      <c r="W13" s="2550"/>
      <c r="X13" s="2550"/>
      <c r="Y13" s="2550"/>
      <c r="Z13" s="2552"/>
    </row>
    <row r="14" spans="1:40" ht="15" customHeight="1">
      <c r="A14" s="966" t="s">
        <v>15</v>
      </c>
      <c r="B14" s="2550"/>
      <c r="C14" s="2551"/>
      <c r="D14" s="2550"/>
      <c r="E14" s="2550"/>
      <c r="F14" s="2550"/>
      <c r="G14" s="2550"/>
      <c r="H14" s="2550"/>
      <c r="I14" s="2550"/>
      <c r="J14" s="2550"/>
      <c r="K14" s="2550"/>
      <c r="L14" s="2550"/>
      <c r="M14" s="2550"/>
      <c r="N14" s="2550"/>
      <c r="O14" s="2550"/>
      <c r="P14" s="2550"/>
      <c r="Q14" s="2550"/>
      <c r="R14" s="2550"/>
      <c r="S14" s="2550"/>
      <c r="T14" s="2550"/>
      <c r="U14" s="2550"/>
      <c r="V14" s="2550"/>
      <c r="W14" s="2550"/>
      <c r="X14" s="2550"/>
      <c r="Y14" s="2550"/>
      <c r="Z14" s="2552"/>
    </row>
    <row r="15" spans="1:40" ht="15" customHeight="1">
      <c r="A15" s="1719" t="s">
        <v>1602</v>
      </c>
      <c r="B15" s="2553">
        <v>0</v>
      </c>
      <c r="C15" s="2554"/>
      <c r="D15" s="2553">
        <v>0</v>
      </c>
      <c r="E15" s="2553"/>
      <c r="F15" s="2553">
        <v>101925000</v>
      </c>
      <c r="G15" s="2553"/>
      <c r="H15" s="2553">
        <v>50000000</v>
      </c>
      <c r="I15" s="2553"/>
      <c r="J15" s="2553">
        <v>60000000</v>
      </c>
      <c r="K15" s="2553"/>
      <c r="L15" s="2553">
        <v>95000000</v>
      </c>
      <c r="M15" s="2550"/>
      <c r="N15" s="2553">
        <v>70000000</v>
      </c>
      <c r="O15" s="2553"/>
      <c r="P15" s="2553">
        <v>150000000</v>
      </c>
      <c r="Q15" s="2553"/>
      <c r="R15" s="2553">
        <v>60000000</v>
      </c>
      <c r="S15" s="2553"/>
      <c r="T15" s="2553"/>
      <c r="U15" s="2553"/>
      <c r="V15" s="2553"/>
      <c r="W15" s="2553"/>
      <c r="X15" s="2553"/>
      <c r="Y15" s="2553"/>
      <c r="Z15" s="2555">
        <f>ROUND(SUM(B15:X15),0)</f>
        <v>586925000</v>
      </c>
    </row>
    <row r="16" spans="1:40" s="965" customFormat="1" ht="22.5" customHeight="1">
      <c r="A16" s="966" t="s">
        <v>156</v>
      </c>
      <c r="B16" s="3370">
        <f>ROUND(SUM(B15:B15),0)</f>
        <v>0</v>
      </c>
      <c r="C16" s="968"/>
      <c r="D16" s="3370">
        <f>ROUND(SUM(D15:D15),0)</f>
        <v>0</v>
      </c>
      <c r="E16" s="969"/>
      <c r="F16" s="3370">
        <f>ROUND(SUM(F15:F15),0)</f>
        <v>101925000</v>
      </c>
      <c r="G16" s="969"/>
      <c r="H16" s="3370">
        <f>ROUND(SUM(H15:H15),0)</f>
        <v>50000000</v>
      </c>
      <c r="I16" s="969"/>
      <c r="J16" s="3370">
        <f>ROUND(SUM(J15:J15),0)</f>
        <v>60000000</v>
      </c>
      <c r="K16" s="971"/>
      <c r="L16" s="3370">
        <f>ROUND(SUM(L15:L15),0)</f>
        <v>95000000</v>
      </c>
      <c r="M16" s="964"/>
      <c r="N16" s="3370">
        <f>ROUND(SUM(N15:N15),0)</f>
        <v>70000000</v>
      </c>
      <c r="O16" s="969"/>
      <c r="P16" s="3370">
        <f>ROUND(SUM(P15:P15),0)</f>
        <v>150000000</v>
      </c>
      <c r="Q16" s="969"/>
      <c r="R16" s="3370">
        <f>ROUND(SUM(R15:R15),0)</f>
        <v>60000000</v>
      </c>
      <c r="S16" s="969"/>
      <c r="T16" s="3370">
        <f>ROUND(SUM(T15:T15),0)</f>
        <v>0</v>
      </c>
      <c r="U16" s="969"/>
      <c r="V16" s="3370">
        <f>ROUND(SUM(V15:V15),0)</f>
        <v>0</v>
      </c>
      <c r="W16" s="969"/>
      <c r="X16" s="3370">
        <f>ROUND(SUM(X15:X15),0)</f>
        <v>0</v>
      </c>
      <c r="Y16" s="969"/>
      <c r="Z16" s="3370">
        <f>ROUND(SUM(Z15:Z15),0)</f>
        <v>586925000</v>
      </c>
      <c r="AB16" s="769"/>
    </row>
    <row r="17" spans="1:26" ht="15" customHeight="1">
      <c r="A17" s="2549"/>
      <c r="B17" s="2553"/>
      <c r="C17" s="2554"/>
      <c r="D17" s="2553"/>
      <c r="E17" s="2553"/>
      <c r="F17" s="2553"/>
      <c r="G17" s="2553"/>
      <c r="H17" s="2553"/>
      <c r="I17" s="2553"/>
      <c r="J17" s="2553"/>
      <c r="K17" s="2553"/>
      <c r="L17" s="2553"/>
      <c r="M17" s="2550"/>
      <c r="N17" s="2553"/>
      <c r="O17" s="2553"/>
      <c r="P17" s="2553"/>
      <c r="Q17" s="2553"/>
      <c r="R17" s="2553"/>
      <c r="S17" s="2553"/>
      <c r="T17" s="2553"/>
      <c r="U17" s="2553"/>
      <c r="V17" s="2553"/>
      <c r="W17" s="2553"/>
      <c r="X17" s="2553"/>
      <c r="Y17" s="2553"/>
      <c r="Z17" s="2563"/>
    </row>
    <row r="18" spans="1:26" ht="15" customHeight="1">
      <c r="A18" s="966" t="s">
        <v>24</v>
      </c>
      <c r="B18" s="2553"/>
      <c r="C18" s="2554"/>
      <c r="D18" s="2553"/>
      <c r="E18" s="2553"/>
      <c r="F18" s="2553"/>
      <c r="G18" s="2553"/>
      <c r="H18" s="2553"/>
      <c r="I18" s="2553"/>
      <c r="J18" s="2553"/>
      <c r="K18" s="2553"/>
      <c r="L18" s="2553"/>
      <c r="M18" s="2550"/>
      <c r="N18" s="2553"/>
      <c r="O18" s="2553"/>
      <c r="P18" s="2553"/>
      <c r="Q18" s="2553"/>
      <c r="R18" s="2553"/>
      <c r="S18" s="2553"/>
      <c r="T18" s="2553"/>
      <c r="U18" s="2553"/>
      <c r="V18" s="2553"/>
      <c r="W18" s="2553"/>
      <c r="X18" s="2553"/>
      <c r="Y18" s="2553"/>
      <c r="Z18" s="2563"/>
    </row>
    <row r="19" spans="1:26" ht="15" customHeight="1">
      <c r="A19" s="1719" t="s">
        <v>1601</v>
      </c>
      <c r="B19" s="2564">
        <v>0</v>
      </c>
      <c r="C19" s="2565"/>
      <c r="D19" s="2553">
        <v>0</v>
      </c>
      <c r="E19" s="2564"/>
      <c r="F19" s="2564">
        <v>0</v>
      </c>
      <c r="G19" s="2564"/>
      <c r="H19" s="2564">
        <v>0</v>
      </c>
      <c r="I19" s="2564"/>
      <c r="J19" s="2564">
        <v>0</v>
      </c>
      <c r="K19" s="2564"/>
      <c r="L19" s="2564">
        <v>0</v>
      </c>
      <c r="M19" s="2566"/>
      <c r="N19" s="2564">
        <v>0</v>
      </c>
      <c r="O19" s="2564"/>
      <c r="P19" s="2564">
        <v>0</v>
      </c>
      <c r="Q19" s="2564"/>
      <c r="R19" s="2564">
        <v>0</v>
      </c>
      <c r="S19" s="2564"/>
      <c r="T19" s="2564"/>
      <c r="U19" s="2564"/>
      <c r="V19" s="2564"/>
      <c r="W19" s="2564"/>
      <c r="X19" s="2564"/>
      <c r="Y19" s="2564"/>
      <c r="Z19" s="2555">
        <f t="shared" ref="Z19:Z28" si="0">ROUND(SUM(B19:X19),0)</f>
        <v>0</v>
      </c>
    </row>
    <row r="20" spans="1:26" ht="15" customHeight="1">
      <c r="A20" s="1719" t="s">
        <v>1651</v>
      </c>
      <c r="B20" s="2564">
        <v>0</v>
      </c>
      <c r="C20" s="2565"/>
      <c r="D20" s="2553">
        <v>0</v>
      </c>
      <c r="E20" s="2564"/>
      <c r="F20" s="2564">
        <v>0</v>
      </c>
      <c r="G20" s="2564"/>
      <c r="H20" s="2564">
        <v>0</v>
      </c>
      <c r="I20" s="2564" t="s">
        <v>16</v>
      </c>
      <c r="J20" s="2564">
        <v>0</v>
      </c>
      <c r="K20" s="2564"/>
      <c r="L20" s="2564">
        <v>0</v>
      </c>
      <c r="M20" s="2566"/>
      <c r="N20" s="2564">
        <v>0</v>
      </c>
      <c r="O20" s="2564"/>
      <c r="P20" s="2564">
        <v>0</v>
      </c>
      <c r="Q20" s="2564"/>
      <c r="R20" s="2564">
        <v>15500000</v>
      </c>
      <c r="S20" s="2564"/>
      <c r="T20" s="2564"/>
      <c r="U20" s="2564"/>
      <c r="V20" s="2564"/>
      <c r="W20" s="2564"/>
      <c r="X20" s="2564"/>
      <c r="Y20" s="2564"/>
      <c r="Z20" s="2555">
        <f t="shared" si="0"/>
        <v>15500000</v>
      </c>
    </row>
    <row r="21" spans="1:26" ht="15" customHeight="1">
      <c r="A21" s="1719" t="s">
        <v>1600</v>
      </c>
      <c r="B21" s="2564">
        <v>0</v>
      </c>
      <c r="C21" s="2565"/>
      <c r="D21" s="2553">
        <v>0</v>
      </c>
      <c r="E21" s="2564"/>
      <c r="F21" s="2564">
        <v>0</v>
      </c>
      <c r="G21" s="2564"/>
      <c r="H21" s="2564">
        <v>0</v>
      </c>
      <c r="I21" s="2564"/>
      <c r="J21" s="2564">
        <v>84280</v>
      </c>
      <c r="K21" s="2564"/>
      <c r="L21" s="2564">
        <v>258780</v>
      </c>
      <c r="M21" s="2566"/>
      <c r="N21" s="2564">
        <v>0</v>
      </c>
      <c r="O21" s="2564"/>
      <c r="P21" s="2564">
        <v>1149268</v>
      </c>
      <c r="Q21" s="2564"/>
      <c r="R21" s="2564">
        <v>19512</v>
      </c>
      <c r="S21" s="2564"/>
      <c r="T21" s="2564"/>
      <c r="U21" s="2564"/>
      <c r="V21" s="2564"/>
      <c r="W21" s="2564"/>
      <c r="X21" s="2564"/>
      <c r="Y21" s="2564"/>
      <c r="Z21" s="2555">
        <f t="shared" si="0"/>
        <v>1511840</v>
      </c>
    </row>
    <row r="22" spans="1:26" ht="15" customHeight="1">
      <c r="A22" s="1719" t="s">
        <v>1599</v>
      </c>
      <c r="B22" s="2564">
        <v>0</v>
      </c>
      <c r="C22" s="2565"/>
      <c r="D22" s="2553">
        <v>0</v>
      </c>
      <c r="E22" s="2564"/>
      <c r="F22" s="2564">
        <v>0</v>
      </c>
      <c r="G22" s="2564"/>
      <c r="H22" s="2564">
        <v>0</v>
      </c>
      <c r="I22" s="2564"/>
      <c r="J22" s="2564">
        <v>0</v>
      </c>
      <c r="K22" s="2564"/>
      <c r="L22" s="2564">
        <v>0</v>
      </c>
      <c r="M22" s="2566"/>
      <c r="N22" s="2564">
        <v>0</v>
      </c>
      <c r="O22" s="2564"/>
      <c r="P22" s="2564">
        <v>0</v>
      </c>
      <c r="Q22" s="2564"/>
      <c r="R22" s="2564">
        <v>0</v>
      </c>
      <c r="S22" s="2564"/>
      <c r="T22" s="2564"/>
      <c r="U22" s="2564"/>
      <c r="V22" s="2564"/>
      <c r="W22" s="2564"/>
      <c r="X22" s="2564"/>
      <c r="Y22" s="2564"/>
      <c r="Z22" s="2555">
        <f t="shared" si="0"/>
        <v>0</v>
      </c>
    </row>
    <row r="23" spans="1:26" ht="15" customHeight="1">
      <c r="A23" s="1719" t="s">
        <v>1598</v>
      </c>
      <c r="B23" s="2564">
        <v>0</v>
      </c>
      <c r="C23" s="2565"/>
      <c r="D23" s="2553">
        <v>0</v>
      </c>
      <c r="E23" s="2564"/>
      <c r="F23" s="2564">
        <v>0</v>
      </c>
      <c r="G23" s="2564"/>
      <c r="H23" s="2564">
        <v>0</v>
      </c>
      <c r="I23" s="2564"/>
      <c r="J23" s="2564">
        <v>0</v>
      </c>
      <c r="K23" s="2564"/>
      <c r="L23" s="2564">
        <v>0</v>
      </c>
      <c r="M23" s="2566"/>
      <c r="N23" s="2564">
        <v>0</v>
      </c>
      <c r="O23" s="2564"/>
      <c r="P23" s="2564">
        <v>0</v>
      </c>
      <c r="Q23" s="2564"/>
      <c r="R23" s="2564">
        <v>0</v>
      </c>
      <c r="S23" s="2564"/>
      <c r="T23" s="2564"/>
      <c r="U23" s="2564"/>
      <c r="V23" s="2564"/>
      <c r="W23" s="2564"/>
      <c r="X23" s="2564"/>
      <c r="Y23" s="2564"/>
      <c r="Z23" s="2555">
        <f t="shared" si="0"/>
        <v>0</v>
      </c>
    </row>
    <row r="24" spans="1:26" ht="15" customHeight="1">
      <c r="A24" s="1719" t="s">
        <v>1597</v>
      </c>
      <c r="B24" s="2564">
        <v>0</v>
      </c>
      <c r="C24" s="2565"/>
      <c r="D24" s="2553">
        <v>0</v>
      </c>
      <c r="E24" s="2564"/>
      <c r="F24" s="2564">
        <v>0</v>
      </c>
      <c r="G24" s="2564"/>
      <c r="H24" s="2564">
        <v>0</v>
      </c>
      <c r="I24" s="2564"/>
      <c r="J24" s="2564">
        <v>0</v>
      </c>
      <c r="K24" s="2564"/>
      <c r="L24" s="2564">
        <v>225366</v>
      </c>
      <c r="M24" s="2566"/>
      <c r="N24" s="2564">
        <v>124089</v>
      </c>
      <c r="O24" s="2564"/>
      <c r="P24" s="2564">
        <v>27315235</v>
      </c>
      <c r="Q24" s="2564"/>
      <c r="R24" s="2564">
        <v>9066802</v>
      </c>
      <c r="S24" s="2564"/>
      <c r="T24" s="2564"/>
      <c r="U24" s="2564"/>
      <c r="V24" s="2564"/>
      <c r="W24" s="2564"/>
      <c r="X24" s="2564"/>
      <c r="Y24" s="2564"/>
      <c r="Z24" s="2555">
        <f t="shared" si="0"/>
        <v>36731492</v>
      </c>
    </row>
    <row r="25" spans="1:26" ht="15" customHeight="1">
      <c r="A25" s="1719" t="s">
        <v>1596</v>
      </c>
      <c r="B25" s="2564">
        <v>0</v>
      </c>
      <c r="C25" s="2565"/>
      <c r="D25" s="2553">
        <v>0</v>
      </c>
      <c r="E25" s="2564"/>
      <c r="F25" s="2564">
        <v>0</v>
      </c>
      <c r="G25" s="2564"/>
      <c r="H25" s="2564">
        <v>0</v>
      </c>
      <c r="I25" s="2564"/>
      <c r="J25" s="2564">
        <v>0</v>
      </c>
      <c r="K25" s="2564"/>
      <c r="L25" s="2564">
        <v>0</v>
      </c>
      <c r="M25" s="2566"/>
      <c r="N25" s="2564">
        <v>0</v>
      </c>
      <c r="O25" s="2564"/>
      <c r="P25" s="2564">
        <v>0</v>
      </c>
      <c r="Q25" s="2564"/>
      <c r="R25" s="2564">
        <v>0</v>
      </c>
      <c r="S25" s="2564"/>
      <c r="T25" s="2564"/>
      <c r="U25" s="2564"/>
      <c r="V25" s="2564"/>
      <c r="W25" s="2564"/>
      <c r="X25" s="2564"/>
      <c r="Y25" s="2564"/>
      <c r="Z25" s="2555">
        <f t="shared" si="0"/>
        <v>0</v>
      </c>
    </row>
    <row r="26" spans="1:26" ht="15" customHeight="1">
      <c r="A26" s="1719" t="s">
        <v>1595</v>
      </c>
      <c r="B26" s="2564">
        <v>0</v>
      </c>
      <c r="C26" s="2565"/>
      <c r="D26" s="2553">
        <v>0</v>
      </c>
      <c r="E26" s="2564"/>
      <c r="F26" s="2564">
        <v>0</v>
      </c>
      <c r="G26" s="2564"/>
      <c r="H26" s="2564">
        <v>21068935.940000001</v>
      </c>
      <c r="I26" s="2564"/>
      <c r="J26" s="2564">
        <v>58023427.490000002</v>
      </c>
      <c r="K26" s="2564"/>
      <c r="L26" s="2564">
        <v>57011935</v>
      </c>
      <c r="M26" s="2566"/>
      <c r="N26" s="2564">
        <v>96692415</v>
      </c>
      <c r="O26" s="2564"/>
      <c r="P26" s="2564">
        <v>77619378</v>
      </c>
      <c r="Q26" s="2564"/>
      <c r="R26" s="2564">
        <v>77030983</v>
      </c>
      <c r="S26" s="2564"/>
      <c r="T26" s="2564"/>
      <c r="U26" s="2564"/>
      <c r="V26" s="2564"/>
      <c r="W26" s="2564"/>
      <c r="X26" s="2564"/>
      <c r="Y26" s="2564"/>
      <c r="Z26" s="2555">
        <f t="shared" si="0"/>
        <v>387447074</v>
      </c>
    </row>
    <row r="27" spans="1:26" ht="15" customHeight="1">
      <c r="A27" s="1719" t="s">
        <v>1594</v>
      </c>
      <c r="B27" s="2570">
        <v>0</v>
      </c>
      <c r="C27" s="2565"/>
      <c r="D27" s="2553">
        <v>0</v>
      </c>
      <c r="E27" s="2564"/>
      <c r="F27" s="2571">
        <v>0</v>
      </c>
      <c r="G27" s="2564"/>
      <c r="H27" s="2570">
        <v>0</v>
      </c>
      <c r="I27" s="2564"/>
      <c r="J27" s="2564">
        <v>0</v>
      </c>
      <c r="K27" s="2564"/>
      <c r="L27" s="2564">
        <v>0</v>
      </c>
      <c r="M27" s="2566"/>
      <c r="N27" s="2570">
        <v>0</v>
      </c>
      <c r="O27" s="2564"/>
      <c r="P27" s="2564">
        <v>0</v>
      </c>
      <c r="Q27" s="2564"/>
      <c r="R27" s="2569">
        <v>0</v>
      </c>
      <c r="S27" s="2564"/>
      <c r="T27" s="2571"/>
      <c r="U27" s="2564"/>
      <c r="V27" s="2571"/>
      <c r="W27" s="2564"/>
      <c r="X27" s="2569"/>
      <c r="Y27" s="2564"/>
      <c r="Z27" s="2555">
        <f t="shared" si="0"/>
        <v>0</v>
      </c>
    </row>
    <row r="28" spans="1:26" ht="15" customHeight="1">
      <c r="A28" s="1719" t="s">
        <v>1652</v>
      </c>
      <c r="B28" s="2564">
        <v>0</v>
      </c>
      <c r="C28" s="2565"/>
      <c r="D28" s="2553">
        <v>0</v>
      </c>
      <c r="E28" s="2564"/>
      <c r="F28" s="2564">
        <v>0</v>
      </c>
      <c r="G28" s="2564"/>
      <c r="H28" s="2564">
        <v>0</v>
      </c>
      <c r="I28" s="2564"/>
      <c r="J28" s="2564">
        <v>0</v>
      </c>
      <c r="K28" s="2564"/>
      <c r="L28" s="2564">
        <v>0</v>
      </c>
      <c r="M28" s="2566"/>
      <c r="N28" s="2564">
        <v>0</v>
      </c>
      <c r="O28" s="2564"/>
      <c r="P28" s="2564">
        <v>0</v>
      </c>
      <c r="Q28" s="2564"/>
      <c r="R28" s="2564">
        <v>0</v>
      </c>
      <c r="S28" s="2564"/>
      <c r="T28" s="2564"/>
      <c r="U28" s="2564"/>
      <c r="V28" s="2564"/>
      <c r="W28" s="2564"/>
      <c r="X28" s="2564"/>
      <c r="Y28" s="2564"/>
      <c r="Z28" s="2555">
        <f t="shared" si="0"/>
        <v>0</v>
      </c>
    </row>
    <row r="29" spans="1:26" ht="22.5" customHeight="1">
      <c r="A29" s="972" t="s">
        <v>162</v>
      </c>
      <c r="B29" s="3369">
        <f>ROUND(SUM(B19:B28),0)</f>
        <v>0</v>
      </c>
      <c r="C29" s="2565"/>
      <c r="D29" s="3369">
        <f>ROUND(SUM(D19:D28),0)</f>
        <v>0</v>
      </c>
      <c r="E29" s="2564"/>
      <c r="F29" s="3369">
        <f>ROUND(SUM(F19:F28),0)</f>
        <v>0</v>
      </c>
      <c r="G29" s="2564"/>
      <c r="H29" s="3369">
        <f>ROUND(SUM(H19:H28),0)</f>
        <v>21068936</v>
      </c>
      <c r="I29" s="2564"/>
      <c r="J29" s="3369">
        <f>ROUND(SUM(J19:J28),0)</f>
        <v>58107707</v>
      </c>
      <c r="K29" s="2564"/>
      <c r="L29" s="3369">
        <f>ROUND(SUM(L19:L28),0)</f>
        <v>57496081</v>
      </c>
      <c r="M29" s="2566"/>
      <c r="N29" s="3369">
        <f>ROUND(SUM(N19:N28),0)</f>
        <v>96816504</v>
      </c>
      <c r="O29" s="2564"/>
      <c r="P29" s="3369">
        <f>ROUND(SUM(P19:P28),0)</f>
        <v>106083881</v>
      </c>
      <c r="Q29" s="2564"/>
      <c r="R29" s="3369">
        <f>ROUND(SUM(R19:R28),0)</f>
        <v>101617297</v>
      </c>
      <c r="S29" s="2564"/>
      <c r="T29" s="3369">
        <f>ROUND(SUM(T19:T28),0)</f>
        <v>0</v>
      </c>
      <c r="U29" s="2564"/>
      <c r="V29" s="3369">
        <f>ROUND(SUM(V19:V28),0)</f>
        <v>0</v>
      </c>
      <c r="W29" s="2564"/>
      <c r="X29" s="3369">
        <f>ROUND(SUM(X19:X28),0)</f>
        <v>0</v>
      </c>
      <c r="Y29" s="2564"/>
      <c r="Z29" s="3369">
        <f>ROUND(SUM(Z19:Z28),0)</f>
        <v>441190406</v>
      </c>
    </row>
    <row r="30" spans="1:26" ht="15" customHeight="1">
      <c r="A30" s="972"/>
      <c r="B30" s="2564"/>
      <c r="C30" s="2565"/>
      <c r="D30" s="2564"/>
      <c r="E30" s="2564"/>
      <c r="F30" s="2570"/>
      <c r="G30" s="2564"/>
      <c r="H30" s="2570"/>
      <c r="I30" s="2564"/>
      <c r="J30" s="2564"/>
      <c r="K30" s="2564"/>
      <c r="L30" s="2569"/>
      <c r="M30" s="2566"/>
      <c r="N30" s="2569"/>
      <c r="O30" s="2564"/>
      <c r="P30" s="2568"/>
      <c r="Q30" s="2564"/>
      <c r="R30" s="2570"/>
      <c r="S30" s="2564"/>
      <c r="T30" s="2570"/>
      <c r="U30" s="2564"/>
      <c r="V30" s="2565"/>
      <c r="W30" s="2564"/>
      <c r="X30" s="2570"/>
      <c r="Y30" s="2564"/>
      <c r="Z30" s="2555"/>
    </row>
    <row r="31" spans="1:26" ht="15" customHeight="1">
      <c r="A31" s="973" t="s">
        <v>514</v>
      </c>
      <c r="B31" s="2570"/>
      <c r="C31" s="2572"/>
      <c r="D31" s="2570"/>
      <c r="E31" s="2564"/>
      <c r="F31" s="2569"/>
      <c r="G31" s="2564"/>
      <c r="H31" s="2570"/>
      <c r="I31" s="2564"/>
      <c r="J31" s="2570"/>
      <c r="K31" s="2564"/>
      <c r="L31" s="2570"/>
      <c r="M31" s="2566"/>
      <c r="N31" s="2570"/>
      <c r="O31" s="2564"/>
      <c r="P31" s="2568"/>
      <c r="Q31" s="2564"/>
      <c r="R31" s="2570"/>
      <c r="S31" s="2564"/>
      <c r="T31" s="2570"/>
      <c r="U31" s="2564"/>
      <c r="V31" s="2569"/>
      <c r="W31" s="2564"/>
      <c r="X31" s="2569"/>
      <c r="Y31" s="2564"/>
      <c r="Z31" s="2555"/>
    </row>
    <row r="32" spans="1:26" ht="15" customHeight="1">
      <c r="A32" s="1719" t="s">
        <v>516</v>
      </c>
      <c r="B32" s="2570">
        <v>0</v>
      </c>
      <c r="C32" s="2572"/>
      <c r="D32" s="2553">
        <v>0</v>
      </c>
      <c r="E32" s="2564"/>
      <c r="F32" s="2570">
        <v>0</v>
      </c>
      <c r="G32" s="2564"/>
      <c r="H32" s="2570">
        <v>0</v>
      </c>
      <c r="I32" s="2564"/>
      <c r="J32" s="2570">
        <v>0</v>
      </c>
      <c r="K32" s="2564"/>
      <c r="L32" s="2570">
        <v>0</v>
      </c>
      <c r="M32" s="2566"/>
      <c r="N32" s="2570">
        <v>0</v>
      </c>
      <c r="O32" s="2564"/>
      <c r="P32" s="2570">
        <v>0</v>
      </c>
      <c r="Q32" s="2564"/>
      <c r="R32" s="2570">
        <v>0</v>
      </c>
      <c r="S32" s="2564"/>
      <c r="T32" s="2556"/>
      <c r="U32" s="2564"/>
      <c r="V32" s="2556"/>
      <c r="W32" s="2564"/>
      <c r="X32" s="2570"/>
      <c r="Y32" s="2564"/>
      <c r="Z32" s="2555">
        <f>ROUND(SUM(B32:X32),0)</f>
        <v>0</v>
      </c>
    </row>
    <row r="33" spans="1:28" ht="22.5" customHeight="1">
      <c r="A33" s="966" t="s">
        <v>521</v>
      </c>
      <c r="B33" s="3368">
        <f>ROUND(SUM(B32:B32),0)</f>
        <v>0</v>
      </c>
      <c r="C33" s="2557"/>
      <c r="D33" s="3368">
        <f>ROUND(SUM(D32:D32),0)</f>
        <v>0</v>
      </c>
      <c r="E33" s="2553"/>
      <c r="F33" s="3368">
        <f>ROUND(SUM(F32:F32),0)</f>
        <v>0</v>
      </c>
      <c r="G33" s="2553"/>
      <c r="H33" s="3368">
        <f>ROUND(SUM(H32:H32),0)</f>
        <v>0</v>
      </c>
      <c r="I33" s="2553"/>
      <c r="J33" s="3368">
        <f>ROUND(SUM(J32:J32),0)</f>
        <v>0</v>
      </c>
      <c r="K33" s="2553"/>
      <c r="L33" s="3368">
        <f>ROUND(SUM(L32:L32),0)</f>
        <v>0</v>
      </c>
      <c r="M33" s="2550"/>
      <c r="N33" s="3368">
        <f>ROUND(SUM(N32:N32),0)</f>
        <v>0</v>
      </c>
      <c r="O33" s="2553"/>
      <c r="P33" s="3368">
        <f>ROUND(SUM(P32:P32),0)</f>
        <v>0</v>
      </c>
      <c r="Q33" s="2553"/>
      <c r="R33" s="3368">
        <f>ROUND(SUM(R32:R32),0)</f>
        <v>0</v>
      </c>
      <c r="S33" s="2553"/>
      <c r="T33" s="3368">
        <f>ROUND(SUM(T32:T32),0)</f>
        <v>0</v>
      </c>
      <c r="U33" s="2553"/>
      <c r="V33" s="3368">
        <f>ROUND(SUM(V32:V32),0)</f>
        <v>0</v>
      </c>
      <c r="W33" s="2553"/>
      <c r="X33" s="3368">
        <f>ROUND(SUM(X32:X32),0)</f>
        <v>0</v>
      </c>
      <c r="Y33" s="2553"/>
      <c r="Z33" s="3368">
        <f>ROUND(SUM(Z32:Z32),0)</f>
        <v>0</v>
      </c>
    </row>
    <row r="34" spans="1:28" ht="15" customHeight="1">
      <c r="B34" s="3366"/>
      <c r="C34" s="2557"/>
      <c r="D34" s="3366"/>
      <c r="E34" s="2553"/>
      <c r="F34" s="3365"/>
      <c r="G34" s="2553"/>
      <c r="H34" s="3366"/>
      <c r="I34" s="2553"/>
      <c r="J34" s="3366"/>
      <c r="K34" s="2553"/>
      <c r="L34" s="3366"/>
      <c r="M34" s="2550"/>
      <c r="N34" s="3366"/>
      <c r="O34" s="2553"/>
      <c r="P34" s="3367"/>
      <c r="Q34" s="2553"/>
      <c r="R34" s="3366"/>
      <c r="S34" s="2553"/>
      <c r="T34" s="3366"/>
      <c r="U34" s="2553"/>
      <c r="V34" s="3365"/>
      <c r="W34" s="2553"/>
      <c r="X34" s="2576"/>
      <c r="Y34" s="2553"/>
      <c r="Z34" s="3364"/>
    </row>
    <row r="35" spans="1:28" s="965" customFormat="1" ht="20.25" customHeight="1">
      <c r="A35" s="966" t="s">
        <v>522</v>
      </c>
      <c r="B35" s="2578">
        <f>ROUND(B29+B33,0)</f>
        <v>0</v>
      </c>
      <c r="C35" s="968"/>
      <c r="D35" s="2578">
        <f>ROUND(D29+D33,0)</f>
        <v>0</v>
      </c>
      <c r="E35" s="969"/>
      <c r="F35" s="2578">
        <f>ROUND(F29+F33,0)</f>
        <v>0</v>
      </c>
      <c r="G35" s="969"/>
      <c r="H35" s="2578">
        <f>ROUND(H29+H33,0)</f>
        <v>21068936</v>
      </c>
      <c r="I35" s="969"/>
      <c r="J35" s="2578">
        <f>ROUND(J29+J33,0)</f>
        <v>58107707</v>
      </c>
      <c r="K35" s="968"/>
      <c r="L35" s="2578">
        <f>ROUND(L29+L33,0)</f>
        <v>57496081</v>
      </c>
      <c r="M35" s="964"/>
      <c r="N35" s="2578">
        <f>ROUND(N29+N33,0)</f>
        <v>96816504</v>
      </c>
      <c r="O35" s="969"/>
      <c r="P35" s="2578">
        <f>ROUND(P29+P33,0)</f>
        <v>106083881</v>
      </c>
      <c r="Q35" s="969"/>
      <c r="R35" s="2578">
        <f>ROUND(R29+R33,0)</f>
        <v>101617297</v>
      </c>
      <c r="S35" s="969"/>
      <c r="T35" s="2578">
        <f>ROUND(T29+T33,0)</f>
        <v>0</v>
      </c>
      <c r="U35" s="969"/>
      <c r="V35" s="2578">
        <f>ROUND(V29+V33,0)</f>
        <v>0</v>
      </c>
      <c r="W35" s="969"/>
      <c r="X35" s="2578">
        <f>ROUND(X29+X33,0)</f>
        <v>0</v>
      </c>
      <c r="Y35" s="969"/>
      <c r="Z35" s="2578">
        <f>ROUND(Z29+Z33,0)</f>
        <v>441190406</v>
      </c>
      <c r="AB35" s="769"/>
    </row>
    <row r="36" spans="1:28" ht="15" customHeight="1">
      <c r="A36" s="2549"/>
      <c r="B36" s="2551"/>
      <c r="C36" s="2551"/>
      <c r="D36" s="2551"/>
      <c r="E36" s="2550"/>
      <c r="F36" s="2551"/>
      <c r="G36" s="2550"/>
      <c r="H36" s="2551"/>
      <c r="I36" s="2550"/>
      <c r="J36" s="3363"/>
      <c r="K36" s="2551"/>
      <c r="L36" s="3363"/>
      <c r="M36" s="2550"/>
      <c r="N36" s="3363"/>
      <c r="O36" s="2550"/>
      <c r="P36" s="3363"/>
      <c r="Q36" s="2550"/>
      <c r="R36" s="3363"/>
      <c r="S36" s="2550"/>
      <c r="T36" s="3363"/>
      <c r="U36" s="2550"/>
      <c r="V36" s="3363"/>
      <c r="W36" s="2550"/>
      <c r="X36" s="3363"/>
      <c r="Y36" s="2550"/>
      <c r="Z36" s="2580"/>
    </row>
    <row r="37" spans="1:28" s="965" customFormat="1" ht="20.25" customHeight="1" thickBot="1">
      <c r="A37" s="973" t="s">
        <v>523</v>
      </c>
      <c r="B37" s="3362">
        <f>ROUND(B12+B16-B35,0)</f>
        <v>0</v>
      </c>
      <c r="C37" s="962"/>
      <c r="D37" s="3362">
        <f>ROUND(D12+D16-D35,0)</f>
        <v>0</v>
      </c>
      <c r="E37" s="2548"/>
      <c r="F37" s="3362">
        <f>ROUND(F12+F16-F35,0)</f>
        <v>101925000</v>
      </c>
      <c r="G37" s="2548"/>
      <c r="H37" s="3362">
        <f>ROUND(H12+H16-H35,0)</f>
        <v>130856064</v>
      </c>
      <c r="I37" s="2548"/>
      <c r="J37" s="3362">
        <f>ROUND(J12+J16-J35,0)</f>
        <v>132748357</v>
      </c>
      <c r="K37" s="962"/>
      <c r="L37" s="3362">
        <f>ROUND(L12+L16-L35,0)</f>
        <v>170252276</v>
      </c>
      <c r="M37" s="977"/>
      <c r="N37" s="3362">
        <f>ROUND(N12+N16-N35,0)</f>
        <v>143435772</v>
      </c>
      <c r="O37" s="978"/>
      <c r="P37" s="3362">
        <f>ROUND(P12+P16-P35,0)</f>
        <v>187351891</v>
      </c>
      <c r="Q37" s="978"/>
      <c r="R37" s="3362">
        <f>ROUND(R12+R16-R35,0)</f>
        <v>145734594</v>
      </c>
      <c r="S37" s="978"/>
      <c r="T37" s="3362">
        <f>ROUND(T12+T16-T35,0)</f>
        <v>0</v>
      </c>
      <c r="U37" s="978"/>
      <c r="V37" s="3362">
        <f>ROUND(V12+V16-V35,0)</f>
        <v>0</v>
      </c>
      <c r="W37" s="978"/>
      <c r="X37" s="3362">
        <f>ROUND(X12+X16-X35,0)</f>
        <v>0</v>
      </c>
      <c r="Y37" s="978"/>
      <c r="Z37" s="3362">
        <f>ROUND(Z12+Z16-Z35,0)</f>
        <v>145734594</v>
      </c>
    </row>
    <row r="38" spans="1:28" ht="15" customHeight="1" thickTop="1">
      <c r="A38" s="2549"/>
      <c r="B38" s="2545"/>
      <c r="C38" s="2545"/>
      <c r="D38" s="2545"/>
      <c r="E38" s="2581"/>
      <c r="F38" s="2545"/>
      <c r="G38" s="2581"/>
      <c r="H38" s="2545"/>
      <c r="I38" s="2581"/>
      <c r="J38" s="2545"/>
      <c r="K38" s="2545"/>
      <c r="L38" s="2545"/>
      <c r="M38" s="2581"/>
      <c r="N38" s="2545"/>
      <c r="O38" s="2581"/>
      <c r="P38" s="2545"/>
      <c r="Q38" s="2581"/>
      <c r="R38" s="2545"/>
      <c r="S38" s="2581"/>
      <c r="T38" s="2545"/>
      <c r="U38" s="2581"/>
      <c r="V38" s="2545"/>
      <c r="W38" s="2581"/>
      <c r="X38" s="2545"/>
      <c r="Y38" s="2581"/>
      <c r="Z38" s="2580"/>
    </row>
    <row r="39" spans="1:28" ht="20.100000000000001" customHeight="1">
      <c r="A39" s="979"/>
      <c r="B39" s="2582"/>
      <c r="C39" s="2582"/>
      <c r="D39" s="2582"/>
      <c r="E39" s="2546"/>
      <c r="F39" s="2582"/>
      <c r="G39" s="2546"/>
      <c r="H39" s="2582"/>
      <c r="I39" s="2546"/>
      <c r="J39" s="2582"/>
      <c r="K39" s="2582"/>
      <c r="L39" s="2582"/>
      <c r="M39" s="2546"/>
      <c r="N39" s="2582"/>
      <c r="O39" s="2546"/>
      <c r="P39" s="2582"/>
      <c r="Q39" s="2546"/>
      <c r="R39" s="2582"/>
      <c r="S39" s="2546"/>
      <c r="T39" s="2582"/>
      <c r="U39" s="2546"/>
      <c r="V39" s="2582"/>
      <c r="W39" s="2546"/>
      <c r="X39" s="2582"/>
      <c r="Y39" s="2546"/>
      <c r="Z39" s="2552"/>
    </row>
    <row r="41" spans="1:28" ht="18" customHeight="1">
      <c r="A41" s="3361" t="s">
        <v>1625</v>
      </c>
      <c r="B41" s="2540"/>
      <c r="C41" s="2540"/>
      <c r="D41" s="2540"/>
      <c r="E41" s="943"/>
      <c r="F41" s="2540"/>
      <c r="G41" s="943"/>
      <c r="H41" s="2540"/>
      <c r="I41" s="943"/>
      <c r="J41" s="2540"/>
      <c r="K41" s="2540"/>
      <c r="L41" s="2540"/>
      <c r="M41" s="2546"/>
      <c r="N41" s="2540"/>
      <c r="O41" s="943"/>
      <c r="P41" s="2540"/>
      <c r="Q41" s="943"/>
      <c r="R41" s="2540"/>
      <c r="S41" s="943"/>
      <c r="T41" s="2540"/>
      <c r="U41" s="943"/>
      <c r="V41" s="2540"/>
      <c r="W41" s="943"/>
      <c r="X41" s="2540"/>
      <c r="Y41" s="943"/>
      <c r="Z41" s="2541"/>
    </row>
    <row r="42" spans="1:28" ht="20.100000000000001" customHeight="1">
      <c r="A42" s="3360" t="s">
        <v>1626</v>
      </c>
      <c r="B42" s="2582"/>
      <c r="C42" s="2582"/>
      <c r="D42" s="2582"/>
      <c r="E42" s="2546"/>
      <c r="F42" s="2582"/>
      <c r="G42" s="2546"/>
      <c r="H42" s="2582"/>
      <c r="I42" s="2546"/>
      <c r="J42" s="2582"/>
      <c r="K42" s="2582"/>
      <c r="L42" s="2582"/>
      <c r="M42" s="2546"/>
      <c r="N42" s="2582"/>
      <c r="O42" s="2546"/>
      <c r="P42" s="2582"/>
      <c r="Q42" s="2546"/>
      <c r="R42" s="2582"/>
      <c r="S42" s="2546"/>
      <c r="T42" s="2582"/>
      <c r="U42" s="2546"/>
      <c r="V42" s="2582"/>
      <c r="W42" s="2546"/>
      <c r="X42" s="2582"/>
      <c r="Y42" s="2546"/>
      <c r="Z42" s="2552"/>
    </row>
    <row r="43" spans="1:28" ht="20.100000000000001" customHeight="1">
      <c r="A43" s="2543"/>
      <c r="B43" s="2582"/>
      <c r="C43" s="2582"/>
      <c r="D43" s="2582"/>
      <c r="E43" s="2546"/>
      <c r="F43" s="2582"/>
      <c r="G43" s="2546"/>
      <c r="H43" s="2582"/>
      <c r="I43" s="2546"/>
      <c r="J43" s="2582"/>
      <c r="K43" s="2582"/>
      <c r="L43" s="2582"/>
      <c r="M43" s="2546"/>
      <c r="N43" s="2582"/>
      <c r="O43" s="2546"/>
      <c r="P43" s="2582"/>
      <c r="Q43" s="2546"/>
      <c r="R43" s="2582"/>
      <c r="S43" s="2546"/>
      <c r="T43" s="2582"/>
      <c r="U43" s="2546"/>
      <c r="V43" s="2582"/>
      <c r="W43" s="2546"/>
      <c r="X43" s="2582"/>
      <c r="Y43" s="2546"/>
      <c r="Z43" s="2552"/>
    </row>
    <row r="44" spans="1:28" ht="20.100000000000001" customHeight="1">
      <c r="A44" s="940"/>
      <c r="B44" s="942"/>
      <c r="C44" s="942"/>
      <c r="D44" s="942"/>
      <c r="E44" s="943"/>
      <c r="F44" s="942"/>
      <c r="G44" s="943"/>
      <c r="H44" s="942"/>
      <c r="I44" s="943"/>
      <c r="J44" s="942"/>
      <c r="K44" s="942"/>
      <c r="L44" s="942"/>
      <c r="M44" s="943"/>
      <c r="N44" s="942"/>
      <c r="O44" s="943"/>
      <c r="P44" s="942"/>
      <c r="Q44" s="943"/>
      <c r="R44" s="942"/>
      <c r="S44" s="943"/>
      <c r="T44" s="942"/>
      <c r="U44" s="943"/>
      <c r="V44" s="942"/>
      <c r="W44" s="943"/>
      <c r="X44" s="942"/>
      <c r="Y44" s="943"/>
      <c r="Z44" s="771"/>
    </row>
    <row r="45" spans="1:28" ht="20.100000000000001" customHeight="1">
      <c r="A45" s="940"/>
      <c r="B45" s="942"/>
      <c r="C45" s="942"/>
      <c r="D45" s="942"/>
      <c r="E45" s="943"/>
      <c r="F45" s="942"/>
      <c r="G45" s="943"/>
      <c r="H45" s="942"/>
      <c r="I45" s="943"/>
      <c r="J45" s="942"/>
      <c r="K45" s="942"/>
      <c r="L45" s="942"/>
      <c r="M45" s="943"/>
      <c r="N45" s="942"/>
      <c r="O45" s="943"/>
      <c r="P45" s="942"/>
      <c r="Q45" s="943"/>
      <c r="R45" s="942"/>
      <c r="S45" s="943"/>
      <c r="T45" s="942"/>
      <c r="U45" s="943"/>
      <c r="V45" s="942"/>
      <c r="W45" s="943"/>
      <c r="X45" s="942"/>
      <c r="Y45" s="943"/>
      <c r="Z45" s="771"/>
    </row>
    <row r="46" spans="1:28" ht="20.100000000000001" customHeight="1">
      <c r="A46" s="940"/>
      <c r="B46" s="942"/>
      <c r="C46" s="942"/>
      <c r="D46" s="942"/>
      <c r="E46" s="943"/>
      <c r="F46" s="942"/>
      <c r="G46" s="943"/>
      <c r="H46" s="942"/>
      <c r="I46" s="943"/>
      <c r="J46" s="942"/>
      <c r="K46" s="942"/>
      <c r="L46" s="942"/>
      <c r="M46" s="943"/>
      <c r="N46" s="942"/>
      <c r="O46" s="943"/>
      <c r="P46" s="942"/>
      <c r="Q46" s="943"/>
      <c r="R46" s="942"/>
      <c r="S46" s="943"/>
      <c r="T46" s="942"/>
      <c r="U46" s="943"/>
      <c r="V46" s="942"/>
      <c r="W46" s="943"/>
      <c r="X46" s="942"/>
      <c r="Y46" s="943"/>
      <c r="Z46" s="771"/>
    </row>
    <row r="47" spans="1:28" ht="20.100000000000001" customHeight="1">
      <c r="A47" s="940"/>
      <c r="B47" s="942"/>
      <c r="C47" s="942"/>
      <c r="D47" s="942"/>
      <c r="E47" s="943"/>
      <c r="F47" s="942"/>
      <c r="G47" s="943"/>
      <c r="H47" s="942"/>
      <c r="I47" s="943"/>
      <c r="J47" s="942"/>
      <c r="K47" s="942"/>
      <c r="L47" s="942"/>
      <c r="M47" s="943"/>
      <c r="N47" s="942"/>
      <c r="O47" s="943"/>
      <c r="P47" s="942"/>
      <c r="Q47" s="943"/>
      <c r="R47" s="942"/>
      <c r="S47" s="943"/>
      <c r="T47" s="942"/>
      <c r="U47" s="943"/>
      <c r="V47" s="942"/>
      <c r="W47" s="943"/>
      <c r="X47" s="942"/>
      <c r="Y47" s="943"/>
      <c r="Z47" s="771"/>
    </row>
    <row r="48" spans="1:28" ht="20.100000000000001" customHeight="1">
      <c r="A48" s="940"/>
      <c r="B48" s="942"/>
      <c r="C48" s="942"/>
      <c r="D48" s="942"/>
      <c r="E48" s="943"/>
      <c r="F48" s="942"/>
      <c r="G48" s="943"/>
      <c r="H48" s="942"/>
      <c r="I48" s="943"/>
      <c r="J48" s="942"/>
      <c r="K48" s="942"/>
      <c r="L48" s="942"/>
      <c r="M48" s="943"/>
      <c r="N48" s="942"/>
      <c r="O48" s="943"/>
      <c r="P48" s="942"/>
      <c r="Q48" s="943"/>
      <c r="R48" s="942"/>
      <c r="S48" s="943"/>
      <c r="T48" s="942"/>
      <c r="U48" s="943"/>
      <c r="V48" s="942"/>
      <c r="W48" s="943"/>
      <c r="X48" s="942"/>
      <c r="Y48" s="943"/>
      <c r="Z48" s="771"/>
    </row>
    <row r="49" spans="1:26">
      <c r="A49" s="940"/>
      <c r="B49" s="942"/>
      <c r="C49" s="942"/>
      <c r="D49" s="942"/>
      <c r="E49" s="943"/>
      <c r="F49" s="942"/>
      <c r="G49" s="943"/>
      <c r="H49" s="942"/>
      <c r="I49" s="943"/>
      <c r="J49" s="942"/>
      <c r="K49" s="942"/>
      <c r="L49" s="942"/>
      <c r="M49" s="943"/>
      <c r="N49" s="942"/>
      <c r="O49" s="943"/>
      <c r="P49" s="942"/>
      <c r="Q49" s="943"/>
      <c r="R49" s="942"/>
      <c r="S49" s="943"/>
      <c r="T49" s="942"/>
      <c r="U49" s="943"/>
      <c r="V49" s="942"/>
      <c r="W49" s="943"/>
      <c r="X49" s="942"/>
      <c r="Y49" s="943"/>
      <c r="Z49" s="771"/>
    </row>
    <row r="50" spans="1:26">
      <c r="A50" s="940"/>
      <c r="B50" s="942"/>
      <c r="C50" s="942"/>
      <c r="D50" s="942"/>
      <c r="E50" s="943"/>
      <c r="F50" s="942"/>
      <c r="G50" s="943"/>
      <c r="H50" s="942"/>
      <c r="I50" s="943"/>
      <c r="J50" s="942"/>
      <c r="K50" s="942"/>
      <c r="L50" s="942"/>
      <c r="M50" s="943"/>
      <c r="N50" s="942"/>
      <c r="O50" s="943"/>
      <c r="P50" s="942"/>
      <c r="Q50" s="943"/>
      <c r="R50" s="942"/>
      <c r="S50" s="943"/>
      <c r="T50" s="942"/>
      <c r="U50" s="943"/>
      <c r="V50" s="942"/>
      <c r="W50" s="943"/>
      <c r="X50" s="942"/>
      <c r="Y50" s="943"/>
      <c r="Z50" s="771"/>
    </row>
    <row r="51" spans="1:26">
      <c r="A51" s="940"/>
      <c r="B51" s="942"/>
      <c r="C51" s="942"/>
      <c r="D51" s="942"/>
      <c r="E51" s="943"/>
      <c r="F51" s="942"/>
      <c r="G51" s="943"/>
      <c r="H51" s="942"/>
      <c r="I51" s="943"/>
      <c r="J51" s="942"/>
      <c r="K51" s="942"/>
      <c r="L51" s="942"/>
      <c r="M51" s="943"/>
      <c r="N51" s="942"/>
      <c r="O51" s="943"/>
      <c r="P51" s="942"/>
      <c r="Q51" s="943"/>
      <c r="R51" s="942"/>
      <c r="S51" s="943"/>
      <c r="T51" s="942"/>
      <c r="U51" s="943"/>
      <c r="V51" s="942"/>
      <c r="W51" s="943"/>
      <c r="X51" s="942"/>
      <c r="Y51" s="943"/>
      <c r="Z51" s="771"/>
    </row>
    <row r="52" spans="1:26">
      <c r="A52" s="940"/>
      <c r="B52" s="942"/>
      <c r="C52" s="942"/>
      <c r="D52" s="942"/>
      <c r="E52" s="943"/>
      <c r="F52" s="942"/>
      <c r="G52" s="943"/>
      <c r="H52" s="942"/>
      <c r="I52" s="943"/>
      <c r="J52" s="942"/>
      <c r="K52" s="942"/>
      <c r="L52" s="942"/>
      <c r="M52" s="943"/>
      <c r="N52" s="942"/>
      <c r="O52" s="943"/>
      <c r="P52" s="942"/>
      <c r="Q52" s="943"/>
      <c r="R52" s="942"/>
      <c r="S52" s="943"/>
      <c r="T52" s="942"/>
      <c r="U52" s="943"/>
      <c r="V52" s="942"/>
      <c r="W52" s="943"/>
      <c r="X52" s="942"/>
      <c r="Y52" s="943"/>
      <c r="Z52" s="771"/>
    </row>
    <row r="53" spans="1:26">
      <c r="A53" s="940"/>
      <c r="B53" s="942"/>
      <c r="C53" s="942"/>
      <c r="D53" s="942"/>
      <c r="E53" s="943"/>
      <c r="F53" s="942"/>
      <c r="G53" s="943"/>
      <c r="H53" s="942"/>
      <c r="I53" s="943"/>
      <c r="J53" s="942"/>
      <c r="K53" s="942"/>
      <c r="L53" s="942"/>
      <c r="M53" s="943"/>
      <c r="N53" s="942"/>
      <c r="O53" s="943"/>
      <c r="P53" s="942"/>
      <c r="Q53" s="943"/>
      <c r="R53" s="942"/>
      <c r="S53" s="943"/>
      <c r="T53" s="942"/>
      <c r="U53" s="943"/>
      <c r="V53" s="942"/>
      <c r="W53" s="943"/>
      <c r="X53" s="942"/>
      <c r="Y53" s="943"/>
      <c r="Z53" s="771"/>
    </row>
    <row r="54" spans="1:26">
      <c r="A54" s="940"/>
      <c r="B54" s="942"/>
      <c r="C54" s="942"/>
      <c r="D54" s="942"/>
      <c r="E54" s="943"/>
      <c r="F54" s="942"/>
      <c r="G54" s="943"/>
      <c r="H54" s="942"/>
      <c r="I54" s="943"/>
      <c r="J54" s="942"/>
      <c r="K54" s="942"/>
      <c r="L54" s="942"/>
      <c r="M54" s="943"/>
      <c r="N54" s="942"/>
      <c r="O54" s="943"/>
      <c r="P54" s="942"/>
      <c r="Q54" s="943"/>
      <c r="R54" s="942"/>
      <c r="S54" s="943"/>
      <c r="T54" s="942"/>
      <c r="U54" s="943"/>
      <c r="V54" s="942"/>
      <c r="W54" s="943"/>
      <c r="X54" s="942"/>
      <c r="Y54" s="943"/>
      <c r="Z54" s="771"/>
    </row>
    <row r="55" spans="1:26">
      <c r="A55" s="940"/>
      <c r="B55" s="942"/>
      <c r="C55" s="942"/>
      <c r="D55" s="942"/>
      <c r="E55" s="943"/>
      <c r="F55" s="942"/>
      <c r="G55" s="943"/>
      <c r="H55" s="942"/>
      <c r="I55" s="943"/>
      <c r="J55" s="942"/>
      <c r="K55" s="942"/>
      <c r="L55" s="942"/>
      <c r="M55" s="943"/>
      <c r="N55" s="942"/>
      <c r="O55" s="943"/>
      <c r="P55" s="942"/>
      <c r="Q55" s="943"/>
      <c r="R55" s="942"/>
      <c r="S55" s="943"/>
      <c r="T55" s="942"/>
      <c r="U55" s="943"/>
      <c r="V55" s="942"/>
      <c r="W55" s="943"/>
      <c r="X55" s="942"/>
      <c r="Y55" s="943"/>
      <c r="Z55" s="771"/>
    </row>
    <row r="56" spans="1:26">
      <c r="A56" s="940"/>
      <c r="B56" s="942"/>
      <c r="C56" s="942"/>
      <c r="D56" s="942"/>
      <c r="E56" s="943"/>
      <c r="F56" s="942"/>
      <c r="G56" s="943"/>
      <c r="H56" s="942"/>
      <c r="I56" s="943"/>
      <c r="J56" s="942"/>
      <c r="K56" s="942"/>
      <c r="L56" s="942"/>
      <c r="M56" s="943"/>
      <c r="N56" s="942"/>
      <c r="O56" s="943"/>
      <c r="P56" s="942"/>
      <c r="Q56" s="943"/>
      <c r="R56" s="942"/>
      <c r="S56" s="943"/>
      <c r="T56" s="942"/>
      <c r="U56" s="943"/>
      <c r="V56" s="942"/>
      <c r="W56" s="943"/>
      <c r="X56" s="942"/>
      <c r="Y56" s="943"/>
      <c r="Z56" s="771"/>
    </row>
    <row r="57" spans="1:26">
      <c r="A57" s="940"/>
      <c r="B57" s="942"/>
      <c r="C57" s="942"/>
      <c r="D57" s="942"/>
      <c r="E57" s="943"/>
      <c r="F57" s="942"/>
      <c r="G57" s="943"/>
      <c r="H57" s="942"/>
      <c r="I57" s="943"/>
      <c r="J57" s="942"/>
      <c r="K57" s="942"/>
      <c r="L57" s="942"/>
      <c r="M57" s="943"/>
      <c r="N57" s="942"/>
      <c r="O57" s="943"/>
      <c r="P57" s="942"/>
      <c r="Q57" s="943"/>
      <c r="R57" s="942"/>
      <c r="S57" s="943"/>
      <c r="T57" s="942"/>
      <c r="U57" s="943"/>
      <c r="V57" s="942"/>
      <c r="W57" s="943"/>
      <c r="X57" s="942"/>
      <c r="Y57" s="943"/>
      <c r="Z57" s="771"/>
    </row>
    <row r="58" spans="1:26">
      <c r="A58" s="940"/>
      <c r="B58" s="942"/>
      <c r="C58" s="942"/>
      <c r="D58" s="942"/>
      <c r="E58" s="943"/>
      <c r="F58" s="942"/>
      <c r="G58" s="943"/>
      <c r="H58" s="942"/>
      <c r="I58" s="943"/>
      <c r="J58" s="942"/>
      <c r="K58" s="942"/>
      <c r="L58" s="942"/>
      <c r="M58" s="943"/>
      <c r="N58" s="942"/>
      <c r="O58" s="943"/>
      <c r="P58" s="942"/>
      <c r="Q58" s="943"/>
      <c r="R58" s="942"/>
      <c r="S58" s="943"/>
      <c r="T58" s="942"/>
      <c r="U58" s="943"/>
      <c r="V58" s="942"/>
      <c r="W58" s="943"/>
      <c r="X58" s="942"/>
      <c r="Y58" s="943"/>
      <c r="Z58" s="771"/>
    </row>
    <row r="59" spans="1:26">
      <c r="A59" s="940"/>
      <c r="B59" s="942"/>
      <c r="C59" s="942"/>
      <c r="D59" s="942"/>
      <c r="E59" s="943"/>
      <c r="F59" s="942"/>
      <c r="G59" s="943"/>
      <c r="H59" s="942"/>
      <c r="I59" s="943"/>
      <c r="J59" s="942"/>
      <c r="K59" s="942"/>
      <c r="L59" s="942"/>
      <c r="M59" s="943"/>
      <c r="N59" s="942"/>
      <c r="O59" s="943"/>
      <c r="P59" s="942"/>
      <c r="Q59" s="943"/>
      <c r="R59" s="942"/>
      <c r="S59" s="943"/>
      <c r="T59" s="942"/>
      <c r="U59" s="943"/>
      <c r="V59" s="942"/>
      <c r="W59" s="943"/>
      <c r="X59" s="942"/>
      <c r="Y59" s="943"/>
      <c r="Z59" s="771"/>
    </row>
    <row r="60" spans="1:26">
      <c r="A60" s="940"/>
      <c r="B60" s="942"/>
      <c r="C60" s="942"/>
      <c r="D60" s="942"/>
      <c r="E60" s="943"/>
      <c r="F60" s="942"/>
      <c r="G60" s="943"/>
      <c r="H60" s="942"/>
      <c r="I60" s="943"/>
      <c r="J60" s="942"/>
      <c r="K60" s="942"/>
      <c r="L60" s="942"/>
      <c r="M60" s="943"/>
      <c r="N60" s="942"/>
      <c r="O60" s="943"/>
      <c r="P60" s="942"/>
      <c r="Q60" s="943"/>
      <c r="R60" s="942"/>
      <c r="S60" s="943"/>
      <c r="T60" s="942"/>
      <c r="U60" s="943"/>
      <c r="V60" s="942"/>
      <c r="W60" s="943"/>
      <c r="X60" s="942"/>
      <c r="Y60" s="943"/>
      <c r="Z60" s="771"/>
    </row>
    <row r="61" spans="1:26">
      <c r="A61" s="940"/>
      <c r="B61" s="942"/>
      <c r="C61" s="942"/>
      <c r="D61" s="942"/>
      <c r="E61" s="943"/>
      <c r="F61" s="942"/>
      <c r="G61" s="943"/>
      <c r="H61" s="942"/>
      <c r="I61" s="943"/>
      <c r="J61" s="942"/>
      <c r="K61" s="942"/>
      <c r="L61" s="942"/>
      <c r="M61" s="943"/>
      <c r="N61" s="942"/>
      <c r="O61" s="943"/>
      <c r="P61" s="942"/>
      <c r="Q61" s="943"/>
      <c r="R61" s="942"/>
      <c r="S61" s="943"/>
      <c r="T61" s="942"/>
      <c r="U61" s="943"/>
      <c r="V61" s="942"/>
      <c r="W61" s="943"/>
      <c r="X61" s="942"/>
      <c r="Y61" s="943"/>
      <c r="Z61" s="771"/>
    </row>
    <row r="62" spans="1:26">
      <c r="A62" s="940"/>
      <c r="B62" s="942"/>
      <c r="C62" s="942"/>
      <c r="D62" s="942"/>
      <c r="E62" s="943"/>
      <c r="F62" s="942"/>
      <c r="G62" s="943"/>
      <c r="H62" s="942"/>
      <c r="I62" s="943"/>
      <c r="J62" s="942"/>
      <c r="K62" s="942"/>
      <c r="L62" s="942"/>
      <c r="M62" s="943"/>
      <c r="N62" s="942"/>
      <c r="O62" s="943"/>
      <c r="P62" s="942"/>
      <c r="Q62" s="943"/>
      <c r="R62" s="942"/>
      <c r="S62" s="943"/>
      <c r="T62" s="942"/>
      <c r="U62" s="943"/>
      <c r="V62" s="942"/>
      <c r="W62" s="943"/>
      <c r="X62" s="942"/>
      <c r="Y62" s="943"/>
      <c r="Z62" s="771"/>
    </row>
    <row r="63" spans="1:26">
      <c r="A63" s="940"/>
      <c r="B63" s="942"/>
      <c r="C63" s="942"/>
      <c r="D63" s="942"/>
      <c r="E63" s="943"/>
      <c r="F63" s="942"/>
      <c r="G63" s="943"/>
      <c r="H63" s="942"/>
      <c r="I63" s="943"/>
      <c r="J63" s="942"/>
      <c r="K63" s="942"/>
      <c r="L63" s="942"/>
      <c r="M63" s="943"/>
      <c r="N63" s="942"/>
      <c r="O63" s="943"/>
      <c r="P63" s="942"/>
      <c r="Q63" s="943"/>
      <c r="R63" s="942"/>
      <c r="S63" s="943"/>
      <c r="T63" s="942"/>
      <c r="U63" s="943"/>
      <c r="V63" s="942"/>
      <c r="W63" s="943"/>
      <c r="X63" s="942"/>
      <c r="Y63" s="943"/>
      <c r="Z63" s="771"/>
    </row>
    <row r="64" spans="1:26">
      <c r="A64" s="940"/>
      <c r="B64" s="942"/>
      <c r="C64" s="942"/>
      <c r="D64" s="942"/>
      <c r="E64" s="943"/>
      <c r="F64" s="942"/>
      <c r="G64" s="943"/>
      <c r="H64" s="942"/>
      <c r="I64" s="943"/>
      <c r="J64" s="942"/>
      <c r="K64" s="942"/>
      <c r="L64" s="942"/>
      <c r="M64" s="943"/>
      <c r="N64" s="942"/>
      <c r="O64" s="943"/>
      <c r="P64" s="942"/>
      <c r="Q64" s="943"/>
      <c r="R64" s="942"/>
      <c r="S64" s="943"/>
      <c r="T64" s="942"/>
      <c r="U64" s="943"/>
      <c r="V64" s="942"/>
      <c r="W64" s="943"/>
      <c r="X64" s="942"/>
      <c r="Y64" s="943"/>
      <c r="Z64" s="771"/>
    </row>
    <row r="65" spans="1:26">
      <c r="A65" s="940"/>
      <c r="B65" s="942"/>
      <c r="C65" s="942"/>
      <c r="D65" s="942"/>
      <c r="E65" s="943"/>
      <c r="F65" s="942"/>
      <c r="G65" s="943"/>
      <c r="H65" s="942"/>
      <c r="I65" s="943"/>
      <c r="J65" s="942"/>
      <c r="K65" s="942"/>
      <c r="L65" s="942"/>
      <c r="M65" s="943"/>
      <c r="N65" s="942"/>
      <c r="O65" s="943"/>
      <c r="P65" s="942"/>
      <c r="Q65" s="943"/>
      <c r="R65" s="942"/>
      <c r="S65" s="943"/>
      <c r="T65" s="942"/>
      <c r="U65" s="943"/>
      <c r="V65" s="942"/>
      <c r="W65" s="943"/>
      <c r="X65" s="942"/>
      <c r="Y65" s="943"/>
      <c r="Z65" s="771"/>
    </row>
    <row r="66" spans="1:26">
      <c r="A66" s="940"/>
      <c r="B66" s="942"/>
      <c r="C66" s="942"/>
      <c r="D66" s="942"/>
      <c r="E66" s="943"/>
      <c r="F66" s="942"/>
      <c r="G66" s="943"/>
      <c r="H66" s="942"/>
      <c r="I66" s="943"/>
      <c r="J66" s="942"/>
      <c r="K66" s="942"/>
      <c r="L66" s="942"/>
      <c r="M66" s="943"/>
      <c r="N66" s="942"/>
      <c r="O66" s="943"/>
      <c r="P66" s="942"/>
      <c r="Q66" s="943"/>
      <c r="R66" s="942"/>
      <c r="S66" s="943"/>
      <c r="T66" s="942"/>
      <c r="U66" s="943"/>
      <c r="V66" s="942"/>
      <c r="W66" s="943"/>
      <c r="X66" s="942"/>
      <c r="Y66" s="943"/>
      <c r="Z66" s="771"/>
    </row>
    <row r="67" spans="1:26">
      <c r="A67" s="940"/>
      <c r="B67" s="942"/>
      <c r="C67" s="942"/>
      <c r="D67" s="942"/>
      <c r="E67" s="943"/>
      <c r="F67" s="942"/>
      <c r="G67" s="943"/>
      <c r="H67" s="942"/>
      <c r="I67" s="943"/>
      <c r="J67" s="942"/>
      <c r="K67" s="942"/>
      <c r="L67" s="942"/>
      <c r="M67" s="943"/>
      <c r="N67" s="942"/>
      <c r="O67" s="943"/>
      <c r="P67" s="942"/>
      <c r="Q67" s="943"/>
      <c r="R67" s="942"/>
      <c r="S67" s="943"/>
      <c r="T67" s="942"/>
      <c r="U67" s="943"/>
      <c r="V67" s="942"/>
      <c r="W67" s="943"/>
      <c r="X67" s="942"/>
      <c r="Y67" s="943"/>
      <c r="Z67" s="771"/>
    </row>
    <row r="68" spans="1:26">
      <c r="A68" s="940"/>
      <c r="B68" s="942"/>
      <c r="C68" s="942"/>
      <c r="D68" s="942"/>
      <c r="E68" s="943"/>
      <c r="F68" s="942"/>
      <c r="G68" s="943"/>
      <c r="H68" s="942"/>
      <c r="I68" s="943"/>
      <c r="J68" s="942"/>
      <c r="K68" s="942"/>
      <c r="L68" s="942"/>
      <c r="M68" s="943"/>
      <c r="N68" s="942"/>
      <c r="O68" s="943"/>
      <c r="P68" s="942"/>
      <c r="Q68" s="943"/>
      <c r="R68" s="942"/>
      <c r="S68" s="943"/>
      <c r="T68" s="942"/>
      <c r="U68" s="943"/>
      <c r="V68" s="942"/>
      <c r="W68" s="943"/>
      <c r="X68" s="942"/>
      <c r="Y68" s="943"/>
      <c r="Z68" s="771"/>
    </row>
    <row r="69" spans="1:26">
      <c r="A69" s="940"/>
      <c r="B69" s="942"/>
      <c r="C69" s="942"/>
      <c r="D69" s="942"/>
      <c r="E69" s="943"/>
      <c r="F69" s="942"/>
      <c r="G69" s="943"/>
      <c r="H69" s="942"/>
      <c r="I69" s="943"/>
      <c r="J69" s="942"/>
      <c r="K69" s="942"/>
      <c r="L69" s="942"/>
      <c r="M69" s="943"/>
      <c r="N69" s="942"/>
      <c r="O69" s="943"/>
      <c r="P69" s="942"/>
      <c r="Q69" s="943"/>
      <c r="R69" s="942"/>
      <c r="S69" s="943"/>
      <c r="T69" s="942"/>
      <c r="U69" s="943"/>
      <c r="V69" s="942"/>
      <c r="W69" s="943"/>
      <c r="X69" s="942"/>
      <c r="Y69" s="943"/>
      <c r="Z69" s="771"/>
    </row>
    <row r="70" spans="1:26">
      <c r="A70" s="940"/>
      <c r="B70" s="942"/>
      <c r="C70" s="942"/>
      <c r="D70" s="942"/>
      <c r="E70" s="943"/>
      <c r="F70" s="942"/>
      <c r="G70" s="943"/>
      <c r="H70" s="942"/>
      <c r="I70" s="943"/>
      <c r="J70" s="942"/>
      <c r="K70" s="942"/>
      <c r="L70" s="942"/>
      <c r="M70" s="943"/>
      <c r="N70" s="942"/>
      <c r="O70" s="943"/>
      <c r="P70" s="942"/>
      <c r="Q70" s="943"/>
      <c r="R70" s="942"/>
      <c r="S70" s="943"/>
      <c r="T70" s="942"/>
      <c r="U70" s="943"/>
      <c r="V70" s="942"/>
      <c r="W70" s="943"/>
      <c r="X70" s="942"/>
      <c r="Y70" s="943"/>
      <c r="Z70" s="771"/>
    </row>
    <row r="71" spans="1:26">
      <c r="A71" s="940"/>
      <c r="B71" s="942"/>
      <c r="C71" s="942"/>
      <c r="D71" s="942"/>
      <c r="E71" s="943"/>
      <c r="F71" s="942"/>
      <c r="G71" s="943"/>
      <c r="H71" s="942"/>
      <c r="I71" s="943"/>
      <c r="J71" s="942"/>
      <c r="K71" s="942"/>
      <c r="L71" s="942"/>
      <c r="M71" s="943"/>
      <c r="N71" s="942"/>
      <c r="O71" s="943"/>
      <c r="P71" s="942"/>
      <c r="Q71" s="943"/>
      <c r="R71" s="942"/>
      <c r="S71" s="943"/>
      <c r="T71" s="942"/>
      <c r="U71" s="943"/>
      <c r="V71" s="942"/>
      <c r="W71" s="943"/>
      <c r="X71" s="942"/>
      <c r="Y71" s="943"/>
      <c r="Z71" s="771"/>
    </row>
    <row r="72" spans="1:26">
      <c r="A72" s="940"/>
      <c r="B72" s="942"/>
      <c r="C72" s="942"/>
      <c r="D72" s="942"/>
      <c r="E72" s="943"/>
      <c r="F72" s="942"/>
      <c r="G72" s="943"/>
      <c r="H72" s="942"/>
      <c r="I72" s="943"/>
      <c r="J72" s="942"/>
      <c r="K72" s="942"/>
      <c r="L72" s="942"/>
      <c r="M72" s="943"/>
      <c r="N72" s="942"/>
      <c r="O72" s="943"/>
      <c r="P72" s="942"/>
      <c r="Q72" s="943"/>
      <c r="R72" s="942"/>
      <c r="S72" s="943"/>
      <c r="T72" s="942"/>
      <c r="U72" s="943"/>
      <c r="V72" s="942"/>
      <c r="W72" s="943"/>
      <c r="X72" s="942"/>
      <c r="Y72" s="943"/>
      <c r="Z72" s="771"/>
    </row>
    <row r="73" spans="1:26">
      <c r="A73" s="940"/>
      <c r="B73" s="942"/>
      <c r="C73" s="942"/>
      <c r="D73" s="942"/>
      <c r="E73" s="943"/>
      <c r="F73" s="942"/>
      <c r="G73" s="943"/>
      <c r="H73" s="942"/>
      <c r="I73" s="943"/>
      <c r="J73" s="942"/>
      <c r="K73" s="942"/>
      <c r="L73" s="942"/>
      <c r="M73" s="943"/>
      <c r="N73" s="942"/>
      <c r="O73" s="943"/>
      <c r="P73" s="942"/>
      <c r="Q73" s="943"/>
      <c r="R73" s="942"/>
      <c r="S73" s="943"/>
      <c r="T73" s="942"/>
      <c r="U73" s="943"/>
      <c r="V73" s="942"/>
      <c r="W73" s="943"/>
      <c r="X73" s="942"/>
      <c r="Y73" s="943"/>
      <c r="Z73" s="771"/>
    </row>
    <row r="74" spans="1:26">
      <c r="A74" s="940"/>
      <c r="B74" s="942"/>
      <c r="C74" s="942"/>
      <c r="D74" s="942"/>
      <c r="E74" s="943"/>
      <c r="F74" s="942"/>
      <c r="G74" s="943"/>
      <c r="H74" s="942"/>
      <c r="I74" s="943"/>
      <c r="J74" s="942"/>
      <c r="K74" s="942"/>
      <c r="L74" s="942"/>
      <c r="M74" s="943"/>
      <c r="N74" s="942"/>
      <c r="O74" s="943"/>
      <c r="P74" s="942"/>
      <c r="Q74" s="943"/>
      <c r="R74" s="942"/>
      <c r="S74" s="943"/>
      <c r="T74" s="942"/>
      <c r="U74" s="943"/>
      <c r="V74" s="942"/>
      <c r="W74" s="943"/>
      <c r="X74" s="942"/>
      <c r="Y74" s="943"/>
      <c r="Z74" s="771"/>
    </row>
    <row r="75" spans="1:26">
      <c r="A75" s="940"/>
      <c r="B75" s="942"/>
      <c r="C75" s="942"/>
      <c r="D75" s="942"/>
      <c r="E75" s="943"/>
      <c r="F75" s="942"/>
      <c r="G75" s="943"/>
      <c r="H75" s="942"/>
      <c r="I75" s="943"/>
      <c r="J75" s="942"/>
      <c r="K75" s="942"/>
      <c r="L75" s="942"/>
      <c r="M75" s="943"/>
      <c r="N75" s="942"/>
      <c r="O75" s="943"/>
      <c r="P75" s="942"/>
      <c r="Q75" s="943"/>
      <c r="R75" s="942"/>
      <c r="S75" s="943"/>
      <c r="T75" s="942"/>
      <c r="U75" s="943"/>
      <c r="V75" s="942"/>
      <c r="W75" s="943"/>
      <c r="X75" s="942"/>
      <c r="Y75" s="943"/>
      <c r="Z75" s="771"/>
    </row>
    <row r="76" spans="1:26">
      <c r="A76" s="940"/>
      <c r="B76" s="942"/>
      <c r="C76" s="942"/>
      <c r="D76" s="942"/>
      <c r="E76" s="943"/>
      <c r="F76" s="942"/>
      <c r="G76" s="943"/>
      <c r="H76" s="942"/>
      <c r="I76" s="943"/>
      <c r="J76" s="942"/>
      <c r="K76" s="942"/>
      <c r="L76" s="942"/>
      <c r="M76" s="943"/>
      <c r="N76" s="942"/>
      <c r="O76" s="943"/>
      <c r="P76" s="942"/>
      <c r="Q76" s="943"/>
      <c r="R76" s="942"/>
      <c r="S76" s="943"/>
      <c r="T76" s="942"/>
      <c r="U76" s="943"/>
      <c r="V76" s="942"/>
      <c r="W76" s="943"/>
      <c r="X76" s="942"/>
      <c r="Y76" s="943"/>
      <c r="Z76" s="771"/>
    </row>
    <row r="77" spans="1:26">
      <c r="A77" s="940"/>
      <c r="B77" s="942"/>
      <c r="C77" s="942"/>
      <c r="D77" s="942"/>
      <c r="E77" s="943"/>
      <c r="F77" s="942"/>
      <c r="G77" s="943"/>
      <c r="H77" s="942"/>
      <c r="I77" s="943"/>
      <c r="J77" s="942"/>
      <c r="K77" s="942"/>
      <c r="L77" s="942"/>
      <c r="M77" s="943"/>
      <c r="N77" s="942"/>
      <c r="O77" s="943"/>
      <c r="P77" s="942"/>
      <c r="Q77" s="943"/>
      <c r="R77" s="942"/>
      <c r="S77" s="943"/>
      <c r="T77" s="942"/>
      <c r="U77" s="943"/>
      <c r="V77" s="942"/>
      <c r="W77" s="943"/>
      <c r="X77" s="942"/>
      <c r="Y77" s="943"/>
      <c r="Z77" s="771"/>
    </row>
    <row r="78" spans="1:26">
      <c r="A78" s="940"/>
      <c r="B78" s="942"/>
      <c r="C78" s="942"/>
      <c r="D78" s="942"/>
      <c r="E78" s="943"/>
      <c r="F78" s="942"/>
      <c r="G78" s="943"/>
      <c r="H78" s="942"/>
      <c r="I78" s="943"/>
      <c r="J78" s="942"/>
      <c r="K78" s="942"/>
      <c r="L78" s="942"/>
      <c r="M78" s="943"/>
      <c r="N78" s="942"/>
      <c r="O78" s="943"/>
      <c r="P78" s="942"/>
      <c r="Q78" s="943"/>
      <c r="R78" s="942"/>
      <c r="S78" s="943"/>
      <c r="T78" s="942"/>
      <c r="U78" s="943"/>
      <c r="V78" s="942"/>
      <c r="W78" s="943"/>
      <c r="X78" s="942"/>
      <c r="Y78" s="943"/>
      <c r="Z78" s="771"/>
    </row>
    <row r="79" spans="1:26">
      <c r="A79" s="940"/>
      <c r="B79" s="942"/>
      <c r="C79" s="942"/>
      <c r="D79" s="942"/>
      <c r="E79" s="943"/>
      <c r="F79" s="942"/>
      <c r="G79" s="943"/>
      <c r="H79" s="942"/>
      <c r="I79" s="943"/>
      <c r="J79" s="942"/>
      <c r="K79" s="942"/>
      <c r="L79" s="942"/>
      <c r="M79" s="943"/>
      <c r="N79" s="942"/>
      <c r="O79" s="943"/>
      <c r="P79" s="942"/>
      <c r="Q79" s="943"/>
      <c r="R79" s="942"/>
      <c r="S79" s="943"/>
      <c r="T79" s="942"/>
      <c r="U79" s="943"/>
      <c r="V79" s="942"/>
      <c r="W79" s="943"/>
      <c r="X79" s="942"/>
      <c r="Y79" s="943"/>
      <c r="Z79" s="771"/>
    </row>
    <row r="80" spans="1:26">
      <c r="A80" s="940"/>
      <c r="B80" s="942"/>
      <c r="C80" s="942"/>
      <c r="D80" s="942"/>
      <c r="E80" s="943"/>
      <c r="F80" s="942"/>
      <c r="G80" s="943"/>
      <c r="H80" s="942"/>
      <c r="I80" s="943"/>
      <c r="J80" s="942"/>
      <c r="K80" s="942"/>
      <c r="L80" s="942"/>
      <c r="M80" s="943"/>
      <c r="N80" s="942"/>
      <c r="O80" s="943"/>
      <c r="P80" s="942"/>
      <c r="Q80" s="943"/>
      <c r="R80" s="942"/>
      <c r="S80" s="943"/>
      <c r="T80" s="942"/>
      <c r="U80" s="943"/>
      <c r="V80" s="942"/>
      <c r="W80" s="943"/>
      <c r="X80" s="942"/>
      <c r="Y80" s="943"/>
      <c r="Z80" s="771"/>
    </row>
    <row r="81" spans="1:26">
      <c r="A81" s="940"/>
      <c r="B81" s="942"/>
      <c r="C81" s="942"/>
      <c r="D81" s="942"/>
      <c r="E81" s="943"/>
      <c r="F81" s="942"/>
      <c r="G81" s="943"/>
      <c r="H81" s="942"/>
      <c r="I81" s="943"/>
      <c r="J81" s="942"/>
      <c r="K81" s="942"/>
      <c r="L81" s="942"/>
      <c r="M81" s="943"/>
      <c r="N81" s="942"/>
      <c r="O81" s="943"/>
      <c r="P81" s="942"/>
      <c r="Q81" s="943"/>
      <c r="R81" s="942"/>
      <c r="S81" s="943"/>
      <c r="T81" s="942"/>
      <c r="U81" s="943"/>
      <c r="V81" s="942"/>
      <c r="W81" s="943"/>
      <c r="X81" s="942"/>
      <c r="Y81" s="943"/>
      <c r="Z81" s="771"/>
    </row>
    <row r="82" spans="1:26">
      <c r="A82" s="940"/>
      <c r="B82" s="942"/>
      <c r="C82" s="942"/>
      <c r="D82" s="942"/>
      <c r="E82" s="943"/>
      <c r="F82" s="942"/>
      <c r="G82" s="943"/>
      <c r="H82" s="942"/>
      <c r="I82" s="943"/>
      <c r="J82" s="942"/>
      <c r="K82" s="942"/>
      <c r="L82" s="942"/>
      <c r="M82" s="943"/>
      <c r="N82" s="942"/>
      <c r="O82" s="943"/>
      <c r="P82" s="942"/>
      <c r="Q82" s="943"/>
      <c r="R82" s="942"/>
      <c r="S82" s="943"/>
      <c r="T82" s="942"/>
      <c r="U82" s="943"/>
      <c r="V82" s="942"/>
      <c r="W82" s="943"/>
      <c r="X82" s="942"/>
      <c r="Y82" s="943"/>
      <c r="Z82" s="771"/>
    </row>
    <row r="83" spans="1:26">
      <c r="A83" s="940"/>
      <c r="B83" s="942"/>
      <c r="C83" s="942"/>
      <c r="D83" s="942"/>
      <c r="E83" s="943"/>
      <c r="F83" s="942"/>
      <c r="G83" s="943"/>
      <c r="H83" s="942"/>
      <c r="I83" s="943"/>
      <c r="J83" s="942"/>
      <c r="K83" s="942"/>
      <c r="L83" s="942"/>
      <c r="M83" s="943"/>
      <c r="N83" s="942"/>
      <c r="O83" s="943"/>
      <c r="P83" s="942"/>
      <c r="Q83" s="943"/>
      <c r="R83" s="942"/>
      <c r="S83" s="943"/>
      <c r="T83" s="942"/>
      <c r="U83" s="943"/>
      <c r="V83" s="942"/>
      <c r="W83" s="943"/>
      <c r="X83" s="942"/>
      <c r="Y83" s="943"/>
      <c r="Z83" s="771"/>
    </row>
    <row r="84" spans="1:26">
      <c r="A84" s="940"/>
      <c r="B84" s="942"/>
      <c r="C84" s="942"/>
      <c r="D84" s="942"/>
      <c r="E84" s="943"/>
      <c r="F84" s="942"/>
      <c r="G84" s="943"/>
      <c r="H84" s="942"/>
      <c r="I84" s="943"/>
      <c r="J84" s="942"/>
      <c r="K84" s="942"/>
      <c r="L84" s="942"/>
      <c r="M84" s="943"/>
      <c r="N84" s="942"/>
      <c r="O84" s="943"/>
      <c r="P84" s="942"/>
      <c r="Q84" s="943"/>
      <c r="R84" s="942"/>
      <c r="S84" s="943"/>
      <c r="T84" s="942"/>
      <c r="U84" s="943"/>
      <c r="V84" s="942"/>
      <c r="W84" s="943"/>
      <c r="X84" s="942"/>
      <c r="Y84" s="943"/>
      <c r="Z84" s="771"/>
    </row>
    <row r="85" spans="1:26">
      <c r="A85" s="940"/>
      <c r="B85" s="942"/>
      <c r="C85" s="942"/>
      <c r="D85" s="942"/>
      <c r="E85" s="943"/>
      <c r="F85" s="942"/>
      <c r="G85" s="943"/>
      <c r="H85" s="942"/>
      <c r="I85" s="943"/>
      <c r="J85" s="942"/>
      <c r="K85" s="942"/>
      <c r="L85" s="942"/>
      <c r="M85" s="943"/>
      <c r="N85" s="942"/>
      <c r="O85" s="943"/>
      <c r="P85" s="942"/>
      <c r="Q85" s="943"/>
      <c r="R85" s="942"/>
      <c r="S85" s="943"/>
      <c r="T85" s="942"/>
      <c r="U85" s="943"/>
      <c r="V85" s="942"/>
      <c r="W85" s="943"/>
      <c r="X85" s="942"/>
      <c r="Y85" s="943"/>
      <c r="Z85" s="771"/>
    </row>
    <row r="86" spans="1:26">
      <c r="A86" s="940"/>
      <c r="B86" s="942"/>
      <c r="C86" s="942"/>
      <c r="D86" s="942"/>
      <c r="E86" s="943"/>
      <c r="F86" s="942"/>
      <c r="G86" s="943"/>
      <c r="H86" s="942"/>
      <c r="I86" s="943"/>
      <c r="J86" s="942"/>
      <c r="K86" s="942"/>
      <c r="L86" s="942"/>
      <c r="M86" s="943"/>
      <c r="N86" s="942"/>
      <c r="O86" s="943"/>
      <c r="P86" s="942"/>
      <c r="Q86" s="943"/>
      <c r="R86" s="942"/>
      <c r="S86" s="943"/>
      <c r="T86" s="942"/>
      <c r="U86" s="943"/>
      <c r="V86" s="942"/>
      <c r="W86" s="943"/>
      <c r="X86" s="942"/>
      <c r="Y86" s="943"/>
      <c r="Z86" s="771"/>
    </row>
  </sheetData>
  <sortState ref="A19:AN28">
    <sortCondition ref="A19:A28"/>
  </sortState>
  <pageMargins left="0.1" right="0.1" top="0.75" bottom="0.25" header="0" footer="0.25"/>
  <pageSetup scale="44" firstPageNumber="60"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showOutlineSymbols="0" zoomScale="75"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5" customWidth="1"/>
    <col min="19" max="19" width="11.90625" style="233" customWidth="1"/>
    <col min="20" max="20" width="0.81640625" style="305" customWidth="1"/>
    <col min="21" max="21" width="10.90625" style="233" customWidth="1"/>
    <col min="22" max="22" width="0.453125" style="305" customWidth="1"/>
    <col min="23" max="16384" width="8.90625" style="233"/>
  </cols>
  <sheetData>
    <row r="1" spans="1:254">
      <c r="A1" s="1184" t="s">
        <v>1217</v>
      </c>
    </row>
    <row r="2" spans="1:254">
      <c r="A2" s="1731"/>
    </row>
    <row r="3" spans="1:254" s="226" customFormat="1" ht="18" customHeight="1">
      <c r="A3" s="221" t="s">
        <v>0</v>
      </c>
      <c r="B3" s="221"/>
      <c r="C3" s="221"/>
      <c r="D3" s="221"/>
      <c r="E3" s="221"/>
      <c r="F3" s="222"/>
      <c r="G3" s="222"/>
      <c r="H3" s="221"/>
      <c r="I3" s="221"/>
      <c r="J3" s="221"/>
      <c r="K3" s="221"/>
      <c r="L3" s="221"/>
      <c r="M3" s="221"/>
      <c r="N3" s="796"/>
      <c r="O3" s="3561"/>
      <c r="P3" s="3561"/>
      <c r="Q3" s="2625"/>
      <c r="R3" s="2625"/>
      <c r="S3" s="223"/>
      <c r="T3" s="225"/>
      <c r="U3" s="3562" t="s">
        <v>64</v>
      </c>
      <c r="V3" s="3562"/>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8"/>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626" t="s">
        <v>1108</v>
      </c>
      <c r="B5" s="221"/>
      <c r="C5" s="221"/>
      <c r="D5" s="221"/>
      <c r="E5" s="221"/>
      <c r="F5" s="222"/>
      <c r="G5" s="222"/>
      <c r="H5" s="221"/>
      <c r="I5" s="221"/>
      <c r="J5" s="221"/>
      <c r="K5" s="221"/>
      <c r="L5" s="221"/>
      <c r="M5" s="221"/>
      <c r="N5" s="221"/>
      <c r="O5" s="221"/>
      <c r="P5" s="221" t="s">
        <v>16</v>
      </c>
      <c r="Q5" s="221"/>
      <c r="R5" s="478"/>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1103</v>
      </c>
      <c r="B6" s="221"/>
      <c r="C6" s="221"/>
      <c r="D6" s="221"/>
      <c r="E6" s="221"/>
      <c r="F6" s="222"/>
      <c r="G6" s="222"/>
      <c r="H6" s="221"/>
      <c r="I6" s="221"/>
      <c r="J6" s="221"/>
      <c r="K6" s="221"/>
      <c r="L6" s="221"/>
      <c r="M6" s="221"/>
      <c r="N6" s="221"/>
      <c r="O6" s="221"/>
      <c r="P6" s="221"/>
      <c r="Q6" s="221"/>
      <c r="R6" s="478"/>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8"/>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8"/>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8"/>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8"/>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98"/>
      <c r="L11" s="2642"/>
      <c r="M11" s="415"/>
      <c r="N11" s="1498"/>
      <c r="O11" s="1498"/>
      <c r="P11" s="1498"/>
      <c r="Q11" s="1498"/>
      <c r="R11" s="1526"/>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98"/>
      <c r="C12" s="1498" t="s">
        <v>65</v>
      </c>
      <c r="D12" s="1498"/>
      <c r="E12" s="221"/>
      <c r="F12" s="1498"/>
      <c r="G12" s="1498" t="s">
        <v>66</v>
      </c>
      <c r="H12" s="1498"/>
      <c r="I12" s="221"/>
      <c r="J12" s="1498"/>
      <c r="K12" s="1498"/>
      <c r="L12" s="2642"/>
      <c r="M12" s="1498" t="s">
        <v>67</v>
      </c>
      <c r="N12" s="1498"/>
      <c r="O12" s="1498"/>
      <c r="P12" s="1498"/>
      <c r="Q12" s="1498"/>
      <c r="R12" s="1526"/>
      <c r="S12" s="1965" t="s">
        <v>1355</v>
      </c>
      <c r="T12" s="1963"/>
      <c r="U12" s="1964"/>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92"/>
      <c r="S13" s="230"/>
      <c r="T13" s="236"/>
      <c r="U13" s="232"/>
      <c r="V13" s="236"/>
      <c r="W13" s="232"/>
      <c r="X13" s="232"/>
    </row>
    <row r="14" spans="1:254" ht="15.9" customHeight="1">
      <c r="A14" s="223"/>
      <c r="B14" s="1498" t="s">
        <v>7</v>
      </c>
      <c r="C14" s="221"/>
      <c r="D14" s="1498" t="s">
        <v>1660</v>
      </c>
      <c r="E14" s="221"/>
      <c r="F14" s="1498" t="s">
        <v>7</v>
      </c>
      <c r="G14" s="413"/>
      <c r="H14" s="1498" t="str">
        <f>D14</f>
        <v>9 MOS. ENDED</v>
      </c>
      <c r="I14" s="221"/>
      <c r="J14" s="1498" t="s">
        <v>7</v>
      </c>
      <c r="K14" s="221"/>
      <c r="L14" s="1498" t="str">
        <f>D14</f>
        <v>9 MOS. ENDED</v>
      </c>
      <c r="M14" s="221"/>
      <c r="N14" s="1498" t="s">
        <v>7</v>
      </c>
      <c r="O14" s="221"/>
      <c r="P14" s="1498" t="str">
        <f>H14</f>
        <v>9 MOS. ENDED</v>
      </c>
      <c r="Q14" s="1498"/>
      <c r="R14" s="1995"/>
      <c r="S14" s="1516" t="s">
        <v>8</v>
      </c>
      <c r="T14" s="414"/>
      <c r="U14" s="1517" t="s">
        <v>9</v>
      </c>
      <c r="V14" s="236"/>
      <c r="W14" s="232"/>
      <c r="X14" s="232"/>
    </row>
    <row r="15" spans="1:254" ht="15.9" customHeight="1">
      <c r="A15" s="223"/>
      <c r="B15" s="1499" t="s">
        <v>1659</v>
      </c>
      <c r="C15" s="221"/>
      <c r="D15" s="1500" t="s">
        <v>1661</v>
      </c>
      <c r="E15" s="221"/>
      <c r="F15" s="1498" t="str">
        <f>B15</f>
        <v>DEC. 2015</v>
      </c>
      <c r="G15" s="221"/>
      <c r="H15" s="1498" t="str">
        <f>D15</f>
        <v>DEC. 31, 2015</v>
      </c>
      <c r="I15" s="221"/>
      <c r="J15" s="1498" t="str">
        <f>B15</f>
        <v>DEC. 2015</v>
      </c>
      <c r="K15" s="221"/>
      <c r="L15" s="1498" t="str">
        <f>D15</f>
        <v>DEC. 31, 2015</v>
      </c>
      <c r="M15" s="221"/>
      <c r="N15" s="3534" t="s">
        <v>1655</v>
      </c>
      <c r="O15" s="221"/>
      <c r="P15" s="3534" t="s">
        <v>1656</v>
      </c>
      <c r="Q15" s="1497"/>
      <c r="R15" s="1996"/>
      <c r="S15" s="1522" t="s">
        <v>13</v>
      </c>
      <c r="T15" s="413"/>
      <c r="U15" s="1523"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92"/>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97"/>
      <c r="S17" s="230"/>
      <c r="T17" s="241"/>
      <c r="U17" s="232"/>
      <c r="V17" s="241"/>
      <c r="W17" s="232"/>
      <c r="X17" s="232"/>
    </row>
    <row r="18" spans="1:247" ht="15.9" customHeight="1">
      <c r="A18" s="223" t="s">
        <v>21</v>
      </c>
      <c r="B18" s="1252">
        <f>'Exhibit J'!S19</f>
        <v>4.0999999999999996</v>
      </c>
      <c r="C18" s="1252"/>
      <c r="D18" s="1975">
        <f>+'Exhibit J'!AB19</f>
        <v>52.3</v>
      </c>
      <c r="E18" s="1252"/>
      <c r="F18" s="1975">
        <f>'Exhibit K'!R17</f>
        <v>36.5</v>
      </c>
      <c r="G18" s="1252"/>
      <c r="H18" s="1975">
        <f>+'Exhibit K'!AA17</f>
        <v>346.8</v>
      </c>
      <c r="I18" s="2404"/>
      <c r="J18" s="2404">
        <f>ROUND(SUM(B18)+SUM(F18),1)</f>
        <v>40.6</v>
      </c>
      <c r="K18" s="1252"/>
      <c r="L18" s="2716">
        <f>ROUND(SUM(D18)+SUM(H18),1)</f>
        <v>399.1</v>
      </c>
      <c r="M18" s="2404"/>
      <c r="N18" s="1975">
        <v>39.700000000000003</v>
      </c>
      <c r="O18" s="1975"/>
      <c r="P18" s="1975">
        <v>410.4</v>
      </c>
      <c r="Q18" s="1975"/>
      <c r="R18" s="2717"/>
      <c r="S18" s="1252">
        <f>ROUND(SUM(L18-P18),1)</f>
        <v>-11.3</v>
      </c>
      <c r="T18" s="2378"/>
      <c r="U18" s="2808">
        <f>ROUND(+S18/P18,3)</f>
        <v>-2.8000000000000001E-2</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720" t="s">
        <v>68</v>
      </c>
      <c r="B19" s="1171">
        <f>'Exhibit J'!S20</f>
        <v>5.5</v>
      </c>
      <c r="C19" s="1171"/>
      <c r="D19" s="1908">
        <f>+'Exhibit J'!AB20</f>
        <v>25</v>
      </c>
      <c r="E19" s="1171"/>
      <c r="F19" s="1253">
        <v>0</v>
      </c>
      <c r="G19" s="1171"/>
      <c r="H19" s="1253">
        <v>0</v>
      </c>
      <c r="I19" s="2719"/>
      <c r="J19" s="2720">
        <f>ROUND(SUM(B19)+SUM(F19),1)</f>
        <v>5.5</v>
      </c>
      <c r="K19" s="1269"/>
      <c r="L19" s="1908">
        <f>ROUND(SUM(D19)+SUM(H19),1)</f>
        <v>25</v>
      </c>
      <c r="M19" s="2721"/>
      <c r="N19" s="1908">
        <v>3.6</v>
      </c>
      <c r="O19" s="1908"/>
      <c r="P19" s="1908">
        <v>36.200000000000003</v>
      </c>
      <c r="Q19" s="1908"/>
      <c r="R19" s="2722"/>
      <c r="S19" s="1171">
        <f>ROUND(SUM(L19-P19),1)</f>
        <v>-11.2</v>
      </c>
      <c r="T19" s="2723"/>
      <c r="U19" s="3118">
        <f>ROUND(+S19/P19,3)</f>
        <v>-0.309</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71">
        <f>'Exhibit J'!S21</f>
        <v>213.4</v>
      </c>
      <c r="C20" s="1171"/>
      <c r="D20" s="1908">
        <f>+'Exhibit J'!AB21</f>
        <v>1616.5</v>
      </c>
      <c r="E20" s="1171"/>
      <c r="F20" s="1253">
        <v>0</v>
      </c>
      <c r="G20" s="1171"/>
      <c r="H20" s="1253">
        <v>0</v>
      </c>
      <c r="I20" s="2719"/>
      <c r="J20" s="2724">
        <f>ROUND(SUM(B20+F20),1)</f>
        <v>213.4</v>
      </c>
      <c r="K20" s="1269"/>
      <c r="L20" s="1908">
        <f>ROUND(SUM(D20)+SUM(H20),1)</f>
        <v>1616.5</v>
      </c>
      <c r="M20" s="2721"/>
      <c r="N20" s="1908">
        <v>234.4</v>
      </c>
      <c r="O20" s="2366"/>
      <c r="P20" s="1908">
        <v>1760.6</v>
      </c>
      <c r="Q20" s="1908"/>
      <c r="R20" s="2722"/>
      <c r="S20" s="1171">
        <f>ROUND(SUM(L20-P20),1)</f>
        <v>-144.1</v>
      </c>
      <c r="T20" s="2723"/>
      <c r="U20" s="2808">
        <f>ROUND(+S20/P20,3)</f>
        <v>-8.2000000000000003E-2</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223</v>
      </c>
      <c r="C21" s="1886"/>
      <c r="D21" s="256">
        <f>ROUND(SUM(D18:D20),1)</f>
        <v>1693.8</v>
      </c>
      <c r="E21" s="1886"/>
      <c r="F21" s="256">
        <f>ROUND(SUM(F18:F20),1)</f>
        <v>36.5</v>
      </c>
      <c r="G21" s="1886"/>
      <c r="H21" s="256">
        <f>ROUND(SUM(H18:H20),1)</f>
        <v>346.8</v>
      </c>
      <c r="I21" s="258"/>
      <c r="J21" s="256">
        <f>SUM(J18:J20)</f>
        <v>259.5</v>
      </c>
      <c r="K21" s="1886"/>
      <c r="L21" s="256">
        <f>SUM(L18:L20)</f>
        <v>2040.6</v>
      </c>
      <c r="M21" s="259"/>
      <c r="N21" s="256">
        <f>ROUND(SUM(N18:N20),1)</f>
        <v>277.7</v>
      </c>
      <c r="O21" s="1886"/>
      <c r="P21" s="256">
        <f>ROUND(SUM(P18:P20),1)</f>
        <v>2207.1999999999998</v>
      </c>
      <c r="Q21" s="273"/>
      <c r="R21" s="658"/>
      <c r="S21" s="256">
        <f>ROUND(SUM(S18:S20),1)</f>
        <v>-166.6</v>
      </c>
      <c r="T21" s="1267"/>
      <c r="U21" s="2809">
        <f>ROUND(+S21/P21,3)</f>
        <v>-7.4999999999999997E-2</v>
      </c>
      <c r="V21" s="253"/>
      <c r="W21" s="232"/>
      <c r="X21" s="232"/>
    </row>
    <row r="22" spans="1:247" ht="15.6">
      <c r="A22" s="221"/>
      <c r="B22" s="1171"/>
      <c r="C22" s="1171"/>
      <c r="D22" s="1171"/>
      <c r="E22" s="1171"/>
      <c r="F22" s="1171"/>
      <c r="G22" s="1171"/>
      <c r="H22" s="1171"/>
      <c r="I22" s="2720"/>
      <c r="J22" s="2720"/>
      <c r="K22" s="1171"/>
      <c r="L22" s="1171"/>
      <c r="M22" s="2720"/>
      <c r="N22" s="1908"/>
      <c r="O22" s="1171"/>
      <c r="P22" s="1908"/>
      <c r="Q22" s="1908"/>
      <c r="R22" s="2722"/>
      <c r="S22" s="1882"/>
      <c r="T22" s="2725"/>
      <c r="U22" s="2810"/>
      <c r="V22" s="241"/>
      <c r="W22" s="232"/>
      <c r="X22" s="232"/>
    </row>
    <row r="23" spans="1:247" ht="15.9" customHeight="1">
      <c r="A23" s="221" t="s">
        <v>24</v>
      </c>
      <c r="B23" s="1171"/>
      <c r="C23" s="1171"/>
      <c r="D23" s="1171"/>
      <c r="E23" s="1171"/>
      <c r="F23" s="1171"/>
      <c r="G23" s="1171"/>
      <c r="H23" s="1171"/>
      <c r="I23" s="2720"/>
      <c r="J23" s="2720"/>
      <c r="K23" s="1171"/>
      <c r="L23" s="1171"/>
      <c r="M23" s="2720"/>
      <c r="N23" s="1908"/>
      <c r="O23" s="1171"/>
      <c r="P23" s="1908"/>
      <c r="Q23" s="1908"/>
      <c r="R23" s="2722"/>
      <c r="S23" s="1882"/>
      <c r="T23" s="2725"/>
      <c r="U23" s="2810"/>
      <c r="V23" s="241"/>
      <c r="W23" s="232"/>
      <c r="X23" s="232"/>
    </row>
    <row r="24" spans="1:247" ht="15.9" customHeight="1">
      <c r="A24" s="223" t="s">
        <v>37</v>
      </c>
      <c r="B24" s="1171"/>
      <c r="C24" s="1171"/>
      <c r="D24" s="1171"/>
      <c r="E24" s="1171"/>
      <c r="F24" s="1171"/>
      <c r="G24" s="1171"/>
      <c r="H24" s="1171"/>
      <c r="I24" s="2720"/>
      <c r="J24" s="2720"/>
      <c r="K24" s="1171"/>
      <c r="L24" s="1171"/>
      <c r="M24" s="2720"/>
      <c r="N24" s="1908"/>
      <c r="O24" s="1171"/>
      <c r="P24" s="1908"/>
      <c r="Q24" s="1908"/>
      <c r="R24" s="2722"/>
      <c r="S24" s="1882"/>
      <c r="T24" s="2725"/>
      <c r="U24" s="2810"/>
      <c r="V24" s="241"/>
      <c r="W24" s="232"/>
      <c r="X24" s="232"/>
    </row>
    <row r="25" spans="1:247" ht="15.9" customHeight="1">
      <c r="A25" s="223" t="s">
        <v>70</v>
      </c>
      <c r="B25" s="1171">
        <f>'Exhibit J'!S29</f>
        <v>0.6</v>
      </c>
      <c r="C25" s="1171"/>
      <c r="D25" s="1908">
        <f>+'Exhibit J'!AB29</f>
        <v>4.5</v>
      </c>
      <c r="E25" s="1171"/>
      <c r="F25" s="1171">
        <f>'Exhibit K'!R25</f>
        <v>9.6</v>
      </c>
      <c r="G25" s="1171"/>
      <c r="H25" s="1171">
        <f>+'Exhibit K'!AA25</f>
        <v>66.3</v>
      </c>
      <c r="I25" s="2720"/>
      <c r="J25" s="2720">
        <f>ROUND(SUM(B25)+SUM(F25),1)</f>
        <v>10.199999999999999</v>
      </c>
      <c r="K25" s="1171"/>
      <c r="L25" s="1908">
        <f>ROUND(SUM(D25)+SUM(H25),1)</f>
        <v>70.8</v>
      </c>
      <c r="M25" s="2720"/>
      <c r="N25" s="1908">
        <v>9.5</v>
      </c>
      <c r="O25" s="2045"/>
      <c r="P25" s="1908">
        <v>72.900000000000006</v>
      </c>
      <c r="Q25" s="1908"/>
      <c r="R25" s="2722"/>
      <c r="S25" s="1171">
        <f>ROUND(SUM(L25-P25),1)</f>
        <v>-2.1</v>
      </c>
      <c r="T25" s="1267"/>
      <c r="U25" s="2808">
        <f>ROUND(+S25/P25,3)</f>
        <v>-2.9000000000000001E-2</v>
      </c>
      <c r="V25" s="241"/>
      <c r="W25" s="232"/>
      <c r="X25" s="232"/>
    </row>
    <row r="26" spans="1:247" ht="15.9" customHeight="1">
      <c r="A26" s="223" t="s">
        <v>71</v>
      </c>
      <c r="B26" s="1171">
        <f>'Exhibit J'!S30</f>
        <v>4.5999999999999996</v>
      </c>
      <c r="C26" s="1171"/>
      <c r="D26" s="1908">
        <f>+'Exhibit J'!AB30</f>
        <v>58.8</v>
      </c>
      <c r="E26" s="1171"/>
      <c r="F26" s="1171">
        <f>'Exhibit K'!R26</f>
        <v>38.1</v>
      </c>
      <c r="G26" s="1171"/>
      <c r="H26" s="1171">
        <f>+'Exhibit K'!AA26</f>
        <v>339.5</v>
      </c>
      <c r="I26" s="2720"/>
      <c r="J26" s="2720">
        <f>ROUND(SUM(B26)+SUM(F26),1)</f>
        <v>42.7</v>
      </c>
      <c r="K26" s="1171"/>
      <c r="L26" s="1908">
        <f>ROUND(SUM(D26)+SUM(H26),1)</f>
        <v>398.3</v>
      </c>
      <c r="M26" s="2720"/>
      <c r="N26" s="1908">
        <v>55.8</v>
      </c>
      <c r="O26" s="2045"/>
      <c r="P26" s="1908">
        <v>513</v>
      </c>
      <c r="Q26" s="1908"/>
      <c r="R26" s="2722"/>
      <c r="S26" s="1171">
        <f>ROUND(SUM(L26-P26),1)</f>
        <v>-114.7</v>
      </c>
      <c r="T26" s="1267"/>
      <c r="U26" s="2808">
        <f>ROUND(+S26/P26,3)</f>
        <v>-0.224</v>
      </c>
      <c r="V26" s="241"/>
      <c r="W26" s="232"/>
      <c r="X26" s="232"/>
    </row>
    <row r="27" spans="1:247" ht="15.9" customHeight="1">
      <c r="A27" s="223" t="s">
        <v>72</v>
      </c>
      <c r="B27" s="1171">
        <f>'Exhibit J'!S31</f>
        <v>0.2</v>
      </c>
      <c r="C27" s="1171"/>
      <c r="D27" s="1908">
        <f>+'Exhibit J'!AB31</f>
        <v>0.5</v>
      </c>
      <c r="E27" s="1908"/>
      <c r="F27" s="1171">
        <f>'Exhibit K'!R27</f>
        <v>9.8000000000000007</v>
      </c>
      <c r="G27" s="1171"/>
      <c r="H27" s="2726">
        <f>+'Exhibit K'!AA27</f>
        <v>31.5</v>
      </c>
      <c r="I27" s="1908"/>
      <c r="J27" s="2720">
        <f>ROUND(SUM(B27)+SUM(F27),1)</f>
        <v>10</v>
      </c>
      <c r="K27" s="1171"/>
      <c r="L27" s="1908">
        <f>ROUND(SUM(D27)+SUM(H27),1)</f>
        <v>32</v>
      </c>
      <c r="M27" s="2720"/>
      <c r="N27" s="2727">
        <v>1.9</v>
      </c>
      <c r="O27" s="2056"/>
      <c r="P27" s="1908">
        <v>39.299999999999997</v>
      </c>
      <c r="Q27" s="1908"/>
      <c r="R27" s="2722"/>
      <c r="S27" s="1171">
        <f>ROUND(SUM(L27-P27),1)</f>
        <v>-7.3</v>
      </c>
      <c r="T27" s="1267"/>
      <c r="U27" s="2808">
        <f>ROUND(+S27/P27,3)</f>
        <v>-0.186</v>
      </c>
      <c r="V27" s="241"/>
      <c r="W27" s="232"/>
      <c r="X27" s="232"/>
    </row>
    <row r="28" spans="1:247" ht="15.75" customHeight="1">
      <c r="A28" s="1720" t="s">
        <v>73</v>
      </c>
      <c r="B28" s="1171">
        <f>'Exhibit J'!S32</f>
        <v>198.9</v>
      </c>
      <c r="C28" s="1171"/>
      <c r="D28" s="1908">
        <f>+'Exhibit J'!AB32</f>
        <v>1617.2</v>
      </c>
      <c r="E28" s="1171"/>
      <c r="F28" s="1912">
        <v>0</v>
      </c>
      <c r="G28" s="1171"/>
      <c r="H28" s="2728">
        <v>0</v>
      </c>
      <c r="I28" s="1908"/>
      <c r="J28" s="2720">
        <f>ROUND(SUM(B28)+SUM(F28),1)</f>
        <v>198.9</v>
      </c>
      <c r="K28" s="2366"/>
      <c r="L28" s="1908">
        <f>ROUND(SUM(D28)+SUM(H28),1)</f>
        <v>1617.2</v>
      </c>
      <c r="M28" s="2729"/>
      <c r="N28" s="2730">
        <v>245.4</v>
      </c>
      <c r="O28" s="2052"/>
      <c r="P28" s="2730">
        <v>1774.5</v>
      </c>
      <c r="Q28" s="1978"/>
      <c r="R28" s="2731"/>
      <c r="S28" s="1171">
        <f>ROUND(SUM(L28-P28),1)</f>
        <v>-157.30000000000001</v>
      </c>
      <c r="T28" s="1267"/>
      <c r="U28" s="2808">
        <f>ROUND(+S28/P28,3)</f>
        <v>-8.8999999999999996E-2</v>
      </c>
      <c r="V28" s="253"/>
      <c r="W28" s="232"/>
      <c r="X28" s="232"/>
    </row>
    <row r="29" spans="1:247" ht="15.6">
      <c r="A29" s="221" t="s">
        <v>60</v>
      </c>
      <c r="B29" s="256">
        <f>ROUND(SUM(B25:B28),1)</f>
        <v>204.3</v>
      </c>
      <c r="C29" s="1886"/>
      <c r="D29" s="256">
        <f>ROUND(SUM(D25:D28),1)</f>
        <v>1681</v>
      </c>
      <c r="E29" s="1886"/>
      <c r="F29" s="256">
        <f>ROUND(SUM(F24:F28),1)</f>
        <v>57.5</v>
      </c>
      <c r="G29" s="1886"/>
      <c r="H29" s="256">
        <f>ROUND(SUM(H25:H28),1)</f>
        <v>437.3</v>
      </c>
      <c r="I29" s="258"/>
      <c r="J29" s="268">
        <f>ROUND(SUM(J25:J28),1)</f>
        <v>261.8</v>
      </c>
      <c r="K29" s="1886"/>
      <c r="L29" s="269">
        <f>ROUND(SUM(L25:L28),1)</f>
        <v>2118.3000000000002</v>
      </c>
      <c r="M29" s="259"/>
      <c r="N29" s="256">
        <f>ROUND(SUM(N25:N28),1)</f>
        <v>312.60000000000002</v>
      </c>
      <c r="O29" s="1886"/>
      <c r="P29" s="256">
        <f>ROUND(SUM(P25:P28),1)</f>
        <v>2399.6999999999998</v>
      </c>
      <c r="Q29" s="273"/>
      <c r="R29" s="658"/>
      <c r="S29" s="256">
        <f>ROUND(SUM(S25:S28),1)</f>
        <v>-281.39999999999998</v>
      </c>
      <c r="T29" s="1267"/>
      <c r="U29" s="2811">
        <f>ROUND(+S29/P29,3)</f>
        <v>-0.11700000000000001</v>
      </c>
      <c r="V29" s="253"/>
      <c r="W29" s="232"/>
      <c r="X29" s="232"/>
    </row>
    <row r="30" spans="1:247" ht="15.6">
      <c r="A30" s="221"/>
      <c r="B30" s="1171"/>
      <c r="C30" s="1171"/>
      <c r="D30" s="1171"/>
      <c r="E30" s="1171"/>
      <c r="F30" s="1171"/>
      <c r="G30" s="1171"/>
      <c r="H30" s="1171"/>
      <c r="I30" s="2720"/>
      <c r="J30" s="2720"/>
      <c r="K30" s="1171"/>
      <c r="L30" s="1171"/>
      <c r="M30" s="2720"/>
      <c r="N30" s="1908"/>
      <c r="O30" s="1171"/>
      <c r="P30" s="1908"/>
      <c r="Q30" s="1908"/>
      <c r="R30" s="2722"/>
      <c r="S30" s="1882"/>
      <c r="T30" s="2725"/>
      <c r="U30" s="2810"/>
      <c r="V30" s="241"/>
      <c r="W30" s="232"/>
      <c r="X30" s="232"/>
    </row>
    <row r="31" spans="1:247" ht="15.9" customHeight="1">
      <c r="A31" s="221" t="s">
        <v>45</v>
      </c>
      <c r="B31" s="1171"/>
      <c r="C31" s="1171"/>
      <c r="D31" s="1171"/>
      <c r="E31" s="1171"/>
      <c r="F31" s="1171"/>
      <c r="G31" s="1171"/>
      <c r="H31" s="1171"/>
      <c r="I31" s="2720"/>
      <c r="J31" s="2720"/>
      <c r="K31" s="1171"/>
      <c r="L31" s="1171"/>
      <c r="M31" s="2720"/>
      <c r="N31" s="1908"/>
      <c r="O31" s="1171"/>
      <c r="P31" s="1908"/>
      <c r="Q31" s="1908"/>
      <c r="R31" s="2722"/>
      <c r="S31" s="1882"/>
      <c r="T31" s="2725"/>
      <c r="U31" s="2810"/>
      <c r="V31" s="241"/>
      <c r="W31" s="232"/>
      <c r="X31" s="232"/>
    </row>
    <row r="32" spans="1:247" ht="15.6">
      <c r="A32" s="221" t="s">
        <v>74</v>
      </c>
      <c r="B32" s="270">
        <f>ROUND(SUM(B21-B29),1)</f>
        <v>18.7</v>
      </c>
      <c r="C32" s="1886"/>
      <c r="D32" s="271">
        <f>ROUND(SUM(D21-D29),1)</f>
        <v>12.8</v>
      </c>
      <c r="E32" s="1886"/>
      <c r="F32" s="271">
        <f>ROUND(SUM(F21-F29),1)</f>
        <v>-21</v>
      </c>
      <c r="G32" s="1886"/>
      <c r="H32" s="271">
        <f>ROUND(SUM(H21-H29),1)</f>
        <v>-90.5</v>
      </c>
      <c r="I32" s="259"/>
      <c r="J32" s="272">
        <f>ROUND(SUM(J21-J29),1)</f>
        <v>-2.2999999999999998</v>
      </c>
      <c r="K32" s="1886"/>
      <c r="L32" s="271">
        <f>ROUND(SUM(L21-L29),1)</f>
        <v>-77.7</v>
      </c>
      <c r="M32" s="259"/>
      <c r="N32" s="271">
        <f>ROUND(SUM(N21-N29),1)</f>
        <v>-34.9</v>
      </c>
      <c r="O32" s="273"/>
      <c r="P32" s="271">
        <f>ROUND(SUM(P21-P29),1)</f>
        <v>-192.5</v>
      </c>
      <c r="Q32" s="273"/>
      <c r="R32" s="658"/>
      <c r="S32" s="271">
        <f>ROUND(SUM(S21-S29),1)</f>
        <v>114.8</v>
      </c>
      <c r="T32" s="2725"/>
      <c r="U32" s="2812">
        <f>-ROUND(+S32/P32,3)</f>
        <v>0.59599999999999997</v>
      </c>
      <c r="V32" s="241"/>
      <c r="W32" s="232"/>
      <c r="X32" s="232"/>
    </row>
    <row r="33" spans="1:247">
      <c r="A33" s="223"/>
      <c r="B33" s="1171"/>
      <c r="C33" s="1171"/>
      <c r="D33" s="1171"/>
      <c r="E33" s="1171"/>
      <c r="F33" s="1171"/>
      <c r="G33" s="1171"/>
      <c r="H33" s="1171"/>
      <c r="I33" s="2720"/>
      <c r="J33" s="2720"/>
      <c r="K33" s="1171"/>
      <c r="L33" s="1171"/>
      <c r="M33" s="2720"/>
      <c r="N33" s="1908"/>
      <c r="O33" s="1171"/>
      <c r="P33" s="1908"/>
      <c r="Q33" s="1908"/>
      <c r="R33" s="2722"/>
      <c r="S33" s="1882"/>
      <c r="T33" s="2725"/>
      <c r="U33" s="2810"/>
      <c r="V33" s="241"/>
      <c r="W33" s="232"/>
      <c r="X33" s="232"/>
    </row>
    <row r="34" spans="1:247" ht="15.9" customHeight="1">
      <c r="A34" s="221" t="s">
        <v>47</v>
      </c>
      <c r="B34" s="1171"/>
      <c r="C34" s="1171"/>
      <c r="D34" s="1171"/>
      <c r="E34" s="1171"/>
      <c r="F34" s="1171"/>
      <c r="G34" s="1171"/>
      <c r="H34" s="1171"/>
      <c r="I34" s="2720"/>
      <c r="J34" s="2720"/>
      <c r="K34" s="1171"/>
      <c r="L34" s="1171"/>
      <c r="M34" s="2720"/>
      <c r="N34" s="1908"/>
      <c r="O34" s="1171"/>
      <c r="P34" s="1908"/>
      <c r="Q34" s="1908"/>
      <c r="R34" s="2722"/>
      <c r="S34" s="1882"/>
      <c r="T34" s="2725"/>
      <c r="U34" s="2810"/>
      <c r="V34" s="241"/>
      <c r="W34" s="232"/>
      <c r="X34" s="232"/>
    </row>
    <row r="35" spans="1:247" ht="15.9" customHeight="1">
      <c r="A35" s="223" t="s">
        <v>49</v>
      </c>
      <c r="B35" s="1912">
        <f>+'Exhibit J'!S44</f>
        <v>0</v>
      </c>
      <c r="C35" s="1171"/>
      <c r="D35" s="1912">
        <f>+'Exhibit J'!AB44</f>
        <v>0</v>
      </c>
      <c r="E35" s="1171"/>
      <c r="F35" s="1171">
        <f>'Exhibit K'!R39</f>
        <v>4.7</v>
      </c>
      <c r="G35" s="1327"/>
      <c r="H35" s="2732">
        <f>+'Exhibit K'!AA39</f>
        <v>44.5</v>
      </c>
      <c r="I35" s="2720"/>
      <c r="J35" s="2720">
        <f>ROUND(SUM(B35)+SUM(F35),1)</f>
        <v>4.7</v>
      </c>
      <c r="K35" s="1327"/>
      <c r="L35" s="2726">
        <f>ROUND(SUM(D35)+SUM(H35),1)</f>
        <v>44.5</v>
      </c>
      <c r="M35" s="1908"/>
      <c r="N35" s="2727">
        <v>1.8</v>
      </c>
      <c r="O35" s="1908"/>
      <c r="P35" s="2727">
        <v>45.4</v>
      </c>
      <c r="Q35" s="2727"/>
      <c r="R35" s="2733"/>
      <c r="S35" s="1171">
        <f>ROUND(SUM(L35-P35),1)</f>
        <v>-0.9</v>
      </c>
      <c r="T35" s="1267"/>
      <c r="U35" s="2714">
        <f>ROUND(IF(S35=0,0,S35/(P35)),3)</f>
        <v>-0.02</v>
      </c>
      <c r="V35" s="278"/>
      <c r="W35" s="232"/>
      <c r="X35" s="232"/>
    </row>
    <row r="36" spans="1:247" ht="15.9" customHeight="1">
      <c r="A36" s="223" t="s">
        <v>75</v>
      </c>
      <c r="B36" s="2734">
        <f>+'Exhibit J'!S45</f>
        <v>0</v>
      </c>
      <c r="C36" s="1835"/>
      <c r="D36" s="2735">
        <f>+'Exhibit J'!AB45</f>
        <v>0</v>
      </c>
      <c r="E36" s="1171"/>
      <c r="F36" s="1171">
        <f>'Exhibit K'!R40</f>
        <v>-0.1</v>
      </c>
      <c r="G36" s="1171"/>
      <c r="H36" s="2732">
        <f>+'Exhibit K'!AA40</f>
        <v>-9.9</v>
      </c>
      <c r="I36" s="2736"/>
      <c r="J36" s="2720">
        <f>ROUND(SUM(B36)+SUM(F36),1)</f>
        <v>-0.1</v>
      </c>
      <c r="K36" s="1171"/>
      <c r="L36" s="1908">
        <f>ROUND(SUM(D36)+SUM(H36),1)</f>
        <v>-9.9</v>
      </c>
      <c r="M36" s="2720"/>
      <c r="N36" s="1894">
        <v>-0.2</v>
      </c>
      <c r="O36" s="2366"/>
      <c r="P36" s="2737">
        <v>-18</v>
      </c>
      <c r="Q36" s="2727"/>
      <c r="R36" s="2733"/>
      <c r="S36" s="2813">
        <f>ROUND(SUM(L36-P36),1)*-1</f>
        <v>-8.1</v>
      </c>
      <c r="T36" s="1267"/>
      <c r="U36" s="2714">
        <f>ROUND(IF(S36=0,0,S36/ABS(P36)),3)</f>
        <v>-0.45</v>
      </c>
      <c r="V36" s="277"/>
      <c r="W36" s="232"/>
      <c r="X36" s="232"/>
    </row>
    <row r="37" spans="1:247" ht="15.6">
      <c r="A37" s="221" t="s">
        <v>51</v>
      </c>
      <c r="B37" s="281">
        <f>ROUND(SUM(B35:B36),1)</f>
        <v>0</v>
      </c>
      <c r="C37" s="282"/>
      <c r="D37" s="281">
        <f>ROUND(SUM(D35:D36),1)</f>
        <v>0</v>
      </c>
      <c r="E37" s="1886"/>
      <c r="F37" s="283">
        <f>ROUND(SUM(F35:F36),1)</f>
        <v>4.5999999999999996</v>
      </c>
      <c r="G37" s="284"/>
      <c r="H37" s="285">
        <f>ROUND(SUM(H35:H36),1)</f>
        <v>34.6</v>
      </c>
      <c r="I37" s="273"/>
      <c r="J37" s="286">
        <f>ROUND(SUM(J35:J36),1)</f>
        <v>4.5999999999999996</v>
      </c>
      <c r="K37" s="284"/>
      <c r="L37" s="285">
        <f>ROUND(SUM(L35:L36),1)</f>
        <v>34.6</v>
      </c>
      <c r="M37" s="259"/>
      <c r="N37" s="287">
        <f>ROUND(SUM(N35:N36),1)</f>
        <v>1.6</v>
      </c>
      <c r="O37" s="1886"/>
      <c r="P37" s="287">
        <f>ROUND(SUM(P35:P36),1)</f>
        <v>27.4</v>
      </c>
      <c r="Q37" s="1988"/>
      <c r="R37" s="1998"/>
      <c r="S37" s="283">
        <f>ROUND(SUM(S35-S36),1)</f>
        <v>7.2</v>
      </c>
      <c r="T37" s="2738"/>
      <c r="U37" s="528">
        <f>ROUND(SUM(S37/P37),3)</f>
        <v>0.26300000000000001</v>
      </c>
      <c r="V37" s="288"/>
      <c r="W37" s="232"/>
      <c r="X37" s="232"/>
    </row>
    <row r="38" spans="1:247" ht="15.6">
      <c r="A38" s="221"/>
      <c r="B38" s="1356"/>
      <c r="C38" s="1171"/>
      <c r="D38" s="1356"/>
      <c r="E38" s="1171"/>
      <c r="F38" s="1908"/>
      <c r="G38" s="1171"/>
      <c r="H38" s="1908"/>
      <c r="I38" s="2720"/>
      <c r="J38" s="2720"/>
      <c r="K38" s="1171"/>
      <c r="L38" s="1356"/>
      <c r="M38" s="2720"/>
      <c r="N38" s="1908"/>
      <c r="O38" s="1171"/>
      <c r="P38" s="1908"/>
      <c r="Q38" s="1908"/>
      <c r="R38" s="2722"/>
      <c r="S38" s="1882"/>
      <c r="T38" s="2725"/>
      <c r="U38" s="1731"/>
      <c r="V38" s="241"/>
      <c r="W38" s="232"/>
      <c r="X38" s="232"/>
    </row>
    <row r="39" spans="1:247" ht="15.75" customHeight="1">
      <c r="A39" s="221" t="s">
        <v>45</v>
      </c>
      <c r="B39" s="1171"/>
      <c r="C39" s="1171"/>
      <c r="D39" s="1171"/>
      <c r="E39" s="1171"/>
      <c r="F39" s="1171"/>
      <c r="G39" s="1171"/>
      <c r="H39" s="1171"/>
      <c r="I39" s="2720"/>
      <c r="J39" s="2720"/>
      <c r="K39" s="1171"/>
      <c r="L39" s="1171"/>
      <c r="M39" s="2720"/>
      <c r="N39" s="1908"/>
      <c r="O39" s="1171"/>
      <c r="P39" s="1908"/>
      <c r="Q39" s="1908"/>
      <c r="R39" s="2722"/>
      <c r="S39" s="1882"/>
      <c r="T39" s="2725"/>
      <c r="U39" s="1731"/>
      <c r="V39" s="241"/>
      <c r="W39" s="232"/>
      <c r="X39" s="232"/>
    </row>
    <row r="40" spans="1:247" ht="15.75" customHeight="1">
      <c r="A40" s="221" t="s">
        <v>76</v>
      </c>
      <c r="B40" s="1171"/>
      <c r="C40" s="1171"/>
      <c r="D40" s="1171"/>
      <c r="E40" s="1171"/>
      <c r="F40" s="1171"/>
      <c r="G40" s="1171"/>
      <c r="H40" s="1171"/>
      <c r="I40" s="2720"/>
      <c r="J40" s="2720"/>
      <c r="K40" s="1171"/>
      <c r="L40" s="1171"/>
      <c r="M40" s="2720"/>
      <c r="N40" s="1908"/>
      <c r="O40" s="1171"/>
      <c r="P40" s="1908"/>
      <c r="Q40" s="1908"/>
      <c r="R40" s="2722"/>
      <c r="S40" s="1882"/>
      <c r="T40" s="2725"/>
      <c r="U40" s="1731"/>
      <c r="V40" s="241"/>
      <c r="W40" s="232"/>
      <c r="X40" s="232"/>
    </row>
    <row r="41" spans="1:247" ht="15.75" customHeight="1">
      <c r="A41" s="221" t="s">
        <v>77</v>
      </c>
      <c r="B41" s="1171"/>
      <c r="C41" s="1171"/>
      <c r="D41" s="1171"/>
      <c r="E41" s="1171"/>
      <c r="F41" s="1171"/>
      <c r="G41" s="1171"/>
      <c r="H41" s="1171"/>
      <c r="I41" s="2720"/>
      <c r="J41" s="2720"/>
      <c r="K41" s="1171"/>
      <c r="L41" s="1171"/>
      <c r="M41" s="2720"/>
      <c r="N41" s="1908"/>
      <c r="O41" s="1171"/>
      <c r="P41" s="1908"/>
      <c r="Q41" s="1908"/>
      <c r="R41" s="2722"/>
      <c r="S41" s="1882"/>
      <c r="T41" s="2725"/>
      <c r="U41" s="1731"/>
      <c r="V41" s="241"/>
      <c r="W41" s="232"/>
      <c r="X41" s="232"/>
    </row>
    <row r="42" spans="1:247" ht="15.75" customHeight="1">
      <c r="A42" s="221" t="s">
        <v>78</v>
      </c>
      <c r="B42" s="290">
        <f>ROUND(SUM(B32,B37),1)</f>
        <v>18.7</v>
      </c>
      <c r="C42" s="1886"/>
      <c r="D42" s="290">
        <f>ROUND(SUM(D32,D37),1)</f>
        <v>12.8</v>
      </c>
      <c r="E42" s="1886"/>
      <c r="F42" s="290">
        <f>ROUND(SUM(F32,F37),1)</f>
        <v>-16.399999999999999</v>
      </c>
      <c r="G42" s="1886"/>
      <c r="H42" s="290">
        <f>ROUND(SUM(H32,H37),1)</f>
        <v>-55.9</v>
      </c>
      <c r="I42" s="291"/>
      <c r="J42" s="290">
        <f>ROUND(SUM(J32,J37),1)</f>
        <v>2.2999999999999998</v>
      </c>
      <c r="K42" s="1886"/>
      <c r="L42" s="290">
        <f>ROUND(SUM(L32,L37),1)</f>
        <v>-43.1</v>
      </c>
      <c r="M42" s="259"/>
      <c r="N42" s="290">
        <f>ROUND(SUM(N32,N37),1)</f>
        <v>-33.299999999999997</v>
      </c>
      <c r="O42" s="1886"/>
      <c r="P42" s="290">
        <f>ROUND(SUM(P32,P37),1)</f>
        <v>-165.1</v>
      </c>
      <c r="Q42" s="290"/>
      <c r="R42" s="1999"/>
      <c r="S42" s="290">
        <f>ROUND(SUM(S32,S37),1)</f>
        <v>122</v>
      </c>
      <c r="T42" s="292"/>
      <c r="U42" s="1966">
        <f>-ROUND(S42/P42,3)</f>
        <v>0.73899999999999999</v>
      </c>
      <c r="V42" s="241"/>
      <c r="W42" s="232"/>
      <c r="X42" s="232"/>
    </row>
    <row r="43" spans="1:247" ht="15.6">
      <c r="A43" s="221"/>
      <c r="B43" s="1171"/>
      <c r="C43" s="1171"/>
      <c r="D43" s="1171"/>
      <c r="E43" s="1171"/>
      <c r="F43" s="1171"/>
      <c r="G43" s="1171"/>
      <c r="H43" s="1171"/>
      <c r="I43" s="2720"/>
      <c r="J43" s="2720"/>
      <c r="K43" s="1171"/>
      <c r="L43" s="1171"/>
      <c r="M43" s="2720"/>
      <c r="N43" s="1908"/>
      <c r="O43" s="1171"/>
      <c r="P43" s="1908"/>
      <c r="Q43" s="1908"/>
      <c r="R43" s="2722"/>
      <c r="S43" s="1882"/>
      <c r="T43" s="2725"/>
      <c r="U43" s="1882"/>
      <c r="V43" s="241"/>
      <c r="W43" s="232"/>
      <c r="X43" s="232"/>
    </row>
    <row r="44" spans="1:247" s="260" customFormat="1" ht="15.6">
      <c r="A44" s="221" t="s">
        <v>79</v>
      </c>
      <c r="B44" s="1886">
        <f>+'Exhibit J'!S16</f>
        <v>44.7</v>
      </c>
      <c r="C44" s="1886"/>
      <c r="D44" s="1886">
        <f>+'Exhibit J'!AB16</f>
        <v>50.6</v>
      </c>
      <c r="E44" s="1886"/>
      <c r="F44" s="1886">
        <f>+'Exhibit K'!R14</f>
        <v>-236.2</v>
      </c>
      <c r="G44" s="1886"/>
      <c r="H44" s="1886">
        <f>+'Exhibit K'!AA14</f>
        <v>-196.7</v>
      </c>
      <c r="I44" s="259"/>
      <c r="J44" s="259">
        <f>ROUND(SUM(B44)+SUM(F44),1)</f>
        <v>-191.5</v>
      </c>
      <c r="K44" s="1886"/>
      <c r="L44" s="1886">
        <f>ROUND(SUM(D44)+SUM(H44),1)</f>
        <v>-146.1</v>
      </c>
      <c r="M44" s="259"/>
      <c r="N44" s="271">
        <v>-142</v>
      </c>
      <c r="O44" s="1886"/>
      <c r="P44" s="271">
        <v>-10.199999999999999</v>
      </c>
      <c r="Q44" s="273"/>
      <c r="R44" s="658"/>
      <c r="S44" s="1886">
        <f>ROUND(SUM(L44-P44),1)</f>
        <v>-135.9</v>
      </c>
      <c r="T44" s="292"/>
      <c r="U44" s="3001">
        <f>-ROUND(SUM(S44/P44),3)</f>
        <v>-13.324</v>
      </c>
      <c r="V44" s="292"/>
      <c r="W44" s="293"/>
      <c r="X44" s="293"/>
    </row>
    <row r="45" spans="1:247" ht="16.2" thickBot="1">
      <c r="A45" s="221" t="s">
        <v>80</v>
      </c>
      <c r="B45" s="294">
        <f>ROUND(SUM(B42+B44),1)</f>
        <v>63.4</v>
      </c>
      <c r="C45" s="295"/>
      <c r="D45" s="294">
        <f>ROUND(SUM(D42+D44),1)</f>
        <v>63.4</v>
      </c>
      <c r="E45" s="295"/>
      <c r="F45" s="294">
        <f>ROUND(SUM(F42+F44),1)</f>
        <v>-252.6</v>
      </c>
      <c r="G45" s="295"/>
      <c r="H45" s="294">
        <f>ROUND(SUM(H42+H44),1)</f>
        <v>-252.6</v>
      </c>
      <c r="I45" s="296"/>
      <c r="J45" s="297">
        <f>ROUND(SUM(J42+J44),1)</f>
        <v>-189.2</v>
      </c>
      <c r="K45" s="295"/>
      <c r="L45" s="298">
        <f>ROUND(SUM(L42+L44),1)</f>
        <v>-189.2</v>
      </c>
      <c r="M45" s="296"/>
      <c r="N45" s="299">
        <f>ROUND(SUM(N42+N44),1)</f>
        <v>-175.3</v>
      </c>
      <c r="O45" s="295"/>
      <c r="P45" s="299">
        <f>ROUND(SUM(P42+P44),1)</f>
        <v>-175.3</v>
      </c>
      <c r="Q45" s="424"/>
      <c r="R45" s="649"/>
      <c r="S45" s="299">
        <f>ROUND(SUM(S42+S44),1)</f>
        <v>-13.9</v>
      </c>
      <c r="T45" s="2378"/>
      <c r="U45" s="2871">
        <f>ROUND(SUM(S45/ABS(P45)),3)</f>
        <v>-7.9000000000000001E-2</v>
      </c>
      <c r="V45" s="245"/>
      <c r="W45" s="232"/>
      <c r="X45" s="232"/>
    </row>
    <row r="46" spans="1:247" ht="3.9" customHeight="1" thickTop="1">
      <c r="A46" s="223"/>
      <c r="B46" s="2739"/>
      <c r="C46" s="1891"/>
      <c r="D46" s="2739"/>
      <c r="E46" s="1891"/>
      <c r="F46" s="2739"/>
      <c r="G46" s="1891"/>
      <c r="H46" s="2739"/>
      <c r="I46" s="1891"/>
      <c r="J46" s="2739"/>
      <c r="K46" s="1891"/>
      <c r="L46" s="2739"/>
      <c r="M46" s="1891"/>
      <c r="N46" s="2378"/>
      <c r="O46" s="1891"/>
      <c r="P46" s="2378"/>
      <c r="Q46" s="2378"/>
      <c r="R46" s="2378"/>
      <c r="S46" s="1891"/>
      <c r="T46" s="2740"/>
      <c r="U46" s="2741"/>
      <c r="V46" s="301"/>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58"/>
      <c r="B47" s="230"/>
      <c r="C47" s="230"/>
      <c r="D47" s="230"/>
      <c r="E47" s="230"/>
      <c r="F47" s="302"/>
      <c r="G47" s="230"/>
      <c r="H47" s="230"/>
      <c r="I47" s="230"/>
      <c r="J47" s="230"/>
      <c r="K47" s="230"/>
      <c r="L47" s="230"/>
      <c r="M47" s="230"/>
      <c r="N47" s="230"/>
      <c r="O47" s="230"/>
      <c r="P47" s="230"/>
      <c r="Q47" s="230"/>
      <c r="R47" s="304"/>
      <c r="S47" s="230"/>
      <c r="T47" s="236"/>
      <c r="U47" s="232"/>
      <c r="V47" s="236"/>
      <c r="W47" s="232"/>
      <c r="X47" s="232"/>
    </row>
    <row r="48" spans="1:247" s="303" customFormat="1" ht="16.5" customHeight="1">
      <c r="A48" s="2076"/>
      <c r="R48" s="1989"/>
    </row>
    <row r="49" spans="1:21">
      <c r="A49" s="1358"/>
      <c r="B49" s="230"/>
      <c r="C49" s="230"/>
      <c r="D49" s="230"/>
      <c r="E49" s="230"/>
      <c r="F49" s="230"/>
      <c r="G49" s="230"/>
      <c r="H49" s="230"/>
      <c r="I49" s="230"/>
      <c r="J49" s="230"/>
      <c r="K49" s="230"/>
      <c r="L49" s="230"/>
      <c r="M49" s="230"/>
      <c r="N49" s="230"/>
      <c r="O49" s="230"/>
      <c r="P49" s="230"/>
      <c r="Q49" s="230"/>
      <c r="R49" s="304"/>
      <c r="S49" s="230"/>
      <c r="T49" s="304"/>
      <c r="U49" s="230"/>
    </row>
    <row r="50" spans="1:21">
      <c r="A50" s="1358"/>
      <c r="B50" s="230"/>
      <c r="C50" s="230"/>
      <c r="D50" s="230"/>
      <c r="E50" s="230"/>
      <c r="F50" s="230"/>
      <c r="G50" s="230"/>
      <c r="H50" s="230"/>
      <c r="I50" s="230"/>
      <c r="J50" s="230"/>
      <c r="K50" s="230"/>
      <c r="L50" s="230"/>
      <c r="M50" s="230"/>
      <c r="N50" s="230"/>
      <c r="O50" s="230"/>
      <c r="P50" s="230"/>
      <c r="Q50" s="230"/>
      <c r="R50" s="304"/>
      <c r="S50" s="230"/>
      <c r="T50" s="304"/>
      <c r="U50" s="230"/>
    </row>
    <row r="51" spans="1:21">
      <c r="A51" s="1358"/>
      <c r="B51" s="230"/>
      <c r="C51" s="230"/>
      <c r="D51" s="230"/>
      <c r="E51" s="230"/>
      <c r="F51" s="230"/>
      <c r="G51" s="230"/>
      <c r="H51" s="230"/>
      <c r="I51" s="230"/>
      <c r="J51" s="230"/>
      <c r="K51" s="230"/>
      <c r="L51" s="230"/>
      <c r="M51" s="230"/>
      <c r="N51" s="230"/>
      <c r="O51" s="230"/>
      <c r="P51" s="230"/>
      <c r="Q51" s="230"/>
      <c r="R51" s="304"/>
      <c r="S51" s="230"/>
      <c r="T51" s="304"/>
      <c r="U51" s="230"/>
    </row>
    <row r="52" spans="1:21">
      <c r="A52" s="1358"/>
      <c r="B52" s="230"/>
      <c r="C52" s="230"/>
      <c r="D52" s="230"/>
      <c r="E52" s="230"/>
      <c r="F52" s="230"/>
      <c r="G52" s="230"/>
      <c r="H52" s="230"/>
      <c r="I52" s="230"/>
      <c r="J52" s="230"/>
      <c r="K52" s="230"/>
      <c r="L52" s="230"/>
      <c r="M52" s="230"/>
      <c r="N52" s="230"/>
      <c r="O52" s="230"/>
      <c r="P52" s="230"/>
      <c r="Q52" s="230"/>
      <c r="R52" s="304"/>
      <c r="S52" s="230"/>
      <c r="T52" s="304"/>
      <c r="U52" s="230"/>
    </row>
    <row r="53" spans="1:21">
      <c r="A53" s="1882"/>
    </row>
    <row r="54" spans="1:21">
      <c r="A54" s="1882"/>
    </row>
    <row r="55" spans="1:21">
      <c r="A55" s="1882"/>
    </row>
    <row r="56" spans="1:21">
      <c r="A56" s="1882"/>
    </row>
    <row r="57" spans="1:21">
      <c r="A57" s="1882"/>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6"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showOutlineSymbols="0" zoomScale="80" zoomScaleNormal="70" workbookViewId="0"/>
  </sheetViews>
  <sheetFormatPr defaultColWidth="8.90625" defaultRowHeight="15"/>
  <cols>
    <col min="1" max="1" width="44.81640625" style="1826" customWidth="1"/>
    <col min="2" max="2" width="13.81640625" style="1826" customWidth="1"/>
    <col min="3" max="3" width="1.81640625" style="1826" customWidth="1"/>
    <col min="4" max="4" width="13.81640625" style="1826" customWidth="1"/>
    <col min="5" max="5" width="2.453125" style="1826" customWidth="1"/>
    <col min="6" max="6" width="13.81640625" style="1826" customWidth="1"/>
    <col min="7" max="7" width="1.6328125" style="1826" customWidth="1"/>
    <col min="8" max="8" width="13.81640625" style="1826" customWidth="1"/>
    <col min="9" max="9" width="1.81640625" style="1826" customWidth="1"/>
    <col min="10" max="10" width="13.81640625" style="1826" customWidth="1"/>
    <col min="11" max="11" width="1.6328125" style="1826" customWidth="1"/>
    <col min="12" max="12" width="13.81640625" style="1826" customWidth="1"/>
    <col min="13" max="13" width="0.54296875" style="1826" customWidth="1"/>
    <col min="14" max="14" width="13.81640625" style="1826" customWidth="1"/>
    <col min="15" max="15" width="2.54296875" style="1826" customWidth="1"/>
    <col min="16" max="16" width="13.81640625" style="1826" customWidth="1"/>
    <col min="17" max="17" width="1.54296875" style="1826" customWidth="1"/>
    <col min="18" max="18" width="2.08984375" style="2011" customWidth="1"/>
    <col min="19" max="19" width="9.6328125" style="1826" customWidth="1"/>
    <col min="20" max="20" width="2.453125" style="2011" customWidth="1"/>
    <col min="21" max="16384" width="8.90625" style="1826"/>
  </cols>
  <sheetData>
    <row r="1" spans="1:252">
      <c r="A1" s="1184" t="s">
        <v>1217</v>
      </c>
    </row>
    <row r="2" spans="1:252">
      <c r="A2" s="1732"/>
    </row>
    <row r="3" spans="1:252" s="2012" customFormat="1" ht="15.6">
      <c r="A3" s="306" t="s">
        <v>0</v>
      </c>
      <c r="B3" s="306"/>
      <c r="C3" s="306"/>
      <c r="D3" s="306"/>
      <c r="E3" s="306"/>
      <c r="F3" s="1826"/>
      <c r="G3" s="1826"/>
      <c r="H3" s="306"/>
      <c r="I3" s="306"/>
      <c r="J3" s="306"/>
      <c r="K3" s="306"/>
      <c r="L3" s="306"/>
      <c r="M3" s="306"/>
      <c r="N3" s="794"/>
      <c r="P3" s="2013"/>
      <c r="Q3" s="2014"/>
      <c r="R3" s="2015"/>
      <c r="S3" s="1732"/>
      <c r="T3" s="2015"/>
      <c r="U3" s="1985" t="s">
        <v>81</v>
      </c>
      <c r="V3" s="1732"/>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c r="BP3" s="1826"/>
      <c r="BQ3" s="1826"/>
      <c r="BR3" s="1826"/>
      <c r="BS3" s="1826"/>
      <c r="BT3" s="1826"/>
      <c r="BU3" s="1826"/>
      <c r="BV3" s="1826"/>
      <c r="BW3" s="1826"/>
      <c r="BX3" s="1826"/>
      <c r="BY3" s="1826"/>
      <c r="BZ3" s="1826"/>
      <c r="CA3" s="1826"/>
      <c r="CB3" s="1826"/>
      <c r="CC3" s="1826"/>
      <c r="CD3" s="1826"/>
      <c r="CE3" s="1826"/>
      <c r="CF3" s="1826"/>
      <c r="CG3" s="1826"/>
      <c r="CH3" s="1826"/>
      <c r="CI3" s="1826"/>
      <c r="CJ3" s="1826"/>
      <c r="CK3" s="1826"/>
      <c r="CL3" s="1826"/>
      <c r="CM3" s="1826"/>
      <c r="CN3" s="1826"/>
      <c r="CO3" s="1826"/>
      <c r="CP3" s="1826"/>
      <c r="CQ3" s="1826"/>
      <c r="CR3" s="1826"/>
      <c r="CS3" s="1826"/>
      <c r="CT3" s="1826"/>
      <c r="CU3" s="1826"/>
      <c r="CV3" s="1826"/>
      <c r="CW3" s="1826"/>
      <c r="CX3" s="1826"/>
      <c r="CY3" s="1826"/>
      <c r="CZ3" s="1826"/>
      <c r="DA3" s="1826"/>
      <c r="DB3" s="1826"/>
      <c r="DC3" s="1826"/>
      <c r="DD3" s="1826"/>
      <c r="DE3" s="1826"/>
      <c r="DF3" s="1826"/>
      <c r="DG3" s="1826"/>
      <c r="DH3" s="1826"/>
      <c r="DI3" s="1826"/>
      <c r="DJ3" s="1826"/>
      <c r="DK3" s="1826"/>
      <c r="DL3" s="1826"/>
      <c r="DM3" s="1826"/>
      <c r="DN3" s="1826"/>
      <c r="DO3" s="1826"/>
      <c r="DP3" s="1826"/>
      <c r="DQ3" s="1826"/>
      <c r="DR3" s="1826"/>
      <c r="DS3" s="1826"/>
      <c r="DT3" s="1826"/>
      <c r="DU3" s="1826"/>
      <c r="DV3" s="1826"/>
      <c r="DW3" s="1826"/>
      <c r="DX3" s="1826"/>
      <c r="DY3" s="1826"/>
      <c r="DZ3" s="1826"/>
      <c r="EA3" s="1826"/>
      <c r="EB3" s="1826"/>
      <c r="EC3" s="1826"/>
      <c r="ED3" s="1826"/>
      <c r="EE3" s="1826"/>
      <c r="EF3" s="1826"/>
      <c r="EG3" s="1826"/>
      <c r="EH3" s="1826"/>
      <c r="EI3" s="1826"/>
      <c r="EJ3" s="1826"/>
      <c r="EK3" s="1826"/>
      <c r="EL3" s="1826"/>
      <c r="EM3" s="1826"/>
      <c r="EN3" s="1826"/>
      <c r="EO3" s="1826"/>
      <c r="EP3" s="1826"/>
      <c r="EQ3" s="1826"/>
      <c r="ER3" s="1826"/>
      <c r="ES3" s="1826"/>
      <c r="ET3" s="1826"/>
      <c r="EU3" s="1826"/>
      <c r="EV3" s="1826"/>
      <c r="EW3" s="1826"/>
      <c r="EX3" s="1826"/>
      <c r="EY3" s="1826"/>
      <c r="EZ3" s="1826"/>
      <c r="FA3" s="1826"/>
      <c r="FB3" s="1826"/>
      <c r="FC3" s="1826"/>
      <c r="FD3" s="1826"/>
      <c r="FE3" s="1826"/>
      <c r="FF3" s="1826"/>
      <c r="FG3" s="1826"/>
      <c r="FH3" s="1826"/>
      <c r="FI3" s="1826"/>
      <c r="FJ3" s="1826"/>
      <c r="FK3" s="1826"/>
      <c r="FL3" s="1826"/>
      <c r="FM3" s="1826"/>
      <c r="FN3" s="1826"/>
      <c r="FO3" s="1826"/>
      <c r="FP3" s="1826"/>
      <c r="FQ3" s="1826"/>
      <c r="FR3" s="1826"/>
      <c r="FS3" s="1826"/>
      <c r="FT3" s="1826"/>
      <c r="FU3" s="1826"/>
      <c r="FV3" s="1826"/>
      <c r="FW3" s="1826"/>
      <c r="FX3" s="1826"/>
      <c r="FY3" s="1826"/>
      <c r="FZ3" s="1826"/>
      <c r="GA3" s="1826"/>
      <c r="GB3" s="1826"/>
      <c r="GC3" s="1826"/>
      <c r="GD3" s="1826"/>
      <c r="GE3" s="1826"/>
      <c r="GF3" s="1826"/>
      <c r="GG3" s="1826"/>
      <c r="GH3" s="1826"/>
      <c r="GI3" s="1826"/>
      <c r="GJ3" s="1826"/>
      <c r="GK3" s="1826"/>
      <c r="GL3" s="1826"/>
      <c r="GM3" s="1826"/>
      <c r="GN3" s="1826"/>
      <c r="GO3" s="1826"/>
      <c r="GP3" s="1826"/>
      <c r="GQ3" s="1826"/>
      <c r="GR3" s="1826"/>
      <c r="GS3" s="1826"/>
      <c r="GT3" s="1826"/>
      <c r="GU3" s="1826"/>
      <c r="GV3" s="1826"/>
      <c r="GW3" s="1826"/>
      <c r="GX3" s="1826"/>
      <c r="GY3" s="1826"/>
      <c r="GZ3" s="1826"/>
      <c r="HA3" s="1826"/>
      <c r="HB3" s="1826"/>
      <c r="HC3" s="1826"/>
      <c r="HD3" s="1826"/>
      <c r="HE3" s="1826"/>
      <c r="HF3" s="1826"/>
      <c r="HG3" s="1826"/>
      <c r="HH3" s="1826"/>
      <c r="HI3" s="1826"/>
      <c r="HJ3" s="1826"/>
      <c r="HK3" s="1826"/>
      <c r="HL3" s="1826"/>
      <c r="HM3" s="1826"/>
      <c r="HN3" s="1826"/>
      <c r="HO3" s="1826"/>
      <c r="HP3" s="1826"/>
      <c r="HQ3" s="1826"/>
      <c r="HR3" s="1826"/>
      <c r="HS3" s="1826"/>
      <c r="HT3" s="1826"/>
      <c r="HU3" s="1826"/>
      <c r="HV3" s="1826"/>
      <c r="HW3" s="1826"/>
      <c r="HX3" s="1826"/>
      <c r="HY3" s="1826"/>
      <c r="HZ3" s="1826"/>
      <c r="IA3" s="1826"/>
      <c r="IB3" s="1826"/>
      <c r="IC3" s="1826"/>
      <c r="ID3" s="1826"/>
      <c r="IE3" s="1826"/>
      <c r="IF3" s="1826"/>
      <c r="IG3" s="1826"/>
      <c r="IH3" s="1826"/>
      <c r="II3" s="1826"/>
      <c r="IJ3" s="1826"/>
      <c r="IK3" s="1826"/>
      <c r="IL3" s="1826"/>
      <c r="IM3" s="1826"/>
      <c r="IN3" s="1826"/>
      <c r="IO3" s="1826"/>
      <c r="IP3" s="1826"/>
      <c r="IQ3" s="1826"/>
      <c r="IR3" s="1826"/>
    </row>
    <row r="4" spans="1:252" s="2012" customFormat="1" ht="15.6">
      <c r="A4" s="306" t="s">
        <v>1109</v>
      </c>
      <c r="B4" s="306"/>
      <c r="C4" s="306"/>
      <c r="D4" s="306"/>
      <c r="E4" s="306"/>
      <c r="F4" s="1826"/>
      <c r="G4" s="1826"/>
      <c r="H4" s="306"/>
      <c r="I4" s="306"/>
      <c r="J4" s="306"/>
      <c r="K4" s="306"/>
      <c r="L4" s="306"/>
      <c r="M4" s="306"/>
      <c r="N4" s="306"/>
      <c r="O4" s="306"/>
      <c r="P4" s="306"/>
      <c r="Q4" s="2014"/>
      <c r="R4" s="2015"/>
      <c r="S4" s="1732"/>
      <c r="T4" s="2015"/>
      <c r="U4" s="1732"/>
      <c r="V4" s="1732"/>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c r="BP4" s="1826"/>
      <c r="BQ4" s="1826"/>
      <c r="BR4" s="1826"/>
      <c r="BS4" s="1826"/>
      <c r="BT4" s="1826"/>
      <c r="BU4" s="1826"/>
      <c r="BV4" s="1826"/>
      <c r="BW4" s="1826"/>
      <c r="BX4" s="1826"/>
      <c r="BY4" s="1826"/>
      <c r="BZ4" s="1826"/>
      <c r="CA4" s="1826"/>
      <c r="CB4" s="1826"/>
      <c r="CC4" s="1826"/>
      <c r="CD4" s="1826"/>
      <c r="CE4" s="1826"/>
      <c r="CF4" s="1826"/>
      <c r="CG4" s="1826"/>
      <c r="CH4" s="1826"/>
      <c r="CI4" s="1826"/>
      <c r="CJ4" s="1826"/>
      <c r="CK4" s="1826"/>
      <c r="CL4" s="1826"/>
      <c r="CM4" s="1826"/>
      <c r="CN4" s="1826"/>
      <c r="CO4" s="1826"/>
      <c r="CP4" s="1826"/>
      <c r="CQ4" s="1826"/>
      <c r="CR4" s="1826"/>
      <c r="CS4" s="1826"/>
      <c r="CT4" s="1826"/>
      <c r="CU4" s="1826"/>
      <c r="CV4" s="1826"/>
      <c r="CW4" s="1826"/>
      <c r="CX4" s="1826"/>
      <c r="CY4" s="1826"/>
      <c r="CZ4" s="1826"/>
      <c r="DA4" s="1826"/>
      <c r="DB4" s="1826"/>
      <c r="DC4" s="1826"/>
      <c r="DD4" s="1826"/>
      <c r="DE4" s="1826"/>
      <c r="DF4" s="1826"/>
      <c r="DG4" s="1826"/>
      <c r="DH4" s="1826"/>
      <c r="DI4" s="1826"/>
      <c r="DJ4" s="1826"/>
      <c r="DK4" s="1826"/>
      <c r="DL4" s="1826"/>
      <c r="DM4" s="1826"/>
      <c r="DN4" s="1826"/>
      <c r="DO4" s="1826"/>
      <c r="DP4" s="1826"/>
      <c r="DQ4" s="1826"/>
      <c r="DR4" s="1826"/>
      <c r="DS4" s="1826"/>
      <c r="DT4" s="1826"/>
      <c r="DU4" s="1826"/>
      <c r="DV4" s="1826"/>
      <c r="DW4" s="1826"/>
      <c r="DX4" s="1826"/>
      <c r="DY4" s="1826"/>
      <c r="DZ4" s="1826"/>
      <c r="EA4" s="1826"/>
      <c r="EB4" s="1826"/>
      <c r="EC4" s="1826"/>
      <c r="ED4" s="1826"/>
      <c r="EE4" s="1826"/>
      <c r="EF4" s="1826"/>
      <c r="EG4" s="1826"/>
      <c r="EH4" s="1826"/>
      <c r="EI4" s="1826"/>
      <c r="EJ4" s="1826"/>
      <c r="EK4" s="1826"/>
      <c r="EL4" s="1826"/>
      <c r="EM4" s="1826"/>
      <c r="EN4" s="1826"/>
      <c r="EO4" s="1826"/>
      <c r="EP4" s="1826"/>
      <c r="EQ4" s="1826"/>
      <c r="ER4" s="1826"/>
      <c r="ES4" s="1826"/>
      <c r="ET4" s="1826"/>
      <c r="EU4" s="1826"/>
      <c r="EV4" s="1826"/>
      <c r="EW4" s="1826"/>
      <c r="EX4" s="1826"/>
      <c r="EY4" s="1826"/>
      <c r="EZ4" s="1826"/>
      <c r="FA4" s="1826"/>
      <c r="FB4" s="1826"/>
      <c r="FC4" s="1826"/>
      <c r="FD4" s="1826"/>
      <c r="FE4" s="1826"/>
      <c r="FF4" s="1826"/>
      <c r="FG4" s="1826"/>
      <c r="FH4" s="1826"/>
      <c r="FI4" s="1826"/>
      <c r="FJ4" s="1826"/>
      <c r="FK4" s="1826"/>
      <c r="FL4" s="1826"/>
      <c r="FM4" s="1826"/>
      <c r="FN4" s="1826"/>
      <c r="FO4" s="1826"/>
      <c r="FP4" s="1826"/>
      <c r="FQ4" s="1826"/>
      <c r="FR4" s="1826"/>
      <c r="FS4" s="1826"/>
      <c r="FT4" s="1826"/>
      <c r="FU4" s="1826"/>
      <c r="FV4" s="1826"/>
      <c r="FW4" s="1826"/>
      <c r="FX4" s="1826"/>
      <c r="FY4" s="1826"/>
      <c r="FZ4" s="1826"/>
      <c r="GA4" s="1826"/>
      <c r="GB4" s="1826"/>
      <c r="GC4" s="1826"/>
      <c r="GD4" s="1826"/>
      <c r="GE4" s="1826"/>
      <c r="GF4" s="1826"/>
      <c r="GG4" s="1826"/>
      <c r="GH4" s="1826"/>
      <c r="GI4" s="1826"/>
      <c r="GJ4" s="1826"/>
      <c r="GK4" s="1826"/>
      <c r="GL4" s="1826"/>
      <c r="GM4" s="1826"/>
      <c r="GN4" s="1826"/>
      <c r="GO4" s="1826"/>
      <c r="GP4" s="1826"/>
      <c r="GQ4" s="1826"/>
      <c r="GR4" s="1826"/>
      <c r="GS4" s="1826"/>
      <c r="GT4" s="1826"/>
      <c r="GU4" s="1826"/>
      <c r="GV4" s="1826"/>
      <c r="GW4" s="1826"/>
      <c r="GX4" s="1826"/>
      <c r="GY4" s="1826"/>
      <c r="GZ4" s="1826"/>
      <c r="HA4" s="1826"/>
      <c r="HB4" s="1826"/>
      <c r="HC4" s="1826"/>
      <c r="HD4" s="1826"/>
      <c r="HE4" s="1826"/>
      <c r="HF4" s="1826"/>
      <c r="HG4" s="1826"/>
      <c r="HH4" s="1826"/>
      <c r="HI4" s="1826"/>
      <c r="HJ4" s="1826"/>
      <c r="HK4" s="1826"/>
      <c r="HL4" s="1826"/>
      <c r="HM4" s="1826"/>
      <c r="HN4" s="1826"/>
      <c r="HO4" s="1826"/>
      <c r="HP4" s="1826"/>
      <c r="HQ4" s="1826"/>
      <c r="HR4" s="1826"/>
      <c r="HS4" s="1826"/>
      <c r="HT4" s="1826"/>
      <c r="HU4" s="1826"/>
      <c r="HV4" s="1826"/>
      <c r="HW4" s="1826"/>
      <c r="HX4" s="1826"/>
      <c r="HY4" s="1826"/>
      <c r="HZ4" s="1826"/>
      <c r="IA4" s="1826"/>
      <c r="IB4" s="1826"/>
      <c r="IC4" s="1826"/>
      <c r="ID4" s="1826"/>
      <c r="IE4" s="1826"/>
      <c r="IF4" s="1826"/>
      <c r="IG4" s="1826"/>
      <c r="IH4" s="1826"/>
      <c r="II4" s="1826"/>
      <c r="IJ4" s="1826"/>
      <c r="IK4" s="1826"/>
      <c r="IL4" s="1826"/>
      <c r="IM4" s="1826"/>
      <c r="IN4" s="1826"/>
      <c r="IO4" s="1826"/>
      <c r="IP4" s="1826"/>
      <c r="IQ4" s="1826"/>
      <c r="IR4" s="1826"/>
    </row>
    <row r="5" spans="1:252" s="2012" customFormat="1" ht="15.6">
      <c r="A5" s="490" t="s">
        <v>1110</v>
      </c>
      <c r="B5" s="306"/>
      <c r="C5" s="306"/>
      <c r="D5" s="306"/>
      <c r="E5" s="306"/>
      <c r="F5" s="1826"/>
      <c r="G5" s="1826"/>
      <c r="H5" s="306"/>
      <c r="I5" s="306"/>
      <c r="J5" s="306"/>
      <c r="K5" s="306"/>
      <c r="L5" s="306"/>
      <c r="M5" s="306"/>
      <c r="N5" s="306"/>
      <c r="O5" s="306"/>
      <c r="P5" s="306" t="s">
        <v>16</v>
      </c>
      <c r="Q5" s="2014"/>
      <c r="R5" s="2015"/>
      <c r="S5" s="1732"/>
      <c r="T5" s="2015"/>
      <c r="U5" s="1732"/>
      <c r="V5" s="1732"/>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c r="AT5" s="1826"/>
      <c r="AU5" s="1826"/>
      <c r="AV5" s="1826"/>
      <c r="AW5" s="1826"/>
      <c r="AX5" s="1826"/>
      <c r="AY5" s="1826"/>
      <c r="AZ5" s="1826"/>
      <c r="BA5" s="1826"/>
      <c r="BB5" s="1826"/>
      <c r="BC5" s="1826"/>
      <c r="BD5" s="1826"/>
      <c r="BE5" s="1826"/>
      <c r="BF5" s="1826"/>
      <c r="BG5" s="1826"/>
      <c r="BH5" s="1826"/>
      <c r="BI5" s="1826"/>
      <c r="BJ5" s="1826"/>
      <c r="BK5" s="1826"/>
      <c r="BL5" s="1826"/>
      <c r="BM5" s="1826"/>
      <c r="BN5" s="1826"/>
      <c r="BO5" s="1826"/>
      <c r="BP5" s="1826"/>
      <c r="BQ5" s="1826"/>
      <c r="BR5" s="1826"/>
      <c r="BS5" s="1826"/>
      <c r="BT5" s="1826"/>
      <c r="BU5" s="1826"/>
      <c r="BV5" s="1826"/>
      <c r="BW5" s="1826"/>
      <c r="BX5" s="1826"/>
      <c r="BY5" s="1826"/>
      <c r="BZ5" s="1826"/>
      <c r="CA5" s="1826"/>
      <c r="CB5" s="1826"/>
      <c r="CC5" s="1826"/>
      <c r="CD5" s="1826"/>
      <c r="CE5" s="1826"/>
      <c r="CF5" s="1826"/>
      <c r="CG5" s="1826"/>
      <c r="CH5" s="1826"/>
      <c r="CI5" s="1826"/>
      <c r="CJ5" s="1826"/>
      <c r="CK5" s="1826"/>
      <c r="CL5" s="1826"/>
      <c r="CM5" s="1826"/>
      <c r="CN5" s="1826"/>
      <c r="CO5" s="1826"/>
      <c r="CP5" s="1826"/>
      <c r="CQ5" s="1826"/>
      <c r="CR5" s="1826"/>
      <c r="CS5" s="1826"/>
      <c r="CT5" s="1826"/>
      <c r="CU5" s="1826"/>
      <c r="CV5" s="1826"/>
      <c r="CW5" s="1826"/>
      <c r="CX5" s="1826"/>
      <c r="CY5" s="1826"/>
      <c r="CZ5" s="1826"/>
      <c r="DA5" s="1826"/>
      <c r="DB5" s="1826"/>
      <c r="DC5" s="1826"/>
      <c r="DD5" s="1826"/>
      <c r="DE5" s="1826"/>
      <c r="DF5" s="1826"/>
      <c r="DG5" s="1826"/>
      <c r="DH5" s="1826"/>
      <c r="DI5" s="1826"/>
      <c r="DJ5" s="1826"/>
      <c r="DK5" s="1826"/>
      <c r="DL5" s="1826"/>
      <c r="DM5" s="1826"/>
      <c r="DN5" s="1826"/>
      <c r="DO5" s="1826"/>
      <c r="DP5" s="1826"/>
      <c r="DQ5" s="1826"/>
      <c r="DR5" s="1826"/>
      <c r="DS5" s="1826"/>
      <c r="DT5" s="1826"/>
      <c r="DU5" s="1826"/>
      <c r="DV5" s="1826"/>
      <c r="DW5" s="1826"/>
      <c r="DX5" s="1826"/>
      <c r="DY5" s="1826"/>
      <c r="DZ5" s="1826"/>
      <c r="EA5" s="1826"/>
      <c r="EB5" s="1826"/>
      <c r="EC5" s="1826"/>
      <c r="ED5" s="1826"/>
      <c r="EE5" s="1826"/>
      <c r="EF5" s="1826"/>
      <c r="EG5" s="1826"/>
      <c r="EH5" s="1826"/>
      <c r="EI5" s="1826"/>
      <c r="EJ5" s="1826"/>
      <c r="EK5" s="1826"/>
      <c r="EL5" s="1826"/>
      <c r="EM5" s="1826"/>
      <c r="EN5" s="1826"/>
      <c r="EO5" s="1826"/>
      <c r="EP5" s="1826"/>
      <c r="EQ5" s="1826"/>
      <c r="ER5" s="1826"/>
      <c r="ES5" s="1826"/>
      <c r="ET5" s="1826"/>
      <c r="EU5" s="1826"/>
      <c r="EV5" s="1826"/>
      <c r="EW5" s="1826"/>
      <c r="EX5" s="1826"/>
      <c r="EY5" s="1826"/>
      <c r="EZ5" s="1826"/>
      <c r="FA5" s="1826"/>
      <c r="FB5" s="1826"/>
      <c r="FC5" s="1826"/>
      <c r="FD5" s="1826"/>
      <c r="FE5" s="1826"/>
      <c r="FF5" s="1826"/>
      <c r="FG5" s="1826"/>
      <c r="FH5" s="1826"/>
      <c r="FI5" s="1826"/>
      <c r="FJ5" s="1826"/>
      <c r="FK5" s="1826"/>
      <c r="FL5" s="1826"/>
      <c r="FM5" s="1826"/>
      <c r="FN5" s="1826"/>
      <c r="FO5" s="1826"/>
      <c r="FP5" s="1826"/>
      <c r="FQ5" s="1826"/>
      <c r="FR5" s="1826"/>
      <c r="FS5" s="1826"/>
      <c r="FT5" s="1826"/>
      <c r="FU5" s="1826"/>
      <c r="FV5" s="1826"/>
      <c r="FW5" s="1826"/>
      <c r="FX5" s="1826"/>
      <c r="FY5" s="1826"/>
      <c r="FZ5" s="1826"/>
      <c r="GA5" s="1826"/>
      <c r="GB5" s="1826"/>
      <c r="GC5" s="1826"/>
      <c r="GD5" s="1826"/>
      <c r="GE5" s="1826"/>
      <c r="GF5" s="1826"/>
      <c r="GG5" s="1826"/>
      <c r="GH5" s="1826"/>
      <c r="GI5" s="1826"/>
      <c r="GJ5" s="1826"/>
      <c r="GK5" s="1826"/>
      <c r="GL5" s="1826"/>
      <c r="GM5" s="1826"/>
      <c r="GN5" s="1826"/>
      <c r="GO5" s="1826"/>
      <c r="GP5" s="1826"/>
      <c r="GQ5" s="1826"/>
      <c r="GR5" s="1826"/>
      <c r="GS5" s="1826"/>
      <c r="GT5" s="1826"/>
      <c r="GU5" s="1826"/>
      <c r="GV5" s="1826"/>
      <c r="GW5" s="1826"/>
      <c r="GX5" s="1826"/>
      <c r="GY5" s="1826"/>
      <c r="GZ5" s="1826"/>
      <c r="HA5" s="1826"/>
      <c r="HB5" s="1826"/>
      <c r="HC5" s="1826"/>
      <c r="HD5" s="1826"/>
      <c r="HE5" s="1826"/>
      <c r="HF5" s="1826"/>
      <c r="HG5" s="1826"/>
      <c r="HH5" s="1826"/>
      <c r="HI5" s="1826"/>
      <c r="HJ5" s="1826"/>
      <c r="HK5" s="1826"/>
      <c r="HL5" s="1826"/>
      <c r="HM5" s="1826"/>
      <c r="HN5" s="1826"/>
      <c r="HO5" s="1826"/>
      <c r="HP5" s="1826"/>
      <c r="HQ5" s="1826"/>
      <c r="HR5" s="1826"/>
      <c r="HS5" s="1826"/>
      <c r="HT5" s="1826"/>
      <c r="HU5" s="1826"/>
      <c r="HV5" s="1826"/>
      <c r="HW5" s="1826"/>
      <c r="HX5" s="1826"/>
      <c r="HY5" s="1826"/>
      <c r="HZ5" s="1826"/>
      <c r="IA5" s="1826"/>
      <c r="IB5" s="1826"/>
      <c r="IC5" s="1826"/>
      <c r="ID5" s="1826"/>
      <c r="IE5" s="1826"/>
      <c r="IF5" s="1826"/>
      <c r="IG5" s="1826"/>
      <c r="IH5" s="1826"/>
      <c r="II5" s="1826"/>
      <c r="IJ5" s="1826"/>
      <c r="IK5" s="1826"/>
      <c r="IL5" s="1826"/>
      <c r="IM5" s="1826"/>
      <c r="IN5" s="1826"/>
      <c r="IO5" s="1826"/>
      <c r="IP5" s="1826"/>
      <c r="IQ5" s="1826"/>
      <c r="IR5" s="1826"/>
    </row>
    <row r="6" spans="1:252" s="2012" customFormat="1" ht="15.6">
      <c r="A6" s="306" t="s">
        <v>1103</v>
      </c>
      <c r="B6" s="306"/>
      <c r="C6" s="306"/>
      <c r="D6" s="306"/>
      <c r="E6" s="306"/>
      <c r="F6" s="1826"/>
      <c r="G6" s="1826"/>
      <c r="H6" s="306"/>
      <c r="I6" s="306"/>
      <c r="J6" s="306"/>
      <c r="K6" s="306"/>
      <c r="L6" s="306"/>
      <c r="M6" s="306"/>
      <c r="N6" s="306"/>
      <c r="O6" s="306"/>
      <c r="P6" s="306"/>
      <c r="Q6" s="2014"/>
      <c r="R6" s="2015"/>
      <c r="S6" s="1732"/>
      <c r="T6" s="2015"/>
      <c r="U6" s="1732"/>
      <c r="V6" s="1732"/>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c r="AT6" s="1826"/>
      <c r="AU6" s="1826"/>
      <c r="AV6" s="1826"/>
      <c r="AW6" s="1826"/>
      <c r="AX6" s="1826"/>
      <c r="AY6" s="1826"/>
      <c r="AZ6" s="1826"/>
      <c r="BA6" s="1826"/>
      <c r="BB6" s="1826"/>
      <c r="BC6" s="1826"/>
      <c r="BD6" s="1826"/>
      <c r="BE6" s="1826"/>
      <c r="BF6" s="1826"/>
      <c r="BG6" s="1826"/>
      <c r="BH6" s="1826"/>
      <c r="BI6" s="1826"/>
      <c r="BJ6" s="1826"/>
      <c r="BK6" s="1826"/>
      <c r="BL6" s="1826"/>
      <c r="BM6" s="1826"/>
      <c r="BN6" s="1826"/>
      <c r="BO6" s="1826"/>
      <c r="BP6" s="1826"/>
      <c r="BQ6" s="1826"/>
      <c r="BR6" s="1826"/>
      <c r="BS6" s="1826"/>
      <c r="BT6" s="1826"/>
      <c r="BU6" s="1826"/>
      <c r="BV6" s="1826"/>
      <c r="BW6" s="1826"/>
      <c r="BX6" s="1826"/>
      <c r="BY6" s="1826"/>
      <c r="BZ6" s="1826"/>
      <c r="CA6" s="1826"/>
      <c r="CB6" s="1826"/>
      <c r="CC6" s="1826"/>
      <c r="CD6" s="1826"/>
      <c r="CE6" s="1826"/>
      <c r="CF6" s="1826"/>
      <c r="CG6" s="1826"/>
      <c r="CH6" s="1826"/>
      <c r="CI6" s="1826"/>
      <c r="CJ6" s="1826"/>
      <c r="CK6" s="1826"/>
      <c r="CL6" s="1826"/>
      <c r="CM6" s="1826"/>
      <c r="CN6" s="1826"/>
      <c r="CO6" s="1826"/>
      <c r="CP6" s="1826"/>
      <c r="CQ6" s="1826"/>
      <c r="CR6" s="1826"/>
      <c r="CS6" s="1826"/>
      <c r="CT6" s="1826"/>
      <c r="CU6" s="1826"/>
      <c r="CV6" s="1826"/>
      <c r="CW6" s="1826"/>
      <c r="CX6" s="1826"/>
      <c r="CY6" s="1826"/>
      <c r="CZ6" s="1826"/>
      <c r="DA6" s="1826"/>
      <c r="DB6" s="1826"/>
      <c r="DC6" s="1826"/>
      <c r="DD6" s="1826"/>
      <c r="DE6" s="1826"/>
      <c r="DF6" s="1826"/>
      <c r="DG6" s="1826"/>
      <c r="DH6" s="1826"/>
      <c r="DI6" s="1826"/>
      <c r="DJ6" s="1826"/>
      <c r="DK6" s="1826"/>
      <c r="DL6" s="1826"/>
      <c r="DM6" s="1826"/>
      <c r="DN6" s="1826"/>
      <c r="DO6" s="1826"/>
      <c r="DP6" s="1826"/>
      <c r="DQ6" s="1826"/>
      <c r="DR6" s="1826"/>
      <c r="DS6" s="1826"/>
      <c r="DT6" s="1826"/>
      <c r="DU6" s="1826"/>
      <c r="DV6" s="1826"/>
      <c r="DW6" s="1826"/>
      <c r="DX6" s="1826"/>
      <c r="DY6" s="1826"/>
      <c r="DZ6" s="1826"/>
      <c r="EA6" s="1826"/>
      <c r="EB6" s="1826"/>
      <c r="EC6" s="1826"/>
      <c r="ED6" s="1826"/>
      <c r="EE6" s="1826"/>
      <c r="EF6" s="1826"/>
      <c r="EG6" s="1826"/>
      <c r="EH6" s="1826"/>
      <c r="EI6" s="1826"/>
      <c r="EJ6" s="1826"/>
      <c r="EK6" s="1826"/>
      <c r="EL6" s="1826"/>
      <c r="EM6" s="1826"/>
      <c r="EN6" s="1826"/>
      <c r="EO6" s="1826"/>
      <c r="EP6" s="1826"/>
      <c r="EQ6" s="1826"/>
      <c r="ER6" s="1826"/>
      <c r="ES6" s="1826"/>
      <c r="ET6" s="1826"/>
      <c r="EU6" s="1826"/>
      <c r="EV6" s="1826"/>
      <c r="EW6" s="1826"/>
      <c r="EX6" s="1826"/>
      <c r="EY6" s="1826"/>
      <c r="EZ6" s="1826"/>
      <c r="FA6" s="1826"/>
      <c r="FB6" s="1826"/>
      <c r="FC6" s="1826"/>
      <c r="FD6" s="1826"/>
      <c r="FE6" s="1826"/>
      <c r="FF6" s="1826"/>
      <c r="FG6" s="1826"/>
      <c r="FH6" s="1826"/>
      <c r="FI6" s="1826"/>
      <c r="FJ6" s="1826"/>
      <c r="FK6" s="1826"/>
      <c r="FL6" s="1826"/>
      <c r="FM6" s="1826"/>
      <c r="FN6" s="1826"/>
      <c r="FO6" s="1826"/>
      <c r="FP6" s="1826"/>
      <c r="FQ6" s="1826"/>
      <c r="FR6" s="1826"/>
      <c r="FS6" s="1826"/>
      <c r="FT6" s="1826"/>
      <c r="FU6" s="1826"/>
      <c r="FV6" s="1826"/>
      <c r="FW6" s="1826"/>
      <c r="FX6" s="1826"/>
      <c r="FY6" s="1826"/>
      <c r="FZ6" s="1826"/>
      <c r="GA6" s="1826"/>
      <c r="GB6" s="1826"/>
      <c r="GC6" s="1826"/>
      <c r="GD6" s="1826"/>
      <c r="GE6" s="1826"/>
      <c r="GF6" s="1826"/>
      <c r="GG6" s="1826"/>
      <c r="GH6" s="1826"/>
      <c r="GI6" s="1826"/>
      <c r="GJ6" s="1826"/>
      <c r="GK6" s="1826"/>
      <c r="GL6" s="1826"/>
      <c r="GM6" s="1826"/>
      <c r="GN6" s="1826"/>
      <c r="GO6" s="1826"/>
      <c r="GP6" s="1826"/>
      <c r="GQ6" s="1826"/>
      <c r="GR6" s="1826"/>
      <c r="GS6" s="1826"/>
      <c r="GT6" s="1826"/>
      <c r="GU6" s="1826"/>
      <c r="GV6" s="1826"/>
      <c r="GW6" s="1826"/>
      <c r="GX6" s="1826"/>
      <c r="GY6" s="1826"/>
      <c r="GZ6" s="1826"/>
      <c r="HA6" s="1826"/>
      <c r="HB6" s="1826"/>
      <c r="HC6" s="1826"/>
      <c r="HD6" s="1826"/>
      <c r="HE6" s="1826"/>
      <c r="HF6" s="1826"/>
      <c r="HG6" s="1826"/>
      <c r="HH6" s="1826"/>
      <c r="HI6" s="1826"/>
      <c r="HJ6" s="1826"/>
      <c r="HK6" s="1826"/>
      <c r="HL6" s="1826"/>
      <c r="HM6" s="1826"/>
      <c r="HN6" s="1826"/>
      <c r="HO6" s="1826"/>
      <c r="HP6" s="1826"/>
      <c r="HQ6" s="1826"/>
      <c r="HR6" s="1826"/>
      <c r="HS6" s="1826"/>
      <c r="HT6" s="1826"/>
      <c r="HU6" s="1826"/>
      <c r="HV6" s="1826"/>
      <c r="HW6" s="1826"/>
      <c r="HX6" s="1826"/>
      <c r="HY6" s="1826"/>
      <c r="HZ6" s="1826"/>
      <c r="IA6" s="1826"/>
      <c r="IB6" s="1826"/>
      <c r="IC6" s="1826"/>
      <c r="ID6" s="1826"/>
      <c r="IE6" s="1826"/>
      <c r="IF6" s="1826"/>
      <c r="IG6" s="1826"/>
      <c r="IH6" s="1826"/>
      <c r="II6" s="1826"/>
      <c r="IJ6" s="1826"/>
      <c r="IK6" s="1826"/>
      <c r="IL6" s="1826"/>
      <c r="IM6" s="1826"/>
      <c r="IN6" s="1826"/>
      <c r="IO6" s="1826"/>
      <c r="IP6" s="1826"/>
      <c r="IQ6" s="1826"/>
      <c r="IR6" s="1826"/>
    </row>
    <row r="7" spans="1:252" s="2012" customFormat="1" ht="15.6">
      <c r="A7" s="309"/>
      <c r="B7" s="306"/>
      <c r="C7" s="306"/>
      <c r="D7" s="306"/>
      <c r="E7" s="306"/>
      <c r="F7" s="1826"/>
      <c r="G7" s="1826"/>
      <c r="H7" s="306"/>
      <c r="I7" s="306"/>
      <c r="J7" s="306"/>
      <c r="K7" s="306"/>
      <c r="L7" s="306"/>
      <c r="M7" s="306"/>
      <c r="N7" s="306"/>
      <c r="O7" s="306"/>
      <c r="P7" s="306"/>
      <c r="Q7" s="2014"/>
      <c r="R7" s="2015"/>
      <c r="S7" s="1732"/>
      <c r="T7" s="2015"/>
      <c r="U7" s="1732"/>
      <c r="V7" s="1732"/>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c r="BP7" s="1826"/>
      <c r="BQ7" s="1826"/>
      <c r="BR7" s="1826"/>
      <c r="BS7" s="1826"/>
      <c r="BT7" s="1826"/>
      <c r="BU7" s="1826"/>
      <c r="BV7" s="1826"/>
      <c r="BW7" s="1826"/>
      <c r="BX7" s="1826"/>
      <c r="BY7" s="1826"/>
      <c r="BZ7" s="1826"/>
      <c r="CA7" s="1826"/>
      <c r="CB7" s="1826"/>
      <c r="CC7" s="1826"/>
      <c r="CD7" s="1826"/>
      <c r="CE7" s="1826"/>
      <c r="CF7" s="1826"/>
      <c r="CG7" s="1826"/>
      <c r="CH7" s="1826"/>
      <c r="CI7" s="1826"/>
      <c r="CJ7" s="1826"/>
      <c r="CK7" s="1826"/>
      <c r="CL7" s="1826"/>
      <c r="CM7" s="1826"/>
      <c r="CN7" s="1826"/>
      <c r="CO7" s="1826"/>
      <c r="CP7" s="1826"/>
      <c r="CQ7" s="1826"/>
      <c r="CR7" s="1826"/>
      <c r="CS7" s="1826"/>
      <c r="CT7" s="1826"/>
      <c r="CU7" s="1826"/>
      <c r="CV7" s="1826"/>
      <c r="CW7" s="1826"/>
      <c r="CX7" s="1826"/>
      <c r="CY7" s="1826"/>
      <c r="CZ7" s="1826"/>
      <c r="DA7" s="1826"/>
      <c r="DB7" s="1826"/>
      <c r="DC7" s="1826"/>
      <c r="DD7" s="1826"/>
      <c r="DE7" s="1826"/>
      <c r="DF7" s="1826"/>
      <c r="DG7" s="1826"/>
      <c r="DH7" s="1826"/>
      <c r="DI7" s="1826"/>
      <c r="DJ7" s="1826"/>
      <c r="DK7" s="1826"/>
      <c r="DL7" s="1826"/>
      <c r="DM7" s="1826"/>
      <c r="DN7" s="1826"/>
      <c r="DO7" s="1826"/>
      <c r="DP7" s="1826"/>
      <c r="DQ7" s="1826"/>
      <c r="DR7" s="1826"/>
      <c r="DS7" s="1826"/>
      <c r="DT7" s="1826"/>
      <c r="DU7" s="1826"/>
      <c r="DV7" s="1826"/>
      <c r="DW7" s="1826"/>
      <c r="DX7" s="1826"/>
      <c r="DY7" s="1826"/>
      <c r="DZ7" s="1826"/>
      <c r="EA7" s="1826"/>
      <c r="EB7" s="1826"/>
      <c r="EC7" s="1826"/>
      <c r="ED7" s="1826"/>
      <c r="EE7" s="1826"/>
      <c r="EF7" s="1826"/>
      <c r="EG7" s="1826"/>
      <c r="EH7" s="1826"/>
      <c r="EI7" s="1826"/>
      <c r="EJ7" s="1826"/>
      <c r="EK7" s="1826"/>
      <c r="EL7" s="1826"/>
      <c r="EM7" s="1826"/>
      <c r="EN7" s="1826"/>
      <c r="EO7" s="1826"/>
      <c r="EP7" s="1826"/>
      <c r="EQ7" s="1826"/>
      <c r="ER7" s="1826"/>
      <c r="ES7" s="1826"/>
      <c r="ET7" s="1826"/>
      <c r="EU7" s="1826"/>
      <c r="EV7" s="1826"/>
      <c r="EW7" s="1826"/>
      <c r="EX7" s="1826"/>
      <c r="EY7" s="1826"/>
      <c r="EZ7" s="1826"/>
      <c r="FA7" s="1826"/>
      <c r="FB7" s="1826"/>
      <c r="FC7" s="1826"/>
      <c r="FD7" s="1826"/>
      <c r="FE7" s="1826"/>
      <c r="FF7" s="1826"/>
      <c r="FG7" s="1826"/>
      <c r="FH7" s="1826"/>
      <c r="FI7" s="1826"/>
      <c r="FJ7" s="1826"/>
      <c r="FK7" s="1826"/>
      <c r="FL7" s="1826"/>
      <c r="FM7" s="1826"/>
      <c r="FN7" s="1826"/>
      <c r="FO7" s="1826"/>
      <c r="FP7" s="1826"/>
      <c r="FQ7" s="1826"/>
      <c r="FR7" s="1826"/>
      <c r="FS7" s="1826"/>
      <c r="FT7" s="1826"/>
      <c r="FU7" s="1826"/>
      <c r="FV7" s="1826"/>
      <c r="FW7" s="1826"/>
      <c r="FX7" s="1826"/>
      <c r="FY7" s="1826"/>
      <c r="FZ7" s="1826"/>
      <c r="GA7" s="1826"/>
      <c r="GB7" s="1826"/>
      <c r="GC7" s="1826"/>
      <c r="GD7" s="1826"/>
      <c r="GE7" s="1826"/>
      <c r="GF7" s="1826"/>
      <c r="GG7" s="1826"/>
      <c r="GH7" s="1826"/>
      <c r="GI7" s="1826"/>
      <c r="GJ7" s="1826"/>
      <c r="GK7" s="1826"/>
      <c r="GL7" s="1826"/>
      <c r="GM7" s="1826"/>
      <c r="GN7" s="1826"/>
      <c r="GO7" s="1826"/>
      <c r="GP7" s="1826"/>
      <c r="GQ7" s="1826"/>
      <c r="GR7" s="1826"/>
      <c r="GS7" s="1826"/>
      <c r="GT7" s="1826"/>
      <c r="GU7" s="1826"/>
      <c r="GV7" s="1826"/>
      <c r="GW7" s="1826"/>
      <c r="GX7" s="1826"/>
      <c r="GY7" s="1826"/>
      <c r="GZ7" s="1826"/>
      <c r="HA7" s="1826"/>
      <c r="HB7" s="1826"/>
      <c r="HC7" s="1826"/>
      <c r="HD7" s="1826"/>
      <c r="HE7" s="1826"/>
      <c r="HF7" s="1826"/>
      <c r="HG7" s="1826"/>
      <c r="HH7" s="1826"/>
      <c r="HI7" s="1826"/>
      <c r="HJ7" s="1826"/>
      <c r="HK7" s="1826"/>
      <c r="HL7" s="1826"/>
      <c r="HM7" s="1826"/>
      <c r="HN7" s="1826"/>
      <c r="HO7" s="1826"/>
      <c r="HP7" s="1826"/>
      <c r="HQ7" s="1826"/>
      <c r="HR7" s="1826"/>
      <c r="HS7" s="1826"/>
      <c r="HT7" s="1826"/>
      <c r="HU7" s="1826"/>
      <c r="HV7" s="1826"/>
      <c r="HW7" s="1826"/>
      <c r="HX7" s="1826"/>
      <c r="HY7" s="1826"/>
      <c r="HZ7" s="1826"/>
      <c r="IA7" s="1826"/>
      <c r="IB7" s="1826"/>
      <c r="IC7" s="1826"/>
      <c r="ID7" s="1826"/>
      <c r="IE7" s="1826"/>
      <c r="IF7" s="1826"/>
      <c r="IG7" s="1826"/>
      <c r="IH7" s="1826"/>
      <c r="II7" s="1826"/>
      <c r="IJ7" s="1826"/>
      <c r="IK7" s="1826"/>
      <c r="IL7" s="1826"/>
      <c r="IM7" s="1826"/>
      <c r="IN7" s="1826"/>
      <c r="IO7" s="1826"/>
      <c r="IP7" s="1826"/>
      <c r="IQ7" s="1826"/>
      <c r="IR7" s="1826"/>
    </row>
    <row r="8" spans="1:252" s="2012" customFormat="1" ht="15.6">
      <c r="B8" s="306"/>
      <c r="C8" s="306"/>
      <c r="D8" s="306"/>
      <c r="E8" s="306"/>
      <c r="F8" s="1826"/>
      <c r="G8" s="1826"/>
      <c r="H8" s="306"/>
      <c r="I8" s="306"/>
      <c r="J8" s="306"/>
      <c r="K8" s="306"/>
      <c r="L8" s="306"/>
      <c r="M8" s="306"/>
      <c r="N8" s="306"/>
      <c r="O8" s="306"/>
      <c r="P8" s="306"/>
      <c r="Q8" s="2014"/>
      <c r="R8" s="2015"/>
      <c r="S8" s="1732"/>
      <c r="T8" s="2015"/>
      <c r="U8" s="1732"/>
      <c r="V8" s="1732"/>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c r="BP8" s="1826"/>
      <c r="BQ8" s="1826"/>
      <c r="BR8" s="1826"/>
      <c r="BS8" s="1826"/>
      <c r="BT8" s="1826"/>
      <c r="BU8" s="1826"/>
      <c r="BV8" s="1826"/>
      <c r="BW8" s="1826"/>
      <c r="BX8" s="1826"/>
      <c r="BY8" s="1826"/>
      <c r="BZ8" s="1826"/>
      <c r="CA8" s="1826"/>
      <c r="CB8" s="1826"/>
      <c r="CC8" s="1826"/>
      <c r="CD8" s="1826"/>
      <c r="CE8" s="1826"/>
      <c r="CF8" s="1826"/>
      <c r="CG8" s="1826"/>
      <c r="CH8" s="1826"/>
      <c r="CI8" s="1826"/>
      <c r="CJ8" s="1826"/>
      <c r="CK8" s="1826"/>
      <c r="CL8" s="1826"/>
      <c r="CM8" s="1826"/>
      <c r="CN8" s="1826"/>
      <c r="CO8" s="1826"/>
      <c r="CP8" s="1826"/>
      <c r="CQ8" s="1826"/>
      <c r="CR8" s="1826"/>
      <c r="CS8" s="1826"/>
      <c r="CT8" s="1826"/>
      <c r="CU8" s="1826"/>
      <c r="CV8" s="1826"/>
      <c r="CW8" s="1826"/>
      <c r="CX8" s="1826"/>
      <c r="CY8" s="1826"/>
      <c r="CZ8" s="1826"/>
      <c r="DA8" s="1826"/>
      <c r="DB8" s="1826"/>
      <c r="DC8" s="1826"/>
      <c r="DD8" s="1826"/>
      <c r="DE8" s="1826"/>
      <c r="DF8" s="1826"/>
      <c r="DG8" s="1826"/>
      <c r="DH8" s="1826"/>
      <c r="DI8" s="1826"/>
      <c r="DJ8" s="1826"/>
      <c r="DK8" s="1826"/>
      <c r="DL8" s="1826"/>
      <c r="DM8" s="1826"/>
      <c r="DN8" s="1826"/>
      <c r="DO8" s="1826"/>
      <c r="DP8" s="1826"/>
      <c r="DQ8" s="1826"/>
      <c r="DR8" s="1826"/>
      <c r="DS8" s="1826"/>
      <c r="DT8" s="1826"/>
      <c r="DU8" s="1826"/>
      <c r="DV8" s="1826"/>
      <c r="DW8" s="1826"/>
      <c r="DX8" s="1826"/>
      <c r="DY8" s="1826"/>
      <c r="DZ8" s="1826"/>
      <c r="EA8" s="1826"/>
      <c r="EB8" s="1826"/>
      <c r="EC8" s="1826"/>
      <c r="ED8" s="1826"/>
      <c r="EE8" s="1826"/>
      <c r="EF8" s="1826"/>
      <c r="EG8" s="1826"/>
      <c r="EH8" s="1826"/>
      <c r="EI8" s="1826"/>
      <c r="EJ8" s="1826"/>
      <c r="EK8" s="1826"/>
      <c r="EL8" s="1826"/>
      <c r="EM8" s="1826"/>
      <c r="EN8" s="1826"/>
      <c r="EO8" s="1826"/>
      <c r="EP8" s="1826"/>
      <c r="EQ8" s="1826"/>
      <c r="ER8" s="1826"/>
      <c r="ES8" s="1826"/>
      <c r="ET8" s="1826"/>
      <c r="EU8" s="1826"/>
      <c r="EV8" s="1826"/>
      <c r="EW8" s="1826"/>
      <c r="EX8" s="1826"/>
      <c r="EY8" s="1826"/>
      <c r="EZ8" s="1826"/>
      <c r="FA8" s="1826"/>
      <c r="FB8" s="1826"/>
      <c r="FC8" s="1826"/>
      <c r="FD8" s="1826"/>
      <c r="FE8" s="1826"/>
      <c r="FF8" s="1826"/>
      <c r="FG8" s="1826"/>
      <c r="FH8" s="1826"/>
      <c r="FI8" s="1826"/>
      <c r="FJ8" s="1826"/>
      <c r="FK8" s="1826"/>
      <c r="FL8" s="1826"/>
      <c r="FM8" s="1826"/>
      <c r="FN8" s="1826"/>
      <c r="FO8" s="1826"/>
      <c r="FP8" s="1826"/>
      <c r="FQ8" s="1826"/>
      <c r="FR8" s="1826"/>
      <c r="FS8" s="1826"/>
      <c r="FT8" s="1826"/>
      <c r="FU8" s="1826"/>
      <c r="FV8" s="1826"/>
      <c r="FW8" s="1826"/>
      <c r="FX8" s="1826"/>
      <c r="FY8" s="1826"/>
      <c r="FZ8" s="1826"/>
      <c r="GA8" s="1826"/>
      <c r="GB8" s="1826"/>
      <c r="GC8" s="1826"/>
      <c r="GD8" s="1826"/>
      <c r="GE8" s="1826"/>
      <c r="GF8" s="1826"/>
      <c r="GG8" s="1826"/>
      <c r="GH8" s="1826"/>
      <c r="GI8" s="1826"/>
      <c r="GJ8" s="1826"/>
      <c r="GK8" s="1826"/>
      <c r="GL8" s="1826"/>
      <c r="GM8" s="1826"/>
      <c r="GN8" s="1826"/>
      <c r="GO8" s="1826"/>
      <c r="GP8" s="1826"/>
      <c r="GQ8" s="1826"/>
      <c r="GR8" s="1826"/>
      <c r="GS8" s="1826"/>
      <c r="GT8" s="1826"/>
      <c r="GU8" s="1826"/>
      <c r="GV8" s="1826"/>
      <c r="GW8" s="1826"/>
      <c r="GX8" s="1826"/>
      <c r="GY8" s="1826"/>
      <c r="GZ8" s="1826"/>
      <c r="HA8" s="1826"/>
      <c r="HB8" s="1826"/>
      <c r="HC8" s="1826"/>
      <c r="HD8" s="1826"/>
      <c r="HE8" s="1826"/>
      <c r="HF8" s="1826"/>
      <c r="HG8" s="1826"/>
      <c r="HH8" s="1826"/>
      <c r="HI8" s="1826"/>
      <c r="HJ8" s="1826"/>
      <c r="HK8" s="1826"/>
      <c r="HL8" s="1826"/>
      <c r="HM8" s="1826"/>
      <c r="HN8" s="1826"/>
      <c r="HO8" s="1826"/>
      <c r="HP8" s="1826"/>
      <c r="HQ8" s="1826"/>
      <c r="HR8" s="1826"/>
      <c r="HS8" s="1826"/>
      <c r="HT8" s="1826"/>
      <c r="HU8" s="1826"/>
      <c r="HV8" s="1826"/>
      <c r="HW8" s="1826"/>
      <c r="HX8" s="1826"/>
      <c r="HY8" s="1826"/>
      <c r="HZ8" s="1826"/>
      <c r="IA8" s="1826"/>
      <c r="IB8" s="1826"/>
      <c r="IC8" s="1826"/>
      <c r="ID8" s="1826"/>
      <c r="IE8" s="1826"/>
      <c r="IF8" s="1826"/>
      <c r="IG8" s="1826"/>
      <c r="IH8" s="1826"/>
      <c r="II8" s="1826"/>
      <c r="IJ8" s="1826"/>
      <c r="IK8" s="1826"/>
      <c r="IL8" s="1826"/>
      <c r="IM8" s="1826"/>
      <c r="IN8" s="1826"/>
      <c r="IO8" s="1826"/>
      <c r="IP8" s="1826"/>
      <c r="IQ8" s="1826"/>
      <c r="IR8" s="1826"/>
    </row>
    <row r="9" spans="1:252" s="2012" customFormat="1" ht="8.1" customHeight="1">
      <c r="A9" s="2014"/>
      <c r="B9" s="306"/>
      <c r="C9" s="306"/>
      <c r="D9" s="306"/>
      <c r="E9" s="306"/>
      <c r="F9" s="306"/>
      <c r="G9" s="1826"/>
      <c r="H9" s="306"/>
      <c r="I9" s="306"/>
      <c r="J9" s="306"/>
      <c r="K9" s="306"/>
      <c r="L9" s="306"/>
      <c r="M9" s="306"/>
      <c r="N9" s="306"/>
      <c r="O9" s="306"/>
      <c r="P9" s="306"/>
      <c r="Q9" s="2014"/>
      <c r="R9" s="2016"/>
      <c r="S9" s="2014"/>
      <c r="T9" s="2011"/>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c r="BP9" s="1826"/>
      <c r="BQ9" s="1826"/>
      <c r="BR9" s="1826"/>
      <c r="BS9" s="1826"/>
      <c r="BT9" s="1826"/>
      <c r="BU9" s="1826"/>
      <c r="BV9" s="1826"/>
      <c r="BW9" s="1826"/>
      <c r="BX9" s="1826"/>
      <c r="BY9" s="1826"/>
      <c r="BZ9" s="1826"/>
      <c r="CA9" s="1826"/>
      <c r="CB9" s="1826"/>
      <c r="CC9" s="1826"/>
      <c r="CD9" s="1826"/>
      <c r="CE9" s="1826"/>
      <c r="CF9" s="1826"/>
      <c r="CG9" s="1826"/>
      <c r="CH9" s="1826"/>
      <c r="CI9" s="1826"/>
      <c r="CJ9" s="1826"/>
      <c r="CK9" s="1826"/>
      <c r="CL9" s="1826"/>
      <c r="CM9" s="1826"/>
      <c r="CN9" s="1826"/>
      <c r="CO9" s="1826"/>
      <c r="CP9" s="1826"/>
      <c r="CQ9" s="1826"/>
      <c r="CR9" s="1826"/>
      <c r="CS9" s="1826"/>
      <c r="CT9" s="1826"/>
      <c r="CU9" s="1826"/>
      <c r="CV9" s="1826"/>
      <c r="CW9" s="1826"/>
      <c r="CX9" s="1826"/>
      <c r="CY9" s="1826"/>
      <c r="CZ9" s="1826"/>
      <c r="DA9" s="1826"/>
      <c r="DB9" s="1826"/>
      <c r="DC9" s="1826"/>
      <c r="DD9" s="1826"/>
      <c r="DE9" s="1826"/>
      <c r="DF9" s="1826"/>
      <c r="DG9" s="1826"/>
      <c r="DH9" s="1826"/>
      <c r="DI9" s="1826"/>
      <c r="DJ9" s="1826"/>
      <c r="DK9" s="1826"/>
      <c r="DL9" s="1826"/>
      <c r="DM9" s="1826"/>
      <c r="DN9" s="1826"/>
      <c r="DO9" s="1826"/>
      <c r="DP9" s="1826"/>
      <c r="DQ9" s="1826"/>
      <c r="DR9" s="1826"/>
      <c r="DS9" s="1826"/>
      <c r="DT9" s="1826"/>
      <c r="DU9" s="1826"/>
      <c r="DV9" s="1826"/>
      <c r="DW9" s="1826"/>
      <c r="DX9" s="1826"/>
      <c r="DY9" s="1826"/>
      <c r="DZ9" s="1826"/>
      <c r="EA9" s="1826"/>
      <c r="EB9" s="1826"/>
      <c r="EC9" s="1826"/>
      <c r="ED9" s="1826"/>
      <c r="EE9" s="1826"/>
      <c r="EF9" s="1826"/>
      <c r="EG9" s="1826"/>
      <c r="EH9" s="1826"/>
      <c r="EI9" s="1826"/>
      <c r="EJ9" s="1826"/>
      <c r="EK9" s="1826"/>
      <c r="EL9" s="1826"/>
      <c r="EM9" s="1826"/>
      <c r="EN9" s="1826"/>
      <c r="EO9" s="1826"/>
      <c r="EP9" s="1826"/>
      <c r="EQ9" s="1826"/>
      <c r="ER9" s="1826"/>
      <c r="ES9" s="1826"/>
      <c r="ET9" s="1826"/>
      <c r="EU9" s="1826"/>
      <c r="EV9" s="1826"/>
      <c r="EW9" s="1826"/>
      <c r="EX9" s="1826"/>
      <c r="EY9" s="1826"/>
      <c r="EZ9" s="1826"/>
      <c r="FA9" s="1826"/>
      <c r="FB9" s="1826"/>
      <c r="FC9" s="1826"/>
      <c r="FD9" s="1826"/>
      <c r="FE9" s="1826"/>
      <c r="FF9" s="1826"/>
      <c r="FG9" s="1826"/>
      <c r="FH9" s="1826"/>
      <c r="FI9" s="1826"/>
      <c r="FJ9" s="1826"/>
      <c r="FK9" s="1826"/>
      <c r="FL9" s="1826"/>
      <c r="FM9" s="1826"/>
      <c r="FN9" s="1826"/>
      <c r="FO9" s="1826"/>
      <c r="FP9" s="1826"/>
      <c r="FQ9" s="1826"/>
      <c r="FR9" s="1826"/>
      <c r="FS9" s="1826"/>
      <c r="FT9" s="1826"/>
      <c r="FU9" s="1826"/>
      <c r="FV9" s="1826"/>
      <c r="FW9" s="1826"/>
      <c r="FX9" s="1826"/>
      <c r="FY9" s="1826"/>
      <c r="FZ9" s="1826"/>
      <c r="GA9" s="1826"/>
      <c r="GB9" s="1826"/>
      <c r="GC9" s="1826"/>
      <c r="GD9" s="1826"/>
      <c r="GE9" s="1826"/>
      <c r="GF9" s="1826"/>
      <c r="GG9" s="1826"/>
      <c r="GH9" s="1826"/>
      <c r="GI9" s="1826"/>
      <c r="GJ9" s="1826"/>
      <c r="GK9" s="1826"/>
      <c r="GL9" s="1826"/>
      <c r="GM9" s="1826"/>
      <c r="GN9" s="1826"/>
      <c r="GO9" s="1826"/>
      <c r="GP9" s="1826"/>
      <c r="GQ9" s="1826"/>
      <c r="GR9" s="1826"/>
      <c r="GS9" s="1826"/>
      <c r="GT9" s="1826"/>
      <c r="GU9" s="1826"/>
      <c r="GV9" s="1826"/>
      <c r="GW9" s="1826"/>
      <c r="GX9" s="1826"/>
      <c r="GY9" s="1826"/>
      <c r="GZ9" s="1826"/>
      <c r="HA9" s="1826"/>
      <c r="HB9" s="1826"/>
      <c r="HC9" s="1826"/>
      <c r="HD9" s="1826"/>
      <c r="HE9" s="1826"/>
      <c r="HF9" s="1826"/>
      <c r="HG9" s="1826"/>
      <c r="HH9" s="1826"/>
      <c r="HI9" s="1826"/>
      <c r="HJ9" s="1826"/>
      <c r="HK9" s="1826"/>
      <c r="HL9" s="1826"/>
      <c r="HM9" s="1826"/>
      <c r="HN9" s="1826"/>
      <c r="HO9" s="1826"/>
      <c r="HP9" s="1826"/>
      <c r="HQ9" s="1826"/>
      <c r="HR9" s="1826"/>
      <c r="HS9" s="1826"/>
      <c r="HT9" s="1826"/>
      <c r="HU9" s="1826"/>
      <c r="HV9" s="1826"/>
      <c r="HW9" s="1826"/>
      <c r="HX9" s="1826"/>
      <c r="HY9" s="1826"/>
      <c r="HZ9" s="1826"/>
      <c r="IA9" s="1826"/>
      <c r="IB9" s="1826"/>
      <c r="IC9" s="1826"/>
      <c r="ID9" s="1826"/>
      <c r="IE9" s="1826"/>
      <c r="IF9" s="1826"/>
      <c r="IG9" s="1826"/>
      <c r="IH9" s="1826"/>
      <c r="II9" s="1826"/>
      <c r="IJ9" s="1826"/>
      <c r="IK9" s="1826"/>
      <c r="IL9" s="1826"/>
      <c r="IM9" s="1826"/>
      <c r="IN9" s="1826"/>
      <c r="IO9" s="1826"/>
      <c r="IP9" s="1826"/>
      <c r="IQ9" s="1826"/>
      <c r="IR9" s="1826"/>
    </row>
    <row r="10" spans="1:252" s="2012" customFormat="1" ht="15.6">
      <c r="A10" s="2014"/>
      <c r="B10" s="306"/>
      <c r="C10" s="306"/>
      <c r="D10" s="306"/>
      <c r="E10" s="306"/>
      <c r="F10" s="306"/>
      <c r="G10" s="1826"/>
      <c r="H10" s="306"/>
      <c r="I10" s="306"/>
      <c r="J10" s="306"/>
      <c r="K10" s="306"/>
      <c r="L10" s="306"/>
      <c r="M10" s="306"/>
      <c r="N10" s="306"/>
      <c r="O10" s="306"/>
      <c r="P10" s="306"/>
      <c r="Q10" s="2014"/>
      <c r="R10" s="2015"/>
      <c r="S10" s="1732"/>
      <c r="T10" s="2015"/>
      <c r="U10" s="1732"/>
      <c r="V10" s="1732"/>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c r="BP10" s="1826"/>
      <c r="BQ10" s="1826"/>
      <c r="BR10" s="1826"/>
      <c r="BS10" s="1826"/>
      <c r="BT10" s="1826"/>
      <c r="BU10" s="1826"/>
      <c r="BV10" s="1826"/>
      <c r="BW10" s="1826"/>
      <c r="BX10" s="1826"/>
      <c r="BY10" s="1826"/>
      <c r="BZ10" s="1826"/>
      <c r="CA10" s="1826"/>
      <c r="CB10" s="1826"/>
      <c r="CC10" s="1826"/>
      <c r="CD10" s="1826"/>
      <c r="CE10" s="1826"/>
      <c r="CF10" s="1826"/>
      <c r="CG10" s="1826"/>
      <c r="CH10" s="1826"/>
      <c r="CI10" s="1826"/>
      <c r="CJ10" s="1826"/>
      <c r="CK10" s="1826"/>
      <c r="CL10" s="1826"/>
      <c r="CM10" s="1826"/>
      <c r="CN10" s="1826"/>
      <c r="CO10" s="1826"/>
      <c r="CP10" s="1826"/>
      <c r="CQ10" s="1826"/>
      <c r="CR10" s="1826"/>
      <c r="CS10" s="1826"/>
      <c r="CT10" s="1826"/>
      <c r="CU10" s="1826"/>
      <c r="CV10" s="1826"/>
      <c r="CW10" s="1826"/>
      <c r="CX10" s="1826"/>
      <c r="CY10" s="1826"/>
      <c r="CZ10" s="1826"/>
      <c r="DA10" s="1826"/>
      <c r="DB10" s="1826"/>
      <c r="DC10" s="1826"/>
      <c r="DD10" s="1826"/>
      <c r="DE10" s="1826"/>
      <c r="DF10" s="1826"/>
      <c r="DG10" s="1826"/>
      <c r="DH10" s="1826"/>
      <c r="DI10" s="1826"/>
      <c r="DJ10" s="1826"/>
      <c r="DK10" s="1826"/>
      <c r="DL10" s="1826"/>
      <c r="DM10" s="1826"/>
      <c r="DN10" s="1826"/>
      <c r="DO10" s="1826"/>
      <c r="DP10" s="1826"/>
      <c r="DQ10" s="1826"/>
      <c r="DR10" s="1826"/>
      <c r="DS10" s="1826"/>
      <c r="DT10" s="1826"/>
      <c r="DU10" s="1826"/>
      <c r="DV10" s="1826"/>
      <c r="DW10" s="1826"/>
      <c r="DX10" s="1826"/>
      <c r="DY10" s="1826"/>
      <c r="DZ10" s="1826"/>
      <c r="EA10" s="1826"/>
      <c r="EB10" s="1826"/>
      <c r="EC10" s="1826"/>
      <c r="ED10" s="1826"/>
      <c r="EE10" s="1826"/>
      <c r="EF10" s="1826"/>
      <c r="EG10" s="1826"/>
      <c r="EH10" s="1826"/>
      <c r="EI10" s="1826"/>
      <c r="EJ10" s="1826"/>
      <c r="EK10" s="1826"/>
      <c r="EL10" s="1826"/>
      <c r="EM10" s="1826"/>
      <c r="EN10" s="1826"/>
      <c r="EO10" s="1826"/>
      <c r="EP10" s="1826"/>
      <c r="EQ10" s="1826"/>
      <c r="ER10" s="1826"/>
      <c r="ES10" s="1826"/>
      <c r="ET10" s="1826"/>
      <c r="EU10" s="1826"/>
      <c r="EV10" s="1826"/>
      <c r="EW10" s="1826"/>
      <c r="EX10" s="1826"/>
      <c r="EY10" s="1826"/>
      <c r="EZ10" s="1826"/>
      <c r="FA10" s="1826"/>
      <c r="FB10" s="1826"/>
      <c r="FC10" s="1826"/>
      <c r="FD10" s="1826"/>
      <c r="FE10" s="1826"/>
      <c r="FF10" s="1826"/>
      <c r="FG10" s="1826"/>
      <c r="FH10" s="1826"/>
      <c r="FI10" s="1826"/>
      <c r="FJ10" s="1826"/>
      <c r="FK10" s="1826"/>
      <c r="FL10" s="1826"/>
      <c r="FM10" s="1826"/>
      <c r="FN10" s="1826"/>
      <c r="FO10" s="1826"/>
      <c r="FP10" s="1826"/>
      <c r="FQ10" s="1826"/>
      <c r="FR10" s="1826"/>
      <c r="FS10" s="1826"/>
      <c r="FT10" s="1826"/>
      <c r="FU10" s="1826"/>
      <c r="FV10" s="1826"/>
      <c r="FW10" s="1826"/>
      <c r="FX10" s="1826"/>
      <c r="FY10" s="1826"/>
      <c r="FZ10" s="1826"/>
      <c r="GA10" s="1826"/>
      <c r="GB10" s="1826"/>
      <c r="GC10" s="1826"/>
      <c r="GD10" s="1826"/>
      <c r="GE10" s="1826"/>
      <c r="GF10" s="1826"/>
      <c r="GG10" s="1826"/>
      <c r="GH10" s="1826"/>
      <c r="GI10" s="1826"/>
      <c r="GJ10" s="1826"/>
      <c r="GK10" s="1826"/>
      <c r="GL10" s="1826"/>
      <c r="GM10" s="1826"/>
      <c r="GN10" s="1826"/>
      <c r="GO10" s="1826"/>
      <c r="GP10" s="1826"/>
      <c r="GQ10" s="1826"/>
      <c r="GR10" s="1826"/>
      <c r="GS10" s="1826"/>
      <c r="GT10" s="1826"/>
      <c r="GU10" s="1826"/>
      <c r="GV10" s="1826"/>
      <c r="GW10" s="1826"/>
      <c r="GX10" s="1826"/>
      <c r="GY10" s="1826"/>
      <c r="GZ10" s="1826"/>
      <c r="HA10" s="1826"/>
      <c r="HB10" s="1826"/>
      <c r="HC10" s="1826"/>
      <c r="HD10" s="1826"/>
      <c r="HE10" s="1826"/>
      <c r="HF10" s="1826"/>
      <c r="HG10" s="1826"/>
      <c r="HH10" s="1826"/>
      <c r="HI10" s="1826"/>
      <c r="HJ10" s="1826"/>
      <c r="HK10" s="1826"/>
      <c r="HL10" s="1826"/>
      <c r="HM10" s="1826"/>
      <c r="HN10" s="1826"/>
      <c r="HO10" s="1826"/>
      <c r="HP10" s="1826"/>
      <c r="HQ10" s="1826"/>
      <c r="HR10" s="1826"/>
      <c r="HS10" s="1826"/>
      <c r="HT10" s="1826"/>
      <c r="HU10" s="1826"/>
      <c r="HV10" s="1826"/>
      <c r="HW10" s="1826"/>
      <c r="HX10" s="1826"/>
      <c r="HY10" s="1826"/>
      <c r="HZ10" s="1826"/>
      <c r="IA10" s="1826"/>
      <c r="IB10" s="1826"/>
      <c r="IC10" s="1826"/>
      <c r="ID10" s="1826"/>
      <c r="IE10" s="1826"/>
      <c r="IF10" s="1826"/>
      <c r="IG10" s="1826"/>
      <c r="IH10" s="1826"/>
      <c r="II10" s="1826"/>
      <c r="IJ10" s="1826"/>
      <c r="IK10" s="1826"/>
      <c r="IL10" s="1826"/>
      <c r="IM10" s="1826"/>
      <c r="IN10" s="1826"/>
      <c r="IO10" s="1826"/>
      <c r="IP10" s="1826"/>
      <c r="IQ10" s="1826"/>
      <c r="IR10" s="1826"/>
    </row>
    <row r="11" spans="1:252" s="2012" customFormat="1" ht="15.6">
      <c r="A11" s="2014"/>
      <c r="B11" s="306"/>
      <c r="C11" s="306"/>
      <c r="D11" s="306"/>
      <c r="E11" s="306"/>
      <c r="F11" s="306"/>
      <c r="G11" s="1826"/>
      <c r="H11" s="306"/>
      <c r="I11" s="306"/>
      <c r="K11" s="311"/>
      <c r="L11" s="1827"/>
      <c r="M11" s="1827"/>
      <c r="N11" s="311"/>
      <c r="O11" s="311"/>
      <c r="P11" s="311"/>
      <c r="Q11" s="2014"/>
      <c r="R11" s="2015"/>
      <c r="S11" s="1732"/>
      <c r="T11" s="2015"/>
      <c r="U11" s="1732"/>
      <c r="V11" s="1732"/>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c r="BP11" s="1826"/>
      <c r="BQ11" s="1826"/>
      <c r="BR11" s="1826"/>
      <c r="BS11" s="1826"/>
      <c r="BT11" s="1826"/>
      <c r="BU11" s="1826"/>
      <c r="BV11" s="1826"/>
      <c r="BW11" s="1826"/>
      <c r="BX11" s="1826"/>
      <c r="BY11" s="1826"/>
      <c r="BZ11" s="1826"/>
      <c r="CA11" s="1826"/>
      <c r="CB11" s="1826"/>
      <c r="CC11" s="1826"/>
      <c r="CD11" s="1826"/>
      <c r="CE11" s="1826"/>
      <c r="CF11" s="1826"/>
      <c r="CG11" s="1826"/>
      <c r="CH11" s="1826"/>
      <c r="CI11" s="1826"/>
      <c r="CJ11" s="1826"/>
      <c r="CK11" s="1826"/>
      <c r="CL11" s="1826"/>
      <c r="CM11" s="1826"/>
      <c r="CN11" s="1826"/>
      <c r="CO11" s="1826"/>
      <c r="CP11" s="1826"/>
      <c r="CQ11" s="1826"/>
      <c r="CR11" s="1826"/>
      <c r="CS11" s="1826"/>
      <c r="CT11" s="1826"/>
      <c r="CU11" s="1826"/>
      <c r="CV11" s="1826"/>
      <c r="CW11" s="1826"/>
      <c r="CX11" s="1826"/>
      <c r="CY11" s="1826"/>
      <c r="CZ11" s="1826"/>
      <c r="DA11" s="1826"/>
      <c r="DB11" s="1826"/>
      <c r="DC11" s="1826"/>
      <c r="DD11" s="1826"/>
      <c r="DE11" s="1826"/>
      <c r="DF11" s="1826"/>
      <c r="DG11" s="1826"/>
      <c r="DH11" s="1826"/>
      <c r="DI11" s="1826"/>
      <c r="DJ11" s="1826"/>
      <c r="DK11" s="1826"/>
      <c r="DL11" s="1826"/>
      <c r="DM11" s="1826"/>
      <c r="DN11" s="1826"/>
      <c r="DO11" s="1826"/>
      <c r="DP11" s="1826"/>
      <c r="DQ11" s="1826"/>
      <c r="DR11" s="1826"/>
      <c r="DS11" s="1826"/>
      <c r="DT11" s="1826"/>
      <c r="DU11" s="1826"/>
      <c r="DV11" s="1826"/>
      <c r="DW11" s="1826"/>
      <c r="DX11" s="1826"/>
      <c r="DY11" s="1826"/>
      <c r="DZ11" s="1826"/>
      <c r="EA11" s="1826"/>
      <c r="EB11" s="1826"/>
      <c r="EC11" s="1826"/>
      <c r="ED11" s="1826"/>
      <c r="EE11" s="1826"/>
      <c r="EF11" s="1826"/>
      <c r="EG11" s="1826"/>
      <c r="EH11" s="1826"/>
      <c r="EI11" s="1826"/>
      <c r="EJ11" s="1826"/>
      <c r="EK11" s="1826"/>
      <c r="EL11" s="1826"/>
      <c r="EM11" s="1826"/>
      <c r="EN11" s="1826"/>
      <c r="EO11" s="1826"/>
      <c r="EP11" s="1826"/>
      <c r="EQ11" s="1826"/>
      <c r="ER11" s="1826"/>
      <c r="ES11" s="1826"/>
      <c r="ET11" s="1826"/>
      <c r="EU11" s="1826"/>
      <c r="EV11" s="1826"/>
      <c r="EW11" s="1826"/>
      <c r="EX11" s="1826"/>
      <c r="EY11" s="1826"/>
      <c r="EZ11" s="1826"/>
      <c r="FA11" s="1826"/>
      <c r="FB11" s="1826"/>
      <c r="FC11" s="1826"/>
      <c r="FD11" s="1826"/>
      <c r="FE11" s="1826"/>
      <c r="FF11" s="1826"/>
      <c r="FG11" s="1826"/>
      <c r="FH11" s="1826"/>
      <c r="FI11" s="1826"/>
      <c r="FJ11" s="1826"/>
      <c r="FK11" s="1826"/>
      <c r="FL11" s="1826"/>
      <c r="FM11" s="1826"/>
      <c r="FN11" s="1826"/>
      <c r="FO11" s="1826"/>
      <c r="FP11" s="1826"/>
      <c r="FQ11" s="1826"/>
      <c r="FR11" s="1826"/>
      <c r="FS11" s="1826"/>
      <c r="FT11" s="1826"/>
      <c r="FU11" s="1826"/>
      <c r="FV11" s="1826"/>
      <c r="FW11" s="1826"/>
      <c r="FX11" s="1826"/>
      <c r="FY11" s="1826"/>
      <c r="FZ11" s="1826"/>
      <c r="GA11" s="1826"/>
      <c r="GB11" s="1826"/>
      <c r="GC11" s="1826"/>
      <c r="GD11" s="1826"/>
      <c r="GE11" s="1826"/>
      <c r="GF11" s="1826"/>
      <c r="GG11" s="1826"/>
      <c r="GH11" s="1826"/>
      <c r="GI11" s="1826"/>
      <c r="GJ11" s="1826"/>
      <c r="GK11" s="1826"/>
      <c r="GL11" s="1826"/>
      <c r="GM11" s="1826"/>
      <c r="GN11" s="1826"/>
      <c r="GO11" s="1826"/>
      <c r="GP11" s="1826"/>
      <c r="GQ11" s="1826"/>
      <c r="GR11" s="1826"/>
      <c r="GS11" s="1826"/>
      <c r="GT11" s="1826"/>
      <c r="GU11" s="1826"/>
      <c r="GV11" s="1826"/>
      <c r="GW11" s="1826"/>
      <c r="GX11" s="1826"/>
      <c r="GY11" s="1826"/>
      <c r="GZ11" s="1826"/>
      <c r="HA11" s="1826"/>
      <c r="HB11" s="1826"/>
      <c r="HC11" s="1826"/>
      <c r="HD11" s="1826"/>
      <c r="HE11" s="1826"/>
      <c r="HF11" s="1826"/>
      <c r="HG11" s="1826"/>
      <c r="HH11" s="1826"/>
      <c r="HI11" s="1826"/>
      <c r="HJ11" s="1826"/>
      <c r="HK11" s="1826"/>
      <c r="HL11" s="1826"/>
      <c r="HM11" s="1826"/>
      <c r="HN11" s="1826"/>
      <c r="HO11" s="1826"/>
      <c r="HP11" s="1826"/>
      <c r="HQ11" s="1826"/>
      <c r="HR11" s="1826"/>
      <c r="HS11" s="1826"/>
      <c r="HT11" s="1826"/>
      <c r="HU11" s="1826"/>
      <c r="HV11" s="1826"/>
      <c r="HW11" s="1826"/>
      <c r="HX11" s="1826"/>
      <c r="HY11" s="1826"/>
      <c r="HZ11" s="1826"/>
      <c r="IA11" s="1826"/>
      <c r="IB11" s="1826"/>
      <c r="IC11" s="1826"/>
      <c r="ID11" s="1826"/>
      <c r="IE11" s="1826"/>
      <c r="IF11" s="1826"/>
      <c r="IG11" s="1826"/>
      <c r="IH11" s="1826"/>
      <c r="II11" s="1826"/>
      <c r="IJ11" s="1826"/>
      <c r="IK11" s="1826"/>
      <c r="IL11" s="1826"/>
      <c r="IM11" s="1826"/>
      <c r="IN11" s="1826"/>
      <c r="IO11" s="1826"/>
      <c r="IP11" s="1826"/>
      <c r="IQ11" s="1826"/>
      <c r="IR11" s="1826"/>
    </row>
    <row r="12" spans="1:252" ht="15.9" customHeight="1">
      <c r="A12" s="2014"/>
      <c r="B12" s="311" t="s">
        <v>82</v>
      </c>
      <c r="C12" s="2017"/>
      <c r="D12" s="311"/>
      <c r="E12" s="306"/>
      <c r="F12" s="311" t="s">
        <v>83</v>
      </c>
      <c r="G12" s="2017"/>
      <c r="H12" s="311"/>
      <c r="I12" s="306"/>
      <c r="J12" s="311" t="s">
        <v>84</v>
      </c>
      <c r="K12" s="311"/>
      <c r="L12" s="1827"/>
      <c r="M12" s="311"/>
      <c r="N12" s="311"/>
      <c r="O12" s="311"/>
      <c r="P12" s="311"/>
      <c r="Q12" s="2014"/>
      <c r="R12" s="2018"/>
      <c r="S12" s="3563" t="s">
        <v>1136</v>
      </c>
      <c r="T12" s="3563"/>
      <c r="U12" s="3563"/>
      <c r="V12" s="1732"/>
    </row>
    <row r="13" spans="1:252" ht="12.9" customHeight="1">
      <c r="A13" s="2014"/>
      <c r="B13" s="2019"/>
      <c r="C13" s="2019"/>
      <c r="D13" s="2019"/>
      <c r="E13" s="2014"/>
      <c r="F13" s="2019"/>
      <c r="G13" s="2020"/>
      <c r="H13" s="2019"/>
      <c r="I13" s="2014"/>
      <c r="J13" s="2019"/>
      <c r="K13" s="2019"/>
      <c r="L13" s="2019"/>
      <c r="M13" s="2019"/>
      <c r="N13" s="2019"/>
      <c r="O13" s="2019"/>
      <c r="P13" s="2019"/>
      <c r="Q13" s="2014"/>
      <c r="R13" s="2021"/>
      <c r="S13" s="1358"/>
      <c r="T13" s="2022"/>
      <c r="U13" s="1731"/>
      <c r="V13" s="1732"/>
    </row>
    <row r="14" spans="1:252" ht="15.9" customHeight="1">
      <c r="A14" s="2014"/>
      <c r="B14" s="1501" t="s">
        <v>7</v>
      </c>
      <c r="C14" s="306"/>
      <c r="D14" s="1502" t="s">
        <v>1660</v>
      </c>
      <c r="E14" s="306"/>
      <c r="F14" s="1501" t="s">
        <v>7</v>
      </c>
      <c r="G14" s="1503"/>
      <c r="H14" s="1501" t="str">
        <f>D14</f>
        <v>9 MOS. ENDED</v>
      </c>
      <c r="I14" s="306"/>
      <c r="J14" s="1501" t="s">
        <v>7</v>
      </c>
      <c r="K14" s="306"/>
      <c r="L14" s="1501" t="str">
        <f>D14</f>
        <v>9 MOS. ENDED</v>
      </c>
      <c r="M14" s="306"/>
      <c r="N14" s="1501" t="s">
        <v>7</v>
      </c>
      <c r="O14" s="306"/>
      <c r="P14" s="1501" t="str">
        <f>H14</f>
        <v>9 MOS. ENDED</v>
      </c>
      <c r="Q14" s="2014"/>
      <c r="R14" s="2021"/>
      <c r="S14" s="1516" t="s">
        <v>8</v>
      </c>
      <c r="T14" s="414"/>
      <c r="U14" s="1517" t="s">
        <v>9</v>
      </c>
      <c r="V14" s="1732"/>
    </row>
    <row r="15" spans="1:252" ht="15.9" customHeight="1">
      <c r="A15" s="2014"/>
      <c r="B15" s="1849" t="s">
        <v>1659</v>
      </c>
      <c r="C15" s="306"/>
      <c r="D15" s="1849" t="s">
        <v>1661</v>
      </c>
      <c r="E15" s="306"/>
      <c r="F15" s="1504" t="str">
        <f>+B15</f>
        <v>DEC. 2015</v>
      </c>
      <c r="G15" s="306"/>
      <c r="H15" s="1505" t="str">
        <f>D15</f>
        <v>DEC. 31, 2015</v>
      </c>
      <c r="I15" s="306"/>
      <c r="J15" s="1504" t="str">
        <f>+F15</f>
        <v>DEC. 2015</v>
      </c>
      <c r="K15" s="306"/>
      <c r="L15" s="1505" t="str">
        <f>D15</f>
        <v>DEC. 31, 2015</v>
      </c>
      <c r="M15" s="306"/>
      <c r="N15" s="1506" t="s">
        <v>1655</v>
      </c>
      <c r="O15" s="306"/>
      <c r="P15" s="1849" t="s">
        <v>1656</v>
      </c>
      <c r="Q15" s="2014"/>
      <c r="R15" s="2021"/>
      <c r="S15" s="1522" t="s">
        <v>13</v>
      </c>
      <c r="T15" s="413"/>
      <c r="U15" s="1523" t="s">
        <v>14</v>
      </c>
      <c r="V15" s="1732"/>
    </row>
    <row r="16" spans="1:252" ht="12.9" customHeight="1">
      <c r="A16" s="2014"/>
      <c r="B16" s="2016"/>
      <c r="C16" s="2014"/>
      <c r="D16" s="2016" t="s">
        <v>16</v>
      </c>
      <c r="E16" s="2014"/>
      <c r="F16" s="2019"/>
      <c r="G16" s="2014"/>
      <c r="H16" s="2023" t="s">
        <v>16</v>
      </c>
      <c r="I16" s="2016"/>
      <c r="J16" s="2024"/>
      <c r="K16" s="2014"/>
      <c r="L16" s="2025"/>
      <c r="M16" s="2016"/>
      <c r="N16" s="2016"/>
      <c r="O16" s="2014"/>
      <c r="P16" s="2016"/>
      <c r="Q16" s="2014"/>
      <c r="R16" s="2026"/>
      <c r="S16" s="1732"/>
      <c r="T16" s="2016"/>
      <c r="U16" s="1732"/>
      <c r="V16" s="1732"/>
    </row>
    <row r="17" spans="1:245" ht="15.9" customHeight="1">
      <c r="A17" s="306" t="s">
        <v>15</v>
      </c>
      <c r="B17" s="2027"/>
      <c r="C17" s="2027"/>
      <c r="D17" s="2027"/>
      <c r="E17" s="2027"/>
      <c r="F17" s="2028"/>
      <c r="G17" s="2027"/>
      <c r="H17" s="2029"/>
      <c r="I17" s="2028"/>
      <c r="J17" s="2030"/>
      <c r="K17" s="2027"/>
      <c r="L17" s="2029"/>
      <c r="M17" s="2028"/>
      <c r="N17" s="2028"/>
      <c r="O17" s="2027"/>
      <c r="P17" s="2028"/>
      <c r="Q17" s="2014"/>
      <c r="R17" s="2031"/>
      <c r="S17" s="1732"/>
      <c r="T17" s="2028"/>
      <c r="U17" s="1732"/>
      <c r="V17" s="1732"/>
    </row>
    <row r="18" spans="1:245" ht="15.9" customHeight="1">
      <c r="A18" s="2014" t="s">
        <v>21</v>
      </c>
      <c r="B18" s="2032">
        <f>+'EXHIBIT L'!R16</f>
        <v>7.2</v>
      </c>
      <c r="C18" s="1832"/>
      <c r="D18" s="1831">
        <f>+'EXHIBIT L'!AA16</f>
        <v>90.5</v>
      </c>
      <c r="E18" s="1832"/>
      <c r="F18" s="2033">
        <f>+'EXHIBIT M'!R16</f>
        <v>0</v>
      </c>
      <c r="G18" s="1832"/>
      <c r="H18" s="2034">
        <f>+'EXHIBIT M'!AA16</f>
        <v>0.2</v>
      </c>
      <c r="I18" s="2035"/>
      <c r="J18" s="2036">
        <f>SUM(B18)+SUM(F18)</f>
        <v>7.2</v>
      </c>
      <c r="K18" s="1832"/>
      <c r="L18" s="2034">
        <f>D18+SUM(H18)</f>
        <v>90.7</v>
      </c>
      <c r="M18" s="2035"/>
      <c r="N18" s="2037">
        <v>6.8</v>
      </c>
      <c r="O18" s="1832"/>
      <c r="P18" s="2037">
        <v>78.7</v>
      </c>
      <c r="Q18" s="2038"/>
      <c r="R18" s="2039"/>
      <c r="S18" s="2248">
        <f>ROUND(SUM(L18-P18),1)</f>
        <v>12</v>
      </c>
      <c r="T18" s="2040"/>
      <c r="U18" s="2714">
        <f>ROUND(IF(S18=0,0,S18/ABS(P18)),3)</f>
        <v>0.152</v>
      </c>
      <c r="V18" s="2041"/>
      <c r="W18" s="2042"/>
      <c r="X18" s="2042"/>
      <c r="Y18" s="2042"/>
      <c r="Z18" s="2042"/>
      <c r="AA18" s="2042"/>
      <c r="AB18" s="2042"/>
      <c r="AC18" s="2042"/>
      <c r="AD18" s="2042"/>
      <c r="AE18" s="2042"/>
      <c r="AF18" s="2042"/>
      <c r="AG18" s="2042"/>
      <c r="AH18" s="2042"/>
      <c r="AI18" s="2042"/>
      <c r="AJ18" s="2042"/>
      <c r="AK18" s="2042"/>
      <c r="AL18" s="2042"/>
      <c r="AM18" s="2042"/>
      <c r="AN18" s="2042"/>
      <c r="AO18" s="2042"/>
      <c r="AP18" s="2042"/>
      <c r="AQ18" s="2042"/>
      <c r="AR18" s="2042"/>
      <c r="AS18" s="2042"/>
      <c r="AT18" s="2042"/>
      <c r="AU18" s="2042"/>
      <c r="AV18" s="2042"/>
      <c r="AW18" s="2042"/>
      <c r="AX18" s="2042"/>
      <c r="AY18" s="2042"/>
      <c r="AZ18" s="2042"/>
      <c r="BA18" s="2042"/>
      <c r="BB18" s="2042"/>
      <c r="BC18" s="2042"/>
      <c r="BD18" s="2042"/>
      <c r="BE18" s="2042"/>
      <c r="BF18" s="2042"/>
      <c r="BG18" s="2042"/>
      <c r="BH18" s="2042"/>
      <c r="BI18" s="2042"/>
      <c r="BJ18" s="2042"/>
      <c r="BK18" s="2042"/>
      <c r="BL18" s="2042"/>
      <c r="BM18" s="2042"/>
      <c r="BN18" s="2042"/>
      <c r="BO18" s="2042"/>
      <c r="BP18" s="2042"/>
      <c r="BQ18" s="2042"/>
      <c r="BR18" s="2042"/>
      <c r="BS18" s="2042"/>
      <c r="BT18" s="2042"/>
      <c r="BU18" s="2042"/>
      <c r="BV18" s="2042"/>
      <c r="BW18" s="2042"/>
      <c r="BX18" s="2042"/>
      <c r="BY18" s="2042"/>
      <c r="BZ18" s="2042"/>
      <c r="CA18" s="2042"/>
      <c r="CB18" s="2042"/>
      <c r="CC18" s="2042"/>
      <c r="CD18" s="2042"/>
      <c r="CE18" s="2042"/>
      <c r="CF18" s="2042"/>
      <c r="CG18" s="2042"/>
      <c r="CH18" s="2042"/>
      <c r="CI18" s="2042"/>
      <c r="CJ18" s="2042"/>
      <c r="CK18" s="2042"/>
      <c r="CL18" s="2042"/>
      <c r="CM18" s="2042"/>
      <c r="CN18" s="2042"/>
      <c r="CO18" s="2042"/>
      <c r="CP18" s="2042"/>
      <c r="CQ18" s="2042"/>
      <c r="CR18" s="2042"/>
      <c r="CS18" s="2042"/>
      <c r="CT18" s="2042"/>
      <c r="CU18" s="2042"/>
      <c r="CV18" s="2042"/>
      <c r="CW18" s="2042"/>
      <c r="CX18" s="2042"/>
      <c r="CY18" s="2042"/>
      <c r="CZ18" s="2042"/>
      <c r="DA18" s="2042"/>
      <c r="DB18" s="2042"/>
      <c r="DC18" s="2042"/>
      <c r="DD18" s="2042"/>
      <c r="DE18" s="2042"/>
      <c r="DF18" s="2042"/>
      <c r="DG18" s="2042"/>
      <c r="DH18" s="2042"/>
      <c r="DI18" s="2042"/>
      <c r="DJ18" s="2042"/>
      <c r="DK18" s="2042"/>
      <c r="DL18" s="2042"/>
      <c r="DM18" s="2042"/>
      <c r="DN18" s="2042"/>
      <c r="DO18" s="2042"/>
      <c r="DP18" s="2042"/>
      <c r="DQ18" s="2042"/>
      <c r="DR18" s="2042"/>
      <c r="DS18" s="2042"/>
      <c r="DT18" s="2042"/>
      <c r="DU18" s="2042"/>
      <c r="DV18" s="2042"/>
      <c r="DW18" s="2042"/>
      <c r="DX18" s="2042"/>
      <c r="DY18" s="2042"/>
      <c r="DZ18" s="2042"/>
      <c r="EA18" s="2042"/>
      <c r="EB18" s="2042"/>
      <c r="EC18" s="2042"/>
      <c r="ED18" s="2042"/>
      <c r="EE18" s="2042"/>
      <c r="EF18" s="2042"/>
      <c r="EG18" s="2042"/>
      <c r="EH18" s="2042"/>
      <c r="EI18" s="2042"/>
      <c r="EJ18" s="2042"/>
      <c r="EK18" s="2042"/>
      <c r="EL18" s="2042"/>
      <c r="EM18" s="2042"/>
      <c r="EN18" s="2042"/>
      <c r="EO18" s="2042"/>
      <c r="EP18" s="2042"/>
      <c r="EQ18" s="2042"/>
      <c r="ER18" s="2042"/>
      <c r="ES18" s="2042"/>
      <c r="ET18" s="2042"/>
      <c r="EU18" s="2042"/>
      <c r="EV18" s="2042"/>
      <c r="EW18" s="2042"/>
      <c r="EX18" s="2042"/>
      <c r="EY18" s="2042"/>
      <c r="EZ18" s="2042"/>
      <c r="FA18" s="2042"/>
      <c r="FB18" s="2042"/>
      <c r="FC18" s="2042"/>
      <c r="FD18" s="2042"/>
      <c r="FE18" s="2042"/>
      <c r="FF18" s="2042"/>
      <c r="FG18" s="2042"/>
      <c r="FH18" s="2042"/>
      <c r="FI18" s="2042"/>
      <c r="FJ18" s="2042"/>
      <c r="FK18" s="2042"/>
      <c r="FL18" s="2042"/>
      <c r="FM18" s="2042"/>
      <c r="FN18" s="2042"/>
      <c r="FO18" s="2042"/>
      <c r="FP18" s="2042"/>
      <c r="FQ18" s="2042"/>
      <c r="FR18" s="2042"/>
      <c r="FS18" s="2042"/>
      <c r="FT18" s="2042"/>
      <c r="FU18" s="2042"/>
      <c r="FV18" s="2042"/>
      <c r="FW18" s="2042"/>
      <c r="FX18" s="2042"/>
      <c r="FY18" s="2042"/>
      <c r="FZ18" s="2042"/>
      <c r="GA18" s="2042"/>
      <c r="GB18" s="2042"/>
      <c r="GC18" s="2042"/>
      <c r="GD18" s="2042"/>
      <c r="GE18" s="2042"/>
      <c r="GF18" s="2042"/>
      <c r="GG18" s="2042"/>
      <c r="GH18" s="2042"/>
      <c r="GI18" s="2042"/>
      <c r="GJ18" s="2042"/>
      <c r="GK18" s="2042"/>
      <c r="GL18" s="2042"/>
      <c r="GM18" s="2042"/>
      <c r="GN18" s="2042"/>
      <c r="GO18" s="2042"/>
      <c r="GP18" s="2042"/>
      <c r="GQ18" s="2042"/>
      <c r="GR18" s="2042"/>
      <c r="GS18" s="2042"/>
      <c r="GT18" s="2042"/>
      <c r="GU18" s="2042"/>
      <c r="GV18" s="2042"/>
      <c r="GW18" s="2042"/>
      <c r="GX18" s="2042"/>
      <c r="GY18" s="2042"/>
      <c r="GZ18" s="2042"/>
      <c r="HA18" s="2042"/>
      <c r="HB18" s="2042"/>
      <c r="HC18" s="2042"/>
      <c r="HD18" s="2042"/>
      <c r="HE18" s="2042"/>
      <c r="HF18" s="2042"/>
      <c r="HG18" s="2042"/>
      <c r="HH18" s="2042"/>
      <c r="HI18" s="2042"/>
      <c r="HJ18" s="2042"/>
      <c r="HK18" s="2042"/>
      <c r="HL18" s="2042"/>
      <c r="HM18" s="2042"/>
      <c r="HN18" s="2042"/>
      <c r="HO18" s="2042"/>
      <c r="HP18" s="2042"/>
      <c r="HQ18" s="2042"/>
      <c r="HR18" s="2042"/>
      <c r="HS18" s="2042"/>
      <c r="HT18" s="2042"/>
      <c r="HU18" s="2042"/>
      <c r="HV18" s="2042"/>
      <c r="HW18" s="2042"/>
      <c r="HX18" s="2042"/>
      <c r="HY18" s="2042"/>
      <c r="HZ18" s="2042"/>
      <c r="IA18" s="2042"/>
      <c r="IB18" s="2042"/>
      <c r="IC18" s="2042"/>
      <c r="ID18" s="2042"/>
      <c r="IE18" s="2042"/>
      <c r="IF18" s="2042"/>
      <c r="IG18" s="2042"/>
      <c r="IH18" s="2042"/>
      <c r="II18" s="2042"/>
      <c r="IJ18" s="2042"/>
      <c r="IK18" s="2042"/>
    </row>
    <row r="19" spans="1:245" ht="15.6">
      <c r="A19" s="306" t="s">
        <v>23</v>
      </c>
      <c r="B19" s="312">
        <f>ROUND(SUM(B18),1)</f>
        <v>7.2</v>
      </c>
      <c r="C19" s="313"/>
      <c r="D19" s="312">
        <f>ROUND(SUM(D18),1)</f>
        <v>90.5</v>
      </c>
      <c r="E19" s="313"/>
      <c r="F19" s="314">
        <f>ROUND(SUM(F18),1)</f>
        <v>0</v>
      </c>
      <c r="G19" s="313"/>
      <c r="H19" s="315">
        <f>ROUND(SUM(H18),1)</f>
        <v>0.2</v>
      </c>
      <c r="I19" s="316"/>
      <c r="J19" s="317">
        <f>ROUND(SUM(J18),1)</f>
        <v>7.2</v>
      </c>
      <c r="K19" s="313"/>
      <c r="L19" s="315">
        <f>ROUND(SUM(L18),1)</f>
        <v>90.7</v>
      </c>
      <c r="M19" s="316"/>
      <c r="N19" s="312">
        <f>ROUND(SUM(N18),1)</f>
        <v>6.8</v>
      </c>
      <c r="O19" s="313"/>
      <c r="P19" s="312">
        <f>ROUND(SUM(P18),1)</f>
        <v>78.7</v>
      </c>
      <c r="Q19" s="1503"/>
      <c r="R19" s="2043"/>
      <c r="S19" s="2072">
        <f>ROUND(SUM(S18),3)</f>
        <v>12</v>
      </c>
      <c r="T19" s="1199"/>
      <c r="U19" s="2073">
        <f>ROUND(+S19/P19,3)</f>
        <v>0.152</v>
      </c>
      <c r="V19" s="1732"/>
    </row>
    <row r="20" spans="1:245" ht="15.6">
      <c r="A20" s="306"/>
      <c r="B20" s="1833"/>
      <c r="C20" s="1833"/>
      <c r="D20" s="1833"/>
      <c r="E20" s="1833"/>
      <c r="F20" s="1833"/>
      <c r="G20" s="1833"/>
      <c r="H20" s="2044"/>
      <c r="I20" s="2045"/>
      <c r="J20" s="2046"/>
      <c r="K20" s="1833"/>
      <c r="L20" s="2047"/>
      <c r="M20" s="2045"/>
      <c r="N20" s="2045"/>
      <c r="O20" s="1833"/>
      <c r="P20" s="2045"/>
      <c r="R20" s="2031"/>
      <c r="S20" s="2071"/>
      <c r="T20" s="2028"/>
      <c r="U20" s="1732"/>
      <c r="V20" s="1732"/>
    </row>
    <row r="21" spans="1:245" ht="15.9" customHeight="1">
      <c r="A21" s="306" t="s">
        <v>24</v>
      </c>
      <c r="B21" s="1833"/>
      <c r="C21" s="1833"/>
      <c r="D21" s="1833"/>
      <c r="E21" s="1833"/>
      <c r="F21" s="1833"/>
      <c r="G21" s="1833"/>
      <c r="H21" s="2047"/>
      <c r="I21" s="2045"/>
      <c r="J21" s="2046"/>
      <c r="K21" s="1833"/>
      <c r="L21" s="2047"/>
      <c r="M21" s="2045"/>
      <c r="N21" s="2045"/>
      <c r="O21" s="1833"/>
      <c r="P21" s="2045"/>
      <c r="R21" s="2031"/>
      <c r="S21" s="2071"/>
      <c r="T21" s="2028"/>
      <c r="U21" s="1732"/>
      <c r="V21" s="1732"/>
    </row>
    <row r="22" spans="1:245" ht="15.9" customHeight="1">
      <c r="A22" s="2014" t="s">
        <v>37</v>
      </c>
      <c r="B22" s="1833"/>
      <c r="C22" s="1833"/>
      <c r="D22" s="1833"/>
      <c r="E22" s="1833"/>
      <c r="F22" s="1833"/>
      <c r="G22" s="1833"/>
      <c r="H22" s="2047"/>
      <c r="I22" s="2045"/>
      <c r="J22" s="2046"/>
      <c r="K22" s="1833"/>
      <c r="L22" s="2047"/>
      <c r="M22" s="2045"/>
      <c r="N22" s="2045"/>
      <c r="O22" s="1833"/>
      <c r="P22" s="2045"/>
      <c r="R22" s="2031"/>
      <c r="S22" s="2071"/>
      <c r="T22" s="2028"/>
      <c r="U22" s="1732"/>
      <c r="V22" s="1732"/>
    </row>
    <row r="23" spans="1:245" ht="15.9" customHeight="1">
      <c r="A23" s="2014" t="s">
        <v>70</v>
      </c>
      <c r="B23" s="1351">
        <f>+'EXHIBIT L'!R22</f>
        <v>7.1</v>
      </c>
      <c r="C23" s="1833"/>
      <c r="D23" s="1351">
        <f>+'EXHIBIT L'!AA22</f>
        <v>44.3</v>
      </c>
      <c r="E23" s="1833"/>
      <c r="F23" s="2048">
        <f>+'EXHIBIT M'!R22</f>
        <v>0</v>
      </c>
      <c r="G23" s="1833"/>
      <c r="H23" s="2049">
        <f>+'EXHIBIT M'!AA22</f>
        <v>0.2</v>
      </c>
      <c r="I23" s="2045"/>
      <c r="J23" s="2050">
        <f>SUM(B23)+SUM(F23)</f>
        <v>7.1</v>
      </c>
      <c r="K23" s="1833"/>
      <c r="L23" s="2051">
        <f>SUM(D23)+SUM(H23)</f>
        <v>44.5</v>
      </c>
      <c r="M23" s="2045"/>
      <c r="N23" s="2052">
        <v>3.4</v>
      </c>
      <c r="O23" s="1833"/>
      <c r="P23" s="2052">
        <v>42.3</v>
      </c>
      <c r="R23" s="2031"/>
      <c r="S23" s="2071">
        <f>ROUND(SUM(L23-P23),1)</f>
        <v>2.2000000000000002</v>
      </c>
      <c r="T23" s="2028"/>
      <c r="U23" s="2714">
        <f>ROUND(IF(S23=0,0,S23/ABS(P23)),3)</f>
        <v>5.1999999999999998E-2</v>
      </c>
      <c r="V23" s="1732"/>
    </row>
    <row r="24" spans="1:245" ht="15.9" customHeight="1">
      <c r="A24" s="2014" t="s">
        <v>71</v>
      </c>
      <c r="B24" s="1351">
        <f>+'EXHIBIT L'!R23</f>
        <v>1.5</v>
      </c>
      <c r="C24" s="1833"/>
      <c r="D24" s="2052">
        <f>+'EXHIBIT L'!AA23</f>
        <v>12.9</v>
      </c>
      <c r="E24" s="1833"/>
      <c r="F24" s="2048">
        <f>+'EXHIBIT M'!R23</f>
        <v>0</v>
      </c>
      <c r="G24" s="1833"/>
      <c r="H24" s="2049">
        <f>+'EXHIBIT M'!AA23</f>
        <v>0</v>
      </c>
      <c r="I24" s="2045"/>
      <c r="J24" s="2050">
        <f>SUM(B24)+SUM(F24)</f>
        <v>1.5</v>
      </c>
      <c r="K24" s="1833"/>
      <c r="L24" s="2051">
        <f>SUM(D24)+SUM(H24)</f>
        <v>12.9</v>
      </c>
      <c r="M24" s="2045"/>
      <c r="N24" s="2053">
        <v>1.1000000000000001</v>
      </c>
      <c r="O24" s="2045"/>
      <c r="P24" s="2052">
        <v>12.2</v>
      </c>
      <c r="R24" s="2031"/>
      <c r="S24" s="2071">
        <f>ROUND(SUM(L24-P24),1)</f>
        <v>0.7</v>
      </c>
      <c r="T24" s="2028"/>
      <c r="U24" s="2714">
        <f>ROUND(IF(S24=0,0,S24/ABS(P24)),3)</f>
        <v>5.7000000000000002E-2</v>
      </c>
      <c r="V24" s="1732"/>
    </row>
    <row r="25" spans="1:245" ht="15.9" customHeight="1">
      <c r="A25" s="2014" t="s">
        <v>72</v>
      </c>
      <c r="B25" s="1351">
        <f>+'EXHIBIT L'!R24</f>
        <v>9.1999999999999993</v>
      </c>
      <c r="C25" s="1833"/>
      <c r="D25" s="2053">
        <f>+'EXHIBIT L'!AA24</f>
        <v>23.6</v>
      </c>
      <c r="E25" s="1833"/>
      <c r="F25" s="2048">
        <f>+'EXHIBIT M'!R24</f>
        <v>0.1</v>
      </c>
      <c r="G25" s="1833"/>
      <c r="H25" s="2054">
        <f>+'EXHIBIT M'!AA24</f>
        <v>0.1</v>
      </c>
      <c r="I25" s="2045"/>
      <c r="J25" s="2050">
        <f>SUM(B25)+SUM(F25)</f>
        <v>9.2999999999999989</v>
      </c>
      <c r="K25" s="1833"/>
      <c r="L25" s="2055">
        <f>SUM(D25)+SUM(H25)</f>
        <v>23.700000000000003</v>
      </c>
      <c r="M25" s="2045"/>
      <c r="N25" s="2053">
        <v>-0.1</v>
      </c>
      <c r="O25" s="2056"/>
      <c r="P25" s="2052">
        <v>21.8</v>
      </c>
      <c r="R25" s="2031"/>
      <c r="S25" s="2071">
        <f>ROUND(SUM(L25-P25),1)</f>
        <v>1.9</v>
      </c>
      <c r="T25" s="2028"/>
      <c r="U25" s="2765">
        <f>ROUND(IF(P25=0,0,S25/ABS(P25)),3)</f>
        <v>8.6999999999999994E-2</v>
      </c>
      <c r="V25" s="1732"/>
    </row>
    <row r="26" spans="1:245" ht="15.6">
      <c r="A26" s="306" t="s">
        <v>60</v>
      </c>
      <c r="B26" s="312">
        <f>ROUND(SUM(B23:B25),1)</f>
        <v>17.8</v>
      </c>
      <c r="C26" s="313"/>
      <c r="D26" s="312">
        <f>ROUND(SUM(D23:D25),1)</f>
        <v>80.8</v>
      </c>
      <c r="E26" s="313"/>
      <c r="F26" s="312">
        <f>ROUND(SUM(F23:F25),1)</f>
        <v>0.1</v>
      </c>
      <c r="G26" s="313"/>
      <c r="H26" s="315">
        <f>ROUND(SUM(H23:H25),1)</f>
        <v>0.3</v>
      </c>
      <c r="I26" s="316"/>
      <c r="J26" s="317">
        <f>ROUND(SUM(J23:J25),1)</f>
        <v>17.899999999999999</v>
      </c>
      <c r="K26" s="313"/>
      <c r="L26" s="315">
        <f>ROUND(SUM(L23:L25),1)</f>
        <v>81.099999999999994</v>
      </c>
      <c r="M26" s="316"/>
      <c r="N26" s="312">
        <f>ROUND(SUM(N23:N25),1)</f>
        <v>4.4000000000000004</v>
      </c>
      <c r="O26" s="313"/>
      <c r="P26" s="312">
        <f>ROUND(SUM(P23:P25),1)</f>
        <v>76.3</v>
      </c>
      <c r="Q26" s="1503"/>
      <c r="R26" s="2009"/>
      <c r="S26" s="2072">
        <f>ROUND(SUM(S23:S25),3)</f>
        <v>4.8</v>
      </c>
      <c r="T26" s="1199"/>
      <c r="U26" s="2814">
        <f>ROUND(S26/P26,3)</f>
        <v>6.3E-2</v>
      </c>
      <c r="V26" s="1732"/>
    </row>
    <row r="27" spans="1:245" ht="15.6">
      <c r="A27" s="306"/>
      <c r="B27" s="1833"/>
      <c r="C27" s="1833"/>
      <c r="D27" s="1833"/>
      <c r="E27" s="1833"/>
      <c r="F27" s="1833"/>
      <c r="G27" s="1833"/>
      <c r="H27" s="2047"/>
      <c r="I27" s="2045"/>
      <c r="J27" s="2046"/>
      <c r="K27" s="1833"/>
      <c r="L27" s="2047"/>
      <c r="M27" s="2045"/>
      <c r="N27" s="2045"/>
      <c r="O27" s="1833"/>
      <c r="P27" s="2045"/>
      <c r="R27" s="2031"/>
      <c r="S27" s="2071"/>
      <c r="T27" s="2028"/>
      <c r="U27" s="1732"/>
      <c r="V27" s="1732"/>
    </row>
    <row r="28" spans="1:245" ht="15.9" customHeight="1">
      <c r="A28" s="306" t="s">
        <v>45</v>
      </c>
      <c r="B28" s="1833"/>
      <c r="C28" s="1833"/>
      <c r="D28" s="1833"/>
      <c r="E28" s="1833"/>
      <c r="F28" s="1833"/>
      <c r="G28" s="1833"/>
      <c r="H28" s="2047"/>
      <c r="I28" s="2045"/>
      <c r="J28" s="2046"/>
      <c r="K28" s="1833"/>
      <c r="L28" s="2047"/>
      <c r="M28" s="2045"/>
      <c r="N28" s="2045"/>
      <c r="O28" s="1833"/>
      <c r="P28" s="2045"/>
      <c r="R28" s="2031"/>
      <c r="S28" s="2071"/>
      <c r="T28" s="2028"/>
      <c r="U28" s="1732"/>
      <c r="V28" s="1732"/>
    </row>
    <row r="29" spans="1:245" ht="15.6">
      <c r="A29" s="306" t="s">
        <v>74</v>
      </c>
      <c r="B29" s="322">
        <f>ROUND(SUM(B19-B26),1)</f>
        <v>-10.6</v>
      </c>
      <c r="C29" s="313"/>
      <c r="D29" s="322">
        <f>ROUND(SUM(D19-D26),1)</f>
        <v>9.6999999999999993</v>
      </c>
      <c r="E29" s="313"/>
      <c r="F29" s="322">
        <f>ROUND(SUM(F19-F26),1)</f>
        <v>-0.1</v>
      </c>
      <c r="G29" s="313"/>
      <c r="H29" s="323">
        <f>ROUND(SUM(H19-H26),1)</f>
        <v>-0.1</v>
      </c>
      <c r="I29" s="316"/>
      <c r="J29" s="324">
        <f>ROUND(SUM(J19-J26),1)</f>
        <v>-10.7</v>
      </c>
      <c r="K29" s="316"/>
      <c r="L29" s="323">
        <f>ROUND(SUM(L19-L26),1)</f>
        <v>9.6</v>
      </c>
      <c r="M29" s="316"/>
      <c r="N29" s="322">
        <f>ROUND(SUM(N19-N26),1)</f>
        <v>2.4</v>
      </c>
      <c r="O29" s="316"/>
      <c r="P29" s="322">
        <f>ROUND(SUM(P19-P26),1)</f>
        <v>2.4</v>
      </c>
      <c r="Q29" s="1503"/>
      <c r="R29" s="2031"/>
      <c r="S29" s="3343">
        <f>ROUND(SUM(L29-P29),1)</f>
        <v>7.2</v>
      </c>
      <c r="T29" s="2028"/>
      <c r="U29" s="2715">
        <f>ROUND(IF(P29=0,1,S29/ABS(P29)),3)</f>
        <v>3</v>
      </c>
      <c r="V29" s="1732"/>
    </row>
    <row r="30" spans="1:245">
      <c r="A30" s="2014"/>
      <c r="B30" s="1833"/>
      <c r="C30" s="1833"/>
      <c r="D30" s="1833"/>
      <c r="E30" s="1833"/>
      <c r="F30" s="1833"/>
      <c r="G30" s="1833"/>
      <c r="H30" s="2047"/>
      <c r="I30" s="2045"/>
      <c r="J30" s="2046"/>
      <c r="K30" s="1833"/>
      <c r="L30" s="2047"/>
      <c r="M30" s="2045"/>
      <c r="N30" s="2045"/>
      <c r="O30" s="1833"/>
      <c r="P30" s="2045"/>
      <c r="R30" s="2031"/>
      <c r="S30" s="2071"/>
      <c r="T30" s="2028"/>
      <c r="U30" s="1732"/>
      <c r="V30" s="1732"/>
    </row>
    <row r="31" spans="1:245" ht="15.9" customHeight="1">
      <c r="A31" s="306" t="s">
        <v>47</v>
      </c>
      <c r="B31" s="1833"/>
      <c r="C31" s="1833"/>
      <c r="D31" s="1833"/>
      <c r="E31" s="1833"/>
      <c r="F31" s="1833"/>
      <c r="G31" s="1833"/>
      <c r="H31" s="2047"/>
      <c r="I31" s="2045"/>
      <c r="J31" s="2046"/>
      <c r="K31" s="1833"/>
      <c r="L31" s="2047"/>
      <c r="M31" s="2045"/>
      <c r="N31" s="2045"/>
      <c r="O31" s="1833"/>
      <c r="P31" s="2045"/>
      <c r="R31" s="2031"/>
      <c r="S31" s="2071"/>
      <c r="T31" s="2028"/>
      <c r="U31" s="1732"/>
      <c r="V31" s="1732"/>
    </row>
    <row r="32" spans="1:245" ht="15.9" customHeight="1">
      <c r="A32" s="2014" t="s">
        <v>49</v>
      </c>
      <c r="B32" s="2048">
        <f>+'EXHIBIT L'!L31</f>
        <v>0</v>
      </c>
      <c r="C32" s="1833"/>
      <c r="D32" s="2048">
        <f>+'EXHIBIT L'!AA31</f>
        <v>0</v>
      </c>
      <c r="E32" s="1833"/>
      <c r="F32" s="2048">
        <f>+'EXHIBIT M'!R31</f>
        <v>0</v>
      </c>
      <c r="G32" s="1351"/>
      <c r="H32" s="2057">
        <f>+'EXHIBIT M'!AA31</f>
        <v>0</v>
      </c>
      <c r="I32" s="2045"/>
      <c r="J32" s="2058">
        <f>SUM(B32)+SUM(F32)</f>
        <v>0</v>
      </c>
      <c r="K32" s="1833"/>
      <c r="L32" s="2049">
        <f>SUM(D32)+SUM(H32)</f>
        <v>0</v>
      </c>
      <c r="M32" s="2045"/>
      <c r="N32" s="2053">
        <v>0</v>
      </c>
      <c r="O32" s="2045"/>
      <c r="P32" s="2053">
        <f>+'EXHIBIT L'!AD31+'EXHIBIT M'!AD31</f>
        <v>0</v>
      </c>
      <c r="R32" s="2059"/>
      <c r="S32" s="2071">
        <f>ROUND(SUM(L32-P32),1)</f>
        <v>0</v>
      </c>
      <c r="T32" s="1267"/>
      <c r="U32" s="2714">
        <f>ROUND(IF(S32=0,0,S32/ABS(P32)),3)</f>
        <v>0</v>
      </c>
      <c r="V32" s="1732"/>
    </row>
    <row r="33" spans="1:245" ht="15.9" customHeight="1">
      <c r="A33" s="2014" t="s">
        <v>75</v>
      </c>
      <c r="B33" s="2048">
        <f>+'EXHIBIT L'!L32</f>
        <v>0</v>
      </c>
      <c r="C33" s="1833"/>
      <c r="D33" s="2060">
        <f>+'EXHIBIT L'!AA32</f>
        <v>0</v>
      </c>
      <c r="E33" s="1833"/>
      <c r="F33" s="2048">
        <f>+'EXHIBIT M'!R32</f>
        <v>0</v>
      </c>
      <c r="G33" s="1833"/>
      <c r="H33" s="2057">
        <f>+'EXHIBIT M'!AA32</f>
        <v>0</v>
      </c>
      <c r="I33" s="2045"/>
      <c r="J33" s="2058">
        <f>SUM(B33)+SUM(F33)</f>
        <v>0</v>
      </c>
      <c r="K33" s="1833"/>
      <c r="L33" s="2061">
        <f>SUM(D33)+SUM(H33)</f>
        <v>0</v>
      </c>
      <c r="M33" s="2045"/>
      <c r="N33" s="2062">
        <v>0</v>
      </c>
      <c r="O33" s="2056"/>
      <c r="P33" s="2062">
        <f>+'EXHIBIT L'!AD32+'EXHIBIT M'!AD32</f>
        <v>0</v>
      </c>
      <c r="R33" s="2063"/>
      <c r="S33" s="2071">
        <f>ROUND(SUM(L33-P33),1)</f>
        <v>0</v>
      </c>
      <c r="T33" s="1267"/>
      <c r="U33" s="2714">
        <f>ROUND(IF(S33=0,0,S33/ABS(P33)),3)</f>
        <v>0</v>
      </c>
      <c r="V33" s="1732"/>
    </row>
    <row r="34" spans="1:245" ht="15.6">
      <c r="A34" s="306" t="s">
        <v>51</v>
      </c>
      <c r="B34" s="325">
        <f>ROUND(SUM(B32:B33),1)</f>
        <v>0</v>
      </c>
      <c r="C34" s="313"/>
      <c r="D34" s="325">
        <f>ROUND(SUM(D32:D33),1)</f>
        <v>0</v>
      </c>
      <c r="E34" s="313"/>
      <c r="F34" s="325">
        <f>ROUND(SUM(F32:F33),1)</f>
        <v>0</v>
      </c>
      <c r="G34" s="313"/>
      <c r="H34" s="326">
        <f>ROUND(SUM(H32:H33),1)</f>
        <v>0</v>
      </c>
      <c r="I34" s="316"/>
      <c r="J34" s="327">
        <f>ROUND(SUM(J32:J33),1)</f>
        <v>0</v>
      </c>
      <c r="K34" s="313"/>
      <c r="L34" s="315">
        <f>ROUND(SUM(L32:L33),1)</f>
        <v>0</v>
      </c>
      <c r="M34" s="316"/>
      <c r="N34" s="312">
        <f>ROUND(SUM(N32:N33),1)</f>
        <v>0</v>
      </c>
      <c r="O34" s="313"/>
      <c r="P34" s="312">
        <f>ROUND(SUM(P32:P33),1)</f>
        <v>0</v>
      </c>
      <c r="R34" s="2064"/>
      <c r="S34" s="283">
        <f>ROUND(SUM(S32-S33),3)</f>
        <v>0</v>
      </c>
      <c r="T34" s="2738"/>
      <c r="U34" s="2127">
        <f>ROUND(IF(P34=0,0,S34/ABS(P34)),3)</f>
        <v>0</v>
      </c>
      <c r="V34" s="1732"/>
    </row>
    <row r="35" spans="1:245" ht="15.6">
      <c r="A35" s="306"/>
      <c r="B35" s="2065"/>
      <c r="C35" s="1833"/>
      <c r="D35" s="2065"/>
      <c r="E35" s="1833"/>
      <c r="F35" s="2045"/>
      <c r="G35" s="1833"/>
      <c r="H35" s="2047"/>
      <c r="I35" s="2045"/>
      <c r="J35" s="2046"/>
      <c r="K35" s="1833"/>
      <c r="L35" s="2066"/>
      <c r="M35" s="2045"/>
      <c r="N35" s="2045"/>
      <c r="O35" s="1833"/>
      <c r="P35" s="2045"/>
      <c r="R35" s="2031"/>
      <c r="S35" s="2071"/>
      <c r="T35" s="2028"/>
      <c r="U35" s="1732"/>
      <c r="V35" s="1732"/>
    </row>
    <row r="36" spans="1:245" ht="15.75" customHeight="1">
      <c r="A36" s="306" t="s">
        <v>45</v>
      </c>
      <c r="B36" s="1833"/>
      <c r="C36" s="1833"/>
      <c r="D36" s="1833"/>
      <c r="E36" s="1833"/>
      <c r="F36" s="1833"/>
      <c r="G36" s="1833"/>
      <c r="H36" s="2047"/>
      <c r="I36" s="2045"/>
      <c r="J36" s="2046"/>
      <c r="K36" s="1833"/>
      <c r="L36" s="2047"/>
      <c r="M36" s="2045"/>
      <c r="N36" s="2045"/>
      <c r="O36" s="1833"/>
      <c r="P36" s="2045"/>
      <c r="R36" s="2031"/>
      <c r="S36" s="2071"/>
      <c r="T36" s="2028"/>
      <c r="U36" s="1732"/>
      <c r="V36" s="1732"/>
    </row>
    <row r="37" spans="1:245" ht="15.75" customHeight="1">
      <c r="A37" s="306" t="s">
        <v>76</v>
      </c>
      <c r="B37" s="1833"/>
      <c r="C37" s="1833"/>
      <c r="D37" s="1833"/>
      <c r="E37" s="1833"/>
      <c r="F37" s="1833"/>
      <c r="G37" s="1833"/>
      <c r="H37" s="2047"/>
      <c r="I37" s="2045"/>
      <c r="J37" s="2046"/>
      <c r="K37" s="1833"/>
      <c r="L37" s="2047"/>
      <c r="M37" s="2045"/>
      <c r="N37" s="2045"/>
      <c r="O37" s="1833"/>
      <c r="P37" s="2045"/>
      <c r="R37" s="2031"/>
      <c r="S37" s="2071"/>
      <c r="T37" s="2028"/>
      <c r="U37" s="1732"/>
      <c r="V37" s="1732"/>
    </row>
    <row r="38" spans="1:245" ht="15.75" customHeight="1">
      <c r="A38" s="306" t="s">
        <v>77</v>
      </c>
      <c r="B38" s="1833"/>
      <c r="C38" s="1833"/>
      <c r="D38" s="1833"/>
      <c r="E38" s="1833"/>
      <c r="F38" s="2067"/>
      <c r="G38" s="1833"/>
      <c r="H38" s="2047"/>
      <c r="I38" s="2045"/>
      <c r="J38" s="2046"/>
      <c r="K38" s="1833"/>
      <c r="L38" s="2047"/>
      <c r="M38" s="2045"/>
      <c r="N38" s="2045"/>
      <c r="O38" s="1833"/>
      <c r="P38" s="2045"/>
      <c r="R38" s="2031"/>
      <c r="S38" s="2071"/>
      <c r="T38" s="2028"/>
      <c r="U38" s="1732"/>
      <c r="V38" s="1732"/>
    </row>
    <row r="39" spans="1:245" ht="15.75" customHeight="1">
      <c r="A39" s="306" t="s">
        <v>78</v>
      </c>
      <c r="B39" s="330">
        <f>ROUND(SUM(B29+B34),1)</f>
        <v>-10.6</v>
      </c>
      <c r="C39" s="313"/>
      <c r="D39" s="330">
        <f>ROUND(SUM(D29+D34),1)</f>
        <v>9.6999999999999993</v>
      </c>
      <c r="E39" s="313"/>
      <c r="F39" s="330">
        <f>ROUND(SUM(F29+F34),1)</f>
        <v>-0.1</v>
      </c>
      <c r="G39" s="313"/>
      <c r="H39" s="331">
        <f>ROUND(SUM(H29+H34),1)</f>
        <v>-0.1</v>
      </c>
      <c r="I39" s="316"/>
      <c r="J39" s="332">
        <f>ROUND(SUM(J29+J34),1)</f>
        <v>-10.7</v>
      </c>
      <c r="K39" s="313"/>
      <c r="L39" s="331">
        <f>ROUND(SUM(L29+L34),1)</f>
        <v>9.6</v>
      </c>
      <c r="M39" s="316"/>
      <c r="N39" s="330">
        <f>ROUND(SUM(N29+N34),1)</f>
        <v>2.4</v>
      </c>
      <c r="O39" s="316"/>
      <c r="P39" s="330">
        <f>ROUND(SUM(P29+P34),1)</f>
        <v>2.4</v>
      </c>
      <c r="Q39" s="1503"/>
      <c r="R39" s="2031"/>
      <c r="S39" s="2848">
        <f>ROUND(SUM(L39-P39),1)</f>
        <v>7.2</v>
      </c>
      <c r="T39" s="2028"/>
      <c r="U39" s="3325">
        <f>ROUND(IF(P39=0,1,S39/ABS(P39)),3)</f>
        <v>3</v>
      </c>
      <c r="V39" s="1732"/>
    </row>
    <row r="40" spans="1:245" ht="15.6">
      <c r="A40" s="306"/>
      <c r="B40" s="1833"/>
      <c r="C40" s="1833"/>
      <c r="D40" s="1833"/>
      <c r="E40" s="1833"/>
      <c r="F40" s="1833"/>
      <c r="G40" s="1833"/>
      <c r="H40" s="2047"/>
      <c r="I40" s="2045"/>
      <c r="J40" s="2046"/>
      <c r="K40" s="1833"/>
      <c r="L40" s="2047"/>
      <c r="M40" s="2045"/>
      <c r="N40" s="2045"/>
      <c r="O40" s="1833"/>
      <c r="P40" s="2045"/>
      <c r="R40" s="2031"/>
      <c r="S40" s="1882"/>
      <c r="T40" s="2725"/>
      <c r="U40" s="1882"/>
      <c r="V40" s="1732"/>
    </row>
    <row r="41" spans="1:245" s="1503" customFormat="1" ht="15.6">
      <c r="A41" s="306" t="s">
        <v>54</v>
      </c>
      <c r="B41" s="333">
        <f>+'EXHIBIT L'!P38</f>
        <v>3.4</v>
      </c>
      <c r="C41" s="313"/>
      <c r="D41" s="333">
        <f>+'EXHIBIT L'!AA13</f>
        <v>-16.899999999999999</v>
      </c>
      <c r="E41" s="313"/>
      <c r="F41" s="333">
        <f>+'EXHIBIT M'!P38</f>
        <v>11.5</v>
      </c>
      <c r="G41" s="313"/>
      <c r="H41" s="334">
        <f>+'EXHIBIT M'!AA13</f>
        <v>11.5</v>
      </c>
      <c r="I41" s="316"/>
      <c r="J41" s="335">
        <f>ROUND(SUM(B41)+SUM(F41),1)</f>
        <v>14.9</v>
      </c>
      <c r="K41" s="313"/>
      <c r="L41" s="331">
        <f>ROUND(SUM(D41+H41),1)</f>
        <v>-5.4</v>
      </c>
      <c r="M41" s="316"/>
      <c r="N41" s="322">
        <v>7</v>
      </c>
      <c r="O41" s="313"/>
      <c r="P41" s="322">
        <v>7</v>
      </c>
      <c r="R41" s="2010"/>
      <c r="S41" s="290">
        <f>ROUND(SUM(+L41-P41),1)</f>
        <v>-12.4</v>
      </c>
      <c r="T41" s="292"/>
      <c r="U41" s="2715">
        <f>ROUND(IF(S41=0,0,S41/ABS(P41)),3)</f>
        <v>-1.7709999999999999</v>
      </c>
      <c r="V41" s="2068"/>
    </row>
    <row r="42" spans="1:245" ht="16.2" thickBot="1">
      <c r="A42" s="306" t="s">
        <v>80</v>
      </c>
      <c r="B42" s="336">
        <f>ROUND(SUM(B41)+SUM(B39),1)</f>
        <v>-7.2</v>
      </c>
      <c r="C42" s="337"/>
      <c r="D42" s="336">
        <f>ROUND(SUM(D41)+SUM(D39),1)</f>
        <v>-7.2</v>
      </c>
      <c r="E42" s="337"/>
      <c r="F42" s="338">
        <f>ROUND(SUM(F41)+SUM(F39),1)</f>
        <v>11.4</v>
      </c>
      <c r="G42" s="339"/>
      <c r="H42" s="1630">
        <f>ROUND(SUM(H41)+SUM(H39),1)</f>
        <v>11.4</v>
      </c>
      <c r="I42" s="1631"/>
      <c r="J42" s="1630">
        <f>ROUND(SUM(J41)+SUM(J39),1)</f>
        <v>4.2</v>
      </c>
      <c r="K42" s="341"/>
      <c r="L42" s="340">
        <f>ROUND(SUM(L41)+SUM(L39),1)</f>
        <v>4.2</v>
      </c>
      <c r="M42" s="341"/>
      <c r="N42" s="1630">
        <f>ROUND(SUM(N41)+SUM(N39),1)</f>
        <v>9.4</v>
      </c>
      <c r="O42" s="341"/>
      <c r="P42" s="1630">
        <f>ROUND(SUM(P41)+SUM(P39),1)</f>
        <v>9.4</v>
      </c>
      <c r="Q42" s="492"/>
      <c r="R42" s="2039"/>
      <c r="S42" s="2681">
        <f>ROUND(SUM(S39+S41),3)</f>
        <v>-5.2</v>
      </c>
      <c r="T42" s="2378"/>
      <c r="U42" s="2815">
        <f>ROUND(S42/P42,3)</f>
        <v>-0.55300000000000005</v>
      </c>
      <c r="V42" s="1732"/>
    </row>
    <row r="43" spans="1:245" ht="15.6" thickTop="1">
      <c r="A43" s="2014"/>
      <c r="B43" s="2069"/>
      <c r="C43" s="2038"/>
      <c r="D43" s="2069"/>
      <c r="E43" s="2038"/>
      <c r="F43" s="2069"/>
      <c r="G43" s="2038"/>
      <c r="H43" s="2069"/>
      <c r="I43" s="2040"/>
      <c r="J43" s="2069"/>
      <c r="K43" s="2038"/>
      <c r="L43" s="2069"/>
      <c r="M43" s="2038"/>
      <c r="N43" s="2069"/>
      <c r="O43" s="2038"/>
      <c r="P43" s="2069"/>
      <c r="Q43" s="2038"/>
      <c r="R43" s="2070"/>
      <c r="S43" s="2041"/>
      <c r="T43" s="2070"/>
      <c r="U43" s="2041"/>
      <c r="V43" s="2041"/>
      <c r="W43" s="2042"/>
      <c r="X43" s="2042"/>
      <c r="Y43" s="2042"/>
      <c r="Z43" s="2042"/>
      <c r="AA43" s="2042"/>
      <c r="AB43" s="2042"/>
      <c r="AC43" s="2042"/>
      <c r="AD43" s="2042"/>
      <c r="AE43" s="2042"/>
      <c r="AF43" s="2042"/>
      <c r="AG43" s="2042"/>
      <c r="AH43" s="2042"/>
      <c r="AI43" s="2042"/>
      <c r="AJ43" s="2042"/>
      <c r="AK43" s="2042"/>
      <c r="AL43" s="2042"/>
      <c r="AM43" s="2042"/>
      <c r="AN43" s="2042"/>
      <c r="AO43" s="2042"/>
      <c r="AP43" s="2042"/>
      <c r="AQ43" s="2042"/>
      <c r="AR43" s="2042"/>
      <c r="AS43" s="2042"/>
      <c r="AT43" s="2042"/>
      <c r="AU43" s="2042"/>
      <c r="AV43" s="2042"/>
      <c r="AW43" s="2042"/>
      <c r="AX43" s="2042"/>
      <c r="AY43" s="2042"/>
      <c r="AZ43" s="2042"/>
      <c r="BA43" s="2042"/>
      <c r="BB43" s="2042"/>
      <c r="BC43" s="2042"/>
      <c r="BD43" s="2042"/>
      <c r="BE43" s="2042"/>
      <c r="BF43" s="2042"/>
      <c r="BG43" s="2042"/>
      <c r="BH43" s="2042"/>
      <c r="BI43" s="2042"/>
      <c r="BJ43" s="2042"/>
      <c r="BK43" s="2042"/>
      <c r="BL43" s="2042"/>
      <c r="BM43" s="2042"/>
      <c r="BN43" s="2042"/>
      <c r="BO43" s="2042"/>
      <c r="BP43" s="2042"/>
      <c r="BQ43" s="2042"/>
      <c r="BR43" s="2042"/>
      <c r="BS43" s="2042"/>
      <c r="BT43" s="2042"/>
      <c r="BU43" s="2042"/>
      <c r="BV43" s="2042"/>
      <c r="BW43" s="2042"/>
      <c r="BX43" s="2042"/>
      <c r="BY43" s="2042"/>
      <c r="BZ43" s="2042"/>
      <c r="CA43" s="2042"/>
      <c r="CB43" s="2042"/>
      <c r="CC43" s="2042"/>
      <c r="CD43" s="2042"/>
      <c r="CE43" s="2042"/>
      <c r="CF43" s="2042"/>
      <c r="CG43" s="2042"/>
      <c r="CH43" s="2042"/>
      <c r="CI43" s="2042"/>
      <c r="CJ43" s="2042"/>
      <c r="CK43" s="2042"/>
      <c r="CL43" s="2042"/>
      <c r="CM43" s="2042"/>
      <c r="CN43" s="2042"/>
      <c r="CO43" s="2042"/>
      <c r="CP43" s="2042"/>
      <c r="CQ43" s="2042"/>
      <c r="CR43" s="2042"/>
      <c r="CS43" s="2042"/>
      <c r="CT43" s="2042"/>
      <c r="CU43" s="2042"/>
      <c r="CV43" s="2042"/>
      <c r="CW43" s="2042"/>
      <c r="CX43" s="2042"/>
      <c r="CY43" s="2042"/>
      <c r="CZ43" s="2042"/>
      <c r="DA43" s="2042"/>
      <c r="DB43" s="2042"/>
      <c r="DC43" s="2042"/>
      <c r="DD43" s="2042"/>
      <c r="DE43" s="2042"/>
      <c r="DF43" s="2042"/>
      <c r="DG43" s="2042"/>
      <c r="DH43" s="2042"/>
      <c r="DI43" s="2042"/>
      <c r="DJ43" s="2042"/>
      <c r="DK43" s="2042"/>
      <c r="DL43" s="2042"/>
      <c r="DM43" s="2042"/>
      <c r="DN43" s="2042"/>
      <c r="DO43" s="2042"/>
      <c r="DP43" s="2042"/>
      <c r="DQ43" s="2042"/>
      <c r="DR43" s="2042"/>
      <c r="DS43" s="2042"/>
      <c r="DT43" s="2042"/>
      <c r="DU43" s="2042"/>
      <c r="DV43" s="2042"/>
      <c r="DW43" s="2042"/>
      <c r="DX43" s="2042"/>
      <c r="DY43" s="2042"/>
      <c r="DZ43" s="2042"/>
      <c r="EA43" s="2042"/>
      <c r="EB43" s="2042"/>
      <c r="EC43" s="2042"/>
      <c r="ED43" s="2042"/>
      <c r="EE43" s="2042"/>
      <c r="EF43" s="2042"/>
      <c r="EG43" s="2042"/>
      <c r="EH43" s="2042"/>
      <c r="EI43" s="2042"/>
      <c r="EJ43" s="2042"/>
      <c r="EK43" s="2042"/>
      <c r="EL43" s="2042"/>
      <c r="EM43" s="2042"/>
      <c r="EN43" s="2042"/>
      <c r="EO43" s="2042"/>
      <c r="EP43" s="2042"/>
      <c r="EQ43" s="2042"/>
      <c r="ER43" s="2042"/>
      <c r="ES43" s="2042"/>
      <c r="ET43" s="2042"/>
      <c r="EU43" s="2042"/>
      <c r="EV43" s="2042"/>
      <c r="EW43" s="2042"/>
      <c r="EX43" s="2042"/>
      <c r="EY43" s="2042"/>
      <c r="EZ43" s="2042"/>
      <c r="FA43" s="2042"/>
      <c r="FB43" s="2042"/>
      <c r="FC43" s="2042"/>
      <c r="FD43" s="2042"/>
      <c r="FE43" s="2042"/>
      <c r="FF43" s="2042"/>
      <c r="FG43" s="2042"/>
      <c r="FH43" s="2042"/>
      <c r="FI43" s="2042"/>
      <c r="FJ43" s="2042"/>
      <c r="FK43" s="2042"/>
      <c r="FL43" s="2042"/>
      <c r="FM43" s="2042"/>
      <c r="FN43" s="2042"/>
      <c r="FO43" s="2042"/>
      <c r="FP43" s="2042"/>
      <c r="FQ43" s="2042"/>
      <c r="FR43" s="2042"/>
      <c r="FS43" s="2042"/>
      <c r="FT43" s="2042"/>
      <c r="FU43" s="2042"/>
      <c r="FV43" s="2042"/>
      <c r="FW43" s="2042"/>
      <c r="FX43" s="2042"/>
      <c r="FY43" s="2042"/>
      <c r="FZ43" s="2042"/>
      <c r="GA43" s="2042"/>
      <c r="GB43" s="2042"/>
      <c r="GC43" s="2042"/>
      <c r="GD43" s="2042"/>
      <c r="GE43" s="2042"/>
      <c r="GF43" s="2042"/>
      <c r="GG43" s="2042"/>
      <c r="GH43" s="2042"/>
      <c r="GI43" s="2042"/>
      <c r="GJ43" s="2042"/>
      <c r="GK43" s="2042"/>
      <c r="GL43" s="2042"/>
      <c r="GM43" s="2042"/>
      <c r="GN43" s="2042"/>
      <c r="GO43" s="2042"/>
      <c r="GP43" s="2042"/>
      <c r="GQ43" s="2042"/>
      <c r="GR43" s="2042"/>
      <c r="GS43" s="2042"/>
      <c r="GT43" s="2042"/>
      <c r="GU43" s="2042"/>
      <c r="GV43" s="2042"/>
      <c r="GW43" s="2042"/>
      <c r="GX43" s="2042"/>
      <c r="GY43" s="2042"/>
      <c r="GZ43" s="2042"/>
      <c r="HA43" s="2042"/>
      <c r="HB43" s="2042"/>
      <c r="HC43" s="2042"/>
      <c r="HD43" s="2042"/>
      <c r="HE43" s="2042"/>
      <c r="HF43" s="2042"/>
      <c r="HG43" s="2042"/>
      <c r="HH43" s="2042"/>
      <c r="HI43" s="2042"/>
      <c r="HJ43" s="2042"/>
      <c r="HK43" s="2042"/>
      <c r="HL43" s="2042"/>
      <c r="HM43" s="2042"/>
      <c r="HN43" s="2042"/>
      <c r="HO43" s="2042"/>
      <c r="HP43" s="2042"/>
      <c r="HQ43" s="2042"/>
      <c r="HR43" s="2042"/>
      <c r="HS43" s="2042"/>
      <c r="HT43" s="2042"/>
      <c r="HU43" s="2042"/>
      <c r="HV43" s="2042"/>
      <c r="HW43" s="2042"/>
      <c r="HX43" s="2042"/>
      <c r="HY43" s="2042"/>
      <c r="HZ43" s="2042"/>
      <c r="IA43" s="2042"/>
      <c r="IB43" s="2042"/>
      <c r="IC43" s="2042"/>
      <c r="ID43" s="2042"/>
      <c r="IE43" s="2042"/>
      <c r="IF43" s="2042"/>
      <c r="IG43" s="2042"/>
      <c r="IH43" s="2042"/>
      <c r="II43" s="2042"/>
      <c r="IJ43" s="2042"/>
      <c r="IK43" s="2042"/>
    </row>
    <row r="44" spans="1:245">
      <c r="A44" s="2014"/>
      <c r="B44" s="2014"/>
      <c r="C44" s="2014"/>
      <c r="D44" s="2014"/>
      <c r="E44" s="2014"/>
      <c r="F44" s="2012"/>
      <c r="G44" s="2014"/>
      <c r="H44" s="2014"/>
      <c r="I44" s="2014"/>
      <c r="J44" s="2014"/>
      <c r="K44" s="2014"/>
      <c r="L44" s="2014"/>
      <c r="M44" s="2014"/>
      <c r="N44" s="2014"/>
      <c r="O44" s="2014"/>
      <c r="P44" s="2014"/>
      <c r="Q44" s="2014"/>
      <c r="R44" s="2015"/>
      <c r="S44" s="2643"/>
      <c r="T44" s="2015"/>
      <c r="U44" s="1732"/>
      <c r="V44" s="1732"/>
    </row>
    <row r="45" spans="1:245">
      <c r="A45" s="2014"/>
      <c r="B45" s="2014"/>
      <c r="C45" s="2014"/>
      <c r="D45" s="2014"/>
      <c r="E45" s="2014"/>
      <c r="F45" s="2012"/>
      <c r="G45" s="2014"/>
      <c r="H45" s="2014"/>
      <c r="I45" s="2014"/>
      <c r="J45" s="2014"/>
      <c r="K45" s="2014"/>
      <c r="L45" s="2014"/>
      <c r="N45" s="2014"/>
      <c r="O45" s="2014"/>
      <c r="P45" s="2014"/>
      <c r="Q45" s="2014"/>
      <c r="R45" s="2015"/>
      <c r="S45" s="1732"/>
      <c r="T45" s="2015"/>
      <c r="U45" s="1732"/>
      <c r="V45" s="1732"/>
    </row>
    <row r="46" spans="1:245">
      <c r="A46" s="1829"/>
      <c r="B46" s="2014"/>
      <c r="C46" s="2014"/>
      <c r="D46" s="2014"/>
      <c r="E46" s="2014"/>
      <c r="F46" s="2014"/>
      <c r="G46" s="2014"/>
      <c r="H46" s="2014"/>
      <c r="I46" s="2014"/>
      <c r="J46" s="2014"/>
      <c r="K46" s="2014"/>
      <c r="L46" s="2014"/>
      <c r="M46" s="2014"/>
      <c r="N46" s="2014"/>
      <c r="O46" s="2014"/>
      <c r="P46" s="2014"/>
      <c r="Q46" s="2014"/>
      <c r="R46" s="2015"/>
      <c r="S46" s="1732"/>
      <c r="T46" s="2015"/>
      <c r="U46" s="1732"/>
      <c r="V46" s="1732"/>
    </row>
    <row r="47" spans="1:245">
      <c r="A47" s="2014"/>
      <c r="B47" s="2014"/>
      <c r="C47" s="2014"/>
      <c r="D47" s="2014"/>
      <c r="E47" s="2014"/>
      <c r="F47" s="2014"/>
      <c r="G47" s="2014"/>
      <c r="H47" s="2014"/>
      <c r="I47" s="2014"/>
      <c r="J47" s="2014"/>
      <c r="K47" s="2014"/>
      <c r="L47" s="2014"/>
      <c r="M47" s="2014"/>
      <c r="N47" s="2014"/>
      <c r="O47" s="2014"/>
      <c r="P47" s="2014"/>
      <c r="Q47" s="2014"/>
      <c r="R47" s="2015"/>
      <c r="S47" s="1732"/>
      <c r="T47" s="2015"/>
      <c r="U47" s="1732"/>
      <c r="V47" s="1732"/>
    </row>
    <row r="48" spans="1:245">
      <c r="A48" s="2014"/>
      <c r="B48" s="2014"/>
      <c r="C48" s="2014"/>
      <c r="D48" s="2014"/>
      <c r="E48" s="2014"/>
      <c r="F48" s="2014"/>
      <c r="G48" s="2014"/>
      <c r="H48" s="2014"/>
      <c r="I48" s="2014"/>
      <c r="J48" s="2014"/>
      <c r="K48" s="2014"/>
      <c r="L48" s="2014"/>
      <c r="M48" s="2014"/>
      <c r="N48" s="2014"/>
      <c r="O48" s="2014"/>
      <c r="P48" s="2014"/>
      <c r="Q48" s="2014"/>
      <c r="R48" s="2015"/>
      <c r="S48" s="1732"/>
      <c r="T48" s="2015"/>
      <c r="U48" s="1732"/>
      <c r="V48" s="1732"/>
    </row>
    <row r="49" spans="1:22">
      <c r="A49" s="2014"/>
      <c r="B49" s="2014"/>
      <c r="C49" s="2014"/>
      <c r="D49" s="2014"/>
      <c r="E49" s="2014"/>
      <c r="F49" s="2014"/>
      <c r="G49" s="2014"/>
      <c r="H49" s="2014"/>
      <c r="I49" s="2014"/>
      <c r="J49" s="2014"/>
      <c r="K49" s="2014"/>
      <c r="L49" s="2014"/>
      <c r="M49" s="2014"/>
      <c r="N49" s="2014"/>
      <c r="O49" s="2014"/>
      <c r="P49" s="2014"/>
      <c r="Q49" s="2014"/>
      <c r="R49" s="2015"/>
      <c r="S49" s="1732"/>
      <c r="T49" s="2015"/>
      <c r="U49" s="1732"/>
      <c r="V49" s="1732"/>
    </row>
    <row r="50" spans="1:22">
      <c r="A50" s="2014"/>
      <c r="B50" s="2014"/>
      <c r="C50" s="2014"/>
      <c r="D50" s="2014"/>
      <c r="E50" s="2014"/>
      <c r="F50" s="2014"/>
      <c r="G50" s="2014"/>
      <c r="H50" s="2014"/>
      <c r="I50" s="2014"/>
      <c r="J50" s="2014"/>
      <c r="K50" s="2014"/>
      <c r="L50" s="2014"/>
      <c r="M50" s="2014"/>
      <c r="N50" s="2014"/>
      <c r="O50" s="2014"/>
      <c r="P50" s="2014"/>
      <c r="Q50" s="2014"/>
      <c r="R50" s="2015"/>
      <c r="S50" s="1732"/>
      <c r="T50" s="2015"/>
      <c r="U50" s="1732"/>
      <c r="V50" s="1732"/>
    </row>
    <row r="51" spans="1:22">
      <c r="A51" s="2014"/>
      <c r="B51" s="2014"/>
      <c r="C51" s="2014"/>
      <c r="D51" s="2014"/>
      <c r="E51" s="2014"/>
      <c r="F51" s="2014"/>
      <c r="G51" s="2014"/>
      <c r="H51" s="2014"/>
      <c r="I51" s="2014"/>
      <c r="J51" s="2014"/>
      <c r="K51" s="2014"/>
      <c r="L51" s="2014"/>
      <c r="M51" s="2014"/>
      <c r="N51" s="2014"/>
      <c r="O51" s="2014"/>
      <c r="P51" s="2014"/>
      <c r="Q51" s="2014"/>
      <c r="R51" s="2015"/>
      <c r="S51" s="1732"/>
      <c r="T51" s="2015"/>
      <c r="U51" s="1732"/>
      <c r="V51" s="1732"/>
    </row>
    <row r="52" spans="1:22">
      <c r="A52" s="2014"/>
      <c r="B52" s="2014"/>
      <c r="C52" s="2014"/>
      <c r="D52" s="2014"/>
      <c r="E52" s="2014"/>
      <c r="F52" s="2014"/>
      <c r="G52" s="2014"/>
      <c r="H52" s="2014"/>
      <c r="I52" s="2014"/>
      <c r="J52" s="2014"/>
      <c r="K52" s="2014"/>
      <c r="L52" s="2014"/>
      <c r="M52" s="2014"/>
      <c r="N52" s="2014"/>
      <c r="O52" s="2014"/>
      <c r="P52" s="2014"/>
      <c r="Q52" s="2014"/>
      <c r="R52" s="2015"/>
      <c r="S52" s="1732"/>
      <c r="T52" s="2015"/>
      <c r="U52" s="1732"/>
      <c r="V52" s="1732"/>
    </row>
    <row r="53" spans="1:22">
      <c r="A53" s="2014"/>
      <c r="B53" s="2014"/>
      <c r="C53" s="2014"/>
      <c r="D53" s="2014"/>
      <c r="E53" s="2014"/>
      <c r="F53" s="2014"/>
      <c r="G53" s="2014"/>
      <c r="H53" s="2014"/>
      <c r="I53" s="2014"/>
      <c r="J53" s="2014"/>
      <c r="K53" s="2014"/>
      <c r="L53" s="2014"/>
      <c r="M53" s="2014"/>
      <c r="N53" s="2014"/>
      <c r="O53" s="2014"/>
      <c r="P53" s="2014"/>
      <c r="Q53" s="2014"/>
      <c r="R53" s="2015"/>
      <c r="S53" s="1732"/>
      <c r="T53" s="2015"/>
      <c r="U53" s="1732"/>
      <c r="V53" s="1732"/>
    </row>
    <row r="54" spans="1:22">
      <c r="A54" s="2014"/>
      <c r="B54" s="2014"/>
      <c r="C54" s="2014"/>
      <c r="D54" s="2014"/>
      <c r="E54" s="2014"/>
      <c r="F54" s="2014"/>
      <c r="G54" s="2014"/>
      <c r="H54" s="2014"/>
      <c r="I54" s="2014"/>
      <c r="J54" s="2014"/>
      <c r="K54" s="2014"/>
      <c r="L54" s="2014"/>
      <c r="M54" s="2014"/>
      <c r="N54" s="2014"/>
      <c r="O54" s="2014"/>
      <c r="P54" s="2014"/>
      <c r="Q54" s="2014"/>
      <c r="R54" s="2015"/>
      <c r="S54" s="1732"/>
      <c r="T54" s="2015"/>
      <c r="U54" s="1732"/>
      <c r="V54" s="1732"/>
    </row>
    <row r="55" spans="1:22">
      <c r="A55" s="2014"/>
      <c r="B55" s="2014"/>
      <c r="C55" s="2014"/>
      <c r="D55" s="2014"/>
      <c r="E55" s="2014"/>
      <c r="F55" s="2014"/>
      <c r="G55" s="2014"/>
      <c r="H55" s="2014"/>
      <c r="I55" s="2014"/>
      <c r="J55" s="2014"/>
      <c r="K55" s="2014"/>
      <c r="L55" s="2014"/>
      <c r="M55" s="2014"/>
      <c r="N55" s="2014"/>
      <c r="O55" s="2014"/>
      <c r="P55" s="2014"/>
      <c r="Q55" s="2014"/>
      <c r="R55" s="2015"/>
      <c r="S55" s="1732"/>
      <c r="T55" s="2015"/>
      <c r="U55" s="1732"/>
      <c r="V55" s="1732"/>
    </row>
    <row r="56" spans="1:22">
      <c r="A56" s="2014"/>
      <c r="B56" s="2014"/>
      <c r="C56" s="2014"/>
      <c r="D56" s="2014"/>
      <c r="E56" s="2014"/>
      <c r="F56" s="2014"/>
      <c r="G56" s="2014"/>
      <c r="H56" s="2014"/>
      <c r="I56" s="2014"/>
      <c r="J56" s="2014"/>
      <c r="K56" s="2014"/>
      <c r="L56" s="2014"/>
      <c r="M56" s="2014"/>
      <c r="N56" s="2014"/>
      <c r="O56" s="2014"/>
      <c r="P56" s="2014"/>
      <c r="Q56" s="2014"/>
      <c r="R56" s="2016"/>
      <c r="S56" s="2014"/>
    </row>
    <row r="57" spans="1:22">
      <c r="A57" s="2014"/>
      <c r="B57" s="2014"/>
      <c r="C57" s="2014"/>
      <c r="D57" s="2014"/>
      <c r="E57" s="2014"/>
      <c r="F57" s="2014"/>
      <c r="G57" s="2014"/>
      <c r="H57" s="2014"/>
      <c r="I57" s="2014"/>
      <c r="J57" s="2014"/>
      <c r="K57" s="2014"/>
      <c r="L57" s="2014"/>
      <c r="M57" s="2014"/>
      <c r="N57" s="2014"/>
      <c r="O57" s="2014"/>
      <c r="P57" s="2014"/>
      <c r="Q57" s="2014"/>
      <c r="R57" s="2016"/>
      <c r="S57" s="2014"/>
    </row>
    <row r="58" spans="1:22">
      <c r="A58" s="2014"/>
      <c r="B58" s="2014"/>
      <c r="C58" s="2014"/>
      <c r="D58" s="2014"/>
      <c r="E58" s="2014"/>
      <c r="F58" s="2014"/>
      <c r="G58" s="2014"/>
      <c r="H58" s="2014"/>
      <c r="I58" s="2014"/>
      <c r="J58" s="2014"/>
      <c r="K58" s="2014"/>
      <c r="L58" s="2014"/>
      <c r="M58" s="2014"/>
      <c r="N58" s="2014"/>
      <c r="O58" s="2014"/>
      <c r="P58" s="2014"/>
      <c r="Q58" s="2014"/>
      <c r="R58" s="2016"/>
      <c r="S58" s="2014"/>
    </row>
    <row r="59" spans="1:22">
      <c r="A59" s="2014"/>
      <c r="B59" s="2014"/>
      <c r="C59" s="2014"/>
      <c r="D59" s="2014"/>
      <c r="E59" s="2014"/>
      <c r="F59" s="2014"/>
      <c r="G59" s="2014"/>
      <c r="H59" s="2014"/>
      <c r="I59" s="2014"/>
      <c r="J59" s="2014"/>
      <c r="K59" s="2014"/>
      <c r="L59" s="2014"/>
      <c r="M59" s="2014"/>
      <c r="N59" s="2014"/>
      <c r="O59" s="2014"/>
      <c r="P59" s="2014"/>
      <c r="Q59" s="2014"/>
      <c r="R59" s="2016"/>
      <c r="S59" s="2014"/>
    </row>
    <row r="60" spans="1:22">
      <c r="A60" s="2014"/>
      <c r="B60" s="2014"/>
      <c r="C60" s="2014"/>
      <c r="D60" s="2014"/>
      <c r="E60" s="2014"/>
      <c r="F60" s="2014"/>
      <c r="G60" s="2014"/>
      <c r="H60" s="2014"/>
      <c r="I60" s="2014"/>
      <c r="J60" s="2014"/>
      <c r="K60" s="2014"/>
      <c r="L60" s="2014"/>
      <c r="M60" s="2014"/>
      <c r="N60" s="2014"/>
      <c r="O60" s="2014"/>
      <c r="P60" s="2014"/>
      <c r="Q60" s="2014"/>
      <c r="R60" s="2016"/>
      <c r="S60" s="2014"/>
    </row>
    <row r="61" spans="1:22">
      <c r="A61" s="2014"/>
      <c r="B61" s="2014"/>
      <c r="C61" s="2014"/>
      <c r="D61" s="2014"/>
      <c r="E61" s="2014"/>
      <c r="F61" s="2014"/>
      <c r="G61" s="2014"/>
      <c r="H61" s="2014"/>
      <c r="I61" s="2014"/>
      <c r="J61" s="2014"/>
      <c r="K61" s="2014"/>
      <c r="L61" s="2014"/>
      <c r="M61" s="2014"/>
      <c r="N61" s="2014"/>
      <c r="O61" s="2014"/>
      <c r="P61" s="2014"/>
      <c r="Q61" s="2014"/>
      <c r="R61" s="2016"/>
      <c r="S61" s="2014"/>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5" firstPageNumber="7"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70" workbookViewId="0"/>
  </sheetViews>
  <sheetFormatPr defaultColWidth="8.90625" defaultRowHeight="15"/>
  <cols>
    <col min="1" max="1" width="45.6328125" style="302" customWidth="1"/>
    <col min="2" max="2" width="2.453125" style="302" customWidth="1"/>
    <col min="3" max="3" width="15.36328125" style="302" customWidth="1"/>
    <col min="4" max="4" width="1.90625" style="302" customWidth="1"/>
    <col min="5" max="5" width="15.36328125" style="302" customWidth="1"/>
    <col min="6" max="6" width="2.81640625" style="302" customWidth="1"/>
    <col min="7" max="7" width="15.36328125" style="302" customWidth="1"/>
    <col min="8" max="8" width="2" style="302" customWidth="1"/>
    <col min="9" max="9" width="14.90625" style="302" customWidth="1"/>
    <col min="10" max="10" width="2.36328125" style="302" customWidth="1"/>
    <col min="11" max="11" width="14.08984375" style="302" customWidth="1"/>
    <col min="12" max="16384" width="8.90625" style="302"/>
  </cols>
  <sheetData>
    <row r="1" spans="1:11">
      <c r="A1" s="1184" t="s">
        <v>1217</v>
      </c>
    </row>
    <row r="2" spans="1:11">
      <c r="A2" s="1733"/>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row>
    <row r="5" spans="1:11" ht="20.25" customHeight="1">
      <c r="A5" s="3564" t="s">
        <v>1524</v>
      </c>
      <c r="B5" s="3565"/>
      <c r="C5" s="3565"/>
      <c r="D5" s="3565"/>
      <c r="E5" s="3565"/>
      <c r="F5" s="345"/>
      <c r="G5" s="348"/>
      <c r="H5" s="345"/>
      <c r="I5" s="345"/>
      <c r="J5" s="345"/>
      <c r="K5" s="345"/>
    </row>
    <row r="6" spans="1:11" ht="18.75" customHeight="1">
      <c r="A6" s="1728" t="s">
        <v>1662</v>
      </c>
      <c r="B6" s="350"/>
      <c r="C6" s="351"/>
      <c r="D6" s="345"/>
      <c r="E6" s="351"/>
      <c r="F6" s="345"/>
      <c r="G6" s="345"/>
      <c r="H6" s="345"/>
      <c r="I6" s="345"/>
      <c r="J6" s="345"/>
      <c r="K6" s="345"/>
    </row>
    <row r="7" spans="1:11" ht="17.399999999999999">
      <c r="A7" s="394" t="s">
        <v>1104</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223"/>
      <c r="B11" s="354"/>
      <c r="C11" s="3566" t="s">
        <v>1415</v>
      </c>
      <c r="D11" s="3566"/>
      <c r="E11" s="3566"/>
      <c r="F11" s="3566"/>
      <c r="G11" s="3566"/>
      <c r="H11" s="3566"/>
      <c r="I11" s="3566"/>
      <c r="J11" s="2342"/>
      <c r="K11" s="2343"/>
    </row>
    <row r="12" spans="1:11" ht="15.6">
      <c r="A12" s="223"/>
      <c r="B12" s="354"/>
      <c r="C12" s="355"/>
      <c r="D12" s="355"/>
      <c r="E12" s="355"/>
      <c r="F12" s="355"/>
      <c r="G12" s="355"/>
      <c r="H12" s="355"/>
      <c r="I12" s="356" t="s">
        <v>87</v>
      </c>
      <c r="J12" s="356"/>
      <c r="K12" s="356" t="s">
        <v>87</v>
      </c>
    </row>
    <row r="13" spans="1:11" ht="15.6">
      <c r="A13" s="223"/>
      <c r="B13" s="354"/>
      <c r="C13" s="355"/>
      <c r="D13" s="355"/>
      <c r="E13" s="355"/>
      <c r="F13" s="355"/>
      <c r="G13" s="355"/>
      <c r="H13" s="355"/>
      <c r="I13" s="356" t="s">
        <v>1111</v>
      </c>
      <c r="J13" s="356"/>
      <c r="K13" s="356" t="s">
        <v>1111</v>
      </c>
    </row>
    <row r="14" spans="1:11" ht="15.6">
      <c r="A14" s="223"/>
      <c r="B14" s="354"/>
      <c r="C14" s="357" t="s">
        <v>1356</v>
      </c>
      <c r="D14" s="355"/>
      <c r="E14" s="356" t="s">
        <v>1357</v>
      </c>
      <c r="F14" s="355"/>
      <c r="G14" s="355"/>
      <c r="H14" s="355"/>
      <c r="I14" s="356" t="s">
        <v>88</v>
      </c>
      <c r="J14" s="356"/>
      <c r="K14" s="356" t="s">
        <v>88</v>
      </c>
    </row>
    <row r="15" spans="1:11" ht="15.6">
      <c r="A15" s="223"/>
      <c r="B15" s="354"/>
      <c r="C15" s="356" t="s">
        <v>1400</v>
      </c>
      <c r="D15" s="355"/>
      <c r="E15" s="356" t="s">
        <v>1400</v>
      </c>
      <c r="F15" s="355"/>
      <c r="G15" s="355"/>
      <c r="H15" s="355"/>
      <c r="I15" s="356" t="s">
        <v>1356</v>
      </c>
      <c r="J15" s="356"/>
      <c r="K15" s="356" t="s">
        <v>1357</v>
      </c>
    </row>
    <row r="16" spans="1:11" ht="15.6">
      <c r="A16" s="223"/>
      <c r="B16" s="354"/>
      <c r="C16" s="356" t="s">
        <v>1401</v>
      </c>
      <c r="D16" s="355"/>
      <c r="E16" s="356" t="s">
        <v>1614</v>
      </c>
      <c r="F16" s="355"/>
      <c r="G16" s="357" t="s">
        <v>87</v>
      </c>
      <c r="H16" s="355"/>
      <c r="I16" s="356" t="s">
        <v>89</v>
      </c>
      <c r="J16" s="356"/>
      <c r="K16" s="356" t="s">
        <v>89</v>
      </c>
    </row>
    <row r="17" spans="1:11">
      <c r="A17" s="358"/>
      <c r="B17" s="359"/>
      <c r="C17" s="360"/>
      <c r="D17" s="345"/>
      <c r="E17" s="360"/>
      <c r="F17" s="345"/>
      <c r="G17" s="360"/>
      <c r="H17" s="345"/>
      <c r="I17" s="360"/>
      <c r="J17" s="359"/>
      <c r="K17" s="360"/>
    </row>
    <row r="18" spans="1:11" ht="15.6">
      <c r="A18" s="221" t="s">
        <v>15</v>
      </c>
      <c r="B18" s="361"/>
      <c r="C18" s="362"/>
      <c r="D18" s="362"/>
      <c r="E18" s="362"/>
      <c r="F18" s="362"/>
      <c r="G18" s="362"/>
      <c r="H18" s="362"/>
      <c r="I18" s="362"/>
      <c r="J18" s="362"/>
      <c r="K18" s="361"/>
    </row>
    <row r="19" spans="1:11" ht="15" customHeight="1">
      <c r="A19" s="1720" t="s">
        <v>90</v>
      </c>
      <c r="B19" s="363" t="s">
        <v>16</v>
      </c>
      <c r="C19" s="364"/>
      <c r="D19" s="363"/>
      <c r="E19" s="364"/>
      <c r="F19" s="363"/>
      <c r="G19" s="300"/>
      <c r="H19" s="363"/>
      <c r="I19" s="300"/>
      <c r="J19" s="300"/>
      <c r="K19" s="245"/>
    </row>
    <row r="20" spans="1:11">
      <c r="A20" s="365" t="s">
        <v>91</v>
      </c>
      <c r="B20" s="363" t="s">
        <v>16</v>
      </c>
      <c r="C20" s="242">
        <f>'Exh D General Fund  '!C20+'Exh D Special Revenue'!C20+'Exh D Debt Service'!C20</f>
        <v>31931</v>
      </c>
      <c r="D20" s="366"/>
      <c r="E20" s="242">
        <f>+'Exh D General Fund  '!E20+'Exh D Special Revenue'!E20+'Exh D Debt Service'!E20</f>
        <v>34019</v>
      </c>
      <c r="F20" s="366"/>
      <c r="G20" s="242">
        <f>+'Exh D General Fund  '!G20+'Exh D Special Revenue'!G20+'Exh D Debt Service'!G20</f>
        <v>34020.5</v>
      </c>
      <c r="H20" s="366"/>
      <c r="I20" s="242">
        <f t="shared" ref="I20:I25" si="0">ROUND(SUM(G20)-SUM(C20),1)</f>
        <v>2089.5</v>
      </c>
      <c r="J20" s="367"/>
      <c r="K20" s="243">
        <f t="shared" ref="K20:K25" si="1">ROUND(SUM(G20)-SUM(E20),1)</f>
        <v>1.5</v>
      </c>
    </row>
    <row r="21" spans="1:11">
      <c r="A21" s="1720" t="s">
        <v>92</v>
      </c>
      <c r="B21" s="361" t="s">
        <v>16</v>
      </c>
      <c r="C21" s="261">
        <f>+'Exh D General Fund  '!C21+'Exh D Debt Service'!C21+'Exh D Special Revenue'!C21+'Exh D Capital Projects'!C20</f>
        <v>12123</v>
      </c>
      <c r="D21" s="261"/>
      <c r="E21" s="261">
        <f>+'Exh D General Fund  '!E21+'Exh D Special Revenue'!E21+'Exh D Debt Service'!E21+'Exh D Capital Projects'!E20</f>
        <v>11959</v>
      </c>
      <c r="F21" s="261"/>
      <c r="G21" s="261">
        <f>+'Exh D General Fund  '!G21+'Exh D Special Revenue'!G21+'Exh D Debt Service'!G21+'Exh D Capital Projects'!G20</f>
        <v>11960.8</v>
      </c>
      <c r="H21" s="261"/>
      <c r="I21" s="261">
        <f t="shared" si="0"/>
        <v>-162.19999999999999</v>
      </c>
      <c r="J21" s="367"/>
      <c r="K21" s="249">
        <f t="shared" si="1"/>
        <v>1.8</v>
      </c>
    </row>
    <row r="22" spans="1:11" ht="17.25" customHeight="1">
      <c r="A22" s="1720" t="s">
        <v>93</v>
      </c>
      <c r="B22" s="363" t="s">
        <v>16</v>
      </c>
      <c r="C22" s="261">
        <f>+'Exh D General Fund  '!C22+'Exh D Special Revenue'!C22+'Exh D Capital Projects'!C21</f>
        <v>5126</v>
      </c>
      <c r="D22" s="274"/>
      <c r="E22" s="261">
        <f>+'Exh D General Fund  '!E22+'Exh D Special Revenue'!E22+'Exh D Capital Projects'!E21</f>
        <v>5440</v>
      </c>
      <c r="F22" s="274"/>
      <c r="G22" s="261">
        <f>+'Exh D General Fund  '!G22+'Exh D Special Revenue'!G22+'Exh D Capital Projects'!G21</f>
        <v>5441.6</v>
      </c>
      <c r="H22" s="274"/>
      <c r="I22" s="261">
        <f t="shared" si="0"/>
        <v>315.60000000000002</v>
      </c>
      <c r="J22" s="367"/>
      <c r="K22" s="249">
        <f t="shared" si="1"/>
        <v>1.6</v>
      </c>
    </row>
    <row r="23" spans="1:11" ht="14.25" customHeight="1">
      <c r="A23" s="1720" t="s">
        <v>94</v>
      </c>
      <c r="B23" s="361" t="s">
        <v>16</v>
      </c>
      <c r="C23" s="261">
        <f>+'Exh D General Fund  '!C23+'Exh D Special Revenue'!C23+'Exh D Capital Projects'!C22+'Exh D Debt Service'!C22</f>
        <v>2566</v>
      </c>
      <c r="D23" s="261"/>
      <c r="E23" s="261">
        <f>+'Exh D General Fund  '!E23+'Exh D Special Revenue'!E23+'Exh D Debt Service'!E22+'Exh D Capital Projects'!E22</f>
        <v>3012</v>
      </c>
      <c r="F23" s="261"/>
      <c r="G23" s="261">
        <f>+'Exh D General Fund  '!G23+'Exh D Special Revenue'!G23+'Exh D Debt Service'!G22+'Exh D Capital Projects'!G22</f>
        <v>3010.9</v>
      </c>
      <c r="H23" s="261"/>
      <c r="I23" s="261">
        <f t="shared" si="0"/>
        <v>444.9</v>
      </c>
      <c r="J23" s="367"/>
      <c r="K23" s="249">
        <f t="shared" si="1"/>
        <v>-1.1000000000000001</v>
      </c>
    </row>
    <row r="24" spans="1:11">
      <c r="A24" s="1720" t="s">
        <v>21</v>
      </c>
      <c r="B24" s="361" t="s">
        <v>16</v>
      </c>
      <c r="C24" s="261">
        <f>+'Exh D General Fund  '!C24+'Exh D Special Revenue'!C24+'Exh D Debt Service'!C23+'Exh D Capital Projects'!C23</f>
        <v>18442</v>
      </c>
      <c r="D24" s="261"/>
      <c r="E24" s="261">
        <f>+'Exh D General Fund  '!E24+'Exh D Special Revenue'!E24+'Exh D Debt Service'!E23+'Exh D Capital Projects'!E23</f>
        <v>19981</v>
      </c>
      <c r="F24" s="261"/>
      <c r="G24" s="261">
        <f>+'Exh D General Fund  '!G24+'Exh D Special Revenue'!G24+'Exh D Debt Service'!G23+'Exh D Capital Projects'!G23</f>
        <v>20207.3</v>
      </c>
      <c r="H24" s="261"/>
      <c r="I24" s="261">
        <f t="shared" si="0"/>
        <v>1765.3</v>
      </c>
      <c r="J24" s="368"/>
      <c r="K24" s="249">
        <f t="shared" si="1"/>
        <v>226.3</v>
      </c>
    </row>
    <row r="25" spans="1:11" ht="15" customHeight="1">
      <c r="A25" s="1720" t="s">
        <v>22</v>
      </c>
      <c r="B25" s="361" t="s">
        <v>16</v>
      </c>
      <c r="C25" s="516">
        <f>+'Exh D General Fund  '!C25+'Exh D Debt Service'!C24+'Exh D Special Revenue'!C25+'Exh D Capital Projects'!C24</f>
        <v>35991</v>
      </c>
      <c r="D25" s="261"/>
      <c r="E25" s="516">
        <f>+'Exh D General Fund  '!E25+'Exh D Special Revenue'!E25+'Exh D Debt Service'!E24+'Exh D Capital Projects'!E24</f>
        <v>37232</v>
      </c>
      <c r="F25" s="261"/>
      <c r="G25" s="516">
        <f>+'Exh D General Fund  '!G25+'Exh D Special Revenue'!G25+'Exh D Debt Service'!G24+'Exh D Capital Projects'!G24</f>
        <v>37232.5</v>
      </c>
      <c r="H25" s="261"/>
      <c r="I25" s="261">
        <f t="shared" si="0"/>
        <v>1241.5</v>
      </c>
      <c r="J25" s="368"/>
      <c r="K25" s="249">
        <f t="shared" si="1"/>
        <v>0.5</v>
      </c>
    </row>
    <row r="26" spans="1:11" ht="15.6">
      <c r="A26" s="376" t="s">
        <v>95</v>
      </c>
      <c r="B26" s="354" t="s">
        <v>16</v>
      </c>
      <c r="C26" s="420">
        <f>ROUND(SUM(C20:C25),1)</f>
        <v>106179</v>
      </c>
      <c r="D26" s="1886"/>
      <c r="E26" s="420">
        <f>ROUND(SUM(E20:E25),1)</f>
        <v>111643</v>
      </c>
      <c r="F26" s="257"/>
      <c r="G26" s="420">
        <f>ROUND(SUM(G20:G25),1)</f>
        <v>111873.60000000001</v>
      </c>
      <c r="H26" s="257"/>
      <c r="I26" s="420">
        <f>ROUND(SUM(I20:I25),1)</f>
        <v>5694.6</v>
      </c>
      <c r="J26" s="369"/>
      <c r="K26" s="420">
        <f>ROUND(SUM(K20:K25),1)</f>
        <v>230.6</v>
      </c>
    </row>
    <row r="27" spans="1:11">
      <c r="A27" s="223"/>
      <c r="B27" s="361" t="s">
        <v>16</v>
      </c>
      <c r="C27" s="289"/>
      <c r="D27" s="261"/>
      <c r="E27" s="289"/>
      <c r="F27" s="261"/>
      <c r="G27" s="289"/>
      <c r="H27" s="261"/>
      <c r="I27" s="289"/>
      <c r="J27" s="253"/>
      <c r="K27" s="289"/>
    </row>
    <row r="28" spans="1:11" ht="15.6">
      <c r="A28" s="221" t="s">
        <v>24</v>
      </c>
      <c r="B28" s="361" t="s">
        <v>16</v>
      </c>
      <c r="C28" s="261"/>
      <c r="D28" s="261"/>
      <c r="E28" s="261"/>
      <c r="F28" s="261"/>
      <c r="G28" s="261"/>
      <c r="H28" s="261"/>
      <c r="I28" s="261"/>
      <c r="J28" s="368"/>
      <c r="K28" s="249"/>
    </row>
    <row r="29" spans="1:11">
      <c r="A29" s="1720" t="s">
        <v>96</v>
      </c>
      <c r="B29" s="361" t="s">
        <v>16</v>
      </c>
      <c r="C29" s="516">
        <f>+'Exh D General Fund  '!C34+'Exh D Special Revenue'!C30+'Exh D Capital Projects'!C30</f>
        <v>77247</v>
      </c>
      <c r="D29" s="261"/>
      <c r="E29" s="516">
        <f>+'Exh D General Fund  '!E34+'Exh D Special Revenue'!E30+'Exh D Capital Projects'!E30</f>
        <v>76745</v>
      </c>
      <c r="F29" s="261"/>
      <c r="G29" s="516">
        <f>+'Exh D General Fund  '!G34+'Exh D Special Revenue'!G30+'Exh D Capital Projects'!G30</f>
        <v>76671.900000000009</v>
      </c>
      <c r="H29" s="261"/>
      <c r="I29" s="261">
        <f>ROUND(SUM(G29)-SUM(C29),1)</f>
        <v>-575.1</v>
      </c>
      <c r="J29" s="368"/>
      <c r="K29" s="249">
        <f>ROUND(SUM(G29)-SUM(E29),1)</f>
        <v>-73.099999999999994</v>
      </c>
    </row>
    <row r="30" spans="1:11">
      <c r="A30" s="1720" t="s">
        <v>97</v>
      </c>
      <c r="B30" s="361" t="s">
        <v>16</v>
      </c>
      <c r="C30" s="274">
        <f>+'Exh D General Fund  '!C35+'Exh D Special Revenue'!C31+'Exh D Debt Service'!C29</f>
        <v>15160</v>
      </c>
      <c r="D30" s="261"/>
      <c r="E30" s="274">
        <f>+'Exh D General Fund  '!E35+'Exh D Special Revenue'!E31+'Exh D Debt Service'!E29</f>
        <v>15114</v>
      </c>
      <c r="F30" s="261"/>
      <c r="G30" s="274">
        <f>+'Exh D General Fund  '!G35+'Exh D Special Revenue'!G31+'Exh D Debt Service'!G29</f>
        <v>15125.2</v>
      </c>
      <c r="H30" s="261"/>
      <c r="I30" s="261">
        <f>ROUND(SUM(G30)-SUM(C30),1)</f>
        <v>-34.799999999999997</v>
      </c>
      <c r="J30" s="368"/>
      <c r="K30" s="249">
        <f>ROUND(SUM(G30)-SUM(E30),1)</f>
        <v>11.2</v>
      </c>
    </row>
    <row r="31" spans="1:11">
      <c r="A31" s="1720" t="s">
        <v>72</v>
      </c>
      <c r="B31" s="361" t="s">
        <v>16</v>
      </c>
      <c r="C31" s="516">
        <f>+'Exh D General Fund  '!C36+'Exh D Special Revenue'!C32</f>
        <v>6237</v>
      </c>
      <c r="D31" s="261"/>
      <c r="E31" s="1277">
        <f>+'Exh D General Fund  '!E36+'Exh D Special Revenue'!E32</f>
        <v>6266</v>
      </c>
      <c r="F31" s="261"/>
      <c r="G31" s="516">
        <f>+'Exh D General Fund  '!G36+'Exh D Special Revenue'!G32</f>
        <v>6274.7</v>
      </c>
      <c r="H31" s="261"/>
      <c r="I31" s="261">
        <f>ROUND(SUM(G31)-SUM(C31),1)</f>
        <v>37.700000000000003</v>
      </c>
      <c r="J31" s="368"/>
      <c r="K31" s="249">
        <f>ROUND(SUM(G31)-SUM(E31),1)</f>
        <v>8.6999999999999993</v>
      </c>
    </row>
    <row r="32" spans="1:11">
      <c r="A32" s="1720" t="s">
        <v>98</v>
      </c>
      <c r="B32" s="361" t="s">
        <v>16</v>
      </c>
      <c r="C32" s="274">
        <f>+'Exh D Debt Service'!C30</f>
        <v>2320</v>
      </c>
      <c r="D32" s="261"/>
      <c r="E32" s="274">
        <f>+'Exh D Debt Service'!E30</f>
        <v>2111</v>
      </c>
      <c r="F32" s="261"/>
      <c r="G32" s="274">
        <f>+'Exh D Debt Service'!G30</f>
        <v>2111.3000000000002</v>
      </c>
      <c r="H32" s="261"/>
      <c r="I32" s="261">
        <f>ROUND(SUM(G32)-SUM(C32),1)</f>
        <v>-208.7</v>
      </c>
      <c r="J32" s="368"/>
      <c r="K32" s="249">
        <f>ROUND(SUM(G32)-SUM(E32),1)</f>
        <v>0.3</v>
      </c>
    </row>
    <row r="33" spans="1:11" ht="15" customHeight="1">
      <c r="A33" s="1720" t="s">
        <v>43</v>
      </c>
      <c r="B33" s="361" t="s">
        <v>16</v>
      </c>
      <c r="C33" s="516">
        <f>+'Exh D Special Revenue'!C33+'Exh D Capital Projects'!C31</f>
        <v>5022</v>
      </c>
      <c r="D33" s="261"/>
      <c r="E33" s="516">
        <f>+'Exh D Special Revenue'!E33+'Exh D Capital Projects'!E31</f>
        <v>4762</v>
      </c>
      <c r="F33" s="261"/>
      <c r="G33" s="516">
        <f>+'Exh D Special Revenue'!G33+'Exh D Capital Projects'!G31</f>
        <v>4760.2</v>
      </c>
      <c r="H33" s="261"/>
      <c r="I33" s="261">
        <f>ROUND(SUM(G33)-SUM(C33),1)</f>
        <v>-261.8</v>
      </c>
      <c r="J33" s="368"/>
      <c r="K33" s="249">
        <f>ROUND(SUM(G33)-SUM(E33),1)</f>
        <v>-1.8</v>
      </c>
    </row>
    <row r="34" spans="1:11" ht="15.75" customHeight="1">
      <c r="A34" s="376" t="s">
        <v>99</v>
      </c>
      <c r="B34" s="354" t="s">
        <v>16</v>
      </c>
      <c r="C34" s="545">
        <f>ROUND(SUM(C29:C33),1)</f>
        <v>105986</v>
      </c>
      <c r="D34" s="1886"/>
      <c r="E34" s="545">
        <f>ROUND(SUM(E29:E33),1)</f>
        <v>104998</v>
      </c>
      <c r="F34" s="257"/>
      <c r="G34" s="545">
        <f>ROUND(SUM(G29:G33),1)</f>
        <v>104943.3</v>
      </c>
      <c r="H34" s="257"/>
      <c r="I34" s="545">
        <f>ROUND(SUM(I29:I33),1)</f>
        <v>-1042.7</v>
      </c>
      <c r="J34" s="369"/>
      <c r="K34" s="545">
        <f>ROUND(SUM(K29:K33),1)</f>
        <v>-54.7</v>
      </c>
    </row>
    <row r="35" spans="1:11">
      <c r="A35" s="223"/>
      <c r="B35" s="361"/>
      <c r="C35" s="261"/>
      <c r="D35" s="261"/>
      <c r="E35" s="261"/>
      <c r="F35" s="261"/>
      <c r="G35" s="261"/>
      <c r="H35" s="261"/>
      <c r="I35" s="261"/>
      <c r="J35" s="368"/>
      <c r="K35" s="249"/>
    </row>
    <row r="36" spans="1:11" ht="15.6">
      <c r="A36" s="376" t="s">
        <v>45</v>
      </c>
      <c r="B36" s="361"/>
      <c r="C36" s="261"/>
      <c r="D36" s="261"/>
      <c r="E36" s="261"/>
      <c r="F36" s="261"/>
      <c r="G36" s="261"/>
      <c r="H36" s="261"/>
      <c r="I36" s="261"/>
      <c r="J36" s="368"/>
      <c r="K36" s="249"/>
    </row>
    <row r="37" spans="1:11" ht="15.6">
      <c r="A37" s="376" t="s">
        <v>46</v>
      </c>
      <c r="B37" s="361" t="s">
        <v>16</v>
      </c>
      <c r="C37" s="271">
        <f>ROUND(SUM(+C26-C34),1)</f>
        <v>193</v>
      </c>
      <c r="D37" s="261"/>
      <c r="E37" s="271">
        <f>ROUND(SUM(+E26-E34),1)</f>
        <v>6645</v>
      </c>
      <c r="F37" s="261"/>
      <c r="G37" s="271">
        <f>ROUND(SUM(+G26-G34),1)</f>
        <v>6930.3</v>
      </c>
      <c r="H37" s="261"/>
      <c r="I37" s="271">
        <f>ROUND(SUM(+I26-I34),1)</f>
        <v>6737.3</v>
      </c>
      <c r="J37" s="253"/>
      <c r="K37" s="1738">
        <f>ROUND(SUM(+K26-K34),1)</f>
        <v>285.3</v>
      </c>
    </row>
    <row r="38" spans="1:11">
      <c r="A38" s="223"/>
      <c r="B38" s="361"/>
      <c r="C38" s="261"/>
      <c r="D38" s="261"/>
      <c r="E38" s="261"/>
      <c r="F38" s="261"/>
      <c r="G38" s="261"/>
      <c r="H38" s="261"/>
      <c r="I38" s="261"/>
      <c r="J38" s="368"/>
      <c r="K38" s="249"/>
    </row>
    <row r="39" spans="1:11" ht="15.6">
      <c r="A39" s="376" t="s">
        <v>47</v>
      </c>
      <c r="B39" s="361"/>
      <c r="C39" s="261"/>
      <c r="D39" s="261"/>
      <c r="E39" s="261"/>
      <c r="F39" s="261"/>
      <c r="G39" s="261"/>
      <c r="H39" s="261"/>
      <c r="I39" s="261"/>
      <c r="J39" s="368"/>
      <c r="K39" s="249"/>
    </row>
    <row r="40" spans="1:11">
      <c r="A40" s="1720" t="s">
        <v>100</v>
      </c>
      <c r="B40" s="361" t="s">
        <v>16</v>
      </c>
      <c r="C40" s="517">
        <f>'Exh D Captl Projects State Fed'!C25</f>
        <v>0</v>
      </c>
      <c r="D40" s="261"/>
      <c r="E40" s="517">
        <f>'Exh D Captl Projects State Fed'!E25</f>
        <v>0</v>
      </c>
      <c r="F40" s="261"/>
      <c r="G40" s="517">
        <f>'Exh D Captl Projects State Fed'!G25</f>
        <v>0</v>
      </c>
      <c r="H40" s="261"/>
      <c r="I40" s="261">
        <f>ROUND(SUM(G40)-SUM(C40),1)</f>
        <v>0</v>
      </c>
      <c r="J40" s="374"/>
      <c r="K40" s="249">
        <f>ROUND(SUM(G40)-SUM(E40),1)</f>
        <v>0</v>
      </c>
    </row>
    <row r="41" spans="1:11">
      <c r="A41" s="1720" t="s">
        <v>49</v>
      </c>
      <c r="B41" s="361" t="s">
        <v>16</v>
      </c>
      <c r="C41" s="274">
        <f>+'Exh D General Fund  '!C27+'Exh D General Fund  '!C28+'Exh D General Fund  '!C29+'Exh D General Fund  '!C30+'Exh D Special Revenue'!C26+'Exh D Debt Service'!C25+'Exh D Capital Projects'!C26</f>
        <v>24872</v>
      </c>
      <c r="D41" s="261"/>
      <c r="E41" s="320">
        <f>+'Exh D General Fund  '!E27+'Exh D General Fund  '!E28+'Exh D General Fund  '!E29+'Exh D General Fund  '!E30+'Exh D Special Revenue'!E26+'Exh D Debt Service'!E25+'Exh D Capital Projects'!E26</f>
        <v>24231</v>
      </c>
      <c r="F41" s="261"/>
      <c r="G41" s="274">
        <f>+'Exh D General Fund  '!G27+'Exh D General Fund  '!G28+'Exh D General Fund  '!G29+'Exh D General Fund  '!G30+'Exh D Special Revenue'!G26+'Exh D Debt Service'!G25+'Exh D Capital Projects'!G26</f>
        <v>24309</v>
      </c>
      <c r="H41" s="261"/>
      <c r="I41" s="261">
        <f>ROUND(SUM(G41)-SUM(C41),1)</f>
        <v>-563</v>
      </c>
      <c r="J41" s="368"/>
      <c r="K41" s="249">
        <f>ROUND(SUM(G41)-SUM(E41),1)</f>
        <v>78</v>
      </c>
    </row>
    <row r="42" spans="1:11">
      <c r="A42" s="1720" t="s">
        <v>101</v>
      </c>
      <c r="B42" s="361" t="s">
        <v>16</v>
      </c>
      <c r="C42" s="521">
        <f>-(+'Exh D General Fund  '!C38+'Exh D General Fund  '!C39+'Exh D General Fund  '!C40+'Exh D General Fund  '!C41+'Exh D General Fund  '!C42+'Exh D Special Revenue'!C34+'Exh D Debt Service'!C31+'Exh D Capital Projects'!C32)</f>
        <v>-24934</v>
      </c>
      <c r="D42" s="261"/>
      <c r="E42" s="2788">
        <f>-(+'Exh D General Fund  '!E38+'Exh D General Fund  '!E39+'Exh D General Fund  '!E40+'Exh D General Fund  '!E41+'Exh D General Fund  '!E42+'Exh D Special Revenue'!E34+'Exh D Debt Service'!E31+'Exh D Capital Projects'!E32)</f>
        <v>-24298</v>
      </c>
      <c r="F42" s="261"/>
      <c r="G42" s="521">
        <f>-(+'Exh D General Fund  '!G38+'Exh D General Fund  '!G39+'Exh D General Fund  '!G40+'Exh D General Fund  '!G41+'Exh D General Fund  '!G42+'Exh D Special Revenue'!G34+'Exh D Debt Service'!G31+'Exh D Capital Projects'!G32)</f>
        <v>-24374.9</v>
      </c>
      <c r="H42" s="261"/>
      <c r="I42" s="1007">
        <f>-ROUND(SUM(G42)-SUM(C42),1)</f>
        <v>-559.1</v>
      </c>
      <c r="J42" s="253"/>
      <c r="K42" s="249">
        <f>-ROUND(SUM(G42)-SUM(E42),1)</f>
        <v>76.900000000000006</v>
      </c>
    </row>
    <row r="43" spans="1:11" ht="15.6">
      <c r="A43" s="376" t="s">
        <v>102</v>
      </c>
      <c r="B43" s="361" t="s">
        <v>16</v>
      </c>
      <c r="C43" s="523">
        <f>ROUND(+SUM(C40)+C41+C42,1)</f>
        <v>-62</v>
      </c>
      <c r="D43" s="261"/>
      <c r="E43" s="523">
        <f>ROUND(+SUM(E40)+E41+E42,1)</f>
        <v>-67</v>
      </c>
      <c r="F43" s="261"/>
      <c r="G43" s="523">
        <f>ROUND(+SUM(G40)+G41+G42,1)</f>
        <v>-65.900000000000006</v>
      </c>
      <c r="H43" s="261"/>
      <c r="I43" s="523">
        <f>ROUND(SUM(I40+I41-I42),1)</f>
        <v>-3.9</v>
      </c>
      <c r="J43" s="375"/>
      <c r="K43" s="3375">
        <f>ROUND(SUM(K40+K41-K42),1)</f>
        <v>1.1000000000000001</v>
      </c>
    </row>
    <row r="44" spans="1:11" ht="15.6">
      <c r="A44" s="376"/>
      <c r="B44" s="361"/>
      <c r="C44" s="274"/>
      <c r="D44" s="261"/>
      <c r="E44" s="274"/>
      <c r="F44" s="261"/>
      <c r="G44" s="274"/>
      <c r="H44" s="261"/>
      <c r="I44" s="274"/>
      <c r="J44" s="363"/>
      <c r="K44" s="275"/>
    </row>
    <row r="45" spans="1:11" ht="15.6">
      <c r="A45" s="221" t="s">
        <v>103</v>
      </c>
      <c r="B45" s="361"/>
      <c r="C45" s="261"/>
      <c r="D45" s="261"/>
      <c r="E45" s="261"/>
      <c r="F45" s="261"/>
      <c r="G45" s="261"/>
      <c r="H45" s="261"/>
      <c r="I45" s="261"/>
      <c r="J45" s="368"/>
      <c r="K45" s="249"/>
    </row>
    <row r="46" spans="1:11" ht="15" customHeight="1">
      <c r="A46" s="221" t="s">
        <v>104</v>
      </c>
      <c r="B46" s="361"/>
      <c r="C46" s="261"/>
      <c r="D46" s="261"/>
      <c r="E46" s="261"/>
      <c r="F46" s="261"/>
      <c r="G46" s="261"/>
      <c r="H46" s="261"/>
      <c r="I46" s="261"/>
      <c r="J46" s="368"/>
      <c r="K46" s="249"/>
    </row>
    <row r="47" spans="1:11" ht="15.6">
      <c r="A47" s="376" t="s">
        <v>105</v>
      </c>
      <c r="B47" s="377" t="s">
        <v>16</v>
      </c>
      <c r="C47" s="273">
        <f>ROUND(SUM(C26)-SUM(C34)+C43,1)</f>
        <v>131</v>
      </c>
      <c r="D47" s="284"/>
      <c r="E47" s="273">
        <f>ROUND(SUM(E26)-SUM(E34)+E43,1)</f>
        <v>6578</v>
      </c>
      <c r="F47" s="284"/>
      <c r="G47" s="273">
        <f>ROUND(SUM(G26)-SUM(G34)+G43,1)</f>
        <v>6864.4</v>
      </c>
      <c r="H47" s="284"/>
      <c r="I47" s="273">
        <f>ROUND(SUM(I26)-SUM(I34)+I43,1)</f>
        <v>6733.4</v>
      </c>
      <c r="J47" s="369"/>
      <c r="K47" s="273">
        <f>ROUND(SUM(K26)-SUM(K34)+K43,1)</f>
        <v>286.39999999999998</v>
      </c>
    </row>
    <row r="48" spans="1:11">
      <c r="A48" s="226"/>
      <c r="B48" s="379"/>
      <c r="C48" s="664"/>
      <c r="D48" s="1288"/>
      <c r="E48" s="664"/>
      <c r="F48" s="1288"/>
      <c r="G48" s="664"/>
      <c r="H48" s="1288"/>
      <c r="I48" s="664"/>
      <c r="J48" s="381"/>
      <c r="K48" s="664"/>
    </row>
    <row r="49" spans="1:11" ht="15.6">
      <c r="A49" s="376" t="s">
        <v>106</v>
      </c>
      <c r="B49" s="382" t="s">
        <v>16</v>
      </c>
      <c r="C49" s="273">
        <f>'Exh D General Fund  '!C49+'Exh D Special Revenue'!C41+'Exh D Debt Service'!C38+'Exh D Capital Projects'!C39</f>
        <v>9355</v>
      </c>
      <c r="D49" s="1288"/>
      <c r="E49" s="273">
        <f>'Exh D General Fund  '!E49+'Exh D Special Revenue'!E41+'Exh D Debt Service'!E38+'Exh D Capital Projects'!E39</f>
        <v>9355</v>
      </c>
      <c r="F49" s="1288"/>
      <c r="G49" s="273">
        <f>'Exh D General Fund  '!G49+'Exh D Special Revenue'!G41+'Exh D Debt Service'!G38+'Exh D Capital Projects'!G39</f>
        <v>9355.6</v>
      </c>
      <c r="H49" s="1288"/>
      <c r="I49" s="273">
        <f>ROUND(SUM(G49-C49),1)</f>
        <v>0.6</v>
      </c>
      <c r="J49" s="369"/>
      <c r="K49" s="3152">
        <f>ROUND(SUM(G49-E49),1)</f>
        <v>0.6</v>
      </c>
    </row>
    <row r="50" spans="1:11" ht="16.2" thickBot="1">
      <c r="A50" s="3386" t="s">
        <v>1663</v>
      </c>
      <c r="B50" s="383" t="s">
        <v>16</v>
      </c>
      <c r="C50" s="299">
        <f>ROUND(SUM(C47:C49),1)</f>
        <v>9486</v>
      </c>
      <c r="D50" s="384"/>
      <c r="E50" s="299">
        <f>ROUND(SUM(E47:E49),1)</f>
        <v>15933</v>
      </c>
      <c r="F50" s="384"/>
      <c r="G50" s="299">
        <f>ROUND(SUM(G47:G49),1)</f>
        <v>16220</v>
      </c>
      <c r="H50" s="384"/>
      <c r="I50" s="299">
        <f>ROUND(SUM(I47:I49),1)</f>
        <v>6734</v>
      </c>
      <c r="J50" s="385"/>
      <c r="K50" s="299">
        <f>ROUND(SUM(K47:K49),1)</f>
        <v>287</v>
      </c>
    </row>
    <row r="51" spans="1:11" ht="15.6" thickTop="1">
      <c r="A51" s="226"/>
      <c r="B51" s="379"/>
      <c r="C51" s="379"/>
      <c r="D51" s="380"/>
      <c r="E51" s="379"/>
      <c r="F51" s="380"/>
      <c r="G51" s="380"/>
      <c r="H51" s="380"/>
      <c r="I51" s="380"/>
      <c r="J51" s="380"/>
      <c r="K51" s="379"/>
    </row>
    <row r="52" spans="1:11">
      <c r="A52" s="1901" t="s">
        <v>1544</v>
      </c>
      <c r="K52" s="2379"/>
    </row>
    <row r="53" spans="1:11">
      <c r="A53" s="1932" t="s">
        <v>1685</v>
      </c>
      <c r="G53" s="2344"/>
    </row>
    <row r="54" spans="1:11">
      <c r="A54" s="387"/>
    </row>
    <row r="55" spans="1:11">
      <c r="A55" s="386"/>
      <c r="G55" s="2344"/>
    </row>
    <row r="56" spans="1:11">
      <c r="A56" s="386"/>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8" firstPageNumber="8"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zoomScale="80" zoomScaleNormal="80" workbookViewId="0"/>
  </sheetViews>
  <sheetFormatPr defaultColWidth="8.90625" defaultRowHeight="15"/>
  <cols>
    <col min="1" max="1" width="45.6328125" style="302" customWidth="1"/>
    <col min="2" max="2" width="2.453125" style="302" customWidth="1"/>
    <col min="3" max="3" width="15.36328125" style="302" customWidth="1"/>
    <col min="4" max="4" width="3.81640625" style="302" customWidth="1"/>
    <col min="5" max="5" width="15.36328125" style="302" customWidth="1"/>
    <col min="6" max="6" width="3.1796875" style="302" customWidth="1"/>
    <col min="7" max="7" width="15.36328125" style="302" customWidth="1"/>
    <col min="8" max="8" width="3.90625" style="302" customWidth="1"/>
    <col min="9" max="9" width="15.36328125" style="302" customWidth="1"/>
    <col min="10" max="10" width="3" style="302" customWidth="1"/>
    <col min="11" max="11" width="15.36328125" style="302" customWidth="1"/>
    <col min="12" max="16384" width="8.90625" style="302"/>
  </cols>
  <sheetData>
    <row r="1" spans="1:11">
      <c r="A1" s="1887" t="s">
        <v>1217</v>
      </c>
    </row>
    <row r="2" spans="1:11">
      <c r="A2" s="1733"/>
    </row>
    <row r="3" spans="1:11" ht="17.399999999999999">
      <c r="A3" s="343" t="s">
        <v>0</v>
      </c>
      <c r="B3" s="344"/>
      <c r="C3" s="344"/>
      <c r="D3" s="345"/>
      <c r="E3" s="344"/>
      <c r="F3" s="345"/>
      <c r="G3" s="345"/>
      <c r="H3" s="345"/>
      <c r="I3" s="345"/>
      <c r="J3" s="345"/>
      <c r="K3" s="346" t="s">
        <v>86</v>
      </c>
    </row>
    <row r="4" spans="1:11" ht="17.399999999999999">
      <c r="A4" s="343" t="s">
        <v>85</v>
      </c>
      <c r="B4" s="344"/>
      <c r="C4" s="344"/>
      <c r="D4" s="345"/>
      <c r="E4" s="344"/>
      <c r="F4" s="345"/>
      <c r="G4" s="345"/>
      <c r="H4" s="345"/>
      <c r="I4" s="346"/>
      <c r="J4" s="347"/>
      <c r="K4" s="1730" t="s">
        <v>107</v>
      </c>
    </row>
    <row r="5" spans="1:11" ht="20.25" customHeight="1">
      <c r="A5" s="3564" t="s">
        <v>1524</v>
      </c>
      <c r="B5" s="3565"/>
      <c r="C5" s="3565"/>
      <c r="D5" s="3565"/>
      <c r="E5" s="3565"/>
      <c r="F5" s="345"/>
      <c r="G5" s="348"/>
      <c r="H5" s="345"/>
      <c r="I5" s="1730"/>
      <c r="J5" s="345"/>
    </row>
    <row r="6" spans="1:11" ht="18.75" customHeight="1">
      <c r="A6" s="2865" t="str">
        <f>'Exh D-Governmental  '!A6</f>
        <v>FOR NINE MONTHS ENDED DECEMBER 31, 2015</v>
      </c>
      <c r="B6" s="350"/>
      <c r="C6" s="351"/>
      <c r="D6" s="345"/>
      <c r="E6" s="351"/>
      <c r="F6" s="345"/>
      <c r="G6" s="345"/>
      <c r="H6" s="345"/>
      <c r="I6" s="345"/>
      <c r="J6" s="345"/>
      <c r="K6" s="345"/>
    </row>
    <row r="7" spans="1:11" ht="17.399999999999999">
      <c r="A7" s="394" t="s">
        <v>1104</v>
      </c>
      <c r="B7" s="351"/>
      <c r="C7" s="351"/>
      <c r="D7" s="345"/>
      <c r="E7" s="351"/>
      <c r="F7" s="345"/>
      <c r="G7" s="345"/>
      <c r="H7" s="345"/>
      <c r="I7" s="345"/>
      <c r="J7" s="345"/>
      <c r="K7" s="345"/>
    </row>
    <row r="8" spans="1:11" ht="17.399999999999999">
      <c r="A8" s="352"/>
      <c r="B8" s="345"/>
      <c r="C8" s="345"/>
      <c r="D8" s="345"/>
      <c r="E8" s="345"/>
      <c r="F8" s="345"/>
      <c r="G8" s="345"/>
      <c r="H8" s="345"/>
      <c r="I8" s="345"/>
      <c r="J8" s="345"/>
      <c r="K8" s="345"/>
    </row>
    <row r="9" spans="1:11">
      <c r="A9" s="353"/>
      <c r="B9" s="345"/>
      <c r="C9" s="345"/>
      <c r="D9" s="345"/>
      <c r="E9" s="345"/>
      <c r="F9" s="345"/>
      <c r="G9" s="345"/>
      <c r="H9" s="345"/>
      <c r="I9" s="345"/>
      <c r="J9" s="345"/>
      <c r="K9" s="345"/>
    </row>
    <row r="10" spans="1:11">
      <c r="A10" s="353"/>
      <c r="B10" s="345"/>
      <c r="C10" s="345"/>
      <c r="D10" s="345"/>
      <c r="E10" s="345"/>
      <c r="F10" s="345"/>
      <c r="G10" s="345"/>
      <c r="H10" s="345"/>
      <c r="I10" s="345"/>
      <c r="J10" s="345"/>
      <c r="K10" s="345"/>
    </row>
    <row r="11" spans="1:11" ht="15.6">
      <c r="A11" s="1358"/>
      <c r="B11" s="354"/>
      <c r="C11" s="3566" t="s">
        <v>1616</v>
      </c>
      <c r="D11" s="3566"/>
      <c r="E11" s="3566"/>
      <c r="F11" s="3566"/>
      <c r="G11" s="3566"/>
      <c r="H11" s="3566"/>
      <c r="I11" s="3566"/>
      <c r="J11" s="2349"/>
      <c r="K11" s="2343"/>
    </row>
    <row r="12" spans="1:11" ht="15.6">
      <c r="A12" s="1358"/>
      <c r="B12" s="354"/>
      <c r="C12" s="355"/>
      <c r="D12" s="355"/>
      <c r="E12" s="355"/>
      <c r="F12" s="355"/>
      <c r="G12" s="355"/>
      <c r="H12" s="355"/>
      <c r="I12" s="356" t="s">
        <v>87</v>
      </c>
      <c r="J12" s="356"/>
      <c r="K12" s="356" t="s">
        <v>87</v>
      </c>
    </row>
    <row r="13" spans="1:11" ht="15.6">
      <c r="A13" s="1358"/>
      <c r="B13" s="354"/>
      <c r="C13" s="355"/>
      <c r="D13" s="355"/>
      <c r="E13" s="355"/>
      <c r="F13" s="355"/>
      <c r="G13" s="355"/>
      <c r="H13" s="355"/>
      <c r="I13" s="356" t="s">
        <v>1111</v>
      </c>
      <c r="J13" s="356"/>
      <c r="K13" s="356" t="s">
        <v>1111</v>
      </c>
    </row>
    <row r="14" spans="1:11" ht="15.6">
      <c r="A14" s="1358"/>
      <c r="B14" s="354"/>
      <c r="C14" s="357" t="s">
        <v>1356</v>
      </c>
      <c r="D14" s="355"/>
      <c r="E14" s="356" t="s">
        <v>1357</v>
      </c>
      <c r="F14" s="355"/>
      <c r="G14" s="355"/>
      <c r="H14" s="355"/>
      <c r="I14" s="356" t="s">
        <v>88</v>
      </c>
      <c r="J14" s="356"/>
      <c r="K14" s="356" t="s">
        <v>88</v>
      </c>
    </row>
    <row r="15" spans="1:11" ht="15.6">
      <c r="A15" s="1358"/>
      <c r="B15" s="354"/>
      <c r="C15" s="356" t="s">
        <v>1400</v>
      </c>
      <c r="D15" s="355"/>
      <c r="E15" s="356" t="s">
        <v>1400</v>
      </c>
      <c r="F15" s="355"/>
      <c r="G15" s="355"/>
      <c r="H15" s="355"/>
      <c r="I15" s="356" t="s">
        <v>1356</v>
      </c>
      <c r="J15" s="356"/>
      <c r="K15" s="356" t="s">
        <v>1357</v>
      </c>
    </row>
    <row r="16" spans="1:11" ht="15.6">
      <c r="A16" s="1358"/>
      <c r="B16" s="354"/>
      <c r="C16" s="356" t="s">
        <v>1401</v>
      </c>
      <c r="D16" s="355"/>
      <c r="E16" s="356" t="s">
        <v>1614</v>
      </c>
      <c r="F16" s="355"/>
      <c r="G16" s="357" t="s">
        <v>87</v>
      </c>
      <c r="H16" s="355"/>
      <c r="I16" s="356" t="s">
        <v>89</v>
      </c>
      <c r="J16" s="356"/>
      <c r="K16" s="356" t="s">
        <v>89</v>
      </c>
    </row>
    <row r="17" spans="1:12">
      <c r="A17" s="358"/>
      <c r="B17" s="359"/>
      <c r="C17" s="360"/>
      <c r="D17" s="345"/>
      <c r="E17" s="360"/>
      <c r="F17" s="345"/>
      <c r="G17" s="360"/>
      <c r="H17" s="345"/>
      <c r="I17" s="360"/>
      <c r="J17" s="359"/>
      <c r="K17" s="360"/>
    </row>
    <row r="18" spans="1:12" ht="15.6">
      <c r="A18" s="221" t="s">
        <v>15</v>
      </c>
      <c r="B18" s="1888"/>
      <c r="C18" s="1251"/>
      <c r="D18" s="1251"/>
      <c r="E18" s="1251"/>
      <c r="F18" s="1251"/>
      <c r="G18" s="1251"/>
      <c r="H18" s="1251"/>
      <c r="I18" s="1888"/>
      <c r="J18" s="1251"/>
      <c r="K18" s="1888"/>
    </row>
    <row r="19" spans="1:12" ht="15" customHeight="1">
      <c r="A19" s="1720" t="s">
        <v>90</v>
      </c>
      <c r="B19" s="1889" t="s">
        <v>16</v>
      </c>
      <c r="C19" s="1890"/>
      <c r="D19" s="1889"/>
      <c r="E19" s="1890"/>
      <c r="F19" s="1889"/>
      <c r="G19" s="1891"/>
      <c r="H19" s="1889"/>
      <c r="I19" s="2378"/>
      <c r="J19" s="1891"/>
      <c r="K19" s="2378"/>
    </row>
    <row r="20" spans="1:12">
      <c r="A20" s="1720" t="s">
        <v>91</v>
      </c>
      <c r="B20" s="1889" t="s">
        <v>16</v>
      </c>
      <c r="C20" s="1252">
        <f>'Exh D General Fund  '!C20+'Exh D Special Revenue State Fed'!C20+'Exh D Debt Service'!C20</f>
        <v>31931</v>
      </c>
      <c r="D20" s="1254"/>
      <c r="E20" s="1252">
        <f>'Exh D General Fund  '!E20+'Exh D Special Revenue State Fed'!E20+'Exh D Debt Service'!E20</f>
        <v>34019</v>
      </c>
      <c r="F20" s="1254"/>
      <c r="G20" s="1252">
        <f>+'Exh A Supp'!T17</f>
        <v>34020.5</v>
      </c>
      <c r="H20" s="1254"/>
      <c r="I20" s="1975">
        <f t="shared" ref="I20:I25" si="0">ROUND(SUM(G20)-SUM(C20),1)</f>
        <v>2089.5</v>
      </c>
      <c r="J20" s="1892"/>
      <c r="K20" s="1975">
        <f t="shared" ref="K20:K25" si="1">ROUND(SUM(G20)-SUM(E20),1)</f>
        <v>1.5</v>
      </c>
    </row>
    <row r="21" spans="1:12">
      <c r="A21" s="1720" t="s">
        <v>92</v>
      </c>
      <c r="B21" s="1888" t="s">
        <v>16</v>
      </c>
      <c r="C21" s="1171">
        <f>'Exh D General Fund  '!C21+'Exh D Special Revenue State Fed'!C21+'Exh D Debt Service'!C21</f>
        <v>11648</v>
      </c>
      <c r="D21" s="1171"/>
      <c r="E21" s="1171">
        <f>'Exh D General Fund  '!E21+'Exh D Special Revenue State Fed'!E21+'Exh D Debt Service'!E21</f>
        <v>11472</v>
      </c>
      <c r="F21" s="1171"/>
      <c r="G21" s="1171">
        <f>+'Exh A Supp'!T18</f>
        <v>11472.3</v>
      </c>
      <c r="H21" s="1171"/>
      <c r="I21" s="1908">
        <f t="shared" si="0"/>
        <v>-175.7</v>
      </c>
      <c r="J21" s="1892"/>
      <c r="K21" s="1908">
        <f t="shared" si="1"/>
        <v>0.3</v>
      </c>
    </row>
    <row r="22" spans="1:12" ht="17.25" customHeight="1">
      <c r="A22" s="1720" t="s">
        <v>93</v>
      </c>
      <c r="B22" s="1889" t="s">
        <v>16</v>
      </c>
      <c r="C22" s="1171">
        <f>'Exh D General Fund  '!C22+'Exh D Special Revenue State Fed'!C22</f>
        <v>4647</v>
      </c>
      <c r="D22" s="1327"/>
      <c r="E22" s="1171">
        <f>'Exh D General Fund  '!E22+'Exh D Special Revenue State Fed'!E22</f>
        <v>4961</v>
      </c>
      <c r="F22" s="1327"/>
      <c r="G22" s="1171">
        <f>+'Exh A Supp'!T19</f>
        <v>4962</v>
      </c>
      <c r="H22" s="1327"/>
      <c r="I22" s="1908">
        <f t="shared" si="0"/>
        <v>315</v>
      </c>
      <c r="J22" s="1892"/>
      <c r="K22" s="1908">
        <f t="shared" si="1"/>
        <v>1</v>
      </c>
    </row>
    <row r="23" spans="1:12" ht="14.25" customHeight="1">
      <c r="A23" s="1720" t="s">
        <v>94</v>
      </c>
      <c r="B23" s="1888" t="s">
        <v>16</v>
      </c>
      <c r="C23" s="1171">
        <f>'Exh D General Fund  '!C23+'Exh D Special Revenue State Fed'!C23+'Exh D Debt Service'!C22</f>
        <v>2482</v>
      </c>
      <c r="D23" s="1171"/>
      <c r="E23" s="1171">
        <f>'Exh D General Fund  '!E23+'Exh D Special Revenue State Fed'!E23+'Exh D Debt Service'!E22</f>
        <v>2928</v>
      </c>
      <c r="F23" s="1171"/>
      <c r="G23" s="1171">
        <f>+'Exh A Supp'!T20</f>
        <v>2927.5</v>
      </c>
      <c r="H23" s="1171"/>
      <c r="I23" s="1908">
        <f t="shared" si="0"/>
        <v>445.5</v>
      </c>
      <c r="J23" s="1892"/>
      <c r="K23" s="1908">
        <f t="shared" si="1"/>
        <v>-0.5</v>
      </c>
    </row>
    <row r="24" spans="1:12">
      <c r="A24" s="1720" t="s">
        <v>21</v>
      </c>
      <c r="B24" s="1888" t="s">
        <v>16</v>
      </c>
      <c r="C24" s="1171">
        <f>'Exh D General Fund  '!C24+'Exh D Special Revenue State Fed'!C24+'Exh D Debt Service'!C23</f>
        <v>15321</v>
      </c>
      <c r="D24" s="1171"/>
      <c r="E24" s="1171">
        <f>'Exh D General Fund  '!E24+'Exh D Special Revenue State Fed'!E24+'Exh D Debt Service'!E23</f>
        <v>16863</v>
      </c>
      <c r="F24" s="1171"/>
      <c r="G24" s="1171">
        <f>+'Exh A Supp'!T21</f>
        <v>17099.2</v>
      </c>
      <c r="H24" s="1171"/>
      <c r="I24" s="1908">
        <f t="shared" si="0"/>
        <v>1778.2</v>
      </c>
      <c r="J24" s="1714"/>
      <c r="K24" s="1908">
        <f t="shared" si="1"/>
        <v>236.2</v>
      </c>
    </row>
    <row r="25" spans="1:12" ht="15" customHeight="1">
      <c r="A25" s="1720" t="s">
        <v>22</v>
      </c>
      <c r="B25" s="1888" t="s">
        <v>16</v>
      </c>
      <c r="C25" s="1354">
        <f>'Exh D General Fund  '!C25+'Exh D Special Revenue State Fed'!C25+'Exh D Debt Service'!C24</f>
        <v>37</v>
      </c>
      <c r="D25" s="1171"/>
      <c r="E25" s="1354">
        <f>'Exh D General Fund  '!E25+'Exh D Special Revenue State Fed'!E25+'Exh D Debt Service'!E24</f>
        <v>38</v>
      </c>
      <c r="F25" s="1171"/>
      <c r="G25" s="1171">
        <f>+'Exh A Supp'!T22</f>
        <v>37.5</v>
      </c>
      <c r="H25" s="1171"/>
      <c r="I25" s="1908">
        <f t="shared" si="0"/>
        <v>0.5</v>
      </c>
      <c r="J25" s="1714"/>
      <c r="K25" s="1908">
        <f t="shared" si="1"/>
        <v>-0.5</v>
      </c>
    </row>
    <row r="26" spans="1:12" ht="15.6">
      <c r="A26" s="376" t="s">
        <v>95</v>
      </c>
      <c r="B26" s="354" t="s">
        <v>16</v>
      </c>
      <c r="C26" s="420">
        <f>ROUND(SUM(C20:C25),1)</f>
        <v>66066</v>
      </c>
      <c r="D26" s="1886"/>
      <c r="E26" s="420">
        <f>ROUND(SUM(E20:E25),1)</f>
        <v>70281</v>
      </c>
      <c r="F26" s="1886"/>
      <c r="G26" s="420">
        <f>ROUND(SUM(G20:G25),1)</f>
        <v>70519</v>
      </c>
      <c r="H26" s="1886"/>
      <c r="I26" s="420">
        <f>ROUND(SUM(I20:I25),1)</f>
        <v>4453</v>
      </c>
      <c r="J26" s="369"/>
      <c r="K26" s="420">
        <f>ROUND(SUM(K20:K25),1)</f>
        <v>238</v>
      </c>
      <c r="L26" s="681"/>
    </row>
    <row r="27" spans="1:12">
      <c r="A27" s="1358"/>
      <c r="B27" s="1888" t="s">
        <v>16</v>
      </c>
      <c r="C27" s="1356"/>
      <c r="D27" s="1171"/>
      <c r="E27" s="1356"/>
      <c r="F27" s="1171"/>
      <c r="G27" s="1356"/>
      <c r="H27" s="1171"/>
      <c r="I27" s="1356"/>
      <c r="J27" s="1267"/>
      <c r="K27" s="1356"/>
    </row>
    <row r="28" spans="1:12" ht="15.6">
      <c r="A28" s="221" t="s">
        <v>24</v>
      </c>
      <c r="B28" s="1888" t="s">
        <v>16</v>
      </c>
      <c r="C28" s="1171"/>
      <c r="D28" s="1171"/>
      <c r="E28" s="1171"/>
      <c r="F28" s="1171"/>
      <c r="G28" s="1171"/>
      <c r="H28" s="1171"/>
      <c r="I28" s="1908"/>
      <c r="J28" s="1714"/>
      <c r="K28" s="1908"/>
    </row>
    <row r="29" spans="1:12">
      <c r="A29" s="1720" t="s">
        <v>96</v>
      </c>
      <c r="B29" s="1888" t="s">
        <v>16</v>
      </c>
      <c r="C29" s="1354">
        <f>'Exh D General Fund  '!C34+'Exh D Special Revenue State Fed'!C30</f>
        <v>43851</v>
      </c>
      <c r="D29" s="1171"/>
      <c r="E29" s="1354">
        <f>'Exh D General Fund  '!E34+'Exh D Special Revenue State Fed'!E30</f>
        <v>42892</v>
      </c>
      <c r="F29" s="1171"/>
      <c r="G29" s="1354">
        <f>+'Exh A Supp'!T37</f>
        <v>42894.8</v>
      </c>
      <c r="H29" s="1171"/>
      <c r="I29" s="1908">
        <f>ROUND(SUM(G29)-SUM(C29),1)</f>
        <v>-956.2</v>
      </c>
      <c r="J29" s="1714"/>
      <c r="K29" s="1908">
        <f>ROUND(SUM(G29)-SUM(E29),1)</f>
        <v>2.8</v>
      </c>
      <c r="L29" s="681"/>
    </row>
    <row r="30" spans="1:12">
      <c r="A30" s="1720" t="s">
        <v>97</v>
      </c>
      <c r="B30" s="1888" t="s">
        <v>16</v>
      </c>
      <c r="C30" s="1327">
        <f>'Exh D General Fund  '!C35+'Exh D Special Revenue State Fed'!C31+'Exh D Debt Service'!C29</f>
        <v>13863</v>
      </c>
      <c r="D30" s="1171"/>
      <c r="E30" s="1327">
        <f>'Exh D General Fund  '!E35+'Exh D Special Revenue State Fed'!E31+'Exh D Debt Service'!E29</f>
        <v>13798</v>
      </c>
      <c r="F30" s="1171"/>
      <c r="G30" s="1327">
        <f>+'Exh A Supp'!T39+'Exh A Supp'!T40</f>
        <v>13809</v>
      </c>
      <c r="H30" s="1171"/>
      <c r="I30" s="1908">
        <f>ROUND(SUM(G30)-SUM(C30),1)</f>
        <v>-54</v>
      </c>
      <c r="J30" s="1714"/>
      <c r="K30" s="1908">
        <f>ROUND(SUM(G30)-SUM(E30),1)</f>
        <v>11</v>
      </c>
      <c r="L30" s="681"/>
    </row>
    <row r="31" spans="1:12">
      <c r="A31" s="1720" t="s">
        <v>72</v>
      </c>
      <c r="B31" s="1888" t="s">
        <v>16</v>
      </c>
      <c r="C31" s="1354">
        <f>'Exh D General Fund  '!C36+'Exh D Special Revenue State Fed'!C32</f>
        <v>6019</v>
      </c>
      <c r="D31" s="1171"/>
      <c r="E31" s="1354">
        <f>'Exh D General Fund  '!E36+'Exh D Special Revenue State Fed'!E32</f>
        <v>6062</v>
      </c>
      <c r="F31" s="1171"/>
      <c r="G31" s="1354">
        <f>+'Exh A Supp'!T41</f>
        <v>6073.3</v>
      </c>
      <c r="H31" s="1171"/>
      <c r="I31" s="1908">
        <f>ROUND(SUM(G31)-SUM(C31),1)</f>
        <v>54.3</v>
      </c>
      <c r="J31" s="1714"/>
      <c r="K31" s="1908">
        <f>ROUND(SUM(G31)-SUM(E31),1)</f>
        <v>11.3</v>
      </c>
      <c r="L31" s="681"/>
    </row>
    <row r="32" spans="1:12">
      <c r="A32" s="1720" t="s">
        <v>98</v>
      </c>
      <c r="B32" s="1888" t="s">
        <v>16</v>
      </c>
      <c r="C32" s="1327">
        <f>'Exh D Debt Service'!C30</f>
        <v>2320</v>
      </c>
      <c r="D32" s="1171"/>
      <c r="E32" s="1327">
        <f>'Exh D Debt Service'!E30</f>
        <v>2111</v>
      </c>
      <c r="F32" s="1171"/>
      <c r="G32" s="1354">
        <f>+'Exh A Supp'!T43</f>
        <v>2111.3000000000002</v>
      </c>
      <c r="H32" s="1171"/>
      <c r="I32" s="1908">
        <f>ROUND(SUM(G32)-SUM(C32),1)</f>
        <v>-208.7</v>
      </c>
      <c r="J32" s="1714"/>
      <c r="K32" s="1908">
        <f>ROUND(SUM(G32)-SUM(E32),1)</f>
        <v>0.3</v>
      </c>
      <c r="L32" s="681"/>
    </row>
    <row r="33" spans="1:12" ht="15" customHeight="1">
      <c r="A33" s="1720" t="s">
        <v>43</v>
      </c>
      <c r="B33" s="1888" t="s">
        <v>16</v>
      </c>
      <c r="C33" s="1354">
        <f>'Exh D Special Revenue State Fed'!C33</f>
        <v>0</v>
      </c>
      <c r="D33" s="1171"/>
      <c r="E33" s="1354">
        <f>'Exh D Special Revenue State Fed'!E33</f>
        <v>0</v>
      </c>
      <c r="F33" s="1171"/>
      <c r="G33" s="1354">
        <f>+'Exh A Supp'!T44</f>
        <v>0.9</v>
      </c>
      <c r="H33" s="1171"/>
      <c r="I33" s="1908">
        <f>ROUND(SUM(G33)-SUM(C33),1)</f>
        <v>0.9</v>
      </c>
      <c r="J33" s="1714"/>
      <c r="K33" s="1908">
        <f>ROUND(SUM(G33)-SUM(E33),1)</f>
        <v>0.9</v>
      </c>
      <c r="L33" s="681"/>
    </row>
    <row r="34" spans="1:12" ht="15.75" customHeight="1">
      <c r="A34" s="376" t="s">
        <v>99</v>
      </c>
      <c r="B34" s="354" t="s">
        <v>16</v>
      </c>
      <c r="C34" s="545">
        <f>ROUND(SUM(C29:C33),1)</f>
        <v>66053</v>
      </c>
      <c r="D34" s="1886"/>
      <c r="E34" s="545">
        <f>ROUND(SUM(E29:E33),1)</f>
        <v>64863</v>
      </c>
      <c r="F34" s="1886"/>
      <c r="G34" s="545">
        <f>ROUND(SUM(G29:G33),1)</f>
        <v>64889.3</v>
      </c>
      <c r="H34" s="1886"/>
      <c r="I34" s="545">
        <f>ROUND(SUM(I29:I33),1)</f>
        <v>-1163.7</v>
      </c>
      <c r="J34" s="369"/>
      <c r="K34" s="545">
        <f>ROUND(SUM(K29:K33),1)</f>
        <v>26.3</v>
      </c>
      <c r="L34" s="681"/>
    </row>
    <row r="35" spans="1:12">
      <c r="A35" s="1358"/>
      <c r="B35" s="1888"/>
      <c r="C35" s="1171"/>
      <c r="D35" s="1171"/>
      <c r="E35" s="1171"/>
      <c r="F35" s="1171"/>
      <c r="G35" s="1171"/>
      <c r="H35" s="1171"/>
      <c r="I35" s="1908"/>
      <c r="J35" s="1714"/>
      <c r="K35" s="1908"/>
      <c r="L35" s="681"/>
    </row>
    <row r="36" spans="1:12" ht="15.6">
      <c r="A36" s="376" t="s">
        <v>45</v>
      </c>
      <c r="B36" s="1888"/>
      <c r="C36" s="1171"/>
      <c r="D36" s="1171"/>
      <c r="E36" s="1171"/>
      <c r="F36" s="1171"/>
      <c r="G36" s="1171"/>
      <c r="H36" s="1171"/>
      <c r="I36" s="1908"/>
      <c r="J36" s="1714"/>
      <c r="K36" s="1908"/>
      <c r="L36" s="681"/>
    </row>
    <row r="37" spans="1:12" ht="15.6">
      <c r="A37" s="376" t="s">
        <v>46</v>
      </c>
      <c r="B37" s="1888" t="s">
        <v>16</v>
      </c>
      <c r="C37" s="1738">
        <f>ROUND(SUM(+C26-C34),1)</f>
        <v>13</v>
      </c>
      <c r="D37" s="1171"/>
      <c r="E37" s="1738">
        <f>ROUND(SUM(+E26-E34),1)</f>
        <v>5418</v>
      </c>
      <c r="F37" s="1171"/>
      <c r="G37" s="1738">
        <f>ROUND(SUM(+G26-G34),1)</f>
        <v>5629.7</v>
      </c>
      <c r="H37" s="1171"/>
      <c r="I37" s="1738">
        <f>ROUND(SUM(+I26-I34),1)</f>
        <v>5616.7</v>
      </c>
      <c r="J37" s="1267"/>
      <c r="K37" s="1738">
        <f>ROUND(SUM(+K26-K34),1)</f>
        <v>211.7</v>
      </c>
      <c r="L37" s="681"/>
    </row>
    <row r="38" spans="1:12">
      <c r="A38" s="1358"/>
      <c r="B38" s="1888"/>
      <c r="C38" s="1171"/>
      <c r="D38" s="1171"/>
      <c r="E38" s="1171"/>
      <c r="F38" s="1171"/>
      <c r="G38" s="1171"/>
      <c r="H38" s="1171"/>
      <c r="I38" s="1908"/>
      <c r="J38" s="1714"/>
      <c r="K38" s="1908"/>
      <c r="L38" s="681"/>
    </row>
    <row r="39" spans="1:12" ht="15.6">
      <c r="A39" s="376" t="s">
        <v>47</v>
      </c>
      <c r="B39" s="1888"/>
      <c r="C39" s="1171"/>
      <c r="D39" s="1171"/>
      <c r="E39" s="1171"/>
      <c r="F39" s="1171"/>
      <c r="G39" s="1171"/>
      <c r="H39" s="1171"/>
      <c r="I39" s="1908"/>
      <c r="J39" s="1714"/>
      <c r="K39" s="1908"/>
      <c r="L39" s="681"/>
    </row>
    <row r="40" spans="1:12">
      <c r="A40" s="1720" t="s">
        <v>49</v>
      </c>
      <c r="B40" s="1888" t="s">
        <v>16</v>
      </c>
      <c r="C40" s="1327">
        <f>'Exh D General Fund  '!C27+'Exh D General Fund  '!C28+'Exh D General Fund  '!C29+'Exh D General Fund  '!C30+'Exh D Special Revenue State Fed'!C26+'Exh D Debt Service'!C25</f>
        <v>22933</v>
      </c>
      <c r="D40" s="1171"/>
      <c r="E40" s="1327">
        <f>'Exh D General Fund  '!E27+'Exh D General Fund  '!E28+'Exh D General Fund  '!E29+'Exh D General Fund  '!E30+'Exh D Special Revenue State Fed'!E26+'Exh D Debt Service'!E25</f>
        <v>22887</v>
      </c>
      <c r="F40" s="1171"/>
      <c r="G40" s="1327">
        <f>+'Exh A Supp'!T51</f>
        <v>23364</v>
      </c>
      <c r="H40" s="2656" t="s">
        <v>1080</v>
      </c>
      <c r="I40" s="1908">
        <f>ROUND(SUM(G40)-SUM(C40),1)</f>
        <v>431</v>
      </c>
      <c r="J40" s="1714"/>
      <c r="K40" s="1908">
        <f>ROUND(SUM(G40)-SUM(E40),1)</f>
        <v>477</v>
      </c>
      <c r="L40" s="681"/>
    </row>
    <row r="41" spans="1:12">
      <c r="A41" s="1720" t="s">
        <v>101</v>
      </c>
      <c r="B41" s="1888" t="s">
        <v>16</v>
      </c>
      <c r="C41" s="1893">
        <f>-('Exh D General Fund  '!C38+'Exh D General Fund  '!C39+'Exh D General Fund  '!C40+'Exh D General Fund  '!C41+'Exh D General Fund  '!C42+'Exh D Special Revenue State Fed'!C34+'Exh D Debt Service'!C31)</f>
        <v>-22884</v>
      </c>
      <c r="D41" s="1171"/>
      <c r="E41" s="1893">
        <f>-('Exh D General Fund  '!E38+'Exh D General Fund  '!E39+'Exh D General Fund  '!E40+'Exh D General Fund  '!E41+'Exh D General Fund  '!E42+'Exh D Special Revenue State Fed'!E34+'Exh D Debt Service'!E31)</f>
        <v>-22535</v>
      </c>
      <c r="F41" s="1171"/>
      <c r="G41" s="1327">
        <f>+'Exh A Supp'!T52</f>
        <v>-22541.1</v>
      </c>
      <c r="H41" s="2656" t="s">
        <v>1080</v>
      </c>
      <c r="I41" s="1908">
        <f>-ROUND(SUM(G41)-SUM(C41),1)</f>
        <v>-342.9</v>
      </c>
      <c r="J41" s="1267"/>
      <c r="K41" s="1908">
        <f>-ROUND(SUM(G41)-SUM(E41),1)</f>
        <v>6.1</v>
      </c>
      <c r="L41" s="681"/>
    </row>
    <row r="42" spans="1:12" ht="15.6">
      <c r="A42" s="376" t="s">
        <v>102</v>
      </c>
      <c r="B42" s="1888" t="s">
        <v>16</v>
      </c>
      <c r="C42" s="545">
        <f>ROUND(SUM(C40:C41),1)</f>
        <v>49</v>
      </c>
      <c r="D42" s="1171"/>
      <c r="E42" s="545">
        <f>ROUND(SUM(E40:E41),1)</f>
        <v>352</v>
      </c>
      <c r="F42" s="1171"/>
      <c r="G42" s="545">
        <f>ROUND(SUM(G40:G41),1)</f>
        <v>822.9</v>
      </c>
      <c r="H42" s="1171"/>
      <c r="I42" s="545">
        <f>ROUND(SUM(I40-I41),1)</f>
        <v>773.9</v>
      </c>
      <c r="J42" s="1895"/>
      <c r="K42" s="545">
        <f>ROUND(SUM(K40-K41),1)</f>
        <v>470.9</v>
      </c>
      <c r="L42" s="681"/>
    </row>
    <row r="43" spans="1:12" ht="15.6">
      <c r="A43" s="376"/>
      <c r="B43" s="1888"/>
      <c r="C43" s="1327"/>
      <c r="D43" s="1171"/>
      <c r="E43" s="1327"/>
      <c r="F43" s="1171"/>
      <c r="G43" s="1327"/>
      <c r="H43" s="1171"/>
      <c r="I43" s="1909"/>
      <c r="J43" s="1889"/>
      <c r="K43" s="1909"/>
      <c r="L43" s="681"/>
    </row>
    <row r="44" spans="1:12" ht="15.6">
      <c r="A44" s="221" t="s">
        <v>103</v>
      </c>
      <c r="B44" s="1888"/>
      <c r="C44" s="1171"/>
      <c r="D44" s="1171"/>
      <c r="E44" s="1171"/>
      <c r="F44" s="1171"/>
      <c r="G44" s="1171"/>
      <c r="H44" s="1171"/>
      <c r="I44" s="1908"/>
      <c r="J44" s="1714"/>
      <c r="K44" s="1908"/>
      <c r="L44" s="681"/>
    </row>
    <row r="45" spans="1:12" ht="15" customHeight="1">
      <c r="A45" s="221" t="s">
        <v>104</v>
      </c>
      <c r="B45" s="1888"/>
      <c r="C45" s="1171"/>
      <c r="D45" s="1171"/>
      <c r="E45" s="1171"/>
      <c r="F45" s="1171"/>
      <c r="G45" s="1171"/>
      <c r="H45" s="1171"/>
      <c r="I45" s="1908"/>
      <c r="J45" s="1714"/>
      <c r="K45" s="1908"/>
      <c r="L45" s="681"/>
    </row>
    <row r="46" spans="1:12" ht="15.6">
      <c r="A46" s="376" t="s">
        <v>105</v>
      </c>
      <c r="B46" s="377" t="s">
        <v>16</v>
      </c>
      <c r="C46" s="273">
        <f>ROUND(SUM(C26)-SUM(C34)+C42,1)</f>
        <v>62</v>
      </c>
      <c r="D46" s="284"/>
      <c r="E46" s="273">
        <f>ROUND(SUM(E26)-SUM(E34)+E42,1)</f>
        <v>5770</v>
      </c>
      <c r="F46" s="284"/>
      <c r="G46" s="273">
        <f>ROUND(SUM(G26)-SUM(G34)+G42,1)</f>
        <v>6452.6</v>
      </c>
      <c r="H46" s="284"/>
      <c r="I46" s="273">
        <f>ROUND(SUM(I26)-SUM(I34)+I42,1)</f>
        <v>6390.6</v>
      </c>
      <c r="J46" s="369"/>
      <c r="K46" s="273">
        <f>ROUND(SUM(K26)-SUM(K34)+K42,1)</f>
        <v>682.6</v>
      </c>
      <c r="L46" s="681"/>
    </row>
    <row r="47" spans="1:12">
      <c r="A47" s="1896"/>
      <c r="B47" s="1149"/>
      <c r="C47" s="1269"/>
      <c r="D47" s="1897"/>
      <c r="E47" s="1269"/>
      <c r="F47" s="1897"/>
      <c r="G47" s="1269"/>
      <c r="H47" s="1897"/>
      <c r="I47" s="1269"/>
      <c r="J47" s="1898"/>
      <c r="K47" s="1269"/>
      <c r="L47" s="681"/>
    </row>
    <row r="48" spans="1:12" ht="15.6">
      <c r="A48" s="376" t="str">
        <f>'Exh D-Governmental  '!A49</f>
        <v>Fund Balances (Deficits) at April 1</v>
      </c>
      <c r="B48" s="1899" t="s">
        <v>16</v>
      </c>
      <c r="C48" s="273">
        <v>9890</v>
      </c>
      <c r="D48" s="1897"/>
      <c r="E48" s="273">
        <v>9890</v>
      </c>
      <c r="F48" s="1897"/>
      <c r="G48" s="273">
        <f>'Exh A Supp'!T59</f>
        <v>9890.7999999999993</v>
      </c>
      <c r="H48" s="1897"/>
      <c r="I48" s="1738">
        <f>ROUND(SUM(G48)-SUM(C48),1)</f>
        <v>0.8</v>
      </c>
      <c r="J48" s="369"/>
      <c r="K48" s="1738">
        <f>ROUND(SUM(G48)-SUM(E48),1)</f>
        <v>0.8</v>
      </c>
      <c r="L48" s="681"/>
    </row>
    <row r="49" spans="1:12" ht="16.2" thickBot="1">
      <c r="A49" s="376" t="str">
        <f>'Exh D-Governmental  '!A50</f>
        <v>Fund Balances (Deficits) at December 31, 2015</v>
      </c>
      <c r="B49" s="383" t="s">
        <v>16</v>
      </c>
      <c r="C49" s="299">
        <f>ROUND(SUM(C46:C48),1)</f>
        <v>9952</v>
      </c>
      <c r="D49" s="384"/>
      <c r="E49" s="299">
        <f>ROUND(SUM(E46:E48),1)</f>
        <v>15660</v>
      </c>
      <c r="F49" s="384"/>
      <c r="G49" s="299">
        <f>ROUND(SUM(G46:G48),1)</f>
        <v>16343.4</v>
      </c>
      <c r="H49" s="1979"/>
      <c r="I49" s="299">
        <f>ROUND(SUM(I46:I48),1)</f>
        <v>6391.4</v>
      </c>
      <c r="J49" s="385"/>
      <c r="K49" s="299">
        <f>ROUND(SUM(K46:K48),1)</f>
        <v>683.4</v>
      </c>
      <c r="L49" s="681"/>
    </row>
    <row r="50" spans="1:12" ht="15.6" thickTop="1">
      <c r="A50" s="1896"/>
      <c r="B50" s="1149"/>
      <c r="C50" s="1149"/>
      <c r="D50" s="1900"/>
      <c r="E50" s="1149"/>
      <c r="F50" s="1900"/>
      <c r="G50" s="1900"/>
      <c r="H50" s="1900"/>
      <c r="I50" s="1900"/>
      <c r="J50" s="1900"/>
      <c r="K50" s="1900"/>
    </row>
    <row r="51" spans="1:12">
      <c r="A51" s="1901" t="s">
        <v>1545</v>
      </c>
      <c r="I51" s="2344"/>
      <c r="K51" s="2344"/>
    </row>
    <row r="52" spans="1:12">
      <c r="A52" s="1706" t="s">
        <v>1701</v>
      </c>
      <c r="I52" s="2344"/>
      <c r="K52" s="2344"/>
    </row>
    <row r="53" spans="1:12">
      <c r="A53" s="1125" t="s">
        <v>1615</v>
      </c>
    </row>
    <row r="54" spans="1:12">
      <c r="A54" s="1125" t="s">
        <v>1499</v>
      </c>
      <c r="G54" s="2344"/>
    </row>
    <row r="55" spans="1:12">
      <c r="A55" s="2939" t="s">
        <v>1617</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9"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60"/>
  <sheetViews>
    <sheetView showGridLines="0" zoomScale="75" zoomScaleNormal="75" zoomScaleSheetLayoutView="70" workbookViewId="0"/>
  </sheetViews>
  <sheetFormatPr defaultColWidth="8.90625" defaultRowHeight="15"/>
  <cols>
    <col min="1" max="1" width="59" style="1896" customWidth="1"/>
    <col min="2" max="2" width="2" style="1149" customWidth="1"/>
    <col min="3" max="3" width="15.36328125" style="791" customWidth="1"/>
    <col min="4" max="4" width="4.81640625" style="1900" customWidth="1"/>
    <col min="5" max="5" width="15.36328125" style="791" customWidth="1"/>
    <col min="6" max="6" width="4.81640625" style="1900" customWidth="1"/>
    <col min="7" max="7" width="15.36328125" style="1900" customWidth="1"/>
    <col min="8" max="8" width="5.36328125" style="1900" customWidth="1"/>
    <col min="9" max="9" width="15.36328125" style="1900" customWidth="1"/>
    <col min="10" max="10" width="2.453125" style="1900" customWidth="1"/>
    <col min="11" max="11" width="12.81640625" style="1149" customWidth="1"/>
    <col min="12" max="12" width="18.08984375" style="791" bestFit="1" customWidth="1"/>
    <col min="13" max="13" width="2.6328125" style="1900" customWidth="1"/>
    <col min="14" max="14" width="14.36328125" style="1900" customWidth="1"/>
    <col min="15" max="15" width="2.6328125" style="1900" customWidth="1"/>
    <col min="16" max="16" width="15.6328125" style="1900" bestFit="1" customWidth="1"/>
    <col min="17" max="17" width="2" style="1149" customWidth="1"/>
    <col min="18" max="18" width="11.90625" style="1149" customWidth="1"/>
    <col min="19" max="19" width="11.453125" style="1149" customWidth="1"/>
    <col min="20" max="20" width="1.90625" style="1149" customWidth="1"/>
    <col min="21" max="21" width="11.6328125" style="1149" customWidth="1"/>
    <col min="22" max="22" width="2.08984375" style="1149" customWidth="1"/>
    <col min="23" max="23" width="11.453125" style="1149" customWidth="1"/>
    <col min="24" max="24" width="0.54296875" style="1149" customWidth="1"/>
    <col min="25" max="25" width="2.36328125" style="1149" customWidth="1"/>
    <col min="26" max="26" width="10.54296875" style="1149" customWidth="1"/>
    <col min="27" max="27" width="11.08984375" style="1149" customWidth="1"/>
    <col min="28" max="28" width="2.1796875" style="1149" customWidth="1"/>
    <col min="29" max="29" width="11.08984375" style="1149" customWidth="1"/>
    <col min="30" max="30" width="2.08984375" style="1149" customWidth="1"/>
    <col min="31" max="31" width="12.453125" style="1149" customWidth="1"/>
    <col min="32" max="36" width="8.90625" style="1149"/>
    <col min="37" max="37" width="8.90625" style="1900"/>
    <col min="38" max="16384" width="8.90625" style="1896"/>
  </cols>
  <sheetData>
    <row r="1" spans="1:31">
      <c r="A1" s="1902" t="s">
        <v>1217</v>
      </c>
      <c r="B1" s="389"/>
      <c r="C1" s="785"/>
      <c r="D1" s="390"/>
      <c r="E1" s="785"/>
      <c r="F1" s="390"/>
      <c r="G1" s="390"/>
      <c r="H1" s="390"/>
      <c r="I1" s="390"/>
      <c r="J1" s="390"/>
      <c r="K1" s="389"/>
      <c r="L1" s="785"/>
      <c r="M1" s="390"/>
      <c r="N1" s="390"/>
      <c r="O1" s="390"/>
      <c r="P1" s="390"/>
      <c r="Q1" s="390"/>
      <c r="R1" s="389"/>
      <c r="S1" s="389"/>
      <c r="T1" s="389"/>
      <c r="U1" s="389"/>
      <c r="V1" s="389"/>
      <c r="W1" s="389"/>
      <c r="X1" s="389"/>
      <c r="Y1" s="389"/>
      <c r="Z1" s="389"/>
      <c r="AA1" s="389"/>
      <c r="AB1" s="389"/>
      <c r="AC1" s="389"/>
      <c r="AD1" s="389"/>
      <c r="AE1" s="389"/>
    </row>
    <row r="2" spans="1:31" ht="17.25" customHeight="1">
      <c r="A2" s="391"/>
      <c r="B2" s="392"/>
      <c r="C2" s="786"/>
      <c r="D2" s="390"/>
      <c r="E2" s="786"/>
      <c r="F2" s="390"/>
      <c r="G2" s="390"/>
      <c r="H2" s="390"/>
      <c r="I2" s="390"/>
      <c r="J2" s="390"/>
      <c r="K2" s="389"/>
      <c r="L2" s="785"/>
      <c r="M2" s="390"/>
      <c r="N2" s="393"/>
      <c r="O2" s="390"/>
      <c r="P2" s="390"/>
      <c r="Q2" s="390"/>
      <c r="R2" s="389"/>
      <c r="S2" s="389"/>
      <c r="T2" s="389"/>
      <c r="U2" s="389"/>
      <c r="V2" s="389"/>
      <c r="W2" s="389"/>
      <c r="X2" s="389"/>
      <c r="Y2" s="389"/>
      <c r="Z2" s="389"/>
      <c r="AA2" s="389"/>
      <c r="AB2" s="389"/>
      <c r="AC2" s="389"/>
      <c r="AD2" s="389"/>
      <c r="AE2" s="389"/>
    </row>
    <row r="3" spans="1:31" ht="21" customHeight="1">
      <c r="A3" s="394" t="s">
        <v>0</v>
      </c>
      <c r="B3" s="351"/>
      <c r="C3" s="787"/>
      <c r="D3" s="345"/>
      <c r="E3" s="787"/>
      <c r="F3" s="345"/>
      <c r="G3" s="345"/>
      <c r="H3" s="345"/>
      <c r="I3" s="1729"/>
      <c r="K3" s="1729" t="s">
        <v>86</v>
      </c>
      <c r="L3" s="788"/>
      <c r="M3" s="345"/>
      <c r="N3" s="345"/>
      <c r="O3" s="345"/>
      <c r="Q3" s="345"/>
      <c r="R3" s="359"/>
      <c r="S3" s="359"/>
      <c r="T3" s="359"/>
      <c r="U3" s="359"/>
      <c r="V3" s="359"/>
      <c r="W3" s="359"/>
      <c r="X3" s="359"/>
      <c r="Y3" s="359"/>
      <c r="Z3" s="359"/>
      <c r="AA3" s="359"/>
      <c r="AB3" s="359"/>
      <c r="AC3" s="359"/>
      <c r="AD3" s="359"/>
      <c r="AE3" s="395"/>
    </row>
    <row r="4" spans="1:31" ht="17.399999999999999">
      <c r="A4" s="394" t="s">
        <v>85</v>
      </c>
      <c r="B4" s="351"/>
      <c r="C4" s="787"/>
      <c r="D4" s="345"/>
      <c r="E4" s="787"/>
      <c r="F4" s="345"/>
      <c r="G4" s="345"/>
      <c r="H4" s="345"/>
      <c r="I4" s="1730"/>
      <c r="K4" s="1730" t="s">
        <v>107</v>
      </c>
      <c r="L4" s="788"/>
      <c r="M4" s="345"/>
      <c r="N4" s="345"/>
      <c r="O4" s="345"/>
      <c r="Q4" s="345"/>
      <c r="R4" s="359"/>
      <c r="S4" s="359"/>
      <c r="T4" s="359"/>
      <c r="U4" s="359"/>
      <c r="V4" s="359"/>
      <c r="W4" s="359"/>
      <c r="X4" s="359"/>
      <c r="Y4" s="359"/>
      <c r="Z4" s="359"/>
      <c r="AA4" s="359"/>
      <c r="AB4" s="359"/>
      <c r="AC4" s="359"/>
      <c r="AD4" s="359"/>
      <c r="AE4" s="359"/>
    </row>
    <row r="5" spans="1:31" ht="21.75" customHeight="1">
      <c r="A5" s="3564" t="s">
        <v>1524</v>
      </c>
      <c r="B5" s="3565"/>
      <c r="C5" s="3565"/>
      <c r="D5" s="3565"/>
      <c r="E5" s="3565"/>
      <c r="F5" s="345"/>
      <c r="G5" s="1714"/>
      <c r="H5" s="345"/>
      <c r="I5" s="345"/>
      <c r="J5" s="345"/>
      <c r="K5" s="359"/>
      <c r="L5" s="788"/>
      <c r="M5" s="345"/>
      <c r="N5" s="345"/>
      <c r="O5" s="345"/>
      <c r="Q5" s="345"/>
      <c r="R5" s="359"/>
      <c r="S5" s="359"/>
      <c r="T5" s="359"/>
      <c r="U5" s="359"/>
      <c r="V5" s="359"/>
      <c r="W5" s="359"/>
      <c r="X5" s="359"/>
      <c r="Y5" s="359"/>
      <c r="Z5" s="359"/>
      <c r="AA5" s="359"/>
      <c r="AB5" s="359"/>
      <c r="AC5" s="359"/>
      <c r="AD5" s="359"/>
      <c r="AE5" s="359"/>
    </row>
    <row r="6" spans="1:31" ht="17.25" customHeight="1">
      <c r="A6" s="1728" t="str">
        <f>'Exh D-Governmental  '!A6</f>
        <v>FOR NINE MONTHS ENDED DECEMBER 31, 2015</v>
      </c>
      <c r="B6" s="350"/>
      <c r="C6" s="787"/>
      <c r="D6" s="345"/>
      <c r="E6" s="787"/>
      <c r="F6" s="345"/>
      <c r="G6" s="345"/>
      <c r="H6" s="345"/>
      <c r="I6" s="345"/>
      <c r="J6" s="345"/>
      <c r="K6" s="359"/>
      <c r="L6" s="788"/>
      <c r="M6" s="345"/>
      <c r="N6" s="345"/>
      <c r="O6" s="345"/>
      <c r="P6" s="345"/>
      <c r="Q6" s="345"/>
      <c r="R6" s="359"/>
      <c r="S6" s="359"/>
      <c r="T6" s="359"/>
      <c r="U6" s="359"/>
      <c r="V6" s="359"/>
      <c r="W6" s="359"/>
      <c r="X6" s="359"/>
      <c r="Y6" s="359"/>
      <c r="Z6" s="359"/>
      <c r="AA6" s="359"/>
      <c r="AB6" s="359"/>
      <c r="AC6" s="359"/>
      <c r="AD6" s="359"/>
      <c r="AE6" s="359"/>
    </row>
    <row r="7" spans="1:31" ht="17.399999999999999">
      <c r="A7" s="394" t="s">
        <v>1104</v>
      </c>
      <c r="B7" s="351"/>
      <c r="C7" s="787"/>
      <c r="D7" s="345"/>
      <c r="E7" s="787"/>
      <c r="F7" s="345"/>
      <c r="G7" s="345"/>
      <c r="H7" s="345"/>
      <c r="I7" s="345"/>
      <c r="J7" s="345"/>
      <c r="K7" s="359"/>
      <c r="L7" s="788"/>
      <c r="M7" s="345"/>
      <c r="N7" s="345"/>
      <c r="O7" s="345"/>
      <c r="P7" s="345"/>
      <c r="Q7" s="345"/>
      <c r="R7" s="359"/>
      <c r="S7" s="359"/>
      <c r="T7" s="359"/>
      <c r="U7" s="359"/>
      <c r="V7" s="359"/>
      <c r="W7" s="359"/>
      <c r="X7" s="359"/>
      <c r="Y7" s="359"/>
      <c r="Z7" s="359"/>
      <c r="AA7" s="359"/>
      <c r="AB7" s="359"/>
      <c r="AC7" s="359"/>
      <c r="AD7" s="359"/>
      <c r="AE7" s="359"/>
    </row>
    <row r="8" spans="1:31" ht="15" customHeight="1">
      <c r="A8" s="396"/>
      <c r="B8" s="350"/>
      <c r="C8" s="787"/>
      <c r="D8" s="345"/>
      <c r="E8" s="787"/>
      <c r="F8" s="345"/>
      <c r="G8" s="345"/>
      <c r="H8" s="345"/>
      <c r="I8" s="345"/>
      <c r="J8" s="345"/>
      <c r="K8" s="359"/>
      <c r="L8" s="788"/>
      <c r="M8" s="345"/>
      <c r="N8" s="345"/>
      <c r="O8" s="345"/>
      <c r="P8" s="345"/>
      <c r="Q8" s="345"/>
      <c r="R8" s="359"/>
      <c r="S8" s="359"/>
      <c r="T8" s="359"/>
      <c r="U8" s="359"/>
      <c r="V8" s="359"/>
      <c r="W8" s="359"/>
      <c r="X8" s="359"/>
      <c r="Y8" s="359"/>
      <c r="Z8" s="359"/>
      <c r="AA8" s="359"/>
      <c r="AB8" s="359"/>
      <c r="AC8" s="359"/>
      <c r="AD8" s="359"/>
      <c r="AE8" s="359"/>
    </row>
    <row r="9" spans="1:31">
      <c r="A9" s="353"/>
      <c r="B9" s="359"/>
      <c r="C9" s="788"/>
      <c r="D9" s="345"/>
      <c r="E9" s="788"/>
      <c r="F9" s="345"/>
      <c r="G9" s="345"/>
      <c r="H9" s="345"/>
      <c r="I9" s="345"/>
      <c r="J9" s="345"/>
      <c r="K9" s="359"/>
      <c r="L9" s="788"/>
      <c r="M9" s="345"/>
      <c r="N9" s="345"/>
      <c r="O9" s="345"/>
      <c r="P9" s="345"/>
      <c r="Q9" s="345"/>
      <c r="R9" s="359"/>
      <c r="S9" s="359"/>
      <c r="T9" s="359"/>
      <c r="U9" s="359"/>
      <c r="V9" s="359"/>
      <c r="W9" s="359"/>
      <c r="X9" s="359"/>
      <c r="Y9" s="359"/>
      <c r="Z9" s="359"/>
      <c r="AA9" s="359"/>
      <c r="AB9" s="359"/>
      <c r="AC9" s="359"/>
      <c r="AD9" s="359"/>
      <c r="AE9" s="359"/>
    </row>
    <row r="10" spans="1:31">
      <c r="A10" s="353"/>
      <c r="B10" s="359"/>
      <c r="C10" s="788"/>
      <c r="D10" s="345"/>
      <c r="E10" s="788"/>
      <c r="F10" s="345"/>
      <c r="G10" s="345"/>
      <c r="H10" s="345"/>
      <c r="I10" s="345"/>
      <c r="J10" s="345"/>
      <c r="K10" s="359"/>
      <c r="L10" s="1968"/>
      <c r="M10" s="350"/>
      <c r="N10" s="350"/>
      <c r="O10" s="350"/>
      <c r="P10" s="350"/>
      <c r="Q10" s="345"/>
      <c r="R10" s="359"/>
      <c r="S10" s="359"/>
      <c r="T10" s="359"/>
      <c r="U10" s="359"/>
      <c r="V10" s="359"/>
      <c r="W10" s="359"/>
      <c r="X10" s="359"/>
      <c r="Y10" s="359"/>
      <c r="Z10" s="359"/>
      <c r="AA10" s="359"/>
      <c r="AB10" s="359"/>
      <c r="AC10" s="359"/>
      <c r="AD10" s="359"/>
      <c r="AE10" s="359"/>
    </row>
    <row r="11" spans="1:31" ht="15.6">
      <c r="A11" s="1358"/>
      <c r="C11" s="3567" t="s">
        <v>1416</v>
      </c>
      <c r="D11" s="3567"/>
      <c r="E11" s="3567"/>
      <c r="F11" s="3567"/>
      <c r="G11" s="3567"/>
      <c r="H11" s="3567"/>
      <c r="I11" s="3567"/>
      <c r="J11" s="2347"/>
      <c r="K11" s="2348"/>
      <c r="L11" s="792"/>
      <c r="M11" s="399"/>
      <c r="N11" s="399"/>
      <c r="O11" s="399"/>
      <c r="P11" s="399"/>
      <c r="Q11" s="354"/>
      <c r="R11" s="397"/>
      <c r="S11" s="397"/>
      <c r="T11" s="397"/>
      <c r="U11" s="397"/>
      <c r="V11" s="397"/>
      <c r="W11" s="397"/>
      <c r="X11" s="397"/>
      <c r="Y11" s="354"/>
      <c r="Z11" s="397"/>
      <c r="AA11" s="398"/>
      <c r="AB11" s="397"/>
      <c r="AC11" s="397"/>
      <c r="AD11" s="397"/>
      <c r="AE11" s="397"/>
    </row>
    <row r="12" spans="1:31" ht="15.6">
      <c r="A12" s="1358"/>
      <c r="C12" s="789"/>
      <c r="D12" s="399"/>
      <c r="E12" s="789"/>
      <c r="F12" s="399"/>
      <c r="G12" s="400"/>
      <c r="H12" s="399"/>
      <c r="I12" s="399" t="s">
        <v>87</v>
      </c>
      <c r="J12" s="397"/>
      <c r="K12" s="399" t="s">
        <v>87</v>
      </c>
      <c r="L12" s="792"/>
      <c r="M12" s="399"/>
      <c r="N12" s="400"/>
      <c r="O12" s="399"/>
      <c r="P12" s="399"/>
      <c r="Q12" s="354"/>
      <c r="R12" s="397"/>
      <c r="S12" s="397"/>
      <c r="T12" s="397"/>
      <c r="U12" s="397"/>
      <c r="V12" s="397"/>
      <c r="W12" s="397"/>
      <c r="X12" s="397"/>
      <c r="Y12" s="354"/>
      <c r="Z12" s="397"/>
      <c r="AA12" s="398"/>
      <c r="AB12" s="397"/>
      <c r="AC12" s="397"/>
      <c r="AD12" s="397"/>
      <c r="AE12" s="397"/>
    </row>
    <row r="13" spans="1:31" ht="15.6">
      <c r="A13" s="1358"/>
      <c r="B13" s="354"/>
      <c r="C13" s="790"/>
      <c r="D13" s="401"/>
      <c r="E13" s="790"/>
      <c r="F13" s="401"/>
      <c r="G13" s="401"/>
      <c r="H13" s="401"/>
      <c r="I13" s="402" t="s">
        <v>1111</v>
      </c>
      <c r="J13" s="404"/>
      <c r="K13" s="402" t="s">
        <v>1111</v>
      </c>
      <c r="L13" s="1969"/>
      <c r="M13" s="1970"/>
      <c r="N13" s="1970"/>
      <c r="O13" s="1970"/>
      <c r="P13" s="1971"/>
      <c r="Q13" s="354"/>
      <c r="R13" s="354"/>
      <c r="S13" s="354"/>
      <c r="T13" s="354"/>
      <c r="U13" s="354"/>
      <c r="V13" s="354"/>
      <c r="W13" s="403"/>
      <c r="X13" s="404"/>
      <c r="Y13" s="354"/>
      <c r="Z13" s="354"/>
      <c r="AA13" s="354"/>
      <c r="AB13" s="354"/>
      <c r="AC13" s="354"/>
      <c r="AD13" s="354"/>
      <c r="AE13" s="403"/>
    </row>
    <row r="14" spans="1:31" ht="15.6">
      <c r="A14" s="1358"/>
      <c r="B14" s="405"/>
      <c r="C14" s="357" t="s">
        <v>1356</v>
      </c>
      <c r="D14" s="1896"/>
      <c r="E14" s="356" t="s">
        <v>1357</v>
      </c>
      <c r="F14" s="355"/>
      <c r="G14" s="355"/>
      <c r="H14" s="355"/>
      <c r="I14" s="356" t="s">
        <v>88</v>
      </c>
      <c r="J14" s="404"/>
      <c r="K14" s="356" t="s">
        <v>88</v>
      </c>
      <c r="L14" s="1972"/>
      <c r="M14" s="354"/>
      <c r="N14" s="354"/>
      <c r="O14" s="354"/>
      <c r="P14" s="404"/>
      <c r="Q14" s="354"/>
      <c r="R14" s="403"/>
      <c r="S14" s="404"/>
      <c r="T14" s="354"/>
      <c r="U14" s="354"/>
      <c r="V14" s="354"/>
      <c r="W14" s="403"/>
      <c r="X14" s="404"/>
      <c r="Y14" s="354"/>
      <c r="Z14" s="403"/>
      <c r="AA14" s="404"/>
      <c r="AB14" s="354"/>
      <c r="AC14" s="354"/>
      <c r="AD14" s="354"/>
      <c r="AE14" s="403"/>
    </row>
    <row r="15" spans="1:31" ht="15.6">
      <c r="A15" s="1358"/>
      <c r="B15" s="405"/>
      <c r="C15" s="356" t="s">
        <v>1400</v>
      </c>
      <c r="D15" s="355"/>
      <c r="E15" s="356" t="s">
        <v>1400</v>
      </c>
      <c r="F15" s="355"/>
      <c r="G15" s="355"/>
      <c r="H15" s="355"/>
      <c r="I15" s="356" t="s">
        <v>1356</v>
      </c>
      <c r="J15" s="404"/>
      <c r="K15" s="356" t="s">
        <v>1357</v>
      </c>
      <c r="L15" s="1972"/>
      <c r="M15" s="354"/>
      <c r="N15" s="354"/>
      <c r="O15" s="354"/>
      <c r="P15" s="404"/>
      <c r="Q15" s="354"/>
      <c r="R15" s="403"/>
      <c r="S15" s="404"/>
      <c r="T15" s="354"/>
      <c r="U15" s="354"/>
      <c r="V15" s="354"/>
      <c r="W15" s="403"/>
      <c r="X15" s="404"/>
      <c r="Y15" s="354"/>
      <c r="Z15" s="403"/>
      <c r="AA15" s="404"/>
      <c r="AB15" s="354"/>
      <c r="AC15" s="354"/>
      <c r="AD15" s="354"/>
      <c r="AE15" s="403"/>
    </row>
    <row r="16" spans="1:31" ht="15.6">
      <c r="A16" s="1358"/>
      <c r="B16" s="404"/>
      <c r="C16" s="356" t="s">
        <v>1401</v>
      </c>
      <c r="D16" s="355"/>
      <c r="E16" s="356" t="s">
        <v>1614</v>
      </c>
      <c r="F16" s="355"/>
      <c r="G16" s="357" t="s">
        <v>87</v>
      </c>
      <c r="H16" s="355"/>
      <c r="I16" s="356" t="s">
        <v>89</v>
      </c>
      <c r="J16" s="404"/>
      <c r="K16" s="356" t="s">
        <v>89</v>
      </c>
      <c r="L16" s="403"/>
      <c r="M16" s="354"/>
      <c r="N16" s="403"/>
      <c r="O16" s="354"/>
      <c r="P16" s="404"/>
      <c r="Q16" s="354"/>
      <c r="R16" s="404"/>
      <c r="S16" s="404"/>
      <c r="T16" s="354"/>
      <c r="U16" s="403"/>
      <c r="V16" s="354"/>
      <c r="W16" s="403"/>
      <c r="X16" s="404"/>
      <c r="Y16" s="354"/>
      <c r="Z16" s="404"/>
      <c r="AA16" s="404"/>
      <c r="AB16" s="354"/>
      <c r="AC16" s="403"/>
      <c r="AD16" s="354"/>
      <c r="AE16" s="403"/>
    </row>
    <row r="17" spans="1:31">
      <c r="A17" s="358"/>
      <c r="B17" s="359"/>
      <c r="C17" s="360"/>
      <c r="D17" s="345"/>
      <c r="E17" s="360"/>
      <c r="F17" s="345"/>
      <c r="G17" s="360"/>
      <c r="H17" s="345"/>
      <c r="I17" s="360"/>
      <c r="J17" s="359"/>
      <c r="K17" s="360"/>
      <c r="L17" s="359"/>
      <c r="M17" s="359"/>
      <c r="N17" s="359"/>
      <c r="O17" s="359"/>
      <c r="P17" s="359"/>
      <c r="Q17" s="359"/>
      <c r="R17" s="359"/>
      <c r="S17" s="359"/>
      <c r="T17" s="359"/>
      <c r="U17" s="359"/>
      <c r="V17" s="359"/>
      <c r="W17" s="359"/>
      <c r="X17" s="359"/>
      <c r="Y17" s="359"/>
      <c r="Z17" s="359"/>
      <c r="AA17" s="359"/>
      <c r="AB17" s="359"/>
      <c r="AC17" s="359"/>
      <c r="AD17" s="359"/>
      <c r="AE17" s="359"/>
    </row>
    <row r="18" spans="1:31" ht="15.6">
      <c r="A18" s="221" t="s">
        <v>15</v>
      </c>
      <c r="B18" s="1888"/>
      <c r="C18" s="1251"/>
      <c r="D18" s="1251"/>
      <c r="E18" s="1251"/>
      <c r="F18" s="1251"/>
      <c r="G18" s="1251"/>
      <c r="H18" s="1251"/>
      <c r="I18" s="1251"/>
      <c r="J18" s="1888"/>
      <c r="K18" s="1888"/>
      <c r="L18" s="1888"/>
      <c r="M18" s="1888"/>
      <c r="N18" s="1888"/>
      <c r="O18" s="1888"/>
      <c r="P18" s="1888"/>
      <c r="Q18" s="1888"/>
      <c r="R18" s="1888"/>
      <c r="S18" s="1888"/>
      <c r="T18" s="1888"/>
      <c r="U18" s="1888"/>
      <c r="V18" s="1888"/>
      <c r="W18" s="1888"/>
      <c r="X18" s="1888"/>
      <c r="Y18" s="1888"/>
      <c r="Z18" s="1888"/>
      <c r="AA18" s="1888"/>
      <c r="AB18" s="1888"/>
      <c r="AC18" s="1888"/>
      <c r="AD18" s="1888"/>
      <c r="AE18" s="1888"/>
    </row>
    <row r="19" spans="1:31">
      <c r="A19" s="1720" t="s">
        <v>90</v>
      </c>
      <c r="B19" s="1889"/>
      <c r="C19" s="1251"/>
      <c r="D19" s="1889"/>
      <c r="E19" s="1251"/>
      <c r="F19" s="1889"/>
      <c r="G19" s="1251"/>
      <c r="H19" s="1889"/>
      <c r="I19" s="1251"/>
      <c r="J19" s="1888"/>
      <c r="K19" s="1888"/>
      <c r="L19" s="1888"/>
      <c r="M19" s="1888"/>
      <c r="N19" s="1888"/>
      <c r="O19" s="1910"/>
      <c r="P19" s="1888"/>
      <c r="Q19" s="1888"/>
      <c r="R19" s="1888"/>
      <c r="S19" s="1888"/>
      <c r="T19" s="1888"/>
      <c r="U19" s="1888"/>
      <c r="V19" s="1888"/>
      <c r="W19" s="1888"/>
      <c r="X19" s="1888"/>
      <c r="Y19" s="1888"/>
      <c r="Z19" s="1888"/>
      <c r="AA19" s="1888"/>
      <c r="AB19" s="1888"/>
      <c r="AC19" s="1888"/>
      <c r="AD19" s="1888"/>
      <c r="AE19" s="1888"/>
    </row>
    <row r="20" spans="1:31">
      <c r="A20" s="1720" t="s">
        <v>91</v>
      </c>
      <c r="B20" s="1889" t="s">
        <v>16</v>
      </c>
      <c r="C20" s="1252">
        <v>23140</v>
      </c>
      <c r="D20" s="1254"/>
      <c r="E20" s="1252">
        <v>24740</v>
      </c>
      <c r="F20" s="1254"/>
      <c r="G20" s="1252">
        <f>+'Exhibit F'!AC28</f>
        <v>24740.9</v>
      </c>
      <c r="H20" s="1254"/>
      <c r="I20" s="1252">
        <f t="shared" ref="I20:I25" si="0">ROUND(SUM(G20)-SUM(C20),1)</f>
        <v>1600.9</v>
      </c>
      <c r="J20" s="1888"/>
      <c r="K20" s="1975">
        <f t="shared" ref="K20:K25" si="1">ROUND(SUM(G20)-SUM(E20),1)</f>
        <v>0.9</v>
      </c>
      <c r="L20" s="1973"/>
      <c r="M20" s="1973"/>
      <c r="N20" s="1974"/>
      <c r="O20" s="1973"/>
      <c r="P20" s="1975"/>
      <c r="Q20" s="1888"/>
      <c r="R20" s="1888"/>
      <c r="S20" s="1888"/>
      <c r="T20" s="1888"/>
      <c r="U20" s="1888"/>
      <c r="V20" s="1888"/>
      <c r="W20" s="1888"/>
      <c r="X20" s="1888"/>
      <c r="Y20" s="1888"/>
      <c r="Z20" s="1888"/>
      <c r="AA20" s="1888"/>
      <c r="AB20" s="1888"/>
      <c r="AC20" s="1888"/>
      <c r="AD20" s="1888"/>
      <c r="AE20" s="1888"/>
    </row>
    <row r="21" spans="1:31">
      <c r="A21" s="1720" t="s">
        <v>92</v>
      </c>
      <c r="B21" s="1888" t="s">
        <v>16</v>
      </c>
      <c r="C21" s="1907">
        <v>5247</v>
      </c>
      <c r="D21" s="1171"/>
      <c r="E21" s="1907">
        <v>5170</v>
      </c>
      <c r="F21" s="1171"/>
      <c r="G21" s="1171">
        <f>+'Exhibit F'!AC37</f>
        <v>5170.5</v>
      </c>
      <c r="H21" s="1171"/>
      <c r="I21" s="1171">
        <f t="shared" si="0"/>
        <v>-76.5</v>
      </c>
      <c r="J21" s="1888"/>
      <c r="K21" s="1908">
        <f t="shared" si="1"/>
        <v>0.5</v>
      </c>
      <c r="L21" s="1976"/>
      <c r="M21" s="1908"/>
      <c r="N21" s="1908"/>
      <c r="O21" s="1908"/>
      <c r="P21" s="1908"/>
      <c r="Q21" s="1908"/>
      <c r="R21" s="1908"/>
      <c r="S21" s="1888"/>
      <c r="T21" s="1888"/>
      <c r="U21" s="1888"/>
      <c r="V21" s="1888"/>
      <c r="W21" s="1888"/>
      <c r="X21" s="1888"/>
      <c r="Y21" s="1888"/>
      <c r="Z21" s="1888"/>
      <c r="AA21" s="1888"/>
      <c r="AB21" s="1888"/>
      <c r="AC21" s="1888"/>
      <c r="AD21" s="1888"/>
      <c r="AE21" s="1888"/>
    </row>
    <row r="22" spans="1:31">
      <c r="A22" s="1720" t="s">
        <v>93</v>
      </c>
      <c r="B22" s="1889" t="s">
        <v>16</v>
      </c>
      <c r="C22" s="1907">
        <v>3585</v>
      </c>
      <c r="D22" s="1327"/>
      <c r="E22" s="1907">
        <v>3884</v>
      </c>
      <c r="F22" s="1327"/>
      <c r="G22" s="1897">
        <f>+'Exhibit F'!AC44</f>
        <v>3885.4</v>
      </c>
      <c r="H22" s="1327"/>
      <c r="I22" s="1171">
        <f t="shared" si="0"/>
        <v>300.39999999999998</v>
      </c>
      <c r="J22" s="1888"/>
      <c r="K22" s="1908">
        <f t="shared" si="1"/>
        <v>1.4</v>
      </c>
      <c r="L22" s="1976"/>
      <c r="M22" s="1909"/>
      <c r="N22" s="1908"/>
      <c r="O22" s="1909"/>
      <c r="P22" s="1908"/>
      <c r="Q22" s="1909"/>
      <c r="R22" s="1908"/>
      <c r="S22" s="1888"/>
      <c r="T22" s="1910"/>
      <c r="U22" s="1888"/>
      <c r="V22" s="1910"/>
      <c r="W22" s="1888"/>
      <c r="X22" s="1888"/>
      <c r="Y22" s="1910"/>
      <c r="Z22" s="1888"/>
      <c r="AA22" s="1888"/>
      <c r="AB22" s="1910"/>
      <c r="AC22" s="406"/>
      <c r="AD22" s="1910"/>
      <c r="AE22" s="1888"/>
    </row>
    <row r="23" spans="1:31">
      <c r="A23" s="1720" t="s">
        <v>94</v>
      </c>
      <c r="B23" s="1888" t="s">
        <v>16</v>
      </c>
      <c r="C23" s="1907">
        <v>843</v>
      </c>
      <c r="D23" s="1171"/>
      <c r="E23" s="1907">
        <v>1255</v>
      </c>
      <c r="F23" s="1171"/>
      <c r="G23" s="1171">
        <f>+'Exhibit F'!AC52</f>
        <v>1255</v>
      </c>
      <c r="H23" s="1171"/>
      <c r="I23" s="1171">
        <f t="shared" si="0"/>
        <v>412</v>
      </c>
      <c r="J23" s="1888"/>
      <c r="K23" s="1908">
        <f t="shared" si="1"/>
        <v>0</v>
      </c>
      <c r="L23" s="1977"/>
      <c r="M23" s="1908"/>
      <c r="N23" s="1908"/>
      <c r="O23" s="1908"/>
      <c r="P23" s="1908"/>
      <c r="Q23" s="1908"/>
      <c r="R23" s="1908"/>
      <c r="S23" s="1888"/>
      <c r="T23" s="1888"/>
      <c r="U23" s="1888"/>
      <c r="V23" s="1888"/>
      <c r="W23" s="1888"/>
      <c r="X23" s="1888"/>
      <c r="Y23" s="1888"/>
      <c r="Z23" s="1888"/>
      <c r="AA23" s="1888"/>
      <c r="AB23" s="1888"/>
      <c r="AC23" s="1888"/>
      <c r="AD23" s="1888"/>
      <c r="AE23" s="1888"/>
    </row>
    <row r="24" spans="1:31" ht="15" customHeight="1">
      <c r="A24" s="1720" t="s">
        <v>21</v>
      </c>
      <c r="B24" s="1888" t="s">
        <v>16</v>
      </c>
      <c r="C24" s="1907">
        <v>3445</v>
      </c>
      <c r="D24" s="1907"/>
      <c r="E24" s="1907">
        <v>4806</v>
      </c>
      <c r="F24" s="1907"/>
      <c r="G24" s="1354">
        <f>+'Exhibit F'!AC89</f>
        <v>4849.3999999999996</v>
      </c>
      <c r="H24" s="1171"/>
      <c r="I24" s="1171">
        <f t="shared" si="0"/>
        <v>1404.4</v>
      </c>
      <c r="J24" s="1888"/>
      <c r="K24" s="1908">
        <f t="shared" si="1"/>
        <v>43.4</v>
      </c>
      <c r="L24" s="1977"/>
      <c r="M24" s="1908"/>
      <c r="N24" s="1908"/>
      <c r="O24" s="1908"/>
      <c r="P24" s="1908"/>
      <c r="Q24" s="1908"/>
      <c r="R24" s="1908"/>
      <c r="S24" s="1888"/>
      <c r="T24" s="1888"/>
      <c r="U24" s="1888"/>
      <c r="V24" s="1888"/>
      <c r="W24" s="1888"/>
      <c r="X24" s="1888"/>
      <c r="Y24" s="1888"/>
      <c r="Z24" s="1888"/>
      <c r="AA24" s="1888"/>
      <c r="AB24" s="1888"/>
      <c r="AC24" s="1888"/>
      <c r="AD24" s="1888"/>
      <c r="AE24" s="1888"/>
    </row>
    <row r="25" spans="1:31" ht="15" customHeight="1">
      <c r="A25" s="1720" t="s">
        <v>22</v>
      </c>
      <c r="B25" s="1888" t="s">
        <v>16</v>
      </c>
      <c r="C25" s="1253">
        <v>0</v>
      </c>
      <c r="D25" s="1171"/>
      <c r="E25" s="1253">
        <v>0</v>
      </c>
      <c r="F25" s="1171"/>
      <c r="G25" s="1354">
        <f>+'Exhibit F'!AC91</f>
        <v>0.3</v>
      </c>
      <c r="H25" s="1171"/>
      <c r="I25" s="1171">
        <f t="shared" si="0"/>
        <v>0.3</v>
      </c>
      <c r="J25" s="1888"/>
      <c r="K25" s="1908">
        <f t="shared" si="1"/>
        <v>0.3</v>
      </c>
      <c r="L25" s="1976"/>
      <c r="M25" s="1908"/>
      <c r="N25" s="1908"/>
      <c r="O25" s="1908"/>
      <c r="P25" s="1908"/>
      <c r="Q25" s="1908"/>
      <c r="R25" s="1912"/>
      <c r="S25" s="1913"/>
      <c r="T25" s="1888"/>
      <c r="U25" s="1913"/>
      <c r="V25" s="1888"/>
      <c r="W25" s="1913"/>
      <c r="X25" s="1914"/>
      <c r="Y25" s="1888"/>
      <c r="Z25" s="1888"/>
      <c r="AA25" s="1888"/>
      <c r="AB25" s="1888"/>
      <c r="AC25" s="1888"/>
      <c r="AD25" s="1888"/>
      <c r="AE25" s="1888"/>
    </row>
    <row r="26" spans="1:31" ht="18" customHeight="1">
      <c r="A26" s="1720" t="s">
        <v>109</v>
      </c>
      <c r="B26" s="1914"/>
      <c r="C26" s="1253"/>
      <c r="D26" s="1171"/>
      <c r="E26" s="1253"/>
      <c r="F26" s="1171"/>
      <c r="G26" s="1353"/>
      <c r="H26" s="1171"/>
      <c r="I26" s="1171"/>
      <c r="J26" s="1914"/>
      <c r="K26" s="1908" t="s">
        <v>16</v>
      </c>
      <c r="L26" s="1912"/>
      <c r="M26" s="1908"/>
      <c r="N26" s="1912"/>
      <c r="O26" s="1908"/>
      <c r="P26" s="1912"/>
      <c r="Q26" s="1908"/>
      <c r="R26" s="1912"/>
      <c r="S26" s="1913"/>
      <c r="T26" s="1888"/>
      <c r="U26" s="1913"/>
      <c r="V26" s="1888"/>
      <c r="W26" s="1913"/>
      <c r="X26" s="1914"/>
      <c r="Y26" s="1888"/>
      <c r="Z26" s="1888"/>
      <c r="AA26" s="1888"/>
      <c r="AB26" s="1888"/>
      <c r="AC26" s="1888"/>
      <c r="AD26" s="1888"/>
      <c r="AE26" s="1888"/>
    </row>
    <row r="27" spans="1:31">
      <c r="A27" s="1720" t="s">
        <v>110</v>
      </c>
      <c r="B27" s="1914" t="s">
        <v>16</v>
      </c>
      <c r="C27" s="1171">
        <v>7357</v>
      </c>
      <c r="D27" s="1171"/>
      <c r="E27" s="1171">
        <v>7907</v>
      </c>
      <c r="F27" s="1171"/>
      <c r="G27" s="1351">
        <f>'Exhibit F'!AC120</f>
        <v>7907.8</v>
      </c>
      <c r="H27" s="1171"/>
      <c r="I27" s="1171">
        <f>ROUND(SUM(G27)-SUM(C27),1)</f>
        <v>550.79999999999995</v>
      </c>
      <c r="J27" s="1914"/>
      <c r="K27" s="1908">
        <f>ROUND(SUM(G27)-SUM(E27),1)</f>
        <v>0.8</v>
      </c>
      <c r="L27" s="1912"/>
      <c r="M27" s="1908"/>
      <c r="N27" s="1912"/>
      <c r="O27" s="1908"/>
      <c r="P27" s="1908"/>
      <c r="Q27" s="1908"/>
      <c r="R27" s="1912"/>
      <c r="S27" s="1913"/>
      <c r="T27" s="1888"/>
      <c r="U27" s="1913"/>
      <c r="V27" s="1888"/>
      <c r="W27" s="1913"/>
      <c r="X27" s="1914"/>
      <c r="Y27" s="1888"/>
      <c r="Z27" s="1888"/>
      <c r="AA27" s="1888"/>
      <c r="AB27" s="1888"/>
      <c r="AC27" s="1888"/>
      <c r="AD27" s="1888"/>
      <c r="AE27" s="1888"/>
    </row>
    <row r="28" spans="1:31">
      <c r="A28" s="1720" t="s">
        <v>1354</v>
      </c>
      <c r="B28" s="1914" t="s">
        <v>16</v>
      </c>
      <c r="C28" s="1171">
        <v>4597</v>
      </c>
      <c r="D28" s="1171"/>
      <c r="E28" s="1171">
        <v>4384</v>
      </c>
      <c r="F28" s="1171"/>
      <c r="G28" s="1352">
        <f>'Exhibit F'!AC121</f>
        <v>4384.6000000000004</v>
      </c>
      <c r="H28" s="1171"/>
      <c r="I28" s="1171">
        <f>ROUND(SUM(G28)-SUM(C28),1)</f>
        <v>-212.4</v>
      </c>
      <c r="J28" s="1914"/>
      <c r="K28" s="1908">
        <f>ROUND(SUM(G28)-SUM(E28),1)</f>
        <v>0.6</v>
      </c>
      <c r="L28" s="1912"/>
      <c r="M28" s="1908"/>
      <c r="N28" s="1912"/>
      <c r="O28" s="1908"/>
      <c r="P28" s="1908"/>
      <c r="Q28" s="1908"/>
      <c r="R28" s="1912"/>
      <c r="S28" s="1913"/>
      <c r="T28" s="1888"/>
      <c r="U28" s="1913"/>
      <c r="V28" s="1888"/>
      <c r="W28" s="1913"/>
      <c r="X28" s="1914"/>
      <c r="Y28" s="1888"/>
      <c r="Z28" s="1888"/>
      <c r="AA28" s="1888"/>
      <c r="AB28" s="1888"/>
      <c r="AC28" s="1888"/>
      <c r="AD28" s="1888"/>
      <c r="AE28" s="1888"/>
    </row>
    <row r="29" spans="1:31">
      <c r="A29" s="1720" t="s">
        <v>111</v>
      </c>
      <c r="B29" s="1914" t="s">
        <v>16</v>
      </c>
      <c r="C29" s="1171">
        <v>678</v>
      </c>
      <c r="D29" s="1171"/>
      <c r="E29" s="1171">
        <v>729</v>
      </c>
      <c r="F29" s="1171"/>
      <c r="G29" s="1351">
        <f>'Exhibit F'!AC122</f>
        <v>728.7</v>
      </c>
      <c r="H29" s="1171"/>
      <c r="I29" s="1171">
        <f>ROUND(SUM(G29)-SUM(C29),1)</f>
        <v>50.7</v>
      </c>
      <c r="J29" s="1914"/>
      <c r="K29" s="1908">
        <f>ROUND(SUM(G29)-SUM(E29),1)</f>
        <v>-0.3</v>
      </c>
      <c r="L29" s="1912"/>
      <c r="M29" s="1908"/>
      <c r="N29" s="1912"/>
      <c r="O29" s="1908"/>
      <c r="P29" s="1908"/>
      <c r="Q29" s="1908"/>
      <c r="R29" s="1912"/>
      <c r="S29" s="1913"/>
      <c r="T29" s="1888"/>
      <c r="U29" s="1913"/>
      <c r="V29" s="1888"/>
      <c r="W29" s="1913"/>
      <c r="X29" s="1914"/>
      <c r="Y29" s="1888"/>
      <c r="Z29" s="1888"/>
      <c r="AA29" s="1888"/>
      <c r="AB29" s="1888"/>
      <c r="AC29" s="1888"/>
      <c r="AD29" s="1888"/>
      <c r="AE29" s="1888"/>
    </row>
    <row r="30" spans="1:31">
      <c r="A30" s="1720" t="s">
        <v>112</v>
      </c>
      <c r="B30" s="1914" t="s">
        <v>16</v>
      </c>
      <c r="C30" s="1894">
        <v>522</v>
      </c>
      <c r="D30" s="1171"/>
      <c r="E30" s="1894">
        <v>480</v>
      </c>
      <c r="F30" s="1171"/>
      <c r="G30" s="2053">
        <f>'Exhibit F'!AC123</f>
        <v>479.9</v>
      </c>
      <c r="H30" s="1171"/>
      <c r="I30" s="1171">
        <f>ROUND(SUM(G30)-SUM(C30),1)</f>
        <v>-42.1</v>
      </c>
      <c r="J30" s="1914"/>
      <c r="K30" s="1908">
        <f>ROUND(SUM(G30)-SUM(E30),1)</f>
        <v>-0.1</v>
      </c>
      <c r="L30" s="1978"/>
      <c r="M30" s="1908"/>
      <c r="N30" s="1909"/>
      <c r="O30" s="1908"/>
      <c r="P30" s="1908"/>
      <c r="Q30" s="1908"/>
      <c r="R30" s="1912"/>
      <c r="S30" s="1913"/>
      <c r="T30" s="1888"/>
      <c r="U30" s="1913"/>
      <c r="V30" s="1888"/>
      <c r="W30" s="1913"/>
      <c r="X30" s="1914"/>
      <c r="Y30" s="1888"/>
      <c r="Z30" s="1888"/>
      <c r="AA30" s="1888"/>
      <c r="AB30" s="1888"/>
      <c r="AC30" s="1888"/>
      <c r="AD30" s="1888"/>
      <c r="AE30" s="1888"/>
    </row>
    <row r="31" spans="1:31" ht="18" customHeight="1">
      <c r="A31" s="376" t="s">
        <v>113</v>
      </c>
      <c r="B31" s="354" t="s">
        <v>16</v>
      </c>
      <c r="C31" s="420">
        <f>ROUND(SUM(C20:C30),1)</f>
        <v>49414</v>
      </c>
      <c r="D31" s="1886"/>
      <c r="E31" s="420">
        <f>ROUND(SUM(E20:E30),1)</f>
        <v>53355</v>
      </c>
      <c r="F31" s="1886"/>
      <c r="G31" s="420">
        <f>ROUND(SUM(G20:G30),1)</f>
        <v>53402.5</v>
      </c>
      <c r="H31" s="1886"/>
      <c r="I31" s="545">
        <f>ROUND(SUM(I20:I30),1)</f>
        <v>3988.5</v>
      </c>
      <c r="J31" s="354"/>
      <c r="K31" s="545">
        <f>ROUND(SUM(K20:K30),1)</f>
        <v>47.5</v>
      </c>
      <c r="L31" s="273"/>
      <c r="M31" s="273"/>
      <c r="N31" s="273"/>
      <c r="O31" s="273"/>
      <c r="P31" s="273"/>
      <c r="Q31" s="273"/>
      <c r="R31" s="273"/>
      <c r="S31" s="354"/>
      <c r="T31" s="354"/>
      <c r="U31" s="354"/>
      <c r="V31" s="354"/>
      <c r="W31" s="354"/>
      <c r="X31" s="354"/>
      <c r="Y31" s="354"/>
      <c r="Z31" s="354"/>
      <c r="AA31" s="354"/>
      <c r="AB31" s="354"/>
      <c r="AC31" s="354"/>
      <c r="AD31" s="354"/>
      <c r="AE31" s="354"/>
    </row>
    <row r="32" spans="1:31">
      <c r="A32" s="1358"/>
      <c r="B32" s="1888"/>
      <c r="C32" s="1356"/>
      <c r="D32" s="1171"/>
      <c r="E32" s="1356"/>
      <c r="F32" s="1171"/>
      <c r="G32" s="1356"/>
      <c r="H32" s="1171"/>
      <c r="I32" s="1908"/>
      <c r="J32" s="1888"/>
      <c r="K32" s="1908"/>
      <c r="L32" s="1908"/>
      <c r="M32" s="1908"/>
      <c r="N32" s="1908"/>
      <c r="O32" s="1908"/>
      <c r="P32" s="1908"/>
      <c r="Q32" s="1908"/>
      <c r="R32" s="1908"/>
      <c r="S32" s="1888"/>
      <c r="T32" s="1888"/>
      <c r="U32" s="1888"/>
      <c r="V32" s="1888"/>
      <c r="W32" s="1888"/>
      <c r="X32" s="1888"/>
      <c r="Y32" s="1888"/>
      <c r="Z32" s="1888"/>
      <c r="AA32" s="1888"/>
      <c r="AB32" s="1888"/>
      <c r="AC32" s="1888"/>
      <c r="AD32" s="1888"/>
      <c r="AE32" s="1888"/>
    </row>
    <row r="33" spans="1:31" ht="15.6">
      <c r="A33" s="221" t="s">
        <v>24</v>
      </c>
      <c r="B33" s="1888"/>
      <c r="C33" s="1171"/>
      <c r="D33" s="1171"/>
      <c r="E33" s="1171"/>
      <c r="F33" s="1171"/>
      <c r="G33" s="1171"/>
      <c r="H33" s="1171"/>
      <c r="I33" s="1171"/>
      <c r="J33" s="1888"/>
      <c r="K33" s="1908"/>
      <c r="L33" s="1908"/>
      <c r="M33" s="1908"/>
      <c r="N33" s="1908"/>
      <c r="O33" s="1908"/>
      <c r="P33" s="1908"/>
      <c r="Q33" s="1908"/>
      <c r="R33" s="1908"/>
      <c r="S33" s="1888"/>
      <c r="T33" s="1888"/>
      <c r="U33" s="1888"/>
      <c r="V33" s="1888"/>
      <c r="W33" s="1888"/>
      <c r="X33" s="1888"/>
      <c r="Y33" s="1888"/>
      <c r="Z33" s="1888"/>
      <c r="AA33" s="1888"/>
      <c r="AB33" s="1888"/>
      <c r="AC33" s="1888"/>
      <c r="AD33" s="1888"/>
      <c r="AE33" s="1888"/>
    </row>
    <row r="34" spans="1:31">
      <c r="A34" s="1720" t="s">
        <v>96</v>
      </c>
      <c r="B34" s="1910" t="s">
        <v>16</v>
      </c>
      <c r="C34" s="1327">
        <v>30503</v>
      </c>
      <c r="D34" s="1171"/>
      <c r="E34" s="1327">
        <v>29404</v>
      </c>
      <c r="F34" s="1171"/>
      <c r="G34" s="1327">
        <f>+'Exhibit F'!AC107</f>
        <v>29405.800000000003</v>
      </c>
      <c r="H34" s="1171"/>
      <c r="I34" s="1171">
        <f>ROUND(SUM(G34)-SUM(C34),1)</f>
        <v>-1097.2</v>
      </c>
      <c r="J34" s="1888"/>
      <c r="K34" s="1908">
        <f>ROUND(SUM(G34)-SUM(E34),1)</f>
        <v>1.8</v>
      </c>
      <c r="L34" s="1909"/>
      <c r="M34" s="1908"/>
      <c r="N34" s="1909"/>
      <c r="O34" s="1908"/>
      <c r="P34" s="1908"/>
      <c r="Q34" s="1908"/>
      <c r="R34" s="1912"/>
      <c r="S34" s="1913"/>
      <c r="T34" s="1888"/>
      <c r="U34" s="1913"/>
      <c r="V34" s="1888"/>
      <c r="W34" s="1913"/>
      <c r="X34" s="1914"/>
      <c r="Y34" s="1888"/>
      <c r="Z34" s="1888"/>
      <c r="AA34" s="1888"/>
      <c r="AB34" s="1888"/>
      <c r="AC34" s="1888"/>
      <c r="AD34" s="1888"/>
      <c r="AE34" s="1888"/>
    </row>
    <row r="35" spans="1:31">
      <c r="A35" s="1720" t="s">
        <v>97</v>
      </c>
      <c r="B35" s="1910" t="s">
        <v>16</v>
      </c>
      <c r="C35" s="1327">
        <v>5971</v>
      </c>
      <c r="D35" s="1171"/>
      <c r="E35" s="1327">
        <v>5953</v>
      </c>
      <c r="F35" s="1171"/>
      <c r="G35" s="1327">
        <f>+'Exhibit F'!AC109+'Exhibit F'!AC110</f>
        <v>5953.8</v>
      </c>
      <c r="H35" s="1171"/>
      <c r="I35" s="1171">
        <f>ROUND(SUM(G35)-SUM(C35),1)</f>
        <v>-17.2</v>
      </c>
      <c r="J35" s="1888"/>
      <c r="K35" s="1908">
        <f>ROUND(SUM(G35)-SUM(E35),1)</f>
        <v>0.8</v>
      </c>
      <c r="L35" s="1909"/>
      <c r="M35" s="1908"/>
      <c r="N35" s="1909"/>
      <c r="O35" s="1908"/>
      <c r="P35" s="1908"/>
      <c r="Q35" s="1908"/>
      <c r="R35" s="1909"/>
      <c r="S35" s="1910"/>
      <c r="T35" s="1888"/>
      <c r="U35" s="1910"/>
      <c r="V35" s="1888"/>
      <c r="W35" s="1913"/>
      <c r="X35" s="1888"/>
      <c r="Y35" s="1888"/>
      <c r="Z35" s="1913"/>
      <c r="AA35" s="1913"/>
      <c r="AB35" s="1888"/>
      <c r="AC35" s="1913"/>
      <c r="AD35" s="1888"/>
      <c r="AE35" s="1913"/>
    </row>
    <row r="36" spans="1:31">
      <c r="A36" s="1720" t="s">
        <v>72</v>
      </c>
      <c r="B36" s="1910" t="s">
        <v>16</v>
      </c>
      <c r="C36" s="1327">
        <v>4348</v>
      </c>
      <c r="D36" s="1171"/>
      <c r="E36" s="1327">
        <v>4590</v>
      </c>
      <c r="F36" s="1171"/>
      <c r="G36" s="1327">
        <f>+'Exhibit F'!AC111</f>
        <v>4600.3999999999996</v>
      </c>
      <c r="H36" s="1171"/>
      <c r="I36" s="1171">
        <f>ROUND(SUM(G36)-SUM(C36),1)</f>
        <v>252.4</v>
      </c>
      <c r="J36" s="1888"/>
      <c r="K36" s="1908">
        <f>ROUND(SUM(G36)-SUM(E36),1)</f>
        <v>10.4</v>
      </c>
      <c r="L36" s="1909"/>
      <c r="M36" s="1908"/>
      <c r="N36" s="1909"/>
      <c r="O36" s="1908"/>
      <c r="P36" s="1908"/>
      <c r="Q36" s="1908"/>
      <c r="R36" s="1912"/>
      <c r="S36" s="1913"/>
      <c r="T36" s="1888"/>
      <c r="U36" s="1913"/>
      <c r="V36" s="1888"/>
      <c r="W36" s="1913"/>
      <c r="X36" s="1914"/>
      <c r="Y36" s="1888"/>
      <c r="Z36" s="1913"/>
      <c r="AA36" s="1913"/>
      <c r="AB36" s="1888"/>
      <c r="AC36" s="1913"/>
      <c r="AD36" s="1888"/>
      <c r="AE36" s="1913"/>
    </row>
    <row r="37" spans="1:31" ht="18" customHeight="1">
      <c r="A37" s="1720" t="s">
        <v>114</v>
      </c>
      <c r="B37" s="1914"/>
      <c r="C37" s="1253"/>
      <c r="D37" s="1171"/>
      <c r="E37" s="1253"/>
      <c r="F37" s="1171"/>
      <c r="G37" s="1253"/>
      <c r="H37" s="1171"/>
      <c r="I37" s="1171"/>
      <c r="J37" s="1914"/>
      <c r="K37" s="1908" t="s">
        <v>16</v>
      </c>
      <c r="L37" s="1978"/>
      <c r="M37" s="1908"/>
      <c r="N37" s="1978"/>
      <c r="O37" s="1908"/>
      <c r="P37" s="1908"/>
      <c r="Q37" s="1908"/>
      <c r="R37" s="1912"/>
      <c r="S37" s="1913"/>
      <c r="T37" s="1888"/>
      <c r="U37" s="1913"/>
      <c r="V37" s="1888"/>
      <c r="W37" s="1913"/>
      <c r="X37" s="1914"/>
      <c r="Y37" s="1888"/>
      <c r="Z37" s="1888"/>
      <c r="AA37" s="1888"/>
      <c r="AB37" s="1888"/>
      <c r="AC37" s="1888"/>
      <c r="AD37" s="1888"/>
      <c r="AE37" s="1888"/>
    </row>
    <row r="38" spans="1:31">
      <c r="A38" s="1720" t="s">
        <v>115</v>
      </c>
      <c r="B38" s="1914" t="s">
        <v>16</v>
      </c>
      <c r="C38" s="1354">
        <v>508</v>
      </c>
      <c r="D38" s="1171"/>
      <c r="E38" s="1354">
        <v>496</v>
      </c>
      <c r="F38" s="1171"/>
      <c r="G38" s="1354">
        <f>-'Exhibit F'!AC127</f>
        <v>495.7</v>
      </c>
      <c r="H38" s="1171"/>
      <c r="I38" s="1171">
        <f>ROUND(SUM(G38)-SUM(C38),1)</f>
        <v>-12.3</v>
      </c>
      <c r="J38" s="1914"/>
      <c r="K38" s="1908">
        <f>ROUND(SUM(G38)-SUM(E38),1)</f>
        <v>-0.3</v>
      </c>
      <c r="L38" s="1912"/>
      <c r="M38" s="1908"/>
      <c r="N38" s="1912"/>
      <c r="O38" s="1908"/>
      <c r="P38" s="1908"/>
      <c r="Q38" s="1908"/>
      <c r="R38" s="1912"/>
      <c r="S38" s="1913"/>
      <c r="T38" s="1888"/>
      <c r="U38" s="1913"/>
      <c r="V38" s="1888"/>
      <c r="W38" s="1913"/>
      <c r="X38" s="1914"/>
      <c r="Y38" s="1888"/>
      <c r="Z38" s="1888"/>
      <c r="AA38" s="1888"/>
      <c r="AB38" s="1888"/>
      <c r="AC38" s="1888"/>
      <c r="AD38" s="1888"/>
      <c r="AE38" s="1888"/>
    </row>
    <row r="39" spans="1:31">
      <c r="A39" s="1720" t="s">
        <v>116</v>
      </c>
      <c r="B39" s="1914" t="s">
        <v>16</v>
      </c>
      <c r="C39" s="1354">
        <v>1810</v>
      </c>
      <c r="D39" s="1171"/>
      <c r="E39" s="1354">
        <v>1271</v>
      </c>
      <c r="F39" s="1171"/>
      <c r="G39" s="1354">
        <f>-'Exhibit F'!AC124-'Exhibit F'!AC126</f>
        <v>1270.8</v>
      </c>
      <c r="H39" s="3151" t="s">
        <v>16</v>
      </c>
      <c r="I39" s="1171">
        <f>ROUND(SUM(G39)-SUM(C39),1)</f>
        <v>-539.20000000000005</v>
      </c>
      <c r="J39" s="1914"/>
      <c r="K39" s="1908">
        <f>ROUND(SUM(G39)-SUM(E39),1)</f>
        <v>-0.2</v>
      </c>
      <c r="L39" s="1912"/>
      <c r="M39" s="1908"/>
      <c r="N39" s="1912"/>
      <c r="O39" s="1908"/>
      <c r="P39" s="1908"/>
      <c r="Q39" s="1908"/>
      <c r="R39" s="1912"/>
      <c r="S39" s="1913"/>
      <c r="T39" s="1888"/>
      <c r="U39" s="1913"/>
      <c r="V39" s="1888"/>
      <c r="W39" s="1913"/>
      <c r="X39" s="1914"/>
      <c r="Y39" s="1888"/>
      <c r="Z39" s="1888"/>
      <c r="AA39" s="1888"/>
      <c r="AB39" s="1888"/>
      <c r="AC39" s="1888"/>
      <c r="AD39" s="1888"/>
      <c r="AE39" s="1888"/>
    </row>
    <row r="40" spans="1:31">
      <c r="A40" s="1720" t="s">
        <v>117</v>
      </c>
      <c r="B40" s="1914" t="s">
        <v>16</v>
      </c>
      <c r="C40" s="1354">
        <v>1858</v>
      </c>
      <c r="D40" s="1171"/>
      <c r="E40" s="1354">
        <v>1789</v>
      </c>
      <c r="F40" s="1171"/>
      <c r="G40" s="1355">
        <v>2106.3000000000002</v>
      </c>
      <c r="H40" s="3151" t="s">
        <v>1081</v>
      </c>
      <c r="I40" s="1171">
        <f>ROUND(SUM(G40)-SUM(C40),1)</f>
        <v>248.3</v>
      </c>
      <c r="J40" s="1914"/>
      <c r="K40" s="1908">
        <f>ROUND(SUM(G40)-SUM(E40),1)</f>
        <v>317.3</v>
      </c>
      <c r="L40" s="1912"/>
      <c r="M40" s="1908"/>
      <c r="N40" s="1912"/>
      <c r="O40" s="1908"/>
      <c r="P40" s="1908"/>
      <c r="Q40" s="1908"/>
      <c r="R40" s="1912"/>
      <c r="S40" s="1913"/>
      <c r="T40" s="1888"/>
      <c r="U40" s="1913"/>
      <c r="V40" s="1888"/>
      <c r="W40" s="1913"/>
      <c r="X40" s="1914"/>
      <c r="Y40" s="1888"/>
      <c r="Z40" s="1888"/>
      <c r="AA40" s="1888"/>
      <c r="AB40" s="1888"/>
      <c r="AC40" s="1888"/>
      <c r="AD40" s="1888"/>
      <c r="AE40" s="1888"/>
    </row>
    <row r="41" spans="1:31">
      <c r="A41" s="1720" t="s">
        <v>119</v>
      </c>
      <c r="B41" s="1914" t="s">
        <v>120</v>
      </c>
      <c r="C41" s="1354">
        <v>1000</v>
      </c>
      <c r="D41" s="1171"/>
      <c r="E41" s="1354">
        <v>998</v>
      </c>
      <c r="F41" s="1171"/>
      <c r="G41" s="1355">
        <v>998.1</v>
      </c>
      <c r="H41" s="1171"/>
      <c r="I41" s="1171">
        <f>ROUND(SUM(G41)-SUM(C41),1)</f>
        <v>-1.9</v>
      </c>
      <c r="J41" s="1914"/>
      <c r="K41" s="1908">
        <f>ROUND(SUM(G41)-SUM(E41),1)</f>
        <v>0.1</v>
      </c>
      <c r="L41" s="1912"/>
      <c r="M41" s="1908"/>
      <c r="N41" s="1912"/>
      <c r="O41" s="1908"/>
      <c r="P41" s="1908"/>
      <c r="Q41" s="1908"/>
      <c r="R41" s="1912"/>
      <c r="S41" s="1913"/>
      <c r="T41" s="1888"/>
      <c r="U41" s="1913"/>
      <c r="V41" s="1888"/>
      <c r="W41" s="1913"/>
      <c r="X41" s="1914"/>
      <c r="Y41" s="1888"/>
      <c r="Z41" s="1888"/>
      <c r="AA41" s="1888"/>
      <c r="AB41" s="1888"/>
      <c r="AC41" s="1888"/>
      <c r="AD41" s="1888"/>
      <c r="AE41" s="1888"/>
    </row>
    <row r="42" spans="1:31">
      <c r="A42" s="1720" t="s">
        <v>121</v>
      </c>
      <c r="B42" s="1914" t="s">
        <v>16</v>
      </c>
      <c r="C42" s="1354">
        <v>3462</v>
      </c>
      <c r="D42" s="1171"/>
      <c r="E42" s="1354">
        <v>3445</v>
      </c>
      <c r="F42" s="1171"/>
      <c r="G42" s="1354">
        <v>3130</v>
      </c>
      <c r="H42" s="1171"/>
      <c r="I42" s="1171">
        <f>ROUND(SUM(G42)-SUM(C42),1)</f>
        <v>-332</v>
      </c>
      <c r="J42" s="1914"/>
      <c r="K42" s="1908">
        <f>ROUND(SUM(G42)-SUM(E42),1)</f>
        <v>-315</v>
      </c>
      <c r="L42" s="1978"/>
      <c r="M42" s="1908"/>
      <c r="N42" s="1909"/>
      <c r="O42" s="1908"/>
      <c r="P42" s="1908"/>
      <c r="Q42" s="1908"/>
      <c r="R42" s="1912"/>
      <c r="S42" s="1913"/>
      <c r="T42" s="1888"/>
      <c r="U42" s="1913"/>
      <c r="V42" s="1888"/>
      <c r="W42" s="1913"/>
      <c r="X42" s="1914"/>
      <c r="Y42" s="1888"/>
      <c r="Z42" s="1888"/>
      <c r="AA42" s="1888"/>
      <c r="AB42" s="1888"/>
      <c r="AC42" s="1888"/>
      <c r="AD42" s="1888"/>
      <c r="AE42" s="1888"/>
    </row>
    <row r="43" spans="1:31" ht="18" customHeight="1">
      <c r="A43" s="376" t="s">
        <v>122</v>
      </c>
      <c r="B43" s="354" t="s">
        <v>16</v>
      </c>
      <c r="C43" s="420">
        <f>ROUND(SUM(C34:C42),1)</f>
        <v>49460</v>
      </c>
      <c r="D43" s="1886"/>
      <c r="E43" s="420">
        <f>ROUND(SUM(E34:E42),1)</f>
        <v>47946</v>
      </c>
      <c r="F43" s="1886"/>
      <c r="G43" s="420">
        <f>ROUND(SUM(G34:G42),1)</f>
        <v>47960.9</v>
      </c>
      <c r="H43" s="1886"/>
      <c r="I43" s="545">
        <f>ROUND(SUM(I34:I42),1)</f>
        <v>-1499.1</v>
      </c>
      <c r="J43" s="354"/>
      <c r="K43" s="545">
        <f>ROUND(SUM(K34:K42),1)</f>
        <v>14.9</v>
      </c>
      <c r="L43" s="273"/>
      <c r="M43" s="273"/>
      <c r="N43" s="273"/>
      <c r="O43" s="273"/>
      <c r="P43" s="273"/>
      <c r="Q43" s="273"/>
      <c r="R43" s="273"/>
      <c r="S43" s="354"/>
      <c r="T43" s="354"/>
      <c r="U43" s="354"/>
      <c r="V43" s="354"/>
      <c r="W43" s="354"/>
      <c r="X43" s="354"/>
      <c r="Y43" s="354"/>
      <c r="Z43" s="354"/>
      <c r="AA43" s="354"/>
      <c r="AB43" s="354"/>
      <c r="AC43" s="354"/>
      <c r="AD43" s="354"/>
      <c r="AE43" s="354"/>
    </row>
    <row r="44" spans="1:31">
      <c r="A44" s="1358"/>
      <c r="B44" s="1888"/>
      <c r="C44" s="1356"/>
      <c r="D44" s="1171"/>
      <c r="E44" s="1356"/>
      <c r="F44" s="1171"/>
      <c r="G44" s="1356"/>
      <c r="H44" s="1171"/>
      <c r="I44" s="1908"/>
      <c r="J44" s="1888"/>
      <c r="K44" s="1908"/>
      <c r="L44" s="1908"/>
      <c r="M44" s="1908"/>
      <c r="N44" s="1908"/>
      <c r="O44" s="1908"/>
      <c r="P44" s="1908"/>
      <c r="Q44" s="1908"/>
      <c r="R44" s="1908"/>
      <c r="S44" s="1888"/>
      <c r="T44" s="1888"/>
      <c r="U44" s="1888"/>
      <c r="V44" s="1888"/>
      <c r="W44" s="1888"/>
      <c r="X44" s="1888"/>
      <c r="Y44" s="1888"/>
      <c r="Z44" s="1888"/>
      <c r="AA44" s="1888"/>
      <c r="AB44" s="1888"/>
      <c r="AC44" s="1888"/>
      <c r="AD44" s="1888"/>
      <c r="AE44" s="1888"/>
    </row>
    <row r="45" spans="1:31" ht="15.6">
      <c r="A45" s="221" t="s">
        <v>123</v>
      </c>
      <c r="B45" s="1888"/>
      <c r="C45" s="1171"/>
      <c r="D45" s="1171"/>
      <c r="E45" s="1171"/>
      <c r="F45" s="1171"/>
      <c r="G45" s="1171"/>
      <c r="H45" s="1171"/>
      <c r="I45" s="1171"/>
      <c r="J45" s="1888"/>
      <c r="K45" s="1908"/>
      <c r="L45" s="1908"/>
      <c r="M45" s="1908"/>
      <c r="N45" s="1908"/>
      <c r="O45" s="1908"/>
      <c r="P45" s="1908"/>
      <c r="Q45" s="1908"/>
      <c r="R45" s="1908"/>
      <c r="S45" s="1888"/>
      <c r="T45" s="1888"/>
      <c r="U45" s="1888"/>
      <c r="V45" s="1888"/>
      <c r="W45" s="1888"/>
      <c r="X45" s="1888"/>
      <c r="Y45" s="1888"/>
      <c r="Z45" s="1888"/>
      <c r="AA45" s="1888"/>
      <c r="AB45" s="1888"/>
      <c r="AC45" s="1888"/>
      <c r="AD45" s="1888"/>
      <c r="AE45" s="1888"/>
    </row>
    <row r="46" spans="1:31" ht="15.6">
      <c r="A46" s="221" t="s">
        <v>124</v>
      </c>
      <c r="B46" s="1888"/>
      <c r="C46" s="1171"/>
      <c r="D46" s="1171"/>
      <c r="E46" s="1171"/>
      <c r="F46" s="1171"/>
      <c r="G46" s="1171"/>
      <c r="H46" s="1171"/>
      <c r="I46" s="1171"/>
      <c r="J46" s="1888"/>
      <c r="K46" s="1908"/>
      <c r="L46" s="1908"/>
      <c r="M46" s="1908"/>
      <c r="N46" s="1908"/>
      <c r="O46" s="1908"/>
      <c r="P46" s="1908"/>
      <c r="Q46" s="1908"/>
      <c r="R46" s="1908"/>
      <c r="S46" s="1888"/>
      <c r="T46" s="1888"/>
      <c r="U46" s="1888"/>
      <c r="V46" s="1888"/>
      <c r="W46" s="1888"/>
      <c r="X46" s="1888"/>
      <c r="Y46" s="1888"/>
      <c r="Z46" s="1888"/>
      <c r="AA46" s="1888"/>
      <c r="AB46" s="1888"/>
      <c r="AC46" s="1888"/>
      <c r="AD46" s="1888"/>
      <c r="AE46" s="1888"/>
    </row>
    <row r="47" spans="1:31" ht="15.6">
      <c r="A47" s="376" t="s">
        <v>105</v>
      </c>
      <c r="B47" s="1885" t="s">
        <v>16</v>
      </c>
      <c r="C47" s="273">
        <f>ROUND(SUM(C31)-SUM(C43),1)</f>
        <v>-46</v>
      </c>
      <c r="D47" s="284"/>
      <c r="E47" s="273">
        <f>ROUND(SUM(E31)-SUM(E43),1)</f>
        <v>5409</v>
      </c>
      <c r="F47" s="284"/>
      <c r="G47" s="273">
        <f>ROUND(SUM(G31)-SUM(G43),1)</f>
        <v>5441.6</v>
      </c>
      <c r="H47" s="284"/>
      <c r="I47" s="273">
        <f>ROUND(SUM(I31)-SUM(I43),1)</f>
        <v>5487.6</v>
      </c>
      <c r="J47" s="354"/>
      <c r="K47" s="273">
        <f>ROUND(SUM(K31)-SUM(K43),1)</f>
        <v>32.6</v>
      </c>
      <c r="L47" s="273"/>
      <c r="M47" s="743"/>
      <c r="N47" s="273"/>
      <c r="O47" s="743"/>
      <c r="P47" s="273"/>
      <c r="Q47" s="743"/>
      <c r="R47" s="273"/>
      <c r="S47" s="354"/>
      <c r="T47" s="377"/>
      <c r="U47" s="354"/>
      <c r="V47" s="377"/>
      <c r="W47" s="354"/>
      <c r="X47" s="354"/>
      <c r="Y47" s="377"/>
      <c r="Z47" s="354"/>
      <c r="AA47" s="354"/>
      <c r="AB47" s="377"/>
      <c r="AC47" s="354"/>
      <c r="AD47" s="377"/>
      <c r="AE47" s="354"/>
    </row>
    <row r="48" spans="1:31" ht="15" customHeight="1">
      <c r="C48" s="1269"/>
      <c r="D48" s="1897"/>
      <c r="E48" s="1269"/>
      <c r="F48" s="1897"/>
      <c r="G48" s="1269"/>
      <c r="H48" s="1897"/>
      <c r="I48" s="273"/>
      <c r="J48" s="354"/>
      <c r="K48" s="273"/>
      <c r="L48" s="1269"/>
      <c r="M48" s="1269"/>
      <c r="N48" s="1269"/>
      <c r="O48" s="1269"/>
      <c r="P48" s="1269"/>
      <c r="Q48" s="1269"/>
      <c r="R48" s="1269"/>
    </row>
    <row r="49" spans="1:18" ht="15.6">
      <c r="A49" s="1983" t="str">
        <f>'Exh D-Governmental  '!A49</f>
        <v>Fund Balances (Deficits) at April 1</v>
      </c>
      <c r="B49" s="1149" t="s">
        <v>16</v>
      </c>
      <c r="C49" s="273">
        <v>7300</v>
      </c>
      <c r="D49" s="1897"/>
      <c r="E49" s="273">
        <v>7300</v>
      </c>
      <c r="F49" s="1897"/>
      <c r="G49" s="273">
        <f>'Exhibit F'!AC14</f>
        <v>7299.5</v>
      </c>
      <c r="H49" s="1897"/>
      <c r="I49" s="281">
        <f>ROUND(SUM(G49-C49),1)</f>
        <v>-0.5</v>
      </c>
      <c r="J49" s="354"/>
      <c r="K49" s="3373">
        <f>ROUND(SUM(G49-E49),1)</f>
        <v>-0.5</v>
      </c>
      <c r="L49" s="273"/>
      <c r="M49" s="1269"/>
      <c r="N49" s="273"/>
      <c r="O49" s="1269"/>
      <c r="P49" s="281"/>
      <c r="Q49" s="1269"/>
      <c r="R49" s="1269"/>
    </row>
    <row r="50" spans="1:18" ht="18" customHeight="1" thickBot="1">
      <c r="A50" s="376" t="str">
        <f>'Exh D-Governmental  '!A50</f>
        <v>Fund Balances (Deficits) at December 31, 2015</v>
      </c>
      <c r="B50" s="383" t="s">
        <v>16</v>
      </c>
      <c r="C50" s="299">
        <f>ROUND(SUM(C47:C49),1)</f>
        <v>7254</v>
      </c>
      <c r="D50" s="384"/>
      <c r="E50" s="299">
        <f>ROUND(SUM(E47:E49),1)</f>
        <v>12709</v>
      </c>
      <c r="F50" s="384"/>
      <c r="G50" s="299">
        <f>ROUND(SUM(G47:G49),1)</f>
        <v>12741.1</v>
      </c>
      <c r="H50" s="384"/>
      <c r="I50" s="299">
        <f>ROUND(SUM(I47:I49),1)</f>
        <v>5487.1</v>
      </c>
      <c r="J50" s="354"/>
      <c r="K50" s="299">
        <f>ROUND(SUM(K47:K49),1)</f>
        <v>32.1</v>
      </c>
      <c r="L50" s="424"/>
      <c r="M50" s="1979"/>
      <c r="N50" s="424"/>
      <c r="O50" s="1979"/>
      <c r="P50" s="424"/>
    </row>
    <row r="51" spans="1:18" ht="15" customHeight="1" thickTop="1">
      <c r="A51" s="358"/>
      <c r="G51" s="1149"/>
      <c r="J51" s="1149"/>
      <c r="L51" s="1357"/>
      <c r="M51" s="1980"/>
      <c r="N51" s="1980"/>
      <c r="O51" s="1980"/>
      <c r="P51" s="1980"/>
    </row>
    <row r="52" spans="1:18">
      <c r="A52" s="1901" t="s">
        <v>1544</v>
      </c>
      <c r="M52" s="1149"/>
      <c r="N52" s="1149"/>
      <c r="O52" s="1149"/>
      <c r="P52" s="1149"/>
    </row>
    <row r="53" spans="1:18">
      <c r="A53" s="1195" t="s">
        <v>1685</v>
      </c>
      <c r="M53" s="1149"/>
      <c r="N53" s="1149"/>
      <c r="O53" s="1149"/>
      <c r="P53" s="1149"/>
    </row>
    <row r="54" spans="1:18">
      <c r="A54" s="2995" t="s">
        <v>1613</v>
      </c>
      <c r="M54" s="1149"/>
      <c r="N54" s="1149"/>
      <c r="O54" s="1149"/>
      <c r="P54" s="1149"/>
    </row>
    <row r="55" spans="1:18">
      <c r="A55" s="1917" t="s">
        <v>1402</v>
      </c>
      <c r="M55" s="1149"/>
      <c r="N55" s="1149"/>
      <c r="O55" s="1149"/>
      <c r="P55" s="1149"/>
    </row>
    <row r="56" spans="1:18">
      <c r="A56" s="2995" t="s">
        <v>16</v>
      </c>
      <c r="M56" s="1149"/>
      <c r="N56" s="1149"/>
      <c r="O56" s="1149"/>
      <c r="P56" s="1149"/>
    </row>
    <row r="57" spans="1:18">
      <c r="A57" s="1917"/>
      <c r="M57" s="1149"/>
      <c r="N57" s="1149"/>
      <c r="O57" s="1149"/>
      <c r="P57" s="1149"/>
    </row>
    <row r="58" spans="1:18">
      <c r="M58" s="1149"/>
      <c r="N58" s="1149"/>
      <c r="O58" s="1149"/>
      <c r="P58" s="1149"/>
    </row>
    <row r="59" spans="1:18">
      <c r="A59" s="407"/>
      <c r="M59" s="1149"/>
      <c r="N59" s="1149"/>
      <c r="O59" s="1149"/>
      <c r="P59" s="1149"/>
    </row>
    <row r="60" spans="1:18">
      <c r="A60" s="407"/>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10"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79</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Appendix H</vt:lpstr>
      <vt:lpstr>'Exhibit G'!Exh_G_var</vt:lpstr>
      <vt:lpstr>'Exhibit G Federal'!Exh_G_var</vt:lpstr>
      <vt:lpstr>'Exhibit G state'!Exh_G_var</vt:lpstr>
      <vt:lpstr>'EXHIBIT E '!EXHIBIT_E</vt:lpstr>
      <vt:lpstr>'Exh A Supp'!EXHIBITA</vt:lpstr>
      <vt:lpstr>'Exh 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F'!Print_Area</vt:lpstr>
      <vt:lpstr>'Appendix G'!Print_Area</vt:lpstr>
      <vt:lpstr>'Appendix H'!Print_Area</vt:lpstr>
      <vt:lpstr>'ARRA '!Print_Area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G'!Print_Titles</vt:lpstr>
      <vt:lpstr>'ARRA '!Print_Titles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H'!variance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2016-01-15T19:07:23Z</dcterms:created>
  <dcterms:modified xsi:type="dcterms:W3CDTF">2016-01-15T19:51:23Z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